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76C5DEF3-A00A-4040-B5AC-92C9B846ECEA}" xr6:coauthVersionLast="47" xr6:coauthVersionMax="47" xr10:uidLastSave="{00000000-0000-0000-0000-000000000000}"/>
  <bookViews>
    <workbookView xWindow="-120" yWindow="-120" windowWidth="29040" windowHeight="15840" xr2:uid="{57B09992-AF78-4CBA-A773-337E6CB6815E}"/>
  </bookViews>
  <sheets>
    <sheet name="经九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2" i="1" l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G46" i="1"/>
  <c r="B46" i="1" s="1"/>
  <c r="F45" i="1"/>
  <c r="B45" i="1"/>
  <c r="F44" i="1"/>
  <c r="B44" i="1"/>
  <c r="G43" i="1"/>
  <c r="F43" i="1"/>
  <c r="B43" i="1"/>
  <c r="F42" i="1"/>
  <c r="B42" i="1"/>
  <c r="F41" i="1"/>
  <c r="B41" i="1"/>
  <c r="G40" i="1"/>
  <c r="F40" i="1"/>
  <c r="B40" i="1"/>
  <c r="F39" i="1"/>
  <c r="B39" i="1"/>
  <c r="G38" i="1"/>
  <c r="F38" i="1"/>
  <c r="B38" i="1"/>
  <c r="F37" i="1"/>
  <c r="B37" i="1"/>
  <c r="F36" i="1"/>
  <c r="B36" i="1"/>
  <c r="F35" i="1"/>
  <c r="B35" i="1"/>
  <c r="G34" i="1"/>
  <c r="B34" i="1" s="1"/>
  <c r="F34" i="1"/>
  <c r="G33" i="1"/>
  <c r="F33" i="1"/>
  <c r="B33" i="1"/>
  <c r="G32" i="1"/>
  <c r="F32" i="1" s="1"/>
  <c r="G31" i="1"/>
  <c r="F31" i="1" s="1"/>
  <c r="G30" i="1"/>
  <c r="B30" i="1" s="1"/>
  <c r="F29" i="1"/>
  <c r="B29" i="1"/>
  <c r="F28" i="1"/>
  <c r="B28" i="1"/>
  <c r="F27" i="1"/>
  <c r="B27" i="1"/>
  <c r="F26" i="1"/>
  <c r="B26" i="1"/>
  <c r="G25" i="1"/>
  <c r="F25" i="1"/>
  <c r="B25" i="1"/>
  <c r="F24" i="1"/>
  <c r="B24" i="1"/>
  <c r="G23" i="1"/>
  <c r="B23" i="1" s="1"/>
  <c r="F23" i="1"/>
  <c r="F22" i="1"/>
  <c r="B22" i="1"/>
  <c r="F21" i="1"/>
  <c r="B21" i="1"/>
  <c r="F20" i="1"/>
  <c r="B20" i="1"/>
  <c r="F19" i="1"/>
  <c r="B19" i="1"/>
  <c r="G18" i="1"/>
  <c r="F18" i="1"/>
  <c r="B18" i="1"/>
  <c r="F17" i="1"/>
  <c r="B17" i="1"/>
  <c r="F16" i="1"/>
  <c r="B16" i="1"/>
  <c r="I13" i="1"/>
  <c r="I63" i="1" s="1"/>
  <c r="G13" i="1"/>
  <c r="B67" i="1" s="1"/>
  <c r="F12" i="1"/>
  <c r="D12" i="1"/>
  <c r="B12" i="1"/>
  <c r="F11" i="1"/>
  <c r="D11" i="1"/>
  <c r="B11" i="1"/>
  <c r="F10" i="1"/>
  <c r="D10" i="1"/>
  <c r="B10" i="1"/>
  <c r="F9" i="1"/>
  <c r="D9" i="1"/>
  <c r="B9" i="1"/>
  <c r="F8" i="1"/>
  <c r="D8" i="1"/>
  <c r="B8" i="1"/>
  <c r="F7" i="1"/>
  <c r="D7" i="1"/>
  <c r="B7" i="1"/>
  <c r="B13" i="1" l="1"/>
  <c r="B68" i="1" s="1"/>
  <c r="B32" i="1"/>
  <c r="F13" i="1"/>
  <c r="D13" i="1"/>
  <c r="G62" i="1"/>
  <c r="F30" i="1"/>
  <c r="F46" i="1"/>
  <c r="B62" i="1"/>
  <c r="B66" i="1" s="1"/>
  <c r="F62" i="1"/>
  <c r="F66" i="1" s="1"/>
  <c r="B31" i="1"/>
  <c r="B70" i="1" l="1"/>
  <c r="F63" i="1"/>
  <c r="B63" i="1"/>
  <c r="F67" i="1"/>
  <c r="F69" i="1"/>
  <c r="F68" i="1"/>
  <c r="F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cw05</author>
  </authors>
  <commentList>
    <comment ref="G8" authorId="0" shapeId="0" xr:uid="{CA84310F-724D-4CAE-BC8E-EF70D94B0BDD}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填写开票数字</t>
        </r>
      </text>
    </comment>
    <comment ref="E16" authorId="0" shapeId="0" xr:uid="{C3BB94DE-FC1E-423F-B6F6-27F280544831}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填写专票税率</t>
        </r>
      </text>
    </comment>
    <comment ref="G16" authorId="0" shapeId="0" xr:uid="{E5373C52-199A-4C6C-88B9-A26D5EA5319B}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填写成本发票含税金额</t>
        </r>
      </text>
    </comment>
    <comment ref="A67" authorId="0" shapeId="0" xr:uid="{0548F4BA-FA7E-44E7-A92F-1343B788A580}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当地未缴，本地代扣代缴，含税价*0.0003。</t>
        </r>
      </text>
    </comment>
    <comment ref="A68" authorId="0" shapeId="0" xr:uid="{56529428-2259-4731-9C7F-A9668D9C07AF}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<sst xmlns="http://schemas.openxmlformats.org/spreadsheetml/2006/main" count="203" uniqueCount="109">
  <si>
    <t>巢湖市经九路塔山路交通工程9194</t>
    <phoneticPr fontId="2" type="noConversion"/>
  </si>
  <si>
    <t>中标日期</t>
    <phoneticPr fontId="2" type="noConversion"/>
  </si>
  <si>
    <t>17.12.29</t>
    <phoneticPr fontId="2" type="noConversion"/>
  </si>
  <si>
    <t>中标价</t>
    <phoneticPr fontId="2" type="noConversion"/>
  </si>
  <si>
    <t>负责人</t>
    <phoneticPr fontId="2" type="noConversion"/>
  </si>
  <si>
    <t>孙容</t>
    <phoneticPr fontId="2" type="noConversion"/>
  </si>
  <si>
    <t>建设单位</t>
    <phoneticPr fontId="2" type="noConversion"/>
  </si>
  <si>
    <t>巢湖市交通运输局</t>
    <phoneticPr fontId="2" type="noConversion"/>
  </si>
  <si>
    <t>决算日期</t>
    <phoneticPr fontId="2" type="noConversion"/>
  </si>
  <si>
    <t>决算价</t>
    <phoneticPr fontId="2" type="noConversion"/>
  </si>
  <si>
    <t>销售开票：</t>
    <phoneticPr fontId="2" type="noConversion"/>
  </si>
  <si>
    <t>开票日期</t>
    <phoneticPr fontId="2" type="noConversion"/>
  </si>
  <si>
    <t>收入金额</t>
    <phoneticPr fontId="2" type="noConversion"/>
  </si>
  <si>
    <t>工程地缴税</t>
    <phoneticPr fontId="2" type="noConversion"/>
  </si>
  <si>
    <t>企业本地缴税</t>
    <phoneticPr fontId="2" type="noConversion"/>
  </si>
  <si>
    <t>价税合计</t>
    <phoneticPr fontId="2" type="noConversion"/>
  </si>
  <si>
    <t>到款情况</t>
    <phoneticPr fontId="2" type="noConversion"/>
  </si>
  <si>
    <t>税率</t>
    <phoneticPr fontId="2" type="noConversion"/>
  </si>
  <si>
    <t>增值税额</t>
    <phoneticPr fontId="2" type="noConversion"/>
  </si>
  <si>
    <t>日期</t>
    <phoneticPr fontId="2" type="noConversion"/>
  </si>
  <si>
    <t>银行</t>
    <phoneticPr fontId="2" type="noConversion"/>
  </si>
  <si>
    <t>18.5.24</t>
    <phoneticPr fontId="2" type="noConversion"/>
  </si>
  <si>
    <t>18.6.13</t>
    <phoneticPr fontId="11" type="noConversion"/>
  </si>
  <si>
    <t>18.8.21</t>
    <phoneticPr fontId="2" type="noConversion"/>
  </si>
  <si>
    <t>18.8.28</t>
    <phoneticPr fontId="11" type="noConversion"/>
  </si>
  <si>
    <t>18.9.19</t>
    <phoneticPr fontId="2" type="noConversion"/>
  </si>
  <si>
    <t>18.10.20</t>
    <phoneticPr fontId="11" type="noConversion"/>
  </si>
  <si>
    <t>19.5.17</t>
    <phoneticPr fontId="2" type="noConversion"/>
  </si>
  <si>
    <t>19.7.5</t>
    <phoneticPr fontId="11" type="noConversion"/>
  </si>
  <si>
    <t>22.1.13</t>
    <phoneticPr fontId="2" type="noConversion"/>
  </si>
  <si>
    <t>合计</t>
    <phoneticPr fontId="2" type="noConversion"/>
  </si>
  <si>
    <t>材料发票：</t>
    <phoneticPr fontId="2" type="noConversion"/>
  </si>
  <si>
    <t>销货单位</t>
    <phoneticPr fontId="2" type="noConversion"/>
  </si>
  <si>
    <t>货物</t>
    <phoneticPr fontId="2" type="noConversion"/>
  </si>
  <si>
    <t>合同</t>
    <phoneticPr fontId="2" type="noConversion"/>
  </si>
  <si>
    <t>发货单</t>
    <phoneticPr fontId="2" type="noConversion"/>
  </si>
  <si>
    <t>备注</t>
    <phoneticPr fontId="2" type="noConversion"/>
  </si>
  <si>
    <t>收票日期</t>
    <phoneticPr fontId="2" type="noConversion"/>
  </si>
  <si>
    <t>成本金额</t>
    <phoneticPr fontId="2" type="noConversion"/>
  </si>
  <si>
    <t>份数</t>
    <phoneticPr fontId="2" type="noConversion"/>
  </si>
  <si>
    <t>类型</t>
    <phoneticPr fontId="2" type="noConversion"/>
  </si>
  <si>
    <t>进项税额</t>
    <phoneticPr fontId="2" type="noConversion"/>
  </si>
  <si>
    <t>付款日期</t>
    <phoneticPr fontId="2" type="noConversion"/>
  </si>
  <si>
    <t>专</t>
    <phoneticPr fontId="2" type="noConversion"/>
  </si>
  <si>
    <t>常州精尔顿护栏网业制造有限公司</t>
    <phoneticPr fontId="2" type="noConversion"/>
  </si>
  <si>
    <t>代理费</t>
    <phoneticPr fontId="2" type="noConversion"/>
  </si>
  <si>
    <t>合肥伟明物资有限公司</t>
    <phoneticPr fontId="2" type="noConversion"/>
  </si>
  <si>
    <t>浙江大华科技有限公司</t>
    <phoneticPr fontId="2" type="noConversion"/>
  </si>
  <si>
    <t>深圳市城铭科技有限公司</t>
    <phoneticPr fontId="2" type="noConversion"/>
  </si>
  <si>
    <t>杭州海康威视科技有限公司</t>
    <phoneticPr fontId="2" type="noConversion"/>
  </si>
  <si>
    <t>电信基础费</t>
    <phoneticPr fontId="2" type="noConversion"/>
  </si>
  <si>
    <t>普</t>
    <phoneticPr fontId="2" type="noConversion"/>
  </si>
  <si>
    <t>1-2月工资表</t>
    <phoneticPr fontId="2" type="noConversion"/>
  </si>
  <si>
    <t>标牌</t>
    <phoneticPr fontId="2" type="noConversion"/>
  </si>
  <si>
    <t>线缆</t>
    <phoneticPr fontId="2" type="noConversion"/>
  </si>
  <si>
    <t>标书打印</t>
    <phoneticPr fontId="2" type="noConversion"/>
  </si>
  <si>
    <t>18.9.3</t>
    <phoneticPr fontId="2" type="noConversion"/>
  </si>
  <si>
    <t>霸州市百万模具有限公司</t>
    <phoneticPr fontId="2" type="noConversion"/>
  </si>
  <si>
    <t>18.11.14</t>
    <phoneticPr fontId="2" type="noConversion"/>
  </si>
  <si>
    <t>安徽铸辉新型电缆有限公司</t>
    <phoneticPr fontId="2" type="noConversion"/>
  </si>
  <si>
    <t>京东</t>
    <phoneticPr fontId="2" type="noConversion"/>
  </si>
  <si>
    <t>安徽领迅智能科技有限公司/海康威视</t>
    <phoneticPr fontId="2" type="noConversion"/>
  </si>
  <si>
    <t>新点造价软件</t>
    <phoneticPr fontId="2" type="noConversion"/>
  </si>
  <si>
    <t>安徽电力庐江供电</t>
    <phoneticPr fontId="2" type="noConversion"/>
  </si>
  <si>
    <t>8月工资</t>
    <phoneticPr fontId="2" type="noConversion"/>
  </si>
  <si>
    <t>五金配件电动扳手</t>
    <phoneticPr fontId="2" type="noConversion"/>
  </si>
  <si>
    <t>18.11.23</t>
    <phoneticPr fontId="2" type="noConversion"/>
  </si>
  <si>
    <t>支付王玲子</t>
    <phoneticPr fontId="2" type="noConversion"/>
  </si>
  <si>
    <t>差旅费</t>
    <phoneticPr fontId="2" type="noConversion"/>
  </si>
  <si>
    <t>18.12.11</t>
    <phoneticPr fontId="2" type="noConversion"/>
  </si>
  <si>
    <t>差旅 材料 办公</t>
    <phoneticPr fontId="2" type="noConversion"/>
  </si>
  <si>
    <t>住宿</t>
    <phoneticPr fontId="2" type="noConversion"/>
  </si>
  <si>
    <t>18.12.17</t>
    <phoneticPr fontId="2" type="noConversion"/>
  </si>
  <si>
    <t>18.12.24</t>
    <phoneticPr fontId="2" type="noConversion"/>
  </si>
  <si>
    <t>通行费</t>
    <phoneticPr fontId="2" type="noConversion"/>
  </si>
  <si>
    <t>19.7.6</t>
    <phoneticPr fontId="2" type="noConversion"/>
  </si>
  <si>
    <t>戴鑫技术有限公司</t>
    <phoneticPr fontId="2" type="noConversion"/>
  </si>
  <si>
    <t>电费</t>
    <phoneticPr fontId="2" type="noConversion"/>
  </si>
  <si>
    <t>合肥利得轮胎销售有限公司</t>
    <phoneticPr fontId="2" type="noConversion"/>
  </si>
  <si>
    <t>轮胎</t>
    <phoneticPr fontId="2" type="noConversion"/>
  </si>
  <si>
    <t>18年社保费用</t>
    <phoneticPr fontId="2" type="noConversion"/>
  </si>
  <si>
    <t>20.4.28</t>
    <phoneticPr fontId="2" type="noConversion"/>
  </si>
  <si>
    <t>加油费</t>
    <phoneticPr fontId="2" type="noConversion"/>
  </si>
  <si>
    <t>住宿费</t>
    <phoneticPr fontId="2" type="noConversion"/>
  </si>
  <si>
    <t>代扣增值税</t>
    <phoneticPr fontId="2" type="noConversion"/>
  </si>
  <si>
    <t>公司代缴税金：</t>
    <phoneticPr fontId="2" type="noConversion"/>
  </si>
  <si>
    <t>税种</t>
    <phoneticPr fontId="2" type="noConversion"/>
  </si>
  <si>
    <t>税额</t>
    <phoneticPr fontId="2" type="noConversion"/>
  </si>
  <si>
    <t>11月税费</t>
    <phoneticPr fontId="2" type="noConversion"/>
  </si>
  <si>
    <t>企业所得税</t>
    <phoneticPr fontId="2" type="noConversion"/>
  </si>
  <si>
    <t>增值税</t>
    <phoneticPr fontId="2" type="noConversion"/>
  </si>
  <si>
    <t>差额</t>
    <phoneticPr fontId="2" type="noConversion"/>
  </si>
  <si>
    <t>印花税</t>
    <phoneticPr fontId="2" type="noConversion"/>
  </si>
  <si>
    <t>城市维护建设税</t>
    <phoneticPr fontId="2" type="noConversion"/>
  </si>
  <si>
    <t>水利基金</t>
    <phoneticPr fontId="2" type="noConversion"/>
  </si>
  <si>
    <t>教育费附加</t>
  </si>
  <si>
    <t>地方教育费附加</t>
  </si>
  <si>
    <t>小计</t>
    <phoneticPr fontId="2" type="noConversion"/>
  </si>
  <si>
    <t>金刚网</t>
    <phoneticPr fontId="2" type="noConversion"/>
  </si>
  <si>
    <t>钢管</t>
    <phoneticPr fontId="2" type="noConversion"/>
  </si>
  <si>
    <t>电子设备</t>
    <phoneticPr fontId="2" type="noConversion"/>
  </si>
  <si>
    <t>补光灯</t>
    <phoneticPr fontId="2" type="noConversion"/>
  </si>
  <si>
    <t>电缆</t>
    <phoneticPr fontId="2" type="noConversion"/>
  </si>
  <si>
    <t>税务局代开</t>
    <phoneticPr fontId="2" type="noConversion"/>
  </si>
  <si>
    <t>辅材费用</t>
    <phoneticPr fontId="2" type="noConversion"/>
  </si>
  <si>
    <t>施工辅材</t>
    <phoneticPr fontId="2" type="noConversion"/>
  </si>
  <si>
    <t>辅材</t>
    <phoneticPr fontId="2" type="noConversion"/>
  </si>
  <si>
    <t>先飞</t>
    <phoneticPr fontId="2" type="noConversion"/>
  </si>
  <si>
    <t>付款情况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</si>
</sst>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/m/d;@"/>
    <numFmt numFmtId="177" formatCode="#,##0.00_ "/>
    <numFmt numFmtId="178" formatCode="#,##0_ "/>
  </numFmts>
  <fonts count="16">
    <font>
      <sz val="11"/>
      <color theme="1"/>
      <name val="等线"/>
      <family val="2"/>
      <scheme val="minor"/>
    </font>
    <font>
      <b/>
      <sz val="11"/>
      <color rgb="FF33333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333333"/>
      <name val="ˎ̥"/>
      <family val="2"/>
    </font>
    <font>
      <b/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rgb="FFFF0000"/>
      <name val="宋体"/>
      <family val="3"/>
      <charset val="134"/>
    </font>
    <font>
      <sz val="9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0" fontId="9" fillId="0" borderId="0">
      <protection locked="0"/>
    </xf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6" fontId="10" fillId="0" borderId="2" xfId="2" applyNumberFormat="1" applyFont="1" applyBorder="1" applyAlignment="1" applyProtection="1">
      <alignment horizontal="center" vertical="center" wrapText="1"/>
    </xf>
    <xf numFmtId="177" fontId="10" fillId="0" borderId="2" xfId="2" applyNumberFormat="1" applyFont="1" applyBorder="1" applyAlignment="1" applyProtection="1">
      <alignment horizontal="right" vertical="center" wrapText="1"/>
    </xf>
    <xf numFmtId="176" fontId="7" fillId="0" borderId="2" xfId="0" applyNumberFormat="1" applyFont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9" fontId="2" fillId="5" borderId="2" xfId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10" fillId="6" borderId="2" xfId="2" applyNumberFormat="1" applyFont="1" applyFill="1" applyBorder="1" applyAlignment="1" applyProtection="1">
      <alignment horizontal="center" vertical="center" wrapText="1"/>
    </xf>
    <xf numFmtId="177" fontId="2" fillId="6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vertical="center"/>
    </xf>
    <xf numFmtId="176" fontId="6" fillId="7" borderId="2" xfId="0" applyNumberFormat="1" applyFont="1" applyFill="1" applyBorder="1" applyAlignment="1">
      <alignment horizontal="center" vertical="center"/>
    </xf>
    <xf numFmtId="176" fontId="12" fillId="0" borderId="2" xfId="2" applyNumberFormat="1" applyFont="1" applyBorder="1" applyAlignment="1" applyProtection="1">
      <alignment horizontal="center" vertical="center" wrapText="1"/>
    </xf>
    <xf numFmtId="177" fontId="1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left" vertical="center"/>
    </xf>
  </cellXfs>
  <cellStyles count="3">
    <cellStyle name="百分比" xfId="1" builtinId="5"/>
    <cellStyle name="常规" xfId="0" builtinId="0"/>
    <cellStyle name="常规 2" xfId="2" xr:uid="{C0F63432-D0AF-478F-A76D-CE852A217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FE24-F1D6-4B57-B156-D480581845D5}">
  <dimension ref="A1:N94"/>
  <sheetViews>
    <sheetView tabSelected="1" topLeftCell="A2" zoomScaleNormal="100" workbookViewId="0">
      <selection activeCell="I20" sqref="I20"/>
    </sheetView>
  </sheetViews>
  <sheetFormatPr defaultRowHeight="12"/>
  <cols>
    <col min="1" max="1" width="10.75" style="13" customWidth="1"/>
    <col min="2" max="2" width="16.75" style="12" bestFit="1" customWidth="1"/>
    <col min="3" max="3" width="6.125" style="12" bestFit="1" customWidth="1"/>
    <col min="4" max="4" width="13.375" style="12" customWidth="1"/>
    <col min="5" max="5" width="6.125" style="12" bestFit="1" customWidth="1"/>
    <col min="6" max="6" width="12.5" style="12" customWidth="1"/>
    <col min="7" max="7" width="15" style="12" customWidth="1"/>
    <col min="8" max="8" width="9.625" style="12" customWidth="1"/>
    <col min="9" max="9" width="16.125" style="12" customWidth="1"/>
    <col min="10" max="10" width="31.5" style="5" customWidth="1"/>
    <col min="11" max="11" width="17.25" style="5" customWidth="1"/>
    <col min="12" max="12" width="6" style="5" customWidth="1"/>
    <col min="13" max="13" width="5.625" style="5" customWidth="1"/>
    <col min="14" max="16384" width="9" style="5"/>
  </cols>
  <sheetData>
    <row r="1" spans="1:14" ht="21.9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</row>
    <row r="2" spans="1:14" ht="18" customHeight="1">
      <c r="A2" s="6" t="s">
        <v>1</v>
      </c>
      <c r="B2" s="7" t="s">
        <v>2</v>
      </c>
      <c r="C2" s="8" t="s">
        <v>3</v>
      </c>
      <c r="D2" s="8">
        <v>3668797.19</v>
      </c>
      <c r="E2" s="9" t="s">
        <v>4</v>
      </c>
      <c r="F2" s="8" t="s">
        <v>5</v>
      </c>
      <c r="G2" s="9" t="s">
        <v>6</v>
      </c>
      <c r="H2" s="53" t="s">
        <v>7</v>
      </c>
      <c r="I2" s="10"/>
      <c r="J2" s="4"/>
      <c r="K2" s="4"/>
    </row>
    <row r="3" spans="1:14" ht="18" customHeight="1">
      <c r="A3" s="6" t="s">
        <v>8</v>
      </c>
      <c r="B3" s="11"/>
      <c r="C3" s="8" t="s">
        <v>9</v>
      </c>
      <c r="D3" s="8">
        <v>3359448.53</v>
      </c>
      <c r="H3" s="4"/>
      <c r="I3" s="4"/>
      <c r="J3" s="4"/>
      <c r="K3" s="4"/>
    </row>
    <row r="4" spans="1:14" ht="18" customHeight="1">
      <c r="A4" s="13" t="s">
        <v>10</v>
      </c>
      <c r="H4" s="4"/>
      <c r="I4" s="4"/>
      <c r="J4" s="4"/>
      <c r="K4" s="4"/>
    </row>
    <row r="5" spans="1:14" ht="18" customHeight="1">
      <c r="A5" s="14" t="s">
        <v>11</v>
      </c>
      <c r="B5" s="14" t="s">
        <v>12</v>
      </c>
      <c r="C5" s="14" t="s">
        <v>13</v>
      </c>
      <c r="D5" s="14"/>
      <c r="E5" s="14" t="s">
        <v>14</v>
      </c>
      <c r="F5" s="14"/>
      <c r="G5" s="14" t="s">
        <v>15</v>
      </c>
      <c r="H5" s="15" t="s">
        <v>16</v>
      </c>
      <c r="I5" s="15" t="s">
        <v>16</v>
      </c>
    </row>
    <row r="6" spans="1:14" ht="18" customHeight="1">
      <c r="A6" s="14"/>
      <c r="B6" s="14"/>
      <c r="C6" s="16" t="s">
        <v>17</v>
      </c>
      <c r="D6" s="16" t="s">
        <v>18</v>
      </c>
      <c r="E6" s="16" t="s">
        <v>17</v>
      </c>
      <c r="F6" s="16" t="s">
        <v>18</v>
      </c>
      <c r="G6" s="14"/>
      <c r="H6" s="15" t="s">
        <v>19</v>
      </c>
      <c r="I6" s="15" t="s">
        <v>20</v>
      </c>
    </row>
    <row r="7" spans="1:14" ht="18" customHeight="1">
      <c r="A7" s="17" t="s">
        <v>21</v>
      </c>
      <c r="B7" s="8">
        <f t="shared" ref="B7" si="0">G7/(1+C7+E7)</f>
        <v>935454.54545454541</v>
      </c>
      <c r="C7" s="18">
        <v>0.02</v>
      </c>
      <c r="D7" s="8">
        <f t="shared" ref="D7" si="1">G7/(1+E7+C7)*C7</f>
        <v>18709.090909090908</v>
      </c>
      <c r="E7" s="18">
        <v>0.08</v>
      </c>
      <c r="F7" s="8">
        <f t="shared" ref="F7" si="2">G7/(1+C7+E7)*E7</f>
        <v>74836.363636363632</v>
      </c>
      <c r="G7" s="19">
        <v>1029000</v>
      </c>
      <c r="H7" s="20" t="s">
        <v>22</v>
      </c>
      <c r="I7" s="21">
        <v>1029000</v>
      </c>
    </row>
    <row r="8" spans="1:14" ht="18" customHeight="1">
      <c r="A8" s="17" t="s">
        <v>23</v>
      </c>
      <c r="B8" s="8">
        <f>G8/(1+C8+E8)</f>
        <v>682727.27272727271</v>
      </c>
      <c r="C8" s="18">
        <v>0.02</v>
      </c>
      <c r="D8" s="8">
        <f>G8/(1+E8+C8)*C8</f>
        <v>13654.545454545454</v>
      </c>
      <c r="E8" s="18">
        <v>0.08</v>
      </c>
      <c r="F8" s="8">
        <f>G8/(1+C8+E8)*E8</f>
        <v>54618.181818181816</v>
      </c>
      <c r="G8" s="19">
        <v>751000</v>
      </c>
      <c r="H8" s="20" t="s">
        <v>24</v>
      </c>
      <c r="I8" s="21">
        <v>751000</v>
      </c>
    </row>
    <row r="9" spans="1:14" ht="18" customHeight="1">
      <c r="A9" s="17" t="s">
        <v>25</v>
      </c>
      <c r="B9" s="8">
        <f t="shared" ref="B9:B12" si="3">G9/(1+C9+E9)</f>
        <v>363636.36363636359</v>
      </c>
      <c r="C9" s="18">
        <v>0.02</v>
      </c>
      <c r="D9" s="8">
        <f t="shared" ref="D9:D12" si="4">G9/(1+E9+C9)*C9</f>
        <v>7272.7272727272721</v>
      </c>
      <c r="E9" s="18">
        <v>0.08</v>
      </c>
      <c r="F9" s="8">
        <f t="shared" ref="F9:F12" si="5">G9/(1+C9+E9)*E9</f>
        <v>29090.909090909088</v>
      </c>
      <c r="G9" s="19">
        <v>400000</v>
      </c>
      <c r="H9" s="20" t="s">
        <v>26</v>
      </c>
      <c r="I9" s="21">
        <v>400000</v>
      </c>
    </row>
    <row r="10" spans="1:14" ht="18" customHeight="1">
      <c r="A10" s="17" t="s">
        <v>27</v>
      </c>
      <c r="B10" s="8">
        <f t="shared" si="3"/>
        <v>275229.35779816512</v>
      </c>
      <c r="C10" s="18">
        <v>0.02</v>
      </c>
      <c r="D10" s="8">
        <f t="shared" si="4"/>
        <v>5504.5871559633024</v>
      </c>
      <c r="E10" s="18">
        <v>7.0000000000000007E-2</v>
      </c>
      <c r="F10" s="8">
        <f t="shared" si="5"/>
        <v>19266.055045871559</v>
      </c>
      <c r="G10" s="19">
        <v>300000</v>
      </c>
      <c r="H10" s="20" t="s">
        <v>28</v>
      </c>
      <c r="I10" s="21">
        <v>300000</v>
      </c>
    </row>
    <row r="11" spans="1:14" ht="18" customHeight="1">
      <c r="A11" s="17" t="s">
        <v>29</v>
      </c>
      <c r="B11" s="8">
        <f t="shared" si="3"/>
        <v>806833.51376146788</v>
      </c>
      <c r="C11" s="18">
        <v>0.02</v>
      </c>
      <c r="D11" s="8">
        <f t="shared" si="4"/>
        <v>16136.670275229359</v>
      </c>
      <c r="E11" s="18">
        <v>7.0000000000000007E-2</v>
      </c>
      <c r="F11" s="8">
        <f t="shared" si="5"/>
        <v>56478.34596330276</v>
      </c>
      <c r="G11" s="19">
        <v>879448.53</v>
      </c>
      <c r="H11" s="20">
        <v>44582</v>
      </c>
      <c r="I11" s="21">
        <v>879448.53</v>
      </c>
    </row>
    <row r="12" spans="1:14" ht="18" customHeight="1">
      <c r="A12" s="17"/>
      <c r="B12" s="8">
        <f t="shared" si="3"/>
        <v>0</v>
      </c>
      <c r="C12" s="18"/>
      <c r="D12" s="8">
        <f t="shared" si="4"/>
        <v>0</v>
      </c>
      <c r="E12" s="18">
        <v>0.08</v>
      </c>
      <c r="F12" s="8">
        <f t="shared" si="5"/>
        <v>0</v>
      </c>
      <c r="G12" s="19"/>
      <c r="H12" s="17"/>
      <c r="I12" s="8"/>
    </row>
    <row r="13" spans="1:14" ht="18" customHeight="1">
      <c r="A13" s="22" t="s">
        <v>30</v>
      </c>
      <c r="B13" s="23">
        <f>SUM(B7:B12)</f>
        <v>3063881.0533778146</v>
      </c>
      <c r="C13" s="24"/>
      <c r="D13" s="24">
        <f>SUM(D7:D12)</f>
        <v>61277.621067556291</v>
      </c>
      <c r="E13" s="24"/>
      <c r="F13" s="25">
        <f>SUM(F7:F12)</f>
        <v>234289.85555462886</v>
      </c>
      <c r="G13" s="24">
        <f>SUM(G7:G12)</f>
        <v>3359448.5300000003</v>
      </c>
      <c r="H13" s="26"/>
      <c r="I13" s="24">
        <f>SUM(I7:I12)</f>
        <v>3359448.5300000003</v>
      </c>
      <c r="J13" s="12"/>
      <c r="K13" s="27"/>
    </row>
    <row r="14" spans="1:14" ht="18" customHeight="1">
      <c r="A14" s="13" t="s">
        <v>31</v>
      </c>
      <c r="B14" s="5"/>
      <c r="J14" s="28" t="s">
        <v>32</v>
      </c>
      <c r="K14" s="15" t="s">
        <v>33</v>
      </c>
      <c r="L14" s="15" t="s">
        <v>34</v>
      </c>
      <c r="M14" s="15" t="s">
        <v>35</v>
      </c>
      <c r="N14" s="15" t="s">
        <v>36</v>
      </c>
    </row>
    <row r="15" spans="1:14" s="33" customFormat="1" ht="18" customHeight="1">
      <c r="A15" s="29" t="s">
        <v>37</v>
      </c>
      <c r="B15" s="16" t="s">
        <v>38</v>
      </c>
      <c r="C15" s="16" t="s">
        <v>39</v>
      </c>
      <c r="D15" s="16" t="s">
        <v>40</v>
      </c>
      <c r="E15" s="16" t="s">
        <v>17</v>
      </c>
      <c r="F15" s="16" t="s">
        <v>41</v>
      </c>
      <c r="G15" s="16" t="s">
        <v>15</v>
      </c>
      <c r="H15" s="16" t="s">
        <v>42</v>
      </c>
      <c r="I15" s="16" t="s">
        <v>108</v>
      </c>
      <c r="J15" s="30"/>
      <c r="K15" s="31"/>
      <c r="L15" s="32"/>
      <c r="M15" s="32"/>
      <c r="N15" s="31"/>
    </row>
    <row r="16" spans="1:14" s="33" customFormat="1" ht="18" customHeight="1">
      <c r="A16" s="7" t="s">
        <v>21</v>
      </c>
      <c r="B16" s="34">
        <f>ROUND(G16/(1+E16),2)</f>
        <v>126724.14</v>
      </c>
      <c r="C16" s="35">
        <v>2</v>
      </c>
      <c r="D16" s="32" t="s">
        <v>43</v>
      </c>
      <c r="E16" s="36">
        <v>0.16</v>
      </c>
      <c r="F16" s="34">
        <f>ROUND(G16/(1+E16)*E16,2)</f>
        <v>20275.86</v>
      </c>
      <c r="G16" s="19">
        <v>147000</v>
      </c>
      <c r="H16" s="17"/>
      <c r="I16" s="8"/>
      <c r="J16" s="30" t="s">
        <v>44</v>
      </c>
      <c r="K16" s="17" t="s">
        <v>98</v>
      </c>
      <c r="L16" s="32"/>
      <c r="M16" s="32"/>
      <c r="N16" s="31"/>
    </row>
    <row r="17" spans="1:14" s="33" customFormat="1" ht="18" customHeight="1">
      <c r="A17" s="7" t="s">
        <v>21</v>
      </c>
      <c r="B17" s="34">
        <f t="shared" ref="B17:B61" si="6">ROUND(G17/(1+E17),2)</f>
        <v>34729.25</v>
      </c>
      <c r="C17" s="35">
        <v>1</v>
      </c>
      <c r="D17" s="32" t="s">
        <v>43</v>
      </c>
      <c r="E17" s="36">
        <v>0.06</v>
      </c>
      <c r="F17" s="34">
        <f t="shared" ref="F17:F61" si="7">ROUND(G17/(1+E17)*E17,2)</f>
        <v>2083.75</v>
      </c>
      <c r="G17" s="19">
        <v>36813</v>
      </c>
      <c r="H17" s="37"/>
      <c r="I17" s="8"/>
      <c r="J17" s="30"/>
      <c r="K17" s="37" t="s">
        <v>45</v>
      </c>
      <c r="L17" s="32"/>
      <c r="M17" s="32"/>
      <c r="N17" s="31"/>
    </row>
    <row r="18" spans="1:14" s="33" customFormat="1" ht="18" customHeight="1">
      <c r="A18" s="7" t="s">
        <v>21</v>
      </c>
      <c r="B18" s="34">
        <f t="shared" si="6"/>
        <v>20170.689999999999</v>
      </c>
      <c r="C18" s="35">
        <v>2</v>
      </c>
      <c r="D18" s="32" t="s">
        <v>43</v>
      </c>
      <c r="E18" s="36">
        <v>0.16</v>
      </c>
      <c r="F18" s="34">
        <f t="shared" si="7"/>
        <v>3227.31</v>
      </c>
      <c r="G18" s="19">
        <f>11699*2</f>
        <v>23398</v>
      </c>
      <c r="H18" s="17"/>
      <c r="I18" s="8"/>
      <c r="J18" s="30" t="s">
        <v>46</v>
      </c>
      <c r="K18" s="17" t="s">
        <v>99</v>
      </c>
      <c r="L18" s="32"/>
      <c r="M18" s="32"/>
      <c r="N18" s="31"/>
    </row>
    <row r="19" spans="1:14" s="33" customFormat="1" ht="18" customHeight="1">
      <c r="A19" s="7" t="s">
        <v>21</v>
      </c>
      <c r="B19" s="34">
        <f t="shared" si="6"/>
        <v>85560.34</v>
      </c>
      <c r="C19" s="35">
        <v>1</v>
      </c>
      <c r="D19" s="32" t="s">
        <v>43</v>
      </c>
      <c r="E19" s="36">
        <v>0.16</v>
      </c>
      <c r="F19" s="34">
        <f t="shared" si="7"/>
        <v>13689.66</v>
      </c>
      <c r="G19" s="19">
        <v>99250</v>
      </c>
      <c r="H19" s="17"/>
      <c r="I19" s="8"/>
      <c r="J19" s="30" t="s">
        <v>47</v>
      </c>
      <c r="K19" s="17" t="s">
        <v>100</v>
      </c>
      <c r="L19" s="32"/>
      <c r="M19" s="32"/>
      <c r="N19" s="31"/>
    </row>
    <row r="20" spans="1:14" s="33" customFormat="1" ht="18" customHeight="1">
      <c r="A20" s="7" t="s">
        <v>21</v>
      </c>
      <c r="B20" s="34">
        <f t="shared" si="6"/>
        <v>155172.41</v>
      </c>
      <c r="C20" s="35">
        <v>2</v>
      </c>
      <c r="D20" s="32" t="s">
        <v>43</v>
      </c>
      <c r="E20" s="36">
        <v>0.16</v>
      </c>
      <c r="F20" s="34">
        <f t="shared" si="7"/>
        <v>24827.59</v>
      </c>
      <c r="G20" s="19">
        <v>180000</v>
      </c>
      <c r="H20" s="17"/>
      <c r="I20" s="8"/>
      <c r="J20" s="30" t="s">
        <v>48</v>
      </c>
      <c r="K20" s="17" t="s">
        <v>101</v>
      </c>
      <c r="L20" s="32"/>
      <c r="M20" s="32"/>
      <c r="N20" s="31"/>
    </row>
    <row r="21" spans="1:14" s="33" customFormat="1" ht="18" customHeight="1">
      <c r="A21" s="7" t="s">
        <v>21</v>
      </c>
      <c r="B21" s="34">
        <f t="shared" si="6"/>
        <v>61709.4</v>
      </c>
      <c r="C21" s="35"/>
      <c r="D21" s="32" t="s">
        <v>43</v>
      </c>
      <c r="E21" s="36">
        <v>0.17</v>
      </c>
      <c r="F21" s="34">
        <f t="shared" si="7"/>
        <v>10490.6</v>
      </c>
      <c r="G21" s="19">
        <v>72200</v>
      </c>
      <c r="H21" s="17"/>
      <c r="I21" s="8"/>
      <c r="J21" s="30" t="s">
        <v>49</v>
      </c>
      <c r="K21" s="17" t="s">
        <v>100</v>
      </c>
      <c r="L21" s="32"/>
      <c r="M21" s="32"/>
      <c r="N21" s="31"/>
    </row>
    <row r="22" spans="1:14" s="33" customFormat="1" ht="18" customHeight="1">
      <c r="A22" s="7" t="s">
        <v>21</v>
      </c>
      <c r="B22" s="34">
        <f t="shared" si="6"/>
        <v>1441.44</v>
      </c>
      <c r="C22" s="35"/>
      <c r="D22" s="32" t="s">
        <v>43</v>
      </c>
      <c r="E22" s="36">
        <v>0.11</v>
      </c>
      <c r="F22" s="34">
        <f t="shared" si="7"/>
        <v>158.56</v>
      </c>
      <c r="G22" s="19">
        <v>1600</v>
      </c>
      <c r="H22" s="17"/>
      <c r="I22" s="8"/>
      <c r="J22" s="30" t="s">
        <v>50</v>
      </c>
      <c r="K22" s="17"/>
      <c r="L22" s="32"/>
      <c r="M22" s="32"/>
      <c r="N22" s="31"/>
    </row>
    <row r="23" spans="1:14" s="33" customFormat="1" ht="18" customHeight="1">
      <c r="A23" s="7" t="s">
        <v>21</v>
      </c>
      <c r="B23" s="34">
        <f t="shared" si="6"/>
        <v>222151.96</v>
      </c>
      <c r="C23" s="35">
        <v>3</v>
      </c>
      <c r="D23" s="32" t="s">
        <v>51</v>
      </c>
      <c r="E23" s="36">
        <v>0</v>
      </c>
      <c r="F23" s="34">
        <f t="shared" si="7"/>
        <v>0</v>
      </c>
      <c r="G23" s="19">
        <f>117264.4+104887.56</f>
        <v>222151.96</v>
      </c>
      <c r="H23" s="17"/>
      <c r="I23" s="8"/>
      <c r="J23" s="30" t="s">
        <v>52</v>
      </c>
      <c r="K23" s="17"/>
      <c r="L23" s="32"/>
      <c r="M23" s="32"/>
      <c r="N23" s="31"/>
    </row>
    <row r="24" spans="1:14" s="33" customFormat="1" ht="18" customHeight="1">
      <c r="A24" s="7" t="s">
        <v>21</v>
      </c>
      <c r="B24" s="34">
        <f t="shared" si="6"/>
        <v>200000</v>
      </c>
      <c r="C24" s="35"/>
      <c r="D24" s="32" t="s">
        <v>51</v>
      </c>
      <c r="E24" s="36"/>
      <c r="F24" s="34">
        <f t="shared" si="7"/>
        <v>0</v>
      </c>
      <c r="G24" s="19">
        <v>200000</v>
      </c>
      <c r="H24" s="17"/>
      <c r="I24" s="8"/>
      <c r="J24" s="30" t="s">
        <v>53</v>
      </c>
      <c r="K24" s="17"/>
      <c r="L24" s="32"/>
      <c r="M24" s="32"/>
      <c r="N24" s="31"/>
    </row>
    <row r="25" spans="1:14" s="33" customFormat="1" ht="18" customHeight="1">
      <c r="A25" s="7" t="s">
        <v>21</v>
      </c>
      <c r="B25" s="34">
        <f t="shared" si="6"/>
        <v>26100</v>
      </c>
      <c r="C25" s="35"/>
      <c r="D25" s="32" t="s">
        <v>51</v>
      </c>
      <c r="E25" s="36"/>
      <c r="F25" s="34">
        <f t="shared" si="7"/>
        <v>0</v>
      </c>
      <c r="G25" s="19">
        <f>14400+11700</f>
        <v>26100</v>
      </c>
      <c r="H25" s="17"/>
      <c r="I25" s="8"/>
      <c r="J25" s="30" t="s">
        <v>54</v>
      </c>
      <c r="K25" s="17"/>
      <c r="L25" s="32"/>
      <c r="M25" s="32"/>
      <c r="N25" s="31"/>
    </row>
    <row r="26" spans="1:14" s="33" customFormat="1" ht="18" customHeight="1">
      <c r="A26" s="7" t="s">
        <v>21</v>
      </c>
      <c r="B26" s="34">
        <f t="shared" si="6"/>
        <v>2000</v>
      </c>
      <c r="C26" s="35"/>
      <c r="D26" s="32" t="s">
        <v>51</v>
      </c>
      <c r="E26" s="36"/>
      <c r="F26" s="34">
        <f t="shared" si="7"/>
        <v>0</v>
      </c>
      <c r="G26" s="19">
        <v>2000</v>
      </c>
      <c r="H26" s="17"/>
      <c r="I26" s="8"/>
      <c r="J26" s="30" t="s">
        <v>55</v>
      </c>
      <c r="K26" s="17"/>
      <c r="L26" s="32"/>
      <c r="M26" s="32"/>
      <c r="N26" s="31"/>
    </row>
    <row r="27" spans="1:14" s="33" customFormat="1" ht="18" customHeight="1">
      <c r="A27" s="7" t="s">
        <v>56</v>
      </c>
      <c r="B27" s="34">
        <f t="shared" si="6"/>
        <v>316801.71999999997</v>
      </c>
      <c r="C27" s="35"/>
      <c r="D27" s="32" t="s">
        <v>43</v>
      </c>
      <c r="E27" s="36">
        <v>0.16</v>
      </c>
      <c r="F27" s="34">
        <f t="shared" si="7"/>
        <v>50688.28</v>
      </c>
      <c r="G27" s="19">
        <v>367490</v>
      </c>
      <c r="H27" s="17"/>
      <c r="I27" s="8"/>
      <c r="J27" s="30" t="s">
        <v>49</v>
      </c>
      <c r="K27" s="17" t="s">
        <v>100</v>
      </c>
      <c r="L27" s="32"/>
      <c r="M27" s="32"/>
      <c r="N27" s="31"/>
    </row>
    <row r="28" spans="1:14" s="33" customFormat="1" ht="18" customHeight="1">
      <c r="A28" s="7" t="s">
        <v>56</v>
      </c>
      <c r="B28" s="34">
        <f t="shared" si="6"/>
        <v>27586.21</v>
      </c>
      <c r="C28" s="35"/>
      <c r="D28" s="32" t="s">
        <v>43</v>
      </c>
      <c r="E28" s="36">
        <v>0.16</v>
      </c>
      <c r="F28" s="34">
        <f t="shared" si="7"/>
        <v>4413.79</v>
      </c>
      <c r="G28" s="19">
        <v>32000</v>
      </c>
      <c r="H28" s="17"/>
      <c r="I28" s="8"/>
      <c r="J28" s="30" t="s">
        <v>57</v>
      </c>
      <c r="K28" s="17" t="s">
        <v>99</v>
      </c>
      <c r="L28" s="32"/>
      <c r="M28" s="32"/>
      <c r="N28" s="31"/>
    </row>
    <row r="29" spans="1:14" s="33" customFormat="1" ht="18" customHeight="1">
      <c r="A29" s="7" t="s">
        <v>56</v>
      </c>
      <c r="B29" s="34">
        <f t="shared" si="6"/>
        <v>200000</v>
      </c>
      <c r="C29" s="35"/>
      <c r="D29" s="32" t="s">
        <v>51</v>
      </c>
      <c r="E29" s="36"/>
      <c r="F29" s="34">
        <f t="shared" si="7"/>
        <v>0</v>
      </c>
      <c r="G29" s="19">
        <v>200000</v>
      </c>
      <c r="H29" s="17"/>
      <c r="I29" s="8"/>
      <c r="J29" s="30" t="s">
        <v>103</v>
      </c>
      <c r="K29" s="17"/>
      <c r="L29" s="32"/>
      <c r="M29" s="32"/>
      <c r="N29" s="31"/>
    </row>
    <row r="30" spans="1:14" s="33" customFormat="1" ht="18" customHeight="1">
      <c r="A30" s="7" t="s">
        <v>56</v>
      </c>
      <c r="B30" s="34">
        <f t="shared" si="6"/>
        <v>64430</v>
      </c>
      <c r="C30" s="35"/>
      <c r="D30" s="32" t="s">
        <v>51</v>
      </c>
      <c r="E30" s="36"/>
      <c r="F30" s="34">
        <f t="shared" si="7"/>
        <v>0</v>
      </c>
      <c r="G30" s="19">
        <f>12730+15750+35950</f>
        <v>64430</v>
      </c>
      <c r="H30" s="17"/>
      <c r="I30" s="8"/>
      <c r="J30" s="30" t="s">
        <v>104</v>
      </c>
      <c r="K30" s="17"/>
      <c r="L30" s="32"/>
      <c r="M30" s="32"/>
      <c r="N30" s="31"/>
    </row>
    <row r="31" spans="1:14" s="33" customFormat="1" ht="18" customHeight="1">
      <c r="A31" s="7" t="s">
        <v>56</v>
      </c>
      <c r="B31" s="34">
        <f t="shared" si="6"/>
        <v>73940</v>
      </c>
      <c r="C31" s="35"/>
      <c r="D31" s="32" t="s">
        <v>51</v>
      </c>
      <c r="E31" s="36"/>
      <c r="F31" s="34">
        <f t="shared" si="7"/>
        <v>0</v>
      </c>
      <c r="G31" s="19">
        <f>9040+9000+9000+11000+11400+12500+12000</f>
        <v>73940</v>
      </c>
      <c r="H31" s="17"/>
      <c r="I31" s="8"/>
      <c r="J31" s="30" t="s">
        <v>105</v>
      </c>
      <c r="K31" s="17"/>
      <c r="L31" s="32"/>
      <c r="M31" s="32"/>
      <c r="N31" s="31"/>
    </row>
    <row r="32" spans="1:14" s="33" customFormat="1" ht="18" customHeight="1">
      <c r="A32" s="7" t="s">
        <v>58</v>
      </c>
      <c r="B32" s="34">
        <f t="shared" si="6"/>
        <v>91810.34</v>
      </c>
      <c r="C32" s="35">
        <v>1</v>
      </c>
      <c r="D32" s="32" t="s">
        <v>43</v>
      </c>
      <c r="E32" s="36">
        <v>0.16</v>
      </c>
      <c r="F32" s="34">
        <f t="shared" si="7"/>
        <v>14689.66</v>
      </c>
      <c r="G32" s="19">
        <f>106500</f>
        <v>106500</v>
      </c>
      <c r="H32" s="17"/>
      <c r="I32" s="8"/>
      <c r="J32" s="30" t="s">
        <v>59</v>
      </c>
      <c r="K32" s="17" t="s">
        <v>102</v>
      </c>
      <c r="L32" s="32"/>
      <c r="M32" s="32"/>
      <c r="N32" s="31"/>
    </row>
    <row r="33" spans="1:14" s="33" customFormat="1" ht="18" customHeight="1">
      <c r="A33" s="7" t="s">
        <v>58</v>
      </c>
      <c r="B33" s="34">
        <f t="shared" si="6"/>
        <v>11949.13</v>
      </c>
      <c r="C33" s="35">
        <v>4</v>
      </c>
      <c r="D33" s="32" t="s">
        <v>43</v>
      </c>
      <c r="E33" s="36">
        <v>0.16</v>
      </c>
      <c r="F33" s="34">
        <f t="shared" si="7"/>
        <v>1911.86</v>
      </c>
      <c r="G33" s="19">
        <f>589.99+263+248+12760</f>
        <v>13860.99</v>
      </c>
      <c r="H33" s="17"/>
      <c r="I33" s="8"/>
      <c r="J33" s="30" t="s">
        <v>60</v>
      </c>
      <c r="K33" s="17" t="s">
        <v>106</v>
      </c>
      <c r="L33" s="32"/>
      <c r="M33" s="32"/>
      <c r="N33" s="31"/>
    </row>
    <row r="34" spans="1:14" s="33" customFormat="1" ht="18" customHeight="1">
      <c r="A34" s="7" t="s">
        <v>58</v>
      </c>
      <c r="B34" s="34">
        <f t="shared" si="6"/>
        <v>66918.100000000006</v>
      </c>
      <c r="C34" s="35">
        <v>2</v>
      </c>
      <c r="D34" s="32" t="s">
        <v>43</v>
      </c>
      <c r="E34" s="36">
        <v>0.16</v>
      </c>
      <c r="F34" s="34">
        <f t="shared" si="7"/>
        <v>10706.9</v>
      </c>
      <c r="G34" s="19">
        <f>24150+53475</f>
        <v>77625</v>
      </c>
      <c r="H34" s="17"/>
      <c r="I34" s="8"/>
      <c r="J34" s="30" t="s">
        <v>61</v>
      </c>
      <c r="K34" s="17" t="s">
        <v>100</v>
      </c>
      <c r="L34" s="32"/>
      <c r="M34" s="32"/>
      <c r="N34" s="31"/>
    </row>
    <row r="35" spans="1:14" s="33" customFormat="1" ht="18" customHeight="1">
      <c r="A35" s="7" t="s">
        <v>58</v>
      </c>
      <c r="B35" s="34">
        <f t="shared" si="6"/>
        <v>4310.34</v>
      </c>
      <c r="C35" s="35">
        <v>1</v>
      </c>
      <c r="D35" s="32" t="s">
        <v>43</v>
      </c>
      <c r="E35" s="36">
        <v>0.16</v>
      </c>
      <c r="F35" s="34">
        <f t="shared" si="7"/>
        <v>689.66</v>
      </c>
      <c r="G35" s="19">
        <v>5000</v>
      </c>
      <c r="H35" s="17"/>
      <c r="I35" s="8"/>
      <c r="J35" s="30" t="s">
        <v>62</v>
      </c>
      <c r="K35" s="17"/>
      <c r="L35" s="32"/>
      <c r="M35" s="32"/>
      <c r="N35" s="31"/>
    </row>
    <row r="36" spans="1:14" s="33" customFormat="1" ht="18" customHeight="1">
      <c r="A36" s="7" t="s">
        <v>58</v>
      </c>
      <c r="B36" s="34">
        <f t="shared" si="6"/>
        <v>415.08</v>
      </c>
      <c r="C36" s="35">
        <v>1</v>
      </c>
      <c r="D36" s="32" t="s">
        <v>43</v>
      </c>
      <c r="E36" s="36">
        <v>0.17</v>
      </c>
      <c r="F36" s="34">
        <f t="shared" si="7"/>
        <v>70.56</v>
      </c>
      <c r="G36" s="19">
        <v>485.64</v>
      </c>
      <c r="H36" s="17"/>
      <c r="I36" s="8"/>
      <c r="J36" s="30" t="s">
        <v>63</v>
      </c>
      <c r="K36" s="17" t="s">
        <v>107</v>
      </c>
      <c r="L36" s="32"/>
      <c r="M36" s="32"/>
      <c r="N36" s="31"/>
    </row>
    <row r="37" spans="1:14" s="33" customFormat="1" ht="18" customHeight="1">
      <c r="A37" s="7" t="s">
        <v>58</v>
      </c>
      <c r="B37" s="34">
        <f t="shared" si="6"/>
        <v>139373.5</v>
      </c>
      <c r="C37" s="35">
        <v>1</v>
      </c>
      <c r="D37" s="32"/>
      <c r="E37" s="36">
        <v>0</v>
      </c>
      <c r="F37" s="34">
        <f t="shared" si="7"/>
        <v>0</v>
      </c>
      <c r="G37" s="19">
        <v>139373.5</v>
      </c>
      <c r="H37" s="17"/>
      <c r="I37" s="8"/>
      <c r="J37" s="30" t="s">
        <v>64</v>
      </c>
      <c r="K37" s="17"/>
      <c r="L37" s="32"/>
      <c r="M37" s="32"/>
      <c r="N37" s="31"/>
    </row>
    <row r="38" spans="1:14" s="33" customFormat="1" ht="18" customHeight="1">
      <c r="A38" s="7" t="s">
        <v>58</v>
      </c>
      <c r="B38" s="34">
        <f t="shared" si="6"/>
        <v>50350</v>
      </c>
      <c r="C38" s="35">
        <v>6</v>
      </c>
      <c r="D38" s="32"/>
      <c r="E38" s="36">
        <v>0</v>
      </c>
      <c r="F38" s="34">
        <f t="shared" si="7"/>
        <v>0</v>
      </c>
      <c r="G38" s="19">
        <f>8000+8000+8000+8000+8750+9600</f>
        <v>50350</v>
      </c>
      <c r="H38" s="17"/>
      <c r="I38" s="8"/>
      <c r="J38" s="30" t="s">
        <v>65</v>
      </c>
      <c r="K38" s="17"/>
      <c r="L38" s="32"/>
      <c r="M38" s="32"/>
      <c r="N38" s="31"/>
    </row>
    <row r="39" spans="1:14" s="33" customFormat="1" ht="18" customHeight="1">
      <c r="A39" s="7" t="s">
        <v>66</v>
      </c>
      <c r="B39" s="34">
        <f t="shared" si="6"/>
        <v>3011</v>
      </c>
      <c r="C39" s="35">
        <v>1</v>
      </c>
      <c r="D39" s="32" t="s">
        <v>51</v>
      </c>
      <c r="E39" s="36">
        <v>0</v>
      </c>
      <c r="F39" s="34">
        <f t="shared" si="7"/>
        <v>0</v>
      </c>
      <c r="G39" s="19">
        <v>3011</v>
      </c>
      <c r="H39" s="38" t="s">
        <v>22</v>
      </c>
      <c r="I39" s="39">
        <v>1007550.02</v>
      </c>
      <c r="J39" s="30" t="s">
        <v>67</v>
      </c>
      <c r="K39" s="17" t="s">
        <v>68</v>
      </c>
      <c r="L39" s="32"/>
      <c r="M39" s="32"/>
      <c r="N39" s="31"/>
    </row>
    <row r="40" spans="1:14" ht="18" customHeight="1">
      <c r="A40" s="7" t="s">
        <v>69</v>
      </c>
      <c r="B40" s="34">
        <f t="shared" si="6"/>
        <v>4074</v>
      </c>
      <c r="C40" s="35">
        <v>28</v>
      </c>
      <c r="D40" s="32" t="s">
        <v>51</v>
      </c>
      <c r="E40" s="36">
        <v>0</v>
      </c>
      <c r="F40" s="34">
        <f t="shared" si="7"/>
        <v>0</v>
      </c>
      <c r="G40" s="19">
        <f>6466-2392</f>
        <v>4074</v>
      </c>
      <c r="H40" s="38" t="s">
        <v>24</v>
      </c>
      <c r="I40" s="39">
        <v>735345.06</v>
      </c>
      <c r="J40" s="30" t="s">
        <v>67</v>
      </c>
      <c r="K40" s="17" t="s">
        <v>70</v>
      </c>
      <c r="L40" s="40"/>
      <c r="M40" s="40"/>
      <c r="N40" s="26"/>
    </row>
    <row r="41" spans="1:14" ht="18" customHeight="1">
      <c r="A41" s="7" t="s">
        <v>69</v>
      </c>
      <c r="B41" s="34">
        <f t="shared" si="6"/>
        <v>2322.33</v>
      </c>
      <c r="C41" s="35">
        <v>1</v>
      </c>
      <c r="D41" s="32" t="s">
        <v>43</v>
      </c>
      <c r="E41" s="36">
        <v>0.03</v>
      </c>
      <c r="F41" s="34">
        <f t="shared" si="7"/>
        <v>69.67</v>
      </c>
      <c r="G41" s="19">
        <v>2392</v>
      </c>
      <c r="H41" s="38" t="s">
        <v>26</v>
      </c>
      <c r="I41" s="39">
        <v>391661.81</v>
      </c>
      <c r="J41" s="30" t="s">
        <v>67</v>
      </c>
      <c r="K41" s="17" t="s">
        <v>71</v>
      </c>
      <c r="L41" s="40"/>
      <c r="M41" s="40"/>
      <c r="N41" s="26"/>
    </row>
    <row r="42" spans="1:14" ht="18" customHeight="1">
      <c r="A42" s="7" t="s">
        <v>72</v>
      </c>
      <c r="B42" s="34">
        <f t="shared" si="6"/>
        <v>1484</v>
      </c>
      <c r="C42" s="35">
        <v>16</v>
      </c>
      <c r="D42" s="32" t="s">
        <v>51</v>
      </c>
      <c r="E42" s="36">
        <v>0</v>
      </c>
      <c r="F42" s="34">
        <f t="shared" si="7"/>
        <v>0</v>
      </c>
      <c r="G42" s="19">
        <v>1484</v>
      </c>
      <c r="H42" s="38" t="s">
        <v>28</v>
      </c>
      <c r="I42" s="39">
        <v>293689.81</v>
      </c>
      <c r="J42" s="30" t="s">
        <v>67</v>
      </c>
      <c r="K42" s="17" t="s">
        <v>68</v>
      </c>
      <c r="L42" s="40"/>
      <c r="M42" s="40"/>
      <c r="N42" s="26"/>
    </row>
    <row r="43" spans="1:14" ht="18" customHeight="1">
      <c r="A43" s="7" t="s">
        <v>73</v>
      </c>
      <c r="B43" s="34">
        <f t="shared" si="6"/>
        <v>1058.0899999999999</v>
      </c>
      <c r="C43" s="35">
        <v>40</v>
      </c>
      <c r="D43" s="32" t="s">
        <v>51</v>
      </c>
      <c r="E43" s="36">
        <v>0</v>
      </c>
      <c r="F43" s="34">
        <f t="shared" si="7"/>
        <v>0</v>
      </c>
      <c r="G43" s="19">
        <f>649.48+408.61</f>
        <v>1058.0900000000001</v>
      </c>
      <c r="H43" s="17"/>
      <c r="I43" s="8"/>
      <c r="J43" s="41"/>
      <c r="K43" s="17" t="s">
        <v>74</v>
      </c>
      <c r="L43" s="40"/>
      <c r="M43" s="40"/>
      <c r="N43" s="26"/>
    </row>
    <row r="44" spans="1:14" ht="18" customHeight="1">
      <c r="A44" s="7" t="s">
        <v>75</v>
      </c>
      <c r="B44" s="34">
        <f t="shared" si="6"/>
        <v>27610.62</v>
      </c>
      <c r="C44" s="35">
        <v>1</v>
      </c>
      <c r="D44" s="32" t="s">
        <v>43</v>
      </c>
      <c r="E44" s="36">
        <v>0.13</v>
      </c>
      <c r="F44" s="34">
        <f t="shared" si="7"/>
        <v>3589.38</v>
      </c>
      <c r="G44" s="19">
        <v>31200</v>
      </c>
      <c r="H44" s="17"/>
      <c r="I44" s="8"/>
      <c r="J44" s="41" t="s">
        <v>76</v>
      </c>
      <c r="K44" s="17" t="s">
        <v>100</v>
      </c>
      <c r="L44" s="40"/>
      <c r="M44" s="40"/>
      <c r="N44" s="26"/>
    </row>
    <row r="45" spans="1:14" ht="18" customHeight="1">
      <c r="A45" s="7" t="s">
        <v>75</v>
      </c>
      <c r="B45" s="34">
        <f t="shared" si="6"/>
        <v>92900.86</v>
      </c>
      <c r="C45" s="35">
        <v>1</v>
      </c>
      <c r="D45" s="32" t="s">
        <v>43</v>
      </c>
      <c r="E45" s="36">
        <v>0.16</v>
      </c>
      <c r="F45" s="34">
        <f t="shared" si="7"/>
        <v>14864.14</v>
      </c>
      <c r="G45" s="19">
        <v>107765</v>
      </c>
      <c r="H45" s="17"/>
      <c r="I45" s="8"/>
      <c r="J45" s="41" t="s">
        <v>47</v>
      </c>
      <c r="K45" s="17" t="s">
        <v>100</v>
      </c>
      <c r="L45" s="40"/>
      <c r="M45" s="40"/>
      <c r="N45" s="26"/>
    </row>
    <row r="46" spans="1:14" ht="18" customHeight="1">
      <c r="A46" s="7" t="s">
        <v>75</v>
      </c>
      <c r="B46" s="34">
        <f t="shared" si="6"/>
        <v>3432.76</v>
      </c>
      <c r="C46" s="35">
        <v>2</v>
      </c>
      <c r="D46" s="32" t="s">
        <v>43</v>
      </c>
      <c r="E46" s="36">
        <v>0.16</v>
      </c>
      <c r="F46" s="34">
        <f t="shared" si="7"/>
        <v>549.24</v>
      </c>
      <c r="G46" s="19">
        <f>2848+1134</f>
        <v>3982</v>
      </c>
      <c r="H46" s="17"/>
      <c r="I46" s="8"/>
      <c r="J46" s="41"/>
      <c r="K46" s="17" t="s">
        <v>77</v>
      </c>
      <c r="L46" s="40"/>
      <c r="M46" s="40"/>
      <c r="N46" s="26"/>
    </row>
    <row r="47" spans="1:14" ht="18" customHeight="1">
      <c r="A47" s="7" t="s">
        <v>75</v>
      </c>
      <c r="B47" s="34">
        <f t="shared" si="6"/>
        <v>6194.69</v>
      </c>
      <c r="C47" s="35">
        <v>1</v>
      </c>
      <c r="D47" s="32" t="s">
        <v>43</v>
      </c>
      <c r="E47" s="36">
        <v>0.13</v>
      </c>
      <c r="F47" s="34">
        <f t="shared" si="7"/>
        <v>805.31</v>
      </c>
      <c r="G47" s="19">
        <v>7000</v>
      </c>
      <c r="H47" s="17"/>
      <c r="I47" s="8"/>
      <c r="J47" s="41" t="s">
        <v>78</v>
      </c>
      <c r="K47" s="17" t="s">
        <v>79</v>
      </c>
      <c r="L47" s="40"/>
      <c r="M47" s="40"/>
      <c r="N47" s="26"/>
    </row>
    <row r="48" spans="1:14" ht="18" customHeight="1">
      <c r="A48" s="7"/>
      <c r="B48" s="34">
        <f t="shared" si="6"/>
        <v>131315</v>
      </c>
      <c r="C48" s="35"/>
      <c r="D48" s="32"/>
      <c r="E48" s="36">
        <v>0</v>
      </c>
      <c r="F48" s="34">
        <f t="shared" si="7"/>
        <v>0</v>
      </c>
      <c r="G48" s="19">
        <v>131315</v>
      </c>
      <c r="H48" s="8"/>
      <c r="I48" s="8"/>
      <c r="J48" s="41"/>
      <c r="K48" s="42" t="s">
        <v>80</v>
      </c>
      <c r="L48" s="40"/>
      <c r="M48" s="40"/>
      <c r="N48" s="26"/>
    </row>
    <row r="49" spans="1:14" ht="18" customHeight="1">
      <c r="A49" s="7" t="s">
        <v>81</v>
      </c>
      <c r="B49" s="34">
        <f t="shared" si="6"/>
        <v>1862</v>
      </c>
      <c r="C49" s="35">
        <v>12</v>
      </c>
      <c r="D49" s="32" t="s">
        <v>51</v>
      </c>
      <c r="E49" s="36">
        <v>0</v>
      </c>
      <c r="F49" s="34">
        <f t="shared" si="7"/>
        <v>0</v>
      </c>
      <c r="G49" s="19">
        <v>1862</v>
      </c>
      <c r="H49" s="8"/>
      <c r="I49" s="8"/>
      <c r="J49" s="41"/>
      <c r="K49" s="42" t="s">
        <v>68</v>
      </c>
      <c r="L49" s="40"/>
      <c r="M49" s="40"/>
      <c r="N49" s="26"/>
    </row>
    <row r="50" spans="1:14" ht="18" customHeight="1">
      <c r="A50" s="7" t="s">
        <v>81</v>
      </c>
      <c r="B50" s="34">
        <f t="shared" si="6"/>
        <v>2675</v>
      </c>
      <c r="C50" s="35">
        <v>15</v>
      </c>
      <c r="D50" s="32"/>
      <c r="E50" s="36">
        <v>0</v>
      </c>
      <c r="F50" s="34">
        <f t="shared" si="7"/>
        <v>0</v>
      </c>
      <c r="G50" s="19">
        <v>2675</v>
      </c>
      <c r="H50" s="8"/>
      <c r="I50" s="8"/>
      <c r="J50" s="41"/>
      <c r="K50" s="42" t="s">
        <v>82</v>
      </c>
      <c r="L50" s="40"/>
      <c r="M50" s="40"/>
      <c r="N50" s="26"/>
    </row>
    <row r="51" spans="1:14" ht="18" customHeight="1">
      <c r="A51" s="7" t="s">
        <v>81</v>
      </c>
      <c r="B51" s="34">
        <f t="shared" si="6"/>
        <v>134.94999999999999</v>
      </c>
      <c r="C51" s="35">
        <v>1</v>
      </c>
      <c r="D51" s="32"/>
      <c r="E51" s="36">
        <v>0.03</v>
      </c>
      <c r="F51" s="34">
        <f t="shared" si="7"/>
        <v>4.05</v>
      </c>
      <c r="G51" s="19">
        <v>139</v>
      </c>
      <c r="H51" s="26"/>
      <c r="I51" s="26"/>
      <c r="J51" s="41"/>
      <c r="K51" s="42" t="s">
        <v>83</v>
      </c>
      <c r="L51" s="40"/>
      <c r="M51" s="40"/>
      <c r="N51" s="26"/>
    </row>
    <row r="52" spans="1:14" ht="18" customHeight="1">
      <c r="A52" s="7"/>
      <c r="B52" s="34">
        <f t="shared" si="6"/>
        <v>0</v>
      </c>
      <c r="C52" s="35">
        <v>1</v>
      </c>
      <c r="D52" s="32"/>
      <c r="E52" s="36">
        <v>0.13</v>
      </c>
      <c r="F52" s="34">
        <f t="shared" si="7"/>
        <v>0</v>
      </c>
      <c r="G52" s="19"/>
      <c r="H52" s="26"/>
      <c r="I52" s="26"/>
      <c r="J52" s="41"/>
      <c r="K52" s="42"/>
      <c r="L52" s="40"/>
      <c r="M52" s="40"/>
      <c r="N52" s="26"/>
    </row>
    <row r="53" spans="1:14" ht="18" customHeight="1">
      <c r="A53" s="7"/>
      <c r="B53" s="34">
        <f t="shared" si="6"/>
        <v>0</v>
      </c>
      <c r="C53" s="35">
        <v>1</v>
      </c>
      <c r="D53" s="32"/>
      <c r="E53" s="36">
        <v>0.03</v>
      </c>
      <c r="F53" s="34">
        <f t="shared" si="7"/>
        <v>0</v>
      </c>
      <c r="G53" s="19"/>
      <c r="H53" s="26"/>
      <c r="I53" s="26"/>
      <c r="J53" s="41"/>
      <c r="K53" s="42"/>
      <c r="L53" s="40"/>
      <c r="M53" s="40"/>
      <c r="N53" s="26"/>
    </row>
    <row r="54" spans="1:14" ht="18" customHeight="1">
      <c r="A54" s="7"/>
      <c r="B54" s="34">
        <f t="shared" si="6"/>
        <v>0</v>
      </c>
      <c r="C54" s="35">
        <v>1</v>
      </c>
      <c r="D54" s="32"/>
      <c r="E54" s="36">
        <v>0</v>
      </c>
      <c r="F54" s="34">
        <f t="shared" si="7"/>
        <v>0</v>
      </c>
      <c r="G54" s="19"/>
      <c r="H54" s="26"/>
      <c r="I54" s="26"/>
      <c r="J54" s="41"/>
      <c r="K54" s="42"/>
      <c r="L54" s="40"/>
      <c r="M54" s="40"/>
      <c r="N54" s="26"/>
    </row>
    <row r="55" spans="1:14" ht="18" customHeight="1">
      <c r="A55" s="7"/>
      <c r="B55" s="34">
        <f t="shared" si="6"/>
        <v>0</v>
      </c>
      <c r="C55" s="35">
        <v>1</v>
      </c>
      <c r="D55" s="32"/>
      <c r="E55" s="36">
        <v>0</v>
      </c>
      <c r="F55" s="34">
        <f t="shared" si="7"/>
        <v>0</v>
      </c>
      <c r="G55" s="19"/>
      <c r="H55" s="26"/>
      <c r="I55" s="26"/>
      <c r="J55" s="41"/>
      <c r="K55" s="42"/>
      <c r="L55" s="40"/>
      <c r="M55" s="40"/>
      <c r="N55" s="26"/>
    </row>
    <row r="56" spans="1:14" ht="18" customHeight="1">
      <c r="A56" s="43" t="s">
        <v>22</v>
      </c>
      <c r="B56" s="34">
        <f t="shared" si="6"/>
        <v>0</v>
      </c>
      <c r="C56" s="35"/>
      <c r="D56" s="32"/>
      <c r="E56" s="36"/>
      <c r="F56" s="34">
        <f t="shared" si="7"/>
        <v>0</v>
      </c>
      <c r="G56" s="19"/>
      <c r="H56" s="43" t="s">
        <v>22</v>
      </c>
      <c r="I56" s="44">
        <v>21449.98</v>
      </c>
      <c r="J56" s="41"/>
      <c r="K56" s="37" t="s">
        <v>84</v>
      </c>
      <c r="L56" s="40"/>
      <c r="M56" s="40"/>
      <c r="N56" s="26"/>
    </row>
    <row r="57" spans="1:14" ht="18" customHeight="1">
      <c r="A57" s="43" t="s">
        <v>24</v>
      </c>
      <c r="B57" s="34">
        <f t="shared" si="6"/>
        <v>0</v>
      </c>
      <c r="C57" s="35"/>
      <c r="D57" s="32"/>
      <c r="E57" s="36"/>
      <c r="F57" s="34">
        <f t="shared" si="7"/>
        <v>0</v>
      </c>
      <c r="G57" s="19"/>
      <c r="H57" s="43" t="s">
        <v>24</v>
      </c>
      <c r="I57" s="44">
        <v>15654.94</v>
      </c>
      <c r="J57" s="41"/>
      <c r="K57" s="37" t="s">
        <v>84</v>
      </c>
      <c r="L57" s="40"/>
      <c r="M57" s="40"/>
      <c r="N57" s="26"/>
    </row>
    <row r="58" spans="1:14" ht="18" customHeight="1">
      <c r="A58" s="43" t="s">
        <v>26</v>
      </c>
      <c r="B58" s="34">
        <f t="shared" si="6"/>
        <v>0</v>
      </c>
      <c r="C58" s="35"/>
      <c r="D58" s="32"/>
      <c r="E58" s="36"/>
      <c r="F58" s="34">
        <f t="shared" si="7"/>
        <v>0</v>
      </c>
      <c r="G58" s="19"/>
      <c r="H58" s="43" t="s">
        <v>26</v>
      </c>
      <c r="I58" s="44">
        <v>8338.19</v>
      </c>
      <c r="J58" s="41"/>
      <c r="K58" s="37" t="s">
        <v>84</v>
      </c>
      <c r="L58" s="40"/>
      <c r="M58" s="40"/>
      <c r="N58" s="26"/>
    </row>
    <row r="59" spans="1:14" ht="18" customHeight="1">
      <c r="A59" s="43" t="s">
        <v>28</v>
      </c>
      <c r="B59" s="34">
        <f t="shared" si="6"/>
        <v>0</v>
      </c>
      <c r="C59" s="35"/>
      <c r="D59" s="32"/>
      <c r="E59" s="36"/>
      <c r="F59" s="34">
        <f t="shared" si="7"/>
        <v>0</v>
      </c>
      <c r="G59" s="19"/>
      <c r="H59" s="43" t="s">
        <v>28</v>
      </c>
      <c r="I59" s="44">
        <v>6310.1900000000005</v>
      </c>
      <c r="J59" s="41"/>
      <c r="K59" s="37" t="s">
        <v>84</v>
      </c>
      <c r="L59" s="40"/>
      <c r="M59" s="40"/>
      <c r="N59" s="26"/>
    </row>
    <row r="60" spans="1:14" ht="18" customHeight="1">
      <c r="A60" s="7"/>
      <c r="B60" s="34">
        <f t="shared" si="6"/>
        <v>0</v>
      </c>
      <c r="C60" s="35"/>
      <c r="D60" s="32"/>
      <c r="E60" s="36"/>
      <c r="F60" s="34">
        <f t="shared" si="7"/>
        <v>0</v>
      </c>
      <c r="G60" s="19"/>
      <c r="H60" s="37"/>
      <c r="I60" s="8"/>
      <c r="J60" s="41"/>
      <c r="K60" s="37"/>
      <c r="L60" s="40"/>
      <c r="M60" s="40"/>
      <c r="N60" s="26"/>
    </row>
    <row r="61" spans="1:14" ht="18" customHeight="1">
      <c r="A61" s="7"/>
      <c r="B61" s="34">
        <f t="shared" si="6"/>
        <v>0</v>
      </c>
      <c r="C61" s="35"/>
      <c r="D61" s="32"/>
      <c r="E61" s="36"/>
      <c r="F61" s="34">
        <f t="shared" si="7"/>
        <v>0</v>
      </c>
      <c r="G61" s="19"/>
      <c r="H61" s="17"/>
      <c r="I61" s="8"/>
      <c r="J61" s="41"/>
      <c r="K61" s="17"/>
      <c r="L61" s="40"/>
      <c r="M61" s="40"/>
      <c r="N61" s="26"/>
    </row>
    <row r="62" spans="1:14" ht="18" customHeight="1">
      <c r="A62" s="24" t="s">
        <v>30</v>
      </c>
      <c r="B62" s="23">
        <f>SUM(B16:B61)</f>
        <v>2261719.3500000006</v>
      </c>
      <c r="C62" s="24"/>
      <c r="D62" s="45"/>
      <c r="E62" s="45"/>
      <c r="F62" s="25">
        <f>SUM(F16:F61)</f>
        <v>177805.82999999996</v>
      </c>
      <c r="G62" s="24">
        <f>SUM(G16:G61)</f>
        <v>2439525.1799999997</v>
      </c>
      <c r="H62" s="26"/>
      <c r="I62" s="12">
        <f>SUM(I16:I61)</f>
        <v>2480000</v>
      </c>
      <c r="J62" s="46"/>
      <c r="L62" s="47"/>
      <c r="M62" s="47"/>
    </row>
    <row r="63" spans="1:14" ht="18" customHeight="1">
      <c r="A63" s="48"/>
      <c r="B63" s="48">
        <f>B13-B62</f>
        <v>802161.70337781403</v>
      </c>
      <c r="C63" s="48"/>
      <c r="D63" s="49"/>
      <c r="E63" s="49"/>
      <c r="F63" s="48">
        <f>F13-F62</f>
        <v>56484.025554628897</v>
      </c>
      <c r="G63" s="48"/>
      <c r="H63" s="5"/>
      <c r="I63" s="12">
        <f>I13-I62</f>
        <v>879448.53000000026</v>
      </c>
    </row>
    <row r="64" spans="1:14" ht="18" customHeight="1">
      <c r="A64" s="13" t="s">
        <v>85</v>
      </c>
      <c r="C64" s="13"/>
      <c r="F64" s="5"/>
      <c r="G64" s="5"/>
    </row>
    <row r="65" spans="1:7" ht="18" customHeight="1">
      <c r="A65" s="15" t="s">
        <v>86</v>
      </c>
      <c r="B65" s="16" t="s">
        <v>87</v>
      </c>
      <c r="C65" s="26"/>
      <c r="D65" s="15" t="s">
        <v>86</v>
      </c>
      <c r="E65" s="16" t="s">
        <v>17</v>
      </c>
      <c r="F65" s="16" t="s">
        <v>87</v>
      </c>
      <c r="G65" s="16" t="s">
        <v>88</v>
      </c>
    </row>
    <row r="66" spans="1:7" ht="18" customHeight="1">
      <c r="A66" s="26" t="s">
        <v>89</v>
      </c>
      <c r="B66" s="34">
        <f>(B13-B62)*0.25</f>
        <v>200540.42584445351</v>
      </c>
      <c r="C66" s="26"/>
      <c r="D66" s="6" t="s">
        <v>90</v>
      </c>
      <c r="E66" s="40" t="s">
        <v>91</v>
      </c>
      <c r="F66" s="50">
        <f>F13-F62</f>
        <v>56484.025554628897</v>
      </c>
      <c r="G66" s="50"/>
    </row>
    <row r="67" spans="1:7" ht="18" customHeight="1">
      <c r="A67" s="26" t="s">
        <v>92</v>
      </c>
      <c r="B67" s="51">
        <f>G13*0.0003</f>
        <v>1007.834559</v>
      </c>
      <c r="C67" s="26"/>
      <c r="D67" s="52" t="s">
        <v>93</v>
      </c>
      <c r="E67" s="9">
        <v>0.05</v>
      </c>
      <c r="F67" s="51">
        <f>F66*E67</f>
        <v>2824.2012777314449</v>
      </c>
      <c r="G67" s="51"/>
    </row>
    <row r="68" spans="1:7" ht="18" customHeight="1">
      <c r="A68" s="26" t="s">
        <v>94</v>
      </c>
      <c r="B68" s="51">
        <f>B13*0.0006</f>
        <v>1838.3286320266886</v>
      </c>
      <c r="C68" s="26"/>
      <c r="D68" s="52" t="s">
        <v>95</v>
      </c>
      <c r="E68" s="9">
        <v>0.03</v>
      </c>
      <c r="F68" s="51">
        <f>F66*E68</f>
        <v>1694.5207666388669</v>
      </c>
      <c r="G68" s="51"/>
    </row>
    <row r="69" spans="1:7" ht="18" customHeight="1">
      <c r="A69" s="26"/>
      <c r="B69" s="26"/>
      <c r="C69" s="26"/>
      <c r="D69" s="52" t="s">
        <v>96</v>
      </c>
      <c r="E69" s="9">
        <v>0.02</v>
      </c>
      <c r="F69" s="51">
        <f>F66*E69</f>
        <v>1129.6805110925779</v>
      </c>
      <c r="G69" s="51"/>
    </row>
    <row r="70" spans="1:7">
      <c r="A70" s="22" t="s">
        <v>97</v>
      </c>
      <c r="B70" s="23">
        <f>SUM(B66:B69)</f>
        <v>203386.5890354802</v>
      </c>
      <c r="C70" s="26"/>
      <c r="D70" s="22" t="s">
        <v>97</v>
      </c>
      <c r="E70" s="22"/>
      <c r="F70" s="25">
        <f>SUM(F66:F69)</f>
        <v>62132.428110091787</v>
      </c>
      <c r="G70" s="25"/>
    </row>
    <row r="71" spans="1:7">
      <c r="C71" s="13"/>
      <c r="F71" s="5"/>
      <c r="G71" s="5"/>
    </row>
    <row r="72" spans="1:7">
      <c r="C72" s="13"/>
      <c r="F72" s="5"/>
      <c r="G72" s="5"/>
    </row>
    <row r="73" spans="1:7">
      <c r="C73" s="13"/>
      <c r="F73" s="5"/>
      <c r="G73" s="5"/>
    </row>
    <row r="74" spans="1:7">
      <c r="C74" s="13"/>
      <c r="F74" s="5"/>
      <c r="G74" s="5"/>
    </row>
    <row r="75" spans="1:7">
      <c r="C75" s="13"/>
      <c r="F75" s="5"/>
      <c r="G75" s="5"/>
    </row>
    <row r="76" spans="1:7">
      <c r="C76" s="13"/>
      <c r="F76" s="5"/>
      <c r="G76" s="5"/>
    </row>
    <row r="77" spans="1:7">
      <c r="C77" s="13"/>
      <c r="F77" s="5"/>
      <c r="G77" s="5"/>
    </row>
    <row r="78" spans="1:7">
      <c r="C78" s="13"/>
      <c r="F78" s="5"/>
      <c r="G78" s="5"/>
    </row>
    <row r="79" spans="1:7">
      <c r="C79" s="13"/>
      <c r="F79" s="5"/>
      <c r="G79" s="5"/>
    </row>
    <row r="80" spans="1:7">
      <c r="C80" s="13"/>
      <c r="F80" s="5"/>
      <c r="G80" s="5"/>
    </row>
    <row r="81" spans="3:7">
      <c r="C81" s="13"/>
      <c r="F81" s="5"/>
      <c r="G81" s="5"/>
    </row>
    <row r="82" spans="3:7">
      <c r="C82" s="13"/>
      <c r="F82" s="5"/>
      <c r="G82" s="5"/>
    </row>
    <row r="83" spans="3:7">
      <c r="C83" s="13"/>
      <c r="F83" s="5"/>
      <c r="G83" s="5"/>
    </row>
    <row r="84" spans="3:7">
      <c r="C84" s="13"/>
      <c r="F84" s="5"/>
      <c r="G84" s="5"/>
    </row>
    <row r="85" spans="3:7">
      <c r="C85" s="13"/>
      <c r="F85" s="5"/>
      <c r="G85" s="5"/>
    </row>
    <row r="86" spans="3:7">
      <c r="C86" s="13"/>
      <c r="F86" s="5"/>
      <c r="G86" s="5"/>
    </row>
    <row r="87" spans="3:7">
      <c r="C87" s="13"/>
    </row>
    <row r="88" spans="3:7">
      <c r="C88" s="13"/>
    </row>
    <row r="89" spans="3:7">
      <c r="C89" s="13"/>
    </row>
    <row r="90" spans="3:7">
      <c r="C90" s="13"/>
    </row>
    <row r="91" spans="3:7">
      <c r="C91" s="13"/>
    </row>
    <row r="92" spans="3:7">
      <c r="C92" s="13"/>
    </row>
    <row r="93" spans="3:7">
      <c r="C93" s="13"/>
    </row>
    <row r="94" spans="3:7">
      <c r="C94" s="13"/>
    </row>
  </sheetData>
  <mergeCells count="6">
    <mergeCell ref="A1:H1"/>
    <mergeCell ref="A5:A6"/>
    <mergeCell ref="B5:B6"/>
    <mergeCell ref="C5:D5"/>
    <mergeCell ref="E5:F5"/>
    <mergeCell ref="G5:G6"/>
  </mergeCells>
  <phoneticPr fontId="2" type="noConversion"/>
  <pageMargins left="0.7" right="0.7" top="0.75" bottom="0.75" header="0.3" footer="0.3"/>
  <pageSetup paperSize="9" scale="65" orientation="portrait" r:id="rId1"/>
  <rowBreaks count="1" manualBreakCount="1">
    <brk id="63" max="16383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经九路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chenchen</cp:lastModifiedBy>
  <dcterms:created xsi:type="dcterms:W3CDTF">2022-01-21T06:51:03Z</dcterms:created>
  <dcterms:modified xsi:type="dcterms:W3CDTF">2022-01-21T06:54:36Z</dcterms:modified>
</cp:coreProperties>
</file>