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戚继光路" sheetId="1" r:id="rId1"/>
  </sheets>
  <definedNames>
    <definedName name="_xlnm._FilterDatabase" localSheetId="0" hidden="1">戚继光路!$A$19:$O$61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5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<sst xmlns="http://schemas.openxmlformats.org/spreadsheetml/2006/main" count="143" uniqueCount="93">
  <si>
    <t>戚继光路、姑溪路、障山路、捉月台路道路监控采购及安装</t>
  </si>
  <si>
    <t>中标日期</t>
  </si>
  <si>
    <t>中标价</t>
  </si>
  <si>
    <t>负责人</t>
  </si>
  <si>
    <t>孙容</t>
  </si>
  <si>
    <t>建设单位</t>
  </si>
  <si>
    <t>合肥市瑶海区重点工程建设管理局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</si>
  <si>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</si>
  <si>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</si>
  <si>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</si>
  <si>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</si>
  <si>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</si>
  <si>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</si>
  <si>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</si>
  <si>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</si>
  <si>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</si>
  <si>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</si>
  <si>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</si>
  <si>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</si>
  <si>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</si>
  <si>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</si>
  <si>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18.4.24</t>
  </si>
  <si>
    <t>18.5.22</t>
  </si>
  <si>
    <t>中行</t>
  </si>
  <si>
    <t>20.8.25</t>
  </si>
  <si>
    <t>新中行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</si>
  <si>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</si>
  <si>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</si>
  <si>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</si>
  <si>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</si>
  <si>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</si>
  <si>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</si>
  <si>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</si>
  <si>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</si>
  <si>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</si>
  <si>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</si>
  <si>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</si>
  <si>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</si>
  <si>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</si>
  <si>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</si>
  <si>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</si>
  <si>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安徽潜山县三元塑业有限责任公司</t>
  </si>
  <si>
    <t>护栏</t>
  </si>
  <si>
    <t>18.5.9</t>
  </si>
  <si>
    <t>合肥伟明物资有限公司</t>
  </si>
  <si>
    <t>方管</t>
  </si>
  <si>
    <t>普</t>
  </si>
  <si>
    <t>线缆</t>
  </si>
  <si>
    <t>五金</t>
  </si>
  <si>
    <t>18.12.24</t>
  </si>
  <si>
    <t>通行费</t>
  </si>
  <si>
    <t>安徽融畅智能科技有限公司</t>
  </si>
  <si>
    <t>有，合同价1062990</t>
  </si>
  <si>
    <t>中国移动通信集团安徽有限公司合肥分公司</t>
  </si>
  <si>
    <t>移动光纤费</t>
  </si>
  <si>
    <t>王玲子</t>
  </si>
  <si>
    <t>中国移动通信集团安徽有限公司蚌埠分公司</t>
  </si>
  <si>
    <t>通信服务费</t>
  </si>
  <si>
    <t>普代</t>
  </si>
  <si>
    <t>王传宁</t>
  </si>
  <si>
    <t>抓拍摄像机</t>
  </si>
  <si>
    <t>有</t>
  </si>
  <si>
    <t>3份</t>
  </si>
  <si>
    <t>工程服务</t>
  </si>
  <si>
    <t>2份</t>
  </si>
  <si>
    <t>徽行</t>
  </si>
  <si>
    <t>3次</t>
  </si>
  <si>
    <t>扣</t>
  </si>
  <si>
    <t>转账手续费</t>
  </si>
  <si>
    <t>2020年12月印花税、水利基金</t>
  </si>
  <si>
    <t>2020年12月工程地缴税2%增值税及附加</t>
  </si>
  <si>
    <t>2次</t>
  </si>
  <si>
    <t>工程地缴税2%增值税及附加、印花税、水利基金</t>
  </si>
  <si>
    <t>税金</t>
  </si>
  <si>
    <t>可支付金额：</t>
  </si>
  <si>
    <t>公司代缴税金：</t>
  </si>
  <si>
    <t>税种</t>
  </si>
  <si>
    <t>税额</t>
  </si>
  <si>
    <t>20年8月工程地缴税2%</t>
  </si>
  <si>
    <t>20年12月工程地缴税2%</t>
  </si>
  <si>
    <t>2021年12月工程地缴税2%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</si>
  <si>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</si>
  <si>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</si>
  <si>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</si>
  <si>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</si>
  <si>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</si>
  <si>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</si>
  <si>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</si>
  <si>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</si>
  <si>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</si>
  <si>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 xml:space="preserve">合计                 </t>
  </si>
  <si>
    <t xml:space="preserve">                  </t>
  </si>
  <si>
    <t xml:space="preserve">                         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</si>
</sst>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yy/m/d;@"/>
    <numFmt numFmtId="178" formatCode="#,##0_ "/>
    <numFmt numFmtId="179" formatCode="yyyy/m/d;@"/>
  </numFmts>
  <fonts count="3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等线"/>
      <charset val="134"/>
      <scheme val="minor"/>
    </font>
    <font>
      <sz val="9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left" vertical="center"/>
    </xf>
    <xf numFmtId="177" fontId="6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7" fontId="7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9" fontId="5" fillId="0" borderId="2" xfId="11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vertical="center"/>
    </xf>
    <xf numFmtId="9" fontId="5" fillId="0" borderId="2" xfId="11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vertical="center"/>
    </xf>
    <xf numFmtId="176" fontId="8" fillId="3" borderId="2" xfId="0" applyNumberFormat="1" applyFont="1" applyFill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4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9" fontId="6" fillId="5" borderId="2" xfId="1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6" fillId="5" borderId="2" xfId="11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vertical="center"/>
    </xf>
    <xf numFmtId="176" fontId="9" fillId="3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6" fontId="9" fillId="4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176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8" fillId="4" borderId="3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left" vertical="center"/>
    </xf>
    <xf numFmtId="10" fontId="5" fillId="0" borderId="0" xfId="0" applyNumberFormat="1" applyFont="1" applyAlignment="1">
      <alignment vertical="center"/>
    </xf>
    <xf numFmtId="10" fontId="8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10" fontId="5" fillId="0" borderId="2" xfId="0" applyNumberFormat="1" applyFont="1" applyBorder="1" applyAlignment="1">
      <alignment vertical="center"/>
    </xf>
    <xf numFmtId="57" fontId="6" fillId="0" borderId="2" xfId="0" applyNumberFormat="1" applyFont="1" applyBorder="1" applyAlignment="1">
      <alignment vertical="center"/>
    </xf>
    <xf numFmtId="10" fontId="9" fillId="0" borderId="2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8" fillId="4" borderId="2" xfId="0" applyNumberFormat="1" applyFont="1" applyFill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1"/>
  <sheetViews>
    <sheetView tabSelected="1" topLeftCell="A31" workbookViewId="0">
      <selection activeCell="K67" sqref="K67"/>
    </sheetView>
  </sheetViews>
  <sheetFormatPr defaultColWidth="9" defaultRowHeight="12"/>
  <cols>
    <col min="1" max="1" width="10.75" style="3" customWidth="1"/>
    <col min="2" max="2" width="12.25" style="4" customWidth="1"/>
    <col min="3" max="3" width="6" style="4" customWidth="1"/>
    <col min="4" max="4" width="13.375" style="4" customWidth="1"/>
    <col min="5" max="5" width="6" style="4" customWidth="1"/>
    <col min="6" max="6" width="10.5" style="4" customWidth="1"/>
    <col min="7" max="7" width="14.125" style="4" customWidth="1"/>
    <col min="8" max="8" width="9.625" style="4" customWidth="1"/>
    <col min="9" max="9" width="13.875" style="4" customWidth="1"/>
    <col min="10" max="10" width="7.75" style="5" customWidth="1"/>
    <col min="11" max="11" width="34.75" style="6" customWidth="1"/>
    <col min="12" max="12" width="17.25" style="6" customWidth="1"/>
    <col min="13" max="13" width="13.5" style="6" customWidth="1"/>
    <col min="14" max="14" width="5.625" style="6" customWidth="1"/>
    <col min="15" max="16384" width="9" style="6"/>
  </cols>
  <sheetData>
    <row r="1" ht="21.9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5"/>
      <c r="L1" s="15"/>
      <c r="M1" s="28"/>
      <c r="N1" s="28"/>
      <c r="O1" s="28"/>
      <c r="P1" s="28"/>
    </row>
    <row r="2" ht="18" customHeight="1" spans="1:16">
      <c r="A2" s="8" t="s">
        <v>1</v>
      </c>
      <c r="B2" s="9">
        <v>43070</v>
      </c>
      <c r="C2" s="10" t="s">
        <v>2</v>
      </c>
      <c r="D2" s="10">
        <v>2378600</v>
      </c>
      <c r="E2" s="11" t="s">
        <v>3</v>
      </c>
      <c r="F2" s="10" t="s">
        <v>4</v>
      </c>
      <c r="G2" s="11" t="s">
        <v>5</v>
      </c>
      <c r="H2" s="12" t="s">
        <v>6</v>
      </c>
      <c r="I2" s="54"/>
      <c r="J2" s="55"/>
      <c r="K2" s="15"/>
      <c r="L2" s="15"/>
      <c r="M2" s="28"/>
      <c r="N2" s="28"/>
      <c r="O2" s="28"/>
      <c r="P2" s="28"/>
    </row>
    <row r="3" ht="18" customHeight="1" spans="1:16">
      <c r="A3" s="8" t="s">
        <v>7</v>
      </c>
      <c r="B3" s="13"/>
      <c r="C3" s="10" t="s">
        <v>8</v>
      </c>
      <c r="D3" s="10"/>
      <c r="E3" s="14"/>
      <c r="F3" s="14"/>
      <c r="G3" s="14"/>
      <c r="H3" s="15"/>
      <c r="I3" s="15"/>
      <c r="J3" s="15"/>
      <c r="K3" s="15"/>
      <c r="L3" s="15"/>
      <c r="M3" s="28"/>
      <c r="N3" s="28"/>
      <c r="O3" s="28"/>
      <c r="P3" s="28"/>
    </row>
    <row r="4" ht="18" customHeight="1" spans="1:16">
      <c r="A4" s="16" t="s">
        <v>9</v>
      </c>
      <c r="B4" s="14"/>
      <c r="C4" s="14"/>
      <c r="D4" s="14"/>
      <c r="E4" s="14"/>
      <c r="F4" s="14"/>
      <c r="G4" s="14"/>
      <c r="H4" s="15"/>
      <c r="I4" s="15"/>
      <c r="J4" s="15"/>
      <c r="K4" s="15"/>
      <c r="L4" s="15"/>
      <c r="M4" s="28"/>
      <c r="N4" s="28"/>
      <c r="O4" s="28"/>
      <c r="P4" s="28"/>
    </row>
    <row r="5" ht="18" customHeight="1" spans="1:16">
      <c r="A5" s="17" t="s">
        <v>10</v>
      </c>
      <c r="B5" s="17" t="s">
        <v>11</v>
      </c>
      <c r="C5" s="17" t="s">
        <v>12</v>
      </c>
      <c r="D5" s="17"/>
      <c r="E5" s="17" t="s">
        <v>13</v>
      </c>
      <c r="F5" s="17"/>
      <c r="G5" s="17" t="s">
        <v>14</v>
      </c>
      <c r="H5" s="18" t="s">
        <v>15</v>
      </c>
      <c r="I5" s="18"/>
      <c r="J5" s="18"/>
      <c r="K5" s="28"/>
      <c r="L5" s="28"/>
      <c r="M5" s="28"/>
      <c r="N5" s="28"/>
      <c r="O5" s="28"/>
      <c r="P5" s="28"/>
    </row>
    <row r="6" ht="18" customHeight="1" spans="1:16">
      <c r="A6" s="17"/>
      <c r="B6" s="17"/>
      <c r="C6" s="17" t="s">
        <v>16</v>
      </c>
      <c r="D6" s="17" t="s">
        <v>17</v>
      </c>
      <c r="E6" s="17" t="s">
        <v>16</v>
      </c>
      <c r="F6" s="17" t="s">
        <v>17</v>
      </c>
      <c r="G6" s="17"/>
      <c r="H6" s="18" t="s">
        <v>18</v>
      </c>
      <c r="I6" s="18" t="s">
        <v>19</v>
      </c>
      <c r="J6" s="18" t="s">
        <v>20</v>
      </c>
      <c r="K6" s="28"/>
      <c r="L6" s="28"/>
      <c r="M6" s="28"/>
      <c r="N6" s="28"/>
      <c r="O6" s="28"/>
      <c r="P6" s="28"/>
    </row>
    <row r="7" ht="18" customHeight="1" spans="1:16">
      <c r="A7" s="19" t="s">
        <v>21</v>
      </c>
      <c r="B7" s="10">
        <f>G7/(1+C7+E7)</f>
        <v>205486.486486486</v>
      </c>
      <c r="C7" s="20">
        <v>0.02</v>
      </c>
      <c r="D7" s="10">
        <f>G7/(1+E7+C7)*C7</f>
        <v>4109.72972972973</v>
      </c>
      <c r="E7" s="20">
        <v>0.09</v>
      </c>
      <c r="F7" s="10">
        <f>G7/(1+C7+E7)*E7</f>
        <v>18493.7837837838</v>
      </c>
      <c r="G7" s="21">
        <v>228090</v>
      </c>
      <c r="H7" s="19" t="s">
        <v>22</v>
      </c>
      <c r="I7" s="10">
        <v>228090</v>
      </c>
      <c r="J7" s="46" t="s">
        <v>23</v>
      </c>
      <c r="K7" s="28"/>
      <c r="L7" s="28"/>
      <c r="M7" s="28"/>
      <c r="N7" s="28"/>
      <c r="O7" s="28"/>
      <c r="P7" s="28"/>
    </row>
    <row r="8" ht="18" customHeight="1" spans="1:16">
      <c r="A8" s="19" t="s">
        <v>24</v>
      </c>
      <c r="B8" s="10">
        <f t="shared" ref="B8:B10" si="0">G8/(1+C8+E8)</f>
        <v>198357.798165138</v>
      </c>
      <c r="C8" s="20">
        <v>0.02</v>
      </c>
      <c r="D8" s="10">
        <f t="shared" ref="D8:D10" si="1">G8/(1+E8+C8)*C8</f>
        <v>3967.15596330275</v>
      </c>
      <c r="E8" s="20">
        <v>0.07</v>
      </c>
      <c r="F8" s="10">
        <f t="shared" ref="F8:F10" si="2">G8/(1+C8+E8)*E8</f>
        <v>13885.0458715596</v>
      </c>
      <c r="G8" s="21">
        <v>216210</v>
      </c>
      <c r="H8" s="19">
        <v>44132</v>
      </c>
      <c r="I8" s="10">
        <v>216210</v>
      </c>
      <c r="J8" s="46" t="s">
        <v>25</v>
      </c>
      <c r="K8" s="28"/>
      <c r="L8" s="28"/>
      <c r="M8" s="28"/>
      <c r="N8" s="28"/>
      <c r="O8" s="28"/>
      <c r="P8" s="28"/>
    </row>
    <row r="9" ht="18" customHeight="1" spans="1:16">
      <c r="A9" s="19" t="s">
        <v>24</v>
      </c>
      <c r="B9" s="10">
        <f t="shared" si="0"/>
        <v>301293.577981651</v>
      </c>
      <c r="C9" s="20">
        <v>0.02</v>
      </c>
      <c r="D9" s="10">
        <f t="shared" si="1"/>
        <v>6025.87155963303</v>
      </c>
      <c r="E9" s="20">
        <v>0.07</v>
      </c>
      <c r="F9" s="10">
        <f t="shared" si="2"/>
        <v>21090.5504587156</v>
      </c>
      <c r="G9" s="21">
        <v>328410</v>
      </c>
      <c r="H9" s="19">
        <v>44132</v>
      </c>
      <c r="I9" s="10">
        <v>328410</v>
      </c>
      <c r="J9" s="46" t="s">
        <v>25</v>
      </c>
      <c r="K9" s="28"/>
      <c r="L9" s="28"/>
      <c r="M9" s="28"/>
      <c r="N9" s="28"/>
      <c r="O9" s="28"/>
      <c r="P9" s="28"/>
    </row>
    <row r="10" ht="18" customHeight="1" spans="1:16">
      <c r="A10" s="19">
        <v>44188</v>
      </c>
      <c r="B10" s="10">
        <f t="shared" si="0"/>
        <v>307651.376146789</v>
      </c>
      <c r="C10" s="22">
        <v>0.02</v>
      </c>
      <c r="D10" s="10">
        <f t="shared" si="1"/>
        <v>6153.02752293578</v>
      </c>
      <c r="E10" s="22">
        <v>0.07</v>
      </c>
      <c r="F10" s="10">
        <f t="shared" si="2"/>
        <v>21535.5963302752</v>
      </c>
      <c r="G10" s="21">
        <v>335340</v>
      </c>
      <c r="H10" s="19">
        <v>44236</v>
      </c>
      <c r="I10" s="10">
        <v>335340</v>
      </c>
      <c r="J10" s="46" t="s">
        <v>25</v>
      </c>
      <c r="K10" s="28"/>
      <c r="L10" s="28"/>
      <c r="M10" s="28"/>
      <c r="N10" s="28"/>
      <c r="O10" s="28"/>
      <c r="P10" s="28"/>
    </row>
    <row r="11" ht="18" customHeight="1" spans="1:16">
      <c r="A11" s="19">
        <v>44550</v>
      </c>
      <c r="B11" s="10">
        <f>G11/(1+C11+E11)</f>
        <v>126673.394495413</v>
      </c>
      <c r="C11" s="22">
        <v>0.02</v>
      </c>
      <c r="D11" s="10">
        <f>G11/(1+E11+C11)*C11</f>
        <v>2533.46788990826</v>
      </c>
      <c r="E11" s="22">
        <v>0.07</v>
      </c>
      <c r="F11" s="10">
        <f>G11/(1+C11+E11)*E11</f>
        <v>8867.1376146789</v>
      </c>
      <c r="G11" s="21">
        <v>138074</v>
      </c>
      <c r="H11" s="19"/>
      <c r="I11" s="10"/>
      <c r="J11" s="46"/>
      <c r="K11" s="28"/>
      <c r="L11" s="28"/>
      <c r="M11" s="28"/>
      <c r="N11" s="28"/>
      <c r="O11" s="28"/>
      <c r="P11" s="28"/>
    </row>
    <row r="12" ht="18" customHeight="1" spans="1:16">
      <c r="A12" s="19">
        <v>44550</v>
      </c>
      <c r="B12" s="10">
        <f>G12/(1+C12+E12)</f>
        <v>82708.2568807339</v>
      </c>
      <c r="C12" s="22">
        <v>0.02</v>
      </c>
      <c r="D12" s="10">
        <f>G12/(1+E12+C12)*C12</f>
        <v>1654.16513761468</v>
      </c>
      <c r="E12" s="22">
        <v>0.07</v>
      </c>
      <c r="F12" s="10">
        <f>G12/(1+C12+E12)*E12</f>
        <v>5789.57798165138</v>
      </c>
      <c r="G12" s="21">
        <v>90152</v>
      </c>
      <c r="H12" s="19"/>
      <c r="I12" s="10"/>
      <c r="J12" s="46"/>
      <c r="K12" s="28"/>
      <c r="L12" s="28"/>
      <c r="M12" s="28"/>
      <c r="N12" s="28"/>
      <c r="O12" s="28"/>
      <c r="P12" s="28"/>
    </row>
    <row r="13" ht="18" customHeight="1" spans="1:16">
      <c r="A13" s="19">
        <v>44550</v>
      </c>
      <c r="B13" s="10">
        <f>G13/(1+C13+E13)</f>
        <v>82526.6055045871</v>
      </c>
      <c r="C13" s="22">
        <v>0.02</v>
      </c>
      <c r="D13" s="10">
        <f>G13/(1+E13+C13)*C13</f>
        <v>1650.53211009174</v>
      </c>
      <c r="E13" s="22">
        <v>0.07</v>
      </c>
      <c r="F13" s="10">
        <f>G13/(1+C13+E13)*E13</f>
        <v>5776.8623853211</v>
      </c>
      <c r="G13" s="21">
        <v>89954</v>
      </c>
      <c r="H13" s="19"/>
      <c r="I13" s="10"/>
      <c r="J13" s="46"/>
      <c r="K13" s="28"/>
      <c r="L13" s="28"/>
      <c r="M13" s="28"/>
      <c r="N13" s="28"/>
      <c r="O13" s="28"/>
      <c r="P13" s="28"/>
    </row>
    <row r="14" ht="18" customHeight="1" spans="1:16">
      <c r="A14" s="19">
        <v>44550</v>
      </c>
      <c r="B14" s="10">
        <f>G14/(1+C14+E14)</f>
        <v>150955.04587156</v>
      </c>
      <c r="C14" s="22">
        <v>0.02</v>
      </c>
      <c r="D14" s="10">
        <f>G14/(1+E14+C14)*C14</f>
        <v>3019.10091743119</v>
      </c>
      <c r="E14" s="22">
        <v>0.07</v>
      </c>
      <c r="F14" s="10">
        <f>G14/(1+C14+E14)*E14</f>
        <v>10566.8532110092</v>
      </c>
      <c r="G14" s="21">
        <v>164541</v>
      </c>
      <c r="H14" s="19"/>
      <c r="I14" s="10"/>
      <c r="J14" s="46"/>
      <c r="K14" s="28"/>
      <c r="L14" s="28"/>
      <c r="M14" s="28"/>
      <c r="N14" s="28"/>
      <c r="O14" s="28"/>
      <c r="P14" s="28"/>
    </row>
    <row r="15" ht="18" customHeight="1" spans="1:16">
      <c r="A15" s="19"/>
      <c r="B15" s="10"/>
      <c r="C15" s="22"/>
      <c r="D15" s="10"/>
      <c r="E15" s="22"/>
      <c r="F15" s="10"/>
      <c r="G15" s="21"/>
      <c r="H15" s="19"/>
      <c r="I15" s="10"/>
      <c r="J15" s="46"/>
      <c r="K15" s="28"/>
      <c r="L15" s="28"/>
      <c r="M15" s="28"/>
      <c r="N15" s="28"/>
      <c r="O15" s="28"/>
      <c r="P15" s="28"/>
    </row>
    <row r="16" ht="18" customHeight="1" spans="1:16">
      <c r="A16" s="19"/>
      <c r="B16" s="10"/>
      <c r="C16" s="22"/>
      <c r="D16" s="10"/>
      <c r="E16" s="22"/>
      <c r="F16" s="10"/>
      <c r="G16" s="21"/>
      <c r="H16" s="19"/>
      <c r="I16" s="10"/>
      <c r="J16" s="46"/>
      <c r="K16" s="28"/>
      <c r="L16" s="28"/>
      <c r="M16" s="28"/>
      <c r="N16" s="28"/>
      <c r="O16" s="28"/>
      <c r="P16" s="28"/>
    </row>
    <row r="17" ht="18" customHeight="1" spans="1:16">
      <c r="A17" s="23" t="s">
        <v>26</v>
      </c>
      <c r="B17" s="24">
        <f>SUM(B7:B16)</f>
        <v>1455652.54153236</v>
      </c>
      <c r="C17" s="25"/>
      <c r="D17" s="25">
        <f>SUM(D7:D16)</f>
        <v>29113.0508306472</v>
      </c>
      <c r="E17" s="25"/>
      <c r="F17" s="26">
        <f>SUM(F7:F16)</f>
        <v>106005.407636995</v>
      </c>
      <c r="G17" s="25">
        <f>SUM(G7:G16)</f>
        <v>1590771</v>
      </c>
      <c r="H17" s="27"/>
      <c r="I17" s="25">
        <f>SUM(I7:I16)</f>
        <v>1108050</v>
      </c>
      <c r="J17" s="27"/>
      <c r="K17" s="28"/>
      <c r="L17" s="28"/>
      <c r="M17" s="28"/>
      <c r="N17" s="28"/>
      <c r="O17" s="28"/>
      <c r="P17" s="28"/>
    </row>
    <row r="18" ht="18" customHeight="1" spans="1:16">
      <c r="A18" s="16" t="s">
        <v>27</v>
      </c>
      <c r="B18" s="28"/>
      <c r="C18" s="14"/>
      <c r="D18" s="14"/>
      <c r="E18" s="14"/>
      <c r="F18" s="14"/>
      <c r="G18" s="14"/>
      <c r="H18" s="14"/>
      <c r="I18" s="14"/>
      <c r="J18" s="14"/>
      <c r="K18" s="14"/>
      <c r="L18" s="56"/>
      <c r="M18" s="28"/>
      <c r="N18" s="28"/>
      <c r="O18" s="28"/>
      <c r="P18" s="28"/>
    </row>
    <row r="19" ht="18" customHeight="1" spans="1:16">
      <c r="A19" s="29" t="s">
        <v>28</v>
      </c>
      <c r="B19" s="17" t="s">
        <v>29</v>
      </c>
      <c r="C19" s="17" t="s">
        <v>30</v>
      </c>
      <c r="D19" s="17" t="s">
        <v>31</v>
      </c>
      <c r="E19" s="17" t="s">
        <v>16</v>
      </c>
      <c r="F19" s="17" t="s">
        <v>32</v>
      </c>
      <c r="G19" s="17" t="s">
        <v>14</v>
      </c>
      <c r="H19" s="17" t="s">
        <v>33</v>
      </c>
      <c r="I19" s="17" t="s">
        <v>34</v>
      </c>
      <c r="J19" s="17" t="s">
        <v>20</v>
      </c>
      <c r="K19" s="57" t="s">
        <v>35</v>
      </c>
      <c r="L19" s="18" t="s">
        <v>36</v>
      </c>
      <c r="M19" s="18" t="s">
        <v>37</v>
      </c>
      <c r="N19" s="18" t="s">
        <v>38</v>
      </c>
      <c r="O19" s="18" t="s">
        <v>39</v>
      </c>
      <c r="P19" s="28"/>
    </row>
    <row r="20" s="1" customFormat="1" ht="18" customHeight="1" spans="1:16">
      <c r="A20" s="30" t="s">
        <v>21</v>
      </c>
      <c r="B20" s="31">
        <f>ROUND(G20/(1+E20),2)</f>
        <v>72435.9</v>
      </c>
      <c r="C20" s="32"/>
      <c r="D20" s="33" t="s">
        <v>40</v>
      </c>
      <c r="E20" s="34">
        <v>0.17</v>
      </c>
      <c r="F20" s="31">
        <f>ROUND(G20/(1+E20)*E20,2)</f>
        <v>12314.1</v>
      </c>
      <c r="G20" s="21">
        <v>84750</v>
      </c>
      <c r="H20" s="9"/>
      <c r="I20" s="31"/>
      <c r="J20" s="33"/>
      <c r="K20" s="58" t="s">
        <v>41</v>
      </c>
      <c r="L20" s="41" t="s">
        <v>42</v>
      </c>
      <c r="M20" s="33"/>
      <c r="N20" s="33"/>
      <c r="O20" s="41"/>
      <c r="P20" s="35"/>
    </row>
    <row r="21" s="1" customFormat="1" ht="18" customHeight="1" spans="1:16">
      <c r="A21" s="30" t="s">
        <v>43</v>
      </c>
      <c r="B21" s="31">
        <f t="shared" ref="B21:B35" si="3">ROUND(G21/(1+E21),2)</f>
        <v>0</v>
      </c>
      <c r="C21" s="32"/>
      <c r="D21" s="33" t="s">
        <v>40</v>
      </c>
      <c r="E21" s="34">
        <v>0.17</v>
      </c>
      <c r="F21" s="31">
        <f t="shared" ref="F21:F35" si="4">ROUND(G21/(1+E21)*E21,2)</f>
        <v>0</v>
      </c>
      <c r="G21" s="21">
        <v>0</v>
      </c>
      <c r="H21" s="9"/>
      <c r="I21" s="31"/>
      <c r="J21" s="33"/>
      <c r="K21" s="58"/>
      <c r="L21" s="41"/>
      <c r="M21" s="33"/>
      <c r="N21" s="33"/>
      <c r="O21" s="41"/>
      <c r="P21" s="35"/>
    </row>
    <row r="22" s="1" customFormat="1" ht="18" customHeight="1" spans="1:16">
      <c r="A22" s="30" t="s">
        <v>43</v>
      </c>
      <c r="B22" s="31">
        <f t="shared" si="3"/>
        <v>44902.24</v>
      </c>
      <c r="C22" s="32"/>
      <c r="D22" s="33" t="s">
        <v>40</v>
      </c>
      <c r="E22" s="34">
        <v>0.17</v>
      </c>
      <c r="F22" s="31">
        <f t="shared" si="4"/>
        <v>7633.38</v>
      </c>
      <c r="G22" s="21">
        <f>11699*4+5739.62</f>
        <v>52535.62</v>
      </c>
      <c r="H22" s="9"/>
      <c r="I22" s="31"/>
      <c r="J22" s="33"/>
      <c r="K22" s="58" t="s">
        <v>44</v>
      </c>
      <c r="L22" s="41" t="s">
        <v>45</v>
      </c>
      <c r="M22" s="33"/>
      <c r="N22" s="33"/>
      <c r="O22" s="41"/>
      <c r="P22" s="35"/>
    </row>
    <row r="23" s="1" customFormat="1" ht="18" customHeight="1" spans="1:16">
      <c r="A23" s="30"/>
      <c r="B23" s="31">
        <f t="shared" si="3"/>
        <v>70000</v>
      </c>
      <c r="C23" s="32"/>
      <c r="D23" s="33" t="s">
        <v>46</v>
      </c>
      <c r="E23" s="34"/>
      <c r="F23" s="31">
        <f t="shared" si="4"/>
        <v>0</v>
      </c>
      <c r="G23" s="21">
        <v>70000</v>
      </c>
      <c r="H23" s="9"/>
      <c r="I23" s="31"/>
      <c r="J23" s="33"/>
      <c r="K23" s="58" t="s">
        <v>47</v>
      </c>
      <c r="L23" s="41"/>
      <c r="M23" s="33"/>
      <c r="N23" s="33"/>
      <c r="O23" s="41"/>
      <c r="P23" s="35"/>
    </row>
    <row r="24" s="1" customFormat="1" ht="18" customHeight="1" spans="1:16">
      <c r="A24" s="30"/>
      <c r="B24" s="31">
        <f t="shared" si="3"/>
        <v>18679.25</v>
      </c>
      <c r="C24" s="32"/>
      <c r="D24" s="33" t="s">
        <v>40</v>
      </c>
      <c r="E24" s="34">
        <v>0.06</v>
      </c>
      <c r="F24" s="31">
        <f t="shared" si="4"/>
        <v>1120.75</v>
      </c>
      <c r="G24" s="21">
        <v>19800</v>
      </c>
      <c r="H24" s="9"/>
      <c r="I24" s="31"/>
      <c r="J24" s="33"/>
      <c r="K24" s="58" t="s">
        <v>48</v>
      </c>
      <c r="L24" s="41"/>
      <c r="M24" s="33"/>
      <c r="N24" s="33"/>
      <c r="O24" s="41"/>
      <c r="P24" s="35"/>
    </row>
    <row r="25" s="1" customFormat="1" ht="18" customHeight="1" spans="1:16">
      <c r="A25" s="30" t="s">
        <v>49</v>
      </c>
      <c r="B25" s="31">
        <f t="shared" si="3"/>
        <v>996.79</v>
      </c>
      <c r="C25" s="32">
        <v>40</v>
      </c>
      <c r="D25" s="33" t="s">
        <v>46</v>
      </c>
      <c r="E25" s="34">
        <v>0</v>
      </c>
      <c r="F25" s="31">
        <f t="shared" si="4"/>
        <v>0</v>
      </c>
      <c r="G25" s="21">
        <f>638.68+358.11</f>
        <v>996.79</v>
      </c>
      <c r="H25" s="35"/>
      <c r="I25" s="31"/>
      <c r="J25" s="33"/>
      <c r="K25" s="9" t="s">
        <v>50</v>
      </c>
      <c r="L25" s="41"/>
      <c r="M25" s="33"/>
      <c r="N25" s="33"/>
      <c r="O25" s="41"/>
      <c r="P25" s="35"/>
    </row>
    <row r="26" s="2" customFormat="1" ht="18" customHeight="1" spans="1:16">
      <c r="A26" s="30">
        <v>44070</v>
      </c>
      <c r="B26" s="31">
        <f t="shared" si="3"/>
        <v>344954.13</v>
      </c>
      <c r="C26" s="32"/>
      <c r="D26" s="33" t="s">
        <v>40</v>
      </c>
      <c r="E26" s="34">
        <v>0.09</v>
      </c>
      <c r="F26" s="31">
        <f t="shared" si="4"/>
        <v>31045.87</v>
      </c>
      <c r="G26" s="21">
        <v>376000</v>
      </c>
      <c r="H26" s="9"/>
      <c r="I26" s="31"/>
      <c r="J26" s="33"/>
      <c r="K26" s="58" t="s">
        <v>51</v>
      </c>
      <c r="L26" s="41"/>
      <c r="M26" s="33" t="s">
        <v>52</v>
      </c>
      <c r="N26" s="59"/>
      <c r="O26" s="60"/>
      <c r="P26" s="61"/>
    </row>
    <row r="27" s="2" customFormat="1" ht="18" customHeight="1" spans="1:16">
      <c r="A27" s="30">
        <v>44070</v>
      </c>
      <c r="B27" s="31">
        <f t="shared" si="3"/>
        <v>14587.16</v>
      </c>
      <c r="C27" s="32"/>
      <c r="D27" s="33" t="s">
        <v>40</v>
      </c>
      <c r="E27" s="34">
        <v>0.09</v>
      </c>
      <c r="F27" s="31">
        <f t="shared" si="4"/>
        <v>1312.84</v>
      </c>
      <c r="G27" s="21">
        <v>15900</v>
      </c>
      <c r="H27" s="9"/>
      <c r="I27" s="31"/>
      <c r="J27" s="33"/>
      <c r="K27" s="35" t="s">
        <v>53</v>
      </c>
      <c r="L27" s="58" t="s">
        <v>54</v>
      </c>
      <c r="M27" s="59"/>
      <c r="N27" s="59"/>
      <c r="O27" s="60"/>
      <c r="P27" s="61"/>
    </row>
    <row r="28" s="1" customFormat="1" ht="18" customHeight="1" spans="1:16">
      <c r="A28" s="30"/>
      <c r="B28" s="31">
        <f t="shared" si="3"/>
        <v>0</v>
      </c>
      <c r="C28" s="32"/>
      <c r="D28" s="33" t="s">
        <v>46</v>
      </c>
      <c r="E28" s="34"/>
      <c r="F28" s="31">
        <f t="shared" si="4"/>
        <v>0</v>
      </c>
      <c r="G28" s="21"/>
      <c r="H28" s="9" t="s">
        <v>22</v>
      </c>
      <c r="I28" s="31">
        <v>223377.57</v>
      </c>
      <c r="J28" s="33"/>
      <c r="K28" s="58" t="s">
        <v>55</v>
      </c>
      <c r="L28" s="41"/>
      <c r="M28" s="33"/>
      <c r="N28" s="33"/>
      <c r="O28" s="41"/>
      <c r="P28" s="35"/>
    </row>
    <row r="29" s="1" customFormat="1" ht="18" customHeight="1" spans="1:16">
      <c r="A29" s="30">
        <v>44139</v>
      </c>
      <c r="B29" s="31">
        <f t="shared" si="3"/>
        <v>24540</v>
      </c>
      <c r="C29" s="32"/>
      <c r="D29" s="33" t="s">
        <v>46</v>
      </c>
      <c r="E29" s="34"/>
      <c r="F29" s="31">
        <f t="shared" si="4"/>
        <v>0</v>
      </c>
      <c r="G29" s="21">
        <v>24540</v>
      </c>
      <c r="H29" s="9"/>
      <c r="I29" s="31"/>
      <c r="J29" s="33"/>
      <c r="K29" s="35" t="s">
        <v>56</v>
      </c>
      <c r="L29" s="41" t="s">
        <v>57</v>
      </c>
      <c r="M29" s="33"/>
      <c r="N29" s="33"/>
      <c r="O29" s="41"/>
      <c r="P29" s="35"/>
    </row>
    <row r="30" s="1" customFormat="1" ht="18" customHeight="1" spans="1:16">
      <c r="A30" s="30">
        <v>44144</v>
      </c>
      <c r="B30" s="31">
        <f t="shared" si="3"/>
        <v>96000</v>
      </c>
      <c r="C30" s="32"/>
      <c r="D30" s="33" t="s">
        <v>58</v>
      </c>
      <c r="E30" s="34"/>
      <c r="F30" s="31">
        <f t="shared" si="4"/>
        <v>0</v>
      </c>
      <c r="G30" s="21">
        <v>96000</v>
      </c>
      <c r="H30" s="9"/>
      <c r="I30" s="31"/>
      <c r="J30" s="33"/>
      <c r="K30" s="58" t="s">
        <v>59</v>
      </c>
      <c r="L30" s="41" t="s">
        <v>60</v>
      </c>
      <c r="M30" s="33" t="s">
        <v>61</v>
      </c>
      <c r="N30" s="33"/>
      <c r="O30" s="41"/>
      <c r="P30" s="35"/>
    </row>
    <row r="31" s="1" customFormat="1" ht="18" customHeight="1" spans="1:16">
      <c r="A31" s="30"/>
      <c r="B31" s="31">
        <f t="shared" si="3"/>
        <v>0</v>
      </c>
      <c r="C31" s="32"/>
      <c r="D31" s="33"/>
      <c r="E31" s="34"/>
      <c r="F31" s="31">
        <f t="shared" si="4"/>
        <v>0</v>
      </c>
      <c r="G31" s="21"/>
      <c r="H31" s="9">
        <v>44148</v>
      </c>
      <c r="I31" s="10">
        <v>376000</v>
      </c>
      <c r="J31" s="46"/>
      <c r="K31" s="62" t="s">
        <v>51</v>
      </c>
      <c r="L31" s="41"/>
      <c r="M31" s="33"/>
      <c r="N31" s="33"/>
      <c r="O31" s="41"/>
      <c r="P31" s="35"/>
    </row>
    <row r="32" s="1" customFormat="1" ht="18" customHeight="1" spans="1:16">
      <c r="A32" s="30"/>
      <c r="B32" s="31">
        <f t="shared" ref="B32:B43" si="5">ROUND(G32/(1+E32),2)</f>
        <v>0</v>
      </c>
      <c r="C32" s="32"/>
      <c r="D32" s="33"/>
      <c r="E32" s="34"/>
      <c r="F32" s="31">
        <f t="shared" ref="F32:F43" si="6">ROUND(G32/(1+E32)*E32,2)</f>
        <v>0</v>
      </c>
      <c r="G32" s="21"/>
      <c r="H32" s="9">
        <v>44148</v>
      </c>
      <c r="I32" s="10">
        <v>96000</v>
      </c>
      <c r="J32" s="46"/>
      <c r="K32" s="62" t="s">
        <v>59</v>
      </c>
      <c r="L32" s="41" t="s">
        <v>60</v>
      </c>
      <c r="M32" s="33"/>
      <c r="N32" s="33"/>
      <c r="O32" s="41"/>
      <c r="P32" s="35"/>
    </row>
    <row r="33" s="1" customFormat="1" ht="18" customHeight="1" spans="1:16">
      <c r="A33" s="30"/>
      <c r="B33" s="31">
        <f t="shared" si="5"/>
        <v>0</v>
      </c>
      <c r="C33" s="32"/>
      <c r="D33" s="33"/>
      <c r="E33" s="34"/>
      <c r="F33" s="31">
        <f t="shared" si="6"/>
        <v>0</v>
      </c>
      <c r="G33" s="21"/>
      <c r="H33" s="9">
        <v>44148</v>
      </c>
      <c r="I33" s="10">
        <v>60764.63</v>
      </c>
      <c r="J33" s="46"/>
      <c r="K33" s="62" t="s">
        <v>55</v>
      </c>
      <c r="L33" s="41"/>
      <c r="M33" s="33"/>
      <c r="N33" s="33"/>
      <c r="O33" s="41"/>
      <c r="P33" s="35"/>
    </row>
    <row r="34" s="1" customFormat="1" ht="18" customHeight="1" spans="1:16">
      <c r="A34" s="30">
        <v>44188</v>
      </c>
      <c r="B34" s="31">
        <f t="shared" si="5"/>
        <v>220183.49</v>
      </c>
      <c r="C34" s="32" t="s">
        <v>62</v>
      </c>
      <c r="D34" s="33" t="s">
        <v>40</v>
      </c>
      <c r="E34" s="36">
        <v>0.09</v>
      </c>
      <c r="F34" s="31">
        <f t="shared" si="6"/>
        <v>19816.51</v>
      </c>
      <c r="G34" s="21">
        <v>240000</v>
      </c>
      <c r="H34" s="9"/>
      <c r="I34" s="10"/>
      <c r="J34" s="46"/>
      <c r="K34" s="62" t="s">
        <v>51</v>
      </c>
      <c r="L34" s="41" t="s">
        <v>63</v>
      </c>
      <c r="M34" s="33" t="s">
        <v>52</v>
      </c>
      <c r="N34" s="33"/>
      <c r="O34" s="41"/>
      <c r="P34" s="35"/>
    </row>
    <row r="35" s="1" customFormat="1" ht="18" customHeight="1" spans="1:16">
      <c r="A35" s="30">
        <v>44188</v>
      </c>
      <c r="B35" s="31">
        <f t="shared" si="5"/>
        <v>18577.98</v>
      </c>
      <c r="C35" s="32" t="s">
        <v>64</v>
      </c>
      <c r="D35" s="33" t="s">
        <v>40</v>
      </c>
      <c r="E35" s="36">
        <v>0.09</v>
      </c>
      <c r="F35" s="31">
        <f t="shared" si="6"/>
        <v>1672.02</v>
      </c>
      <c r="G35" s="21">
        <v>20250</v>
      </c>
      <c r="H35" s="9"/>
      <c r="I35" s="10"/>
      <c r="J35" s="46"/>
      <c r="K35" s="35" t="s">
        <v>53</v>
      </c>
      <c r="L35" s="41" t="s">
        <v>57</v>
      </c>
      <c r="M35" s="33"/>
      <c r="N35" s="33"/>
      <c r="O35" s="41"/>
      <c r="P35" s="35"/>
    </row>
    <row r="36" s="1" customFormat="1" ht="18" customHeight="1" spans="1:16">
      <c r="A36" s="30"/>
      <c r="B36" s="31">
        <f t="shared" si="5"/>
        <v>0</v>
      </c>
      <c r="C36" s="32"/>
      <c r="D36" s="33"/>
      <c r="E36" s="34"/>
      <c r="F36" s="31">
        <f t="shared" si="6"/>
        <v>0</v>
      </c>
      <c r="G36" s="21"/>
      <c r="H36" s="9">
        <v>44236</v>
      </c>
      <c r="I36" s="31">
        <v>240000</v>
      </c>
      <c r="J36" s="33" t="s">
        <v>23</v>
      </c>
      <c r="K36" s="58" t="s">
        <v>51</v>
      </c>
      <c r="L36" s="41"/>
      <c r="M36" s="33"/>
      <c r="N36" s="33"/>
      <c r="O36" s="41"/>
      <c r="P36" s="35"/>
    </row>
    <row r="37" s="1" customFormat="1" ht="18" customHeight="1" spans="1:16">
      <c r="A37" s="30"/>
      <c r="B37" s="31">
        <f t="shared" si="5"/>
        <v>0</v>
      </c>
      <c r="C37" s="32"/>
      <c r="D37" s="33"/>
      <c r="E37" s="34"/>
      <c r="F37" s="31">
        <f t="shared" si="6"/>
        <v>0</v>
      </c>
      <c r="G37" s="21"/>
      <c r="H37" s="9">
        <v>44236</v>
      </c>
      <c r="I37" s="31">
        <v>88013.42</v>
      </c>
      <c r="J37" s="33" t="s">
        <v>65</v>
      </c>
      <c r="K37" s="58" t="s">
        <v>55</v>
      </c>
      <c r="L37" s="41"/>
      <c r="M37" s="33"/>
      <c r="N37" s="33"/>
      <c r="O37" s="41"/>
      <c r="P37" s="35"/>
    </row>
    <row r="38" s="1" customFormat="1" ht="18" customHeight="1" spans="1:16">
      <c r="A38" s="30"/>
      <c r="B38" s="31"/>
      <c r="C38" s="32"/>
      <c r="D38" s="33"/>
      <c r="E38" s="34"/>
      <c r="F38" s="31"/>
      <c r="G38" s="21"/>
      <c r="H38" s="9"/>
      <c r="I38" s="10"/>
      <c r="J38" s="46"/>
      <c r="K38" s="62"/>
      <c r="L38" s="41"/>
      <c r="M38" s="33"/>
      <c r="N38" s="33"/>
      <c r="O38" s="41"/>
      <c r="P38" s="35"/>
    </row>
    <row r="39" s="1" customFormat="1" ht="18" customHeight="1" spans="1:16">
      <c r="A39" s="30"/>
      <c r="B39" s="31"/>
      <c r="C39" s="32"/>
      <c r="D39" s="33"/>
      <c r="E39" s="34"/>
      <c r="F39" s="31"/>
      <c r="G39" s="21"/>
      <c r="H39" s="9"/>
      <c r="I39" s="10"/>
      <c r="J39" s="46"/>
      <c r="K39" s="62"/>
      <c r="L39" s="41"/>
      <c r="M39" s="33"/>
      <c r="N39" s="33"/>
      <c r="O39" s="41"/>
      <c r="P39" s="35"/>
    </row>
    <row r="40" s="1" customFormat="1" ht="18" customHeight="1" spans="1:16">
      <c r="A40" s="30"/>
      <c r="B40" s="31"/>
      <c r="C40" s="32"/>
      <c r="D40" s="33"/>
      <c r="E40" s="34"/>
      <c r="F40" s="31"/>
      <c r="G40" s="21"/>
      <c r="H40" s="9"/>
      <c r="I40" s="10"/>
      <c r="J40" s="46"/>
      <c r="K40" s="62"/>
      <c r="L40" s="41"/>
      <c r="M40" s="33"/>
      <c r="N40" s="33"/>
      <c r="O40" s="41"/>
      <c r="P40" s="35"/>
    </row>
    <row r="41" s="1" customFormat="1" ht="18" customHeight="1" spans="1:16">
      <c r="A41" s="30"/>
      <c r="B41" s="31"/>
      <c r="C41" s="32"/>
      <c r="D41" s="33"/>
      <c r="E41" s="34"/>
      <c r="F41" s="31"/>
      <c r="G41" s="21"/>
      <c r="H41" s="9"/>
      <c r="I41" s="10"/>
      <c r="J41" s="46"/>
      <c r="K41" s="62"/>
      <c r="L41" s="41"/>
      <c r="M41" s="33"/>
      <c r="N41" s="33"/>
      <c r="O41" s="41"/>
      <c r="P41" s="35"/>
    </row>
    <row r="42" s="1" customFormat="1" ht="18" customHeight="1" spans="1:16">
      <c r="A42" s="30"/>
      <c r="B42" s="31"/>
      <c r="C42" s="32"/>
      <c r="D42" s="33"/>
      <c r="E42" s="34"/>
      <c r="F42" s="31"/>
      <c r="G42" s="21"/>
      <c r="H42" s="9"/>
      <c r="I42" s="10"/>
      <c r="J42" s="46"/>
      <c r="K42" s="62"/>
      <c r="L42" s="41"/>
      <c r="M42" s="33"/>
      <c r="N42" s="33"/>
      <c r="O42" s="41"/>
      <c r="P42" s="35"/>
    </row>
    <row r="43" s="1" customFormat="1" ht="18" customHeight="1" spans="1:16">
      <c r="A43" s="30"/>
      <c r="B43" s="31">
        <f t="shared" ref="B43:B48" si="7">ROUND(G43/(1+E43),2)</f>
        <v>0</v>
      </c>
      <c r="C43" s="32"/>
      <c r="D43" s="33"/>
      <c r="E43" s="34"/>
      <c r="F43" s="31">
        <f t="shared" ref="F43:F48" si="8">ROUND(G43/(1+E43)*E43,2)</f>
        <v>0</v>
      </c>
      <c r="G43" s="21"/>
      <c r="H43" s="9" t="s">
        <v>66</v>
      </c>
      <c r="I43" s="31">
        <v>150</v>
      </c>
      <c r="J43" s="33" t="s">
        <v>67</v>
      </c>
      <c r="K43" s="58" t="s">
        <v>68</v>
      </c>
      <c r="L43" s="41"/>
      <c r="M43" s="33"/>
      <c r="N43" s="33"/>
      <c r="O43" s="41"/>
      <c r="P43" s="35"/>
    </row>
    <row r="44" s="1" customFormat="1" ht="18" customHeight="1" spans="1:16">
      <c r="A44" s="30"/>
      <c r="B44" s="31">
        <f t="shared" si="7"/>
        <v>0</v>
      </c>
      <c r="C44" s="32"/>
      <c r="D44" s="33"/>
      <c r="E44" s="34"/>
      <c r="F44" s="31">
        <f t="shared" si="8"/>
        <v>0</v>
      </c>
      <c r="G44" s="21"/>
      <c r="H44" s="9" t="s">
        <v>66</v>
      </c>
      <c r="I44" s="31">
        <v>285.19</v>
      </c>
      <c r="J44" s="33" t="s">
        <v>67</v>
      </c>
      <c r="K44" s="63" t="s">
        <v>69</v>
      </c>
      <c r="L44" s="41"/>
      <c r="M44" s="33"/>
      <c r="N44" s="33"/>
      <c r="O44" s="41"/>
      <c r="P44" s="35"/>
    </row>
    <row r="45" s="1" customFormat="1" ht="18" customHeight="1" spans="1:16">
      <c r="A45" s="30"/>
      <c r="B45" s="31">
        <f t="shared" si="7"/>
        <v>0</v>
      </c>
      <c r="C45" s="32"/>
      <c r="D45" s="33"/>
      <c r="E45" s="34"/>
      <c r="F45" s="31">
        <f t="shared" si="8"/>
        <v>0</v>
      </c>
      <c r="G45" s="21"/>
      <c r="H45" s="9" t="s">
        <v>66</v>
      </c>
      <c r="I45" s="31">
        <v>6891.39</v>
      </c>
      <c r="J45" s="33" t="s">
        <v>67</v>
      </c>
      <c r="K45" s="58" t="s">
        <v>70</v>
      </c>
      <c r="L45" s="41"/>
      <c r="M45" s="33"/>
      <c r="N45" s="33"/>
      <c r="O45" s="41"/>
      <c r="P45" s="35"/>
    </row>
    <row r="46" s="1" customFormat="1" ht="18" customHeight="1" spans="1:16">
      <c r="A46" s="30"/>
      <c r="B46" s="31">
        <f t="shared" si="7"/>
        <v>0</v>
      </c>
      <c r="C46" s="32"/>
      <c r="D46" s="33"/>
      <c r="E46" s="34"/>
      <c r="F46" s="31">
        <f t="shared" si="8"/>
        <v>0</v>
      </c>
      <c r="G46" s="21"/>
      <c r="H46" s="9" t="s">
        <v>71</v>
      </c>
      <c r="I46" s="31">
        <v>200</v>
      </c>
      <c r="J46" s="33" t="s">
        <v>67</v>
      </c>
      <c r="K46" s="58" t="s">
        <v>68</v>
      </c>
      <c r="L46" s="41"/>
      <c r="M46" s="33"/>
      <c r="N46" s="33"/>
      <c r="O46" s="41"/>
      <c r="P46" s="35"/>
    </row>
    <row r="47" s="1" customFormat="1" ht="18" customHeight="1" spans="1:16">
      <c r="A47" s="30"/>
      <c r="B47" s="31">
        <f t="shared" si="7"/>
        <v>0</v>
      </c>
      <c r="C47" s="32"/>
      <c r="D47" s="33"/>
      <c r="E47" s="34"/>
      <c r="F47" s="31">
        <f t="shared" si="8"/>
        <v>0</v>
      </c>
      <c r="G47" s="21"/>
      <c r="H47" s="9" t="s">
        <v>71</v>
      </c>
      <c r="I47" s="31">
        <v>11655.37</v>
      </c>
      <c r="J47" s="33" t="s">
        <v>67</v>
      </c>
      <c r="K47" s="58" t="s">
        <v>72</v>
      </c>
      <c r="L47" s="41"/>
      <c r="M47" s="33"/>
      <c r="N47" s="33"/>
      <c r="O47" s="41"/>
      <c r="P47" s="35"/>
    </row>
    <row r="48" s="1" customFormat="1" ht="18" customHeight="1" spans="1:16">
      <c r="A48" s="30"/>
      <c r="B48" s="31">
        <f t="shared" si="7"/>
        <v>0</v>
      </c>
      <c r="C48" s="32"/>
      <c r="D48" s="33"/>
      <c r="E48" s="34"/>
      <c r="F48" s="31">
        <f t="shared" si="8"/>
        <v>0</v>
      </c>
      <c r="G48" s="21"/>
      <c r="H48" s="9" t="s">
        <v>22</v>
      </c>
      <c r="I48" s="31">
        <v>4712.43</v>
      </c>
      <c r="J48" s="33" t="s">
        <v>67</v>
      </c>
      <c r="K48" s="58" t="s">
        <v>73</v>
      </c>
      <c r="L48" s="41"/>
      <c r="M48" s="33"/>
      <c r="N48" s="33"/>
      <c r="O48" s="41"/>
      <c r="P48" s="35"/>
    </row>
    <row r="49" ht="18" customHeight="1" spans="1:16">
      <c r="A49" s="37" t="s">
        <v>26</v>
      </c>
      <c r="B49" s="38">
        <f>SUM(B20:B48)</f>
        <v>925856.94</v>
      </c>
      <c r="C49" s="37"/>
      <c r="D49" s="39"/>
      <c r="E49" s="39"/>
      <c r="F49" s="40">
        <f>SUM(F20:F48)</f>
        <v>74915.47</v>
      </c>
      <c r="G49" s="37">
        <f>SUM(G20:G48)</f>
        <v>1000772.41</v>
      </c>
      <c r="H49" s="41"/>
      <c r="I49" s="37">
        <f>SUM(I20:I48)</f>
        <v>1108050</v>
      </c>
      <c r="J49" s="41"/>
      <c r="K49" s="64"/>
      <c r="L49" s="41"/>
      <c r="M49" s="46"/>
      <c r="N49" s="46"/>
      <c r="O49" s="27"/>
      <c r="P49" s="28"/>
    </row>
    <row r="50" ht="18" customHeight="1" spans="1:16">
      <c r="A50" s="42"/>
      <c r="B50" s="42">
        <f>B17-B49</f>
        <v>529795.601532358</v>
      </c>
      <c r="C50" s="42"/>
      <c r="D50" s="43"/>
      <c r="E50" s="43"/>
      <c r="F50" s="42">
        <f>F17-F49</f>
        <v>31089.9376369948</v>
      </c>
      <c r="G50" s="42"/>
      <c r="H50" s="44" t="s">
        <v>74</v>
      </c>
      <c r="I50" s="25">
        <f>I17-I49</f>
        <v>0</v>
      </c>
      <c r="J50" s="28"/>
      <c r="K50" s="65"/>
      <c r="L50" s="28"/>
      <c r="M50" s="66"/>
      <c r="N50" s="66"/>
      <c r="O50" s="28"/>
      <c r="P50" s="28"/>
    </row>
    <row r="51" ht="18" customHeight="1" spans="1:16">
      <c r="A51" s="16" t="s">
        <v>75</v>
      </c>
      <c r="B51" s="14"/>
      <c r="C51" s="16"/>
      <c r="D51" s="14"/>
      <c r="E51" s="14"/>
      <c r="F51" s="28"/>
      <c r="G51" s="28"/>
      <c r="H51" s="14"/>
      <c r="I51" s="14"/>
      <c r="J51" s="56"/>
      <c r="K51" s="28"/>
      <c r="L51" s="28"/>
      <c r="M51" s="28"/>
      <c r="N51" s="28"/>
      <c r="O51" s="28"/>
      <c r="P51" s="28"/>
    </row>
    <row r="52" ht="18" customHeight="1" spans="1:16">
      <c r="A52" s="18" t="s">
        <v>76</v>
      </c>
      <c r="B52" s="17" t="s">
        <v>77</v>
      </c>
      <c r="C52" s="27"/>
      <c r="D52" s="18" t="s">
        <v>76</v>
      </c>
      <c r="E52" s="17" t="s">
        <v>16</v>
      </c>
      <c r="F52" s="45" t="s">
        <v>77</v>
      </c>
      <c r="G52" s="14" t="s">
        <v>78</v>
      </c>
      <c r="H52" s="14"/>
      <c r="I52" s="10" t="s">
        <v>79</v>
      </c>
      <c r="J52" s="56"/>
      <c r="K52" s="67" t="s">
        <v>80</v>
      </c>
      <c r="L52" s="28"/>
      <c r="M52" s="28"/>
      <c r="N52" s="28"/>
      <c r="O52" s="28"/>
      <c r="P52" s="28"/>
    </row>
    <row r="53" ht="18" customHeight="1" spans="1:16">
      <c r="A53" s="27" t="s">
        <v>81</v>
      </c>
      <c r="B53" s="31">
        <f>(B17-B49)*0.25</f>
        <v>132448.900383089</v>
      </c>
      <c r="C53" s="27"/>
      <c r="D53" s="8" t="s">
        <v>82</v>
      </c>
      <c r="E53" s="46" t="s">
        <v>83</v>
      </c>
      <c r="F53" s="47">
        <f>F17-F49</f>
        <v>31089.9376369948</v>
      </c>
      <c r="G53" s="26">
        <f>D8+D9</f>
        <v>9993.02752293578</v>
      </c>
      <c r="H53" s="42"/>
      <c r="I53" s="26">
        <f>D10</f>
        <v>6153.02752293578</v>
      </c>
      <c r="J53" s="56"/>
      <c r="K53" s="68">
        <f>D11+D12+D13+D14</f>
        <v>8857.26605504587</v>
      </c>
      <c r="L53" s="28"/>
      <c r="M53" s="28"/>
      <c r="N53" s="28"/>
      <c r="O53" s="28"/>
      <c r="P53" s="28"/>
    </row>
    <row r="54" ht="18" customHeight="1" spans="1:16">
      <c r="A54" s="27" t="s">
        <v>84</v>
      </c>
      <c r="B54" s="10">
        <f>G17*0.0003</f>
        <v>477.2313</v>
      </c>
      <c r="C54" s="27"/>
      <c r="D54" s="48" t="s">
        <v>85</v>
      </c>
      <c r="E54" s="11">
        <v>0.07</v>
      </c>
      <c r="F54" s="49">
        <f>F53*E54</f>
        <v>2176.29563458963</v>
      </c>
      <c r="G54" s="10">
        <f>G53*E54</f>
        <v>699.511926605505</v>
      </c>
      <c r="H54" s="14"/>
      <c r="I54" s="10">
        <f>I53*E54</f>
        <v>430.711926605505</v>
      </c>
      <c r="J54" s="56"/>
      <c r="K54" s="67">
        <f>K53*0.07</f>
        <v>620.008623853211</v>
      </c>
      <c r="L54" s="28"/>
      <c r="M54" s="28"/>
      <c r="N54" s="28"/>
      <c r="O54" s="28"/>
      <c r="P54" s="28"/>
    </row>
    <row r="55" ht="18" customHeight="1" spans="1:16">
      <c r="A55" s="27" t="s">
        <v>86</v>
      </c>
      <c r="B55" s="10">
        <f>B17*0.0006</f>
        <v>873.391524919414</v>
      </c>
      <c r="C55" s="27"/>
      <c r="D55" s="48" t="s">
        <v>87</v>
      </c>
      <c r="E55" s="11">
        <v>0.03</v>
      </c>
      <c r="F55" s="49">
        <f>F53*E55</f>
        <v>932.698129109843</v>
      </c>
      <c r="G55" s="10">
        <f>G53*E55</f>
        <v>299.790825688073</v>
      </c>
      <c r="H55" s="14"/>
      <c r="I55" s="10">
        <f>I53*E55</f>
        <v>184.590825688073</v>
      </c>
      <c r="J55" s="56"/>
      <c r="K55" s="67">
        <f>K53*0.03</f>
        <v>265.717981651376</v>
      </c>
      <c r="L55" s="28"/>
      <c r="M55" s="28"/>
      <c r="N55" s="28"/>
      <c r="O55" s="28"/>
      <c r="P55" s="28"/>
    </row>
    <row r="56" ht="18" customHeight="1" spans="1:16">
      <c r="A56" s="27"/>
      <c r="B56" s="27"/>
      <c r="C56" s="27"/>
      <c r="D56" s="48" t="s">
        <v>88</v>
      </c>
      <c r="E56" s="11">
        <v>0.02</v>
      </c>
      <c r="F56" s="49">
        <f>F53*E56</f>
        <v>621.798752739895</v>
      </c>
      <c r="G56" s="10">
        <f>G53*E56</f>
        <v>199.860550458716</v>
      </c>
      <c r="H56" s="14"/>
      <c r="I56" s="10">
        <f>I53*E56</f>
        <v>123.060550458716</v>
      </c>
      <c r="J56" s="56"/>
      <c r="K56" s="67">
        <f>K53*0.02</f>
        <v>177.145321100917</v>
      </c>
      <c r="L56" s="28"/>
      <c r="M56" s="28"/>
      <c r="N56" s="28"/>
      <c r="O56" s="28"/>
      <c r="P56" s="28"/>
    </row>
    <row r="57" ht="18" customHeight="1" spans="1:16">
      <c r="A57" s="23" t="s">
        <v>89</v>
      </c>
      <c r="B57" s="24">
        <f>SUM(B53:B56)</f>
        <v>133799.523208009</v>
      </c>
      <c r="C57" s="27"/>
      <c r="D57" s="23" t="s">
        <v>89</v>
      </c>
      <c r="E57" s="23"/>
      <c r="F57" s="47">
        <f>SUM(F53:F56)</f>
        <v>34820.7301534341</v>
      </c>
      <c r="G57" s="26">
        <f>SUM(G53:G56)</f>
        <v>11192.1908256881</v>
      </c>
      <c r="H57" s="14"/>
      <c r="I57" s="26">
        <f>SUM(I53:I56)</f>
        <v>6891.39082568807</v>
      </c>
      <c r="J57" s="56"/>
      <c r="K57" s="68">
        <f>SUM(K53:K56)</f>
        <v>9920.13798165138</v>
      </c>
      <c r="L57" s="28"/>
      <c r="M57" s="28"/>
      <c r="N57" s="28"/>
      <c r="O57" s="28"/>
      <c r="P57" s="28"/>
    </row>
    <row r="58" ht="18" customHeight="1" spans="1:16">
      <c r="A58" s="16"/>
      <c r="B58" s="14"/>
      <c r="C58" s="16"/>
      <c r="D58" s="27" t="s">
        <v>84</v>
      </c>
      <c r="E58" s="50">
        <v>0.0003</v>
      </c>
      <c r="F58" s="10">
        <f>G17*E58</f>
        <v>477.2313</v>
      </c>
      <c r="G58" s="10">
        <f>(G8+G9)*E58</f>
        <v>163.386</v>
      </c>
      <c r="H58" s="14"/>
      <c r="I58" s="10">
        <f>G10*E58</f>
        <v>100.602</v>
      </c>
      <c r="J58" s="56"/>
      <c r="K58" s="67">
        <f>(G11+G12+G13+G14)*0.0003</f>
        <v>144.8163</v>
      </c>
      <c r="L58" s="28"/>
      <c r="M58" s="28"/>
      <c r="N58" s="28"/>
      <c r="O58" s="28"/>
      <c r="P58" s="28"/>
    </row>
    <row r="59" ht="18" customHeight="1" spans="1:16">
      <c r="A59" s="16"/>
      <c r="B59" s="14"/>
      <c r="C59" s="16"/>
      <c r="D59" s="27" t="s">
        <v>86</v>
      </c>
      <c r="E59" s="50">
        <v>0.0006</v>
      </c>
      <c r="F59" s="10">
        <f>B17*E59</f>
        <v>873.391524919414</v>
      </c>
      <c r="G59" s="10">
        <f>(B8+B9)*E59</f>
        <v>299.790825688073</v>
      </c>
      <c r="H59" s="14"/>
      <c r="I59" s="10">
        <f>B10*E59</f>
        <v>184.590825688073</v>
      </c>
      <c r="J59" s="56"/>
      <c r="K59" s="67">
        <f>(B11+B12+B13+B14)*0.0006</f>
        <v>265.717981651376</v>
      </c>
      <c r="L59" s="28"/>
      <c r="M59" s="28"/>
      <c r="N59" s="28"/>
      <c r="O59" s="28"/>
      <c r="P59" s="28"/>
    </row>
    <row r="60" ht="18" customHeight="1" spans="1:16">
      <c r="A60" s="16"/>
      <c r="B60" s="14"/>
      <c r="C60" s="16"/>
      <c r="D60" s="44" t="s">
        <v>89</v>
      </c>
      <c r="E60" s="10"/>
      <c r="F60" s="25">
        <f>SUM(F58:F59)</f>
        <v>1350.62282491941</v>
      </c>
      <c r="G60" s="25">
        <f>G58+G59</f>
        <v>463.176825688073</v>
      </c>
      <c r="H60" s="14"/>
      <c r="I60" s="25">
        <f>I58+I59</f>
        <v>285.192825688073</v>
      </c>
      <c r="J60" s="56"/>
      <c r="K60" s="69">
        <f>SUM(K58:K59)</f>
        <v>410.534281651376</v>
      </c>
      <c r="L60" s="28"/>
      <c r="M60" s="28"/>
      <c r="N60" s="28"/>
      <c r="O60" s="28"/>
      <c r="P60" s="28"/>
    </row>
    <row r="61" ht="18" customHeight="1" spans="3:11">
      <c r="C61" s="3"/>
      <c r="D61" s="51" t="s">
        <v>90</v>
      </c>
      <c r="E61" s="52"/>
      <c r="F61" s="53">
        <f>F57+F60</f>
        <v>36171.3529783535</v>
      </c>
      <c r="G61" s="53">
        <f>G57+G60</f>
        <v>11655.3676513761</v>
      </c>
      <c r="I61" s="53">
        <f>I57+I60</f>
        <v>7176.58365137615</v>
      </c>
      <c r="K61" s="70">
        <f>K57+K60</f>
        <v>10330.6722633028</v>
      </c>
    </row>
    <row r="62" spans="3:7">
      <c r="C62" s="3"/>
      <c r="F62" s="6"/>
      <c r="G62" s="6"/>
    </row>
    <row r="63" spans="3:9">
      <c r="C63" s="3"/>
      <c r="F63" s="6"/>
      <c r="G63" s="6" t="s">
        <v>91</v>
      </c>
      <c r="I63" s="4" t="s">
        <v>92</v>
      </c>
    </row>
    <row r="64" spans="3:7">
      <c r="C64" s="3"/>
      <c r="F64" s="6"/>
      <c r="G64" s="6"/>
    </row>
    <row r="65" spans="3:7">
      <c r="C65" s="3"/>
      <c r="F65" s="6"/>
      <c r="G65" s="6"/>
    </row>
    <row r="66" spans="3:7">
      <c r="C66" s="3"/>
      <c r="F66" s="6"/>
      <c r="G66" s="6"/>
    </row>
    <row r="67" spans="3:7">
      <c r="C67" s="3"/>
      <c r="F67" s="6"/>
      <c r="G67" s="6"/>
    </row>
    <row r="68" spans="3:7">
      <c r="C68" s="3"/>
      <c r="F68" s="6"/>
      <c r="G68" s="6"/>
    </row>
    <row r="69" spans="3:7">
      <c r="C69" s="3"/>
      <c r="F69" s="6"/>
      <c r="G69" s="6"/>
    </row>
    <row r="70" spans="3:7">
      <c r="C70" s="3"/>
      <c r="F70" s="6"/>
      <c r="G70" s="6"/>
    </row>
    <row r="71" spans="3:7">
      <c r="C71" s="3"/>
      <c r="F71" s="6"/>
      <c r="G71" s="6"/>
    </row>
    <row r="72" spans="3:7">
      <c r="C72" s="3"/>
      <c r="F72" s="6"/>
      <c r="G72" s="6"/>
    </row>
    <row r="73" spans="3:7">
      <c r="C73" s="3"/>
      <c r="F73" s="6"/>
      <c r="G73" s="6"/>
    </row>
    <row r="74" spans="3:3">
      <c r="C74" s="3"/>
    </row>
    <row r="75" spans="3:3">
      <c r="C75" s="3"/>
    </row>
    <row r="76" spans="3:3">
      <c r="C76" s="3"/>
    </row>
    <row r="77" spans="3:3">
      <c r="C77" s="3"/>
    </row>
    <row r="78" spans="3:3">
      <c r="C78" s="3"/>
    </row>
    <row r="79" spans="3:3">
      <c r="C79" s="3"/>
    </row>
    <row r="80" spans="3:3">
      <c r="C80" s="3"/>
    </row>
    <row r="81" spans="3:3">
      <c r="C81" s="3"/>
    </row>
  </sheetData>
  <autoFilter ref="A19:O6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戚继光路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2020-08-26T08:24:00Z</dcterms:created>
  <dcterms:modified xsi:type="dcterms:W3CDTF">2021-12-20T08:12:42Z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5880797CE96148DA88B169FF3671DDAF</vt:lpwstr>
  </property>
</Properties>
</file>