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Sheet1" sheetId="1" r:id="rId1"/>
    <sheet name="Sheet2" sheetId="2" r:id="rId2"/>
    <sheet name="7-13" sheetId="3" r:id="rId3"/>
  </sheets>
  <definedNames>
    <definedName name="_xlnm._FilterDatabase" localSheetId="0" hidden="1">Sheet1!$A$15:$S$77</definedName>
    <definedName name="_xlnm._FilterDatabase" localSheetId="2" hidden="1">'7-13'!$A$15:$S$77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6" authorId="0">
      <text>
        <r>
          <rPr>
            <sz val="9"/>
            <rFont val="宋体"/>
            <charset val="134"/>
          </rPr>
          <t>cw05:
填写专票税率</t>
        </r>
      </text>
    </comment>
    <comment ref="G16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6" authorId="0">
      <text>
        <r>
          <rPr>
            <sz val="9"/>
            <rFont val="宋体"/>
            <charset val="134"/>
          </rPr>
          <t>cw05:
填写专票税率</t>
        </r>
      </text>
    </comment>
    <comment ref="G16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<sst xmlns="http://schemas.openxmlformats.org/spreadsheetml/2006/main" count="451" uniqueCount="110">
  <si>
    <t>仁化县2016年通自然村公路路面硬底化工程（董塘镇）</t>
  </si>
  <si>
    <t>中标日期</t>
  </si>
  <si>
    <t>中标价</t>
  </si>
  <si>
    <t>负责人</t>
  </si>
  <si>
    <t>建设单位</t>
  </si>
  <si>
    <t>仁化县董塘镇人民政府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</si>
  <si>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</si>
  <si>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</si>
  <si>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</si>
  <si>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</si>
  <si>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</si>
  <si>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</si>
  <si>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</si>
  <si>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</si>
  <si>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</si>
  <si>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</si>
  <si>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</si>
  <si>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</si>
  <si>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</si>
  <si>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</si>
  <si>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</si>
  <si>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</si>
  <si>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</si>
  <si>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</si>
  <si>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</si>
  <si>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</si>
  <si>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</si>
  <si>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</si>
  <si>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</si>
  <si>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</si>
  <si>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</si>
  <si>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</si>
  <si>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</si>
  <si>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</si>
  <si>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</si>
  <si>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</si>
  <si>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承志供应链有限公司</t>
  </si>
  <si>
    <t>水泥</t>
  </si>
  <si>
    <t>茂名市建联建筑劳务有限公司</t>
  </si>
  <si>
    <t>劳务</t>
  </si>
  <si>
    <t>代开专</t>
  </si>
  <si>
    <t>浈江区潮润达工程机械租赁部</t>
  </si>
  <si>
    <t>机械租赁</t>
  </si>
  <si>
    <t>仁化县达昌建材凡口水泥有限公司</t>
  </si>
  <si>
    <t>深圳市正泓担保有限公司</t>
  </si>
  <si>
    <t>担保费</t>
  </si>
  <si>
    <t>徽行</t>
  </si>
  <si>
    <t>刘伟光</t>
  </si>
  <si>
    <t>借款</t>
  </si>
  <si>
    <t>4次扣</t>
  </si>
  <si>
    <t>扣</t>
  </si>
  <si>
    <t>借款利息</t>
  </si>
  <si>
    <t>水泥2800吨*247.78</t>
  </si>
  <si>
    <t>杨佰恩</t>
  </si>
  <si>
    <t>水泥625吨</t>
  </si>
  <si>
    <t>仁化县董塘镇五一仙人洞石场销售部</t>
  </si>
  <si>
    <t>机械费租赁</t>
  </si>
  <si>
    <t>合同未来</t>
  </si>
  <si>
    <t>（机械）</t>
  </si>
  <si>
    <t>（劳务）</t>
  </si>
  <si>
    <t>碎石3640.77吨</t>
  </si>
  <si>
    <t>合同已补</t>
  </si>
  <si>
    <t>水泥800吨*238.93</t>
  </si>
  <si>
    <t>有</t>
  </si>
  <si>
    <t>普代</t>
  </si>
  <si>
    <t>李春莲</t>
  </si>
  <si>
    <t>（河沙代开）</t>
  </si>
  <si>
    <t>有完税</t>
  </si>
  <si>
    <t>莫记英</t>
  </si>
  <si>
    <t>罗国良</t>
  </si>
  <si>
    <t>麦燕</t>
  </si>
  <si>
    <t>林俊安</t>
  </si>
  <si>
    <t>专代</t>
  </si>
  <si>
    <t>碎石</t>
  </si>
  <si>
    <t>本次</t>
  </si>
  <si>
    <t>退</t>
  </si>
  <si>
    <t>之前暂扣部分企税</t>
  </si>
  <si>
    <t>暂扣</t>
  </si>
  <si>
    <t>1%损失准备金</t>
  </si>
  <si>
    <t xml:space="preserve">8次 </t>
  </si>
  <si>
    <t>手续费</t>
  </si>
  <si>
    <t>企税（成本不够）</t>
  </si>
  <si>
    <t>7次</t>
  </si>
  <si>
    <t>5次</t>
  </si>
  <si>
    <t>协助办借款费用</t>
  </si>
  <si>
    <t>印花税及水利基金（19.6）</t>
  </si>
  <si>
    <t>增值税及附加（19.6月）</t>
  </si>
  <si>
    <t>损失准备金1%</t>
  </si>
  <si>
    <t>代办费</t>
  </si>
  <si>
    <t>水利基金及印花</t>
  </si>
  <si>
    <t>管理费</t>
  </si>
  <si>
    <t>全扣</t>
  </si>
  <si>
    <t>可支付金额</t>
  </si>
  <si>
    <t>公司代缴税金：</t>
  </si>
  <si>
    <t>税种</t>
  </si>
  <si>
    <t>税额</t>
  </si>
  <si>
    <t>18.7月开票扣税</t>
  </si>
  <si>
    <t>开票应缴纳税款</t>
  </si>
  <si>
    <t>19.6月开票扣税</t>
  </si>
  <si>
    <t>企业所得税</t>
  </si>
  <si>
    <t>增值税</t>
  </si>
  <si>
    <t>差额</t>
  </si>
  <si>
    <t xml:space="preserve"> </t>
  </si>
  <si>
    <t>印花税</t>
  </si>
  <si>
    <t>城市维护建设税</t>
  </si>
  <si>
    <t>水利基金</t>
  </si>
  <si>
    <t>教育费附加</t>
  </si>
  <si>
    <t>地方教育费附加</t>
  </si>
  <si>
    <t>小计</t>
  </si>
  <si>
    <t>吴总同意开票 税款未缴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</si>
</sst>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3" borderId="2" xfId="1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9" fontId="1" fillId="3" borderId="2" xfId="11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vertical="center"/>
    </xf>
    <xf numFmtId="176" fontId="4" fillId="4" borderId="2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176" fontId="4" fillId="5" borderId="2" xfId="0" applyNumberFormat="1" applyFont="1" applyFill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10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10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176" fontId="2" fillId="5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8" fontId="4" fillId="5" borderId="2" xfId="0" applyNumberFormat="1" applyFont="1" applyFill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5"/>
  <sheetViews>
    <sheetView topLeftCell="A43" workbookViewId="0">
      <selection activeCell="H53" sqref="H53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7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7" width="9" style="6"/>
    <col min="18" max="18" width="9.625" style="6"/>
    <col min="19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43005</v>
      </c>
      <c r="C2" s="11" t="s">
        <v>2</v>
      </c>
      <c r="D2" s="12">
        <v>13039455</v>
      </c>
      <c r="E2" s="13" t="s">
        <v>3</v>
      </c>
      <c r="F2" s="12"/>
      <c r="G2" s="14" t="s">
        <v>4</v>
      </c>
      <c r="H2" s="15" t="s">
        <v>5</v>
      </c>
      <c r="I2" s="42"/>
      <c r="J2" s="43"/>
      <c r="K2" s="17"/>
      <c r="L2" s="17"/>
    </row>
    <row r="3" ht="18" customHeight="1" spans="1:12">
      <c r="A3" s="9" t="s">
        <v>6</v>
      </c>
      <c r="B3" s="16"/>
      <c r="C3" s="11" t="s">
        <v>7</v>
      </c>
      <c r="D3" s="11"/>
      <c r="H3" s="17"/>
      <c r="I3" s="44"/>
      <c r="J3" s="17"/>
      <c r="K3" s="17"/>
      <c r="L3" s="17"/>
    </row>
    <row r="4" ht="18" customHeight="1" spans="1:12">
      <c r="A4" s="2" t="s">
        <v>8</v>
      </c>
      <c r="H4" s="17"/>
      <c r="I4" s="44"/>
      <c r="J4" s="17"/>
      <c r="K4" s="17"/>
      <c r="L4" s="17"/>
    </row>
    <row r="5" ht="18" customHeight="1" spans="1:10">
      <c r="A5" s="18" t="s">
        <v>9</v>
      </c>
      <c r="B5" s="19" t="s">
        <v>10</v>
      </c>
      <c r="C5" s="18" t="s">
        <v>11</v>
      </c>
      <c r="D5" s="18"/>
      <c r="E5" s="18" t="s">
        <v>12</v>
      </c>
      <c r="F5" s="19"/>
      <c r="G5" s="19" t="s">
        <v>13</v>
      </c>
      <c r="H5" s="20" t="s">
        <v>14</v>
      </c>
      <c r="I5" s="19"/>
      <c r="J5" s="20"/>
    </row>
    <row r="6" ht="18" customHeight="1" spans="1:11">
      <c r="A6" s="18"/>
      <c r="B6" s="19"/>
      <c r="C6" s="18" t="s">
        <v>15</v>
      </c>
      <c r="D6" s="18" t="s">
        <v>16</v>
      </c>
      <c r="E6" s="18" t="s">
        <v>15</v>
      </c>
      <c r="F6" s="19" t="s">
        <v>16</v>
      </c>
      <c r="G6" s="19"/>
      <c r="H6" s="20" t="s">
        <v>17</v>
      </c>
      <c r="I6" s="19" t="s">
        <v>18</v>
      </c>
      <c r="J6" s="20" t="s">
        <v>19</v>
      </c>
      <c r="K6" s="45"/>
    </row>
    <row r="7" ht="18" customHeight="1" spans="1:10">
      <c r="A7" s="21">
        <v>43290</v>
      </c>
      <c r="B7" s="12">
        <f>G7/(1+C7+E7)</f>
        <v>5177127.27272727</v>
      </c>
      <c r="C7" s="22">
        <v>0.02</v>
      </c>
      <c r="D7" s="23">
        <f>G7/(1+E7+C7)*C7</f>
        <v>103542.545454545</v>
      </c>
      <c r="E7" s="22">
        <v>0.08</v>
      </c>
      <c r="F7" s="12">
        <f>G7/(1+C7+E7)*E7</f>
        <v>414170.181818182</v>
      </c>
      <c r="G7" s="24">
        <v>5694840</v>
      </c>
      <c r="H7" s="21">
        <v>43304</v>
      </c>
      <c r="I7" s="12">
        <v>3000000</v>
      </c>
      <c r="J7" s="46" t="s">
        <v>20</v>
      </c>
    </row>
    <row r="8" ht="18" customHeight="1" spans="1:10">
      <c r="A8" s="21">
        <v>43628</v>
      </c>
      <c r="B8" s="12">
        <f t="shared" ref="B8:B10" si="0">G8/(1+C8+E8)</f>
        <v>4558045.87155963</v>
      </c>
      <c r="C8" s="22">
        <v>0.02</v>
      </c>
      <c r="D8" s="23">
        <f t="shared" ref="D8:D10" si="1">G8/(1+E8+C8)*C8</f>
        <v>91160.9174311927</v>
      </c>
      <c r="E8" s="22">
        <v>0.07</v>
      </c>
      <c r="F8" s="12">
        <f t="shared" ref="F8:F10" si="2">G8/(1+C8+E8)*E8</f>
        <v>319063.211009174</v>
      </c>
      <c r="G8" s="24">
        <v>4968270</v>
      </c>
      <c r="H8" s="21">
        <v>43334</v>
      </c>
      <c r="I8" s="12">
        <v>2000000</v>
      </c>
      <c r="J8" s="46" t="s">
        <v>20</v>
      </c>
    </row>
    <row r="9" ht="18" customHeight="1" spans="1:10">
      <c r="A9" s="21"/>
      <c r="B9" s="12">
        <f t="shared" si="0"/>
        <v>0</v>
      </c>
      <c r="C9" s="22">
        <v>0.02</v>
      </c>
      <c r="D9" s="23">
        <f t="shared" si="1"/>
        <v>0</v>
      </c>
      <c r="E9" s="22">
        <v>0.08</v>
      </c>
      <c r="F9" s="12">
        <f t="shared" si="2"/>
        <v>0</v>
      </c>
      <c r="G9" s="24"/>
      <c r="H9" s="21">
        <v>43363</v>
      </c>
      <c r="I9" s="12">
        <v>694840</v>
      </c>
      <c r="J9" s="46" t="s">
        <v>20</v>
      </c>
    </row>
    <row r="10" ht="18" customHeight="1" spans="1:10">
      <c r="A10" s="21"/>
      <c r="B10" s="12">
        <f t="shared" si="0"/>
        <v>0</v>
      </c>
      <c r="C10" s="22">
        <v>0.02</v>
      </c>
      <c r="D10" s="23">
        <f t="shared" si="1"/>
        <v>0</v>
      </c>
      <c r="E10" s="22">
        <v>0.08</v>
      </c>
      <c r="F10" s="12">
        <f t="shared" si="2"/>
        <v>0</v>
      </c>
      <c r="G10" s="24"/>
      <c r="H10" s="21">
        <v>43683</v>
      </c>
      <c r="I10" s="12">
        <v>2000000</v>
      </c>
      <c r="J10" s="46" t="s">
        <v>20</v>
      </c>
    </row>
    <row r="11" ht="18" customHeight="1" spans="1:10">
      <c r="A11" s="21"/>
      <c r="B11" s="12"/>
      <c r="C11" s="22"/>
      <c r="D11" s="23"/>
      <c r="E11" s="22"/>
      <c r="F11" s="12"/>
      <c r="G11" s="24"/>
      <c r="H11" s="21">
        <v>43775</v>
      </c>
      <c r="I11" s="12">
        <v>2000000</v>
      </c>
      <c r="J11" s="46" t="s">
        <v>20</v>
      </c>
    </row>
    <row r="12" ht="18" customHeight="1" spans="1:10">
      <c r="A12" s="21"/>
      <c r="B12" s="12"/>
      <c r="C12" s="22"/>
      <c r="D12" s="23"/>
      <c r="E12" s="22"/>
      <c r="F12" s="12"/>
      <c r="G12" s="24"/>
      <c r="H12" s="21">
        <v>43849</v>
      </c>
      <c r="I12" s="12">
        <v>968270</v>
      </c>
      <c r="J12" s="46" t="s">
        <v>20</v>
      </c>
    </row>
    <row r="13" ht="18" customHeight="1" spans="1:10">
      <c r="A13" s="25" t="s">
        <v>21</v>
      </c>
      <c r="B13" s="26">
        <f>SUM(B7:B12)</f>
        <v>9735173.1442869</v>
      </c>
      <c r="C13" s="27"/>
      <c r="D13" s="26">
        <f>SUM(D7:D12)</f>
        <v>194703.462885738</v>
      </c>
      <c r="E13" s="27"/>
      <c r="F13" s="26">
        <f>SUM(F7:F12)</f>
        <v>733233.392827356</v>
      </c>
      <c r="G13" s="26">
        <f>SUM(G7:G12)</f>
        <v>10663110</v>
      </c>
      <c r="H13" s="28"/>
      <c r="I13" s="26">
        <f>SUM(I7:I12)</f>
        <v>10663110</v>
      </c>
      <c r="J13" s="28"/>
    </row>
    <row r="14" ht="18" customHeight="1" spans="1:12">
      <c r="A14" s="2" t="s">
        <v>22</v>
      </c>
      <c r="J14" s="4"/>
      <c r="K14" s="4"/>
      <c r="L14" s="5"/>
    </row>
    <row r="15" ht="18" customHeight="1" spans="1:15">
      <c r="A15" s="29" t="s">
        <v>23</v>
      </c>
      <c r="B15" s="19" t="s">
        <v>24</v>
      </c>
      <c r="C15" s="18" t="s">
        <v>25</v>
      </c>
      <c r="D15" s="18" t="s">
        <v>26</v>
      </c>
      <c r="E15" s="18" t="s">
        <v>15</v>
      </c>
      <c r="F15" s="19" t="s">
        <v>27</v>
      </c>
      <c r="G15" s="19" t="s">
        <v>13</v>
      </c>
      <c r="H15" s="18" t="s">
        <v>28</v>
      </c>
      <c r="I15" s="19" t="s">
        <v>29</v>
      </c>
      <c r="J15" s="18" t="s">
        <v>19</v>
      </c>
      <c r="K15" s="47" t="s">
        <v>30</v>
      </c>
      <c r="L15" s="20" t="s">
        <v>31</v>
      </c>
      <c r="M15" s="20" t="s">
        <v>32</v>
      </c>
      <c r="N15" s="20" t="s">
        <v>33</v>
      </c>
      <c r="O15" s="20" t="s">
        <v>34</v>
      </c>
    </row>
    <row r="16" s="1" customFormat="1" ht="18" customHeight="1" spans="1:15">
      <c r="A16" s="30">
        <v>43299</v>
      </c>
      <c r="B16" s="16">
        <f>ROUND(G16/(1+E16),2)</f>
        <v>1879603.45</v>
      </c>
      <c r="C16" s="31">
        <v>2</v>
      </c>
      <c r="D16" s="32" t="s">
        <v>35</v>
      </c>
      <c r="E16" s="33">
        <v>0.16</v>
      </c>
      <c r="F16" s="16">
        <f>ROUND(G16/(1+E16)*E16,2)</f>
        <v>300736.55</v>
      </c>
      <c r="G16" s="24">
        <v>2180340</v>
      </c>
      <c r="H16" s="21">
        <v>43308</v>
      </c>
      <c r="I16" s="12">
        <v>1090000</v>
      </c>
      <c r="J16" s="46" t="s">
        <v>20</v>
      </c>
      <c r="K16" s="48" t="s">
        <v>36</v>
      </c>
      <c r="L16" s="49" t="s">
        <v>37</v>
      </c>
      <c r="M16" s="50"/>
      <c r="N16" s="50"/>
      <c r="O16" s="49"/>
    </row>
    <row r="17" s="1" customFormat="1" ht="18" customHeight="1" spans="1:15">
      <c r="A17" s="30"/>
      <c r="B17" s="16">
        <f t="shared" ref="B17:B39" si="3">ROUND(G17/(1+E17),2)</f>
        <v>0</v>
      </c>
      <c r="C17" s="31"/>
      <c r="D17" s="32"/>
      <c r="E17" s="33"/>
      <c r="F17" s="16">
        <f t="shared" ref="F17:F39" si="4">ROUND(G17/(1+E17)*E17,2)</f>
        <v>0</v>
      </c>
      <c r="G17" s="24"/>
      <c r="H17" s="21">
        <v>43311</v>
      </c>
      <c r="I17" s="12">
        <v>1090340</v>
      </c>
      <c r="J17" s="46" t="s">
        <v>20</v>
      </c>
      <c r="K17" s="48" t="s">
        <v>36</v>
      </c>
      <c r="L17" s="49" t="s">
        <v>37</v>
      </c>
      <c r="M17" s="50"/>
      <c r="N17" s="50"/>
      <c r="O17" s="49"/>
    </row>
    <row r="18" s="1" customFormat="1" ht="18" customHeight="1" spans="1:15">
      <c r="A18" s="30">
        <v>43299</v>
      </c>
      <c r="B18" s="16">
        <f t="shared" si="3"/>
        <v>2912621.36</v>
      </c>
      <c r="C18" s="31">
        <v>3</v>
      </c>
      <c r="D18" s="32" t="s">
        <v>35</v>
      </c>
      <c r="E18" s="33">
        <v>0.03</v>
      </c>
      <c r="F18" s="16">
        <f t="shared" si="4"/>
        <v>87378.64</v>
      </c>
      <c r="G18" s="24">
        <v>3000000</v>
      </c>
      <c r="H18" s="21">
        <v>43314</v>
      </c>
      <c r="I18" s="12">
        <v>799345</v>
      </c>
      <c r="J18" s="46" t="s">
        <v>20</v>
      </c>
      <c r="K18" s="48" t="s">
        <v>38</v>
      </c>
      <c r="L18" s="49" t="s">
        <v>39</v>
      </c>
      <c r="M18" s="50"/>
      <c r="N18" s="50"/>
      <c r="O18" s="49"/>
    </row>
    <row r="19" s="1" customFormat="1" ht="18" customHeight="1" spans="1:15">
      <c r="A19" s="30"/>
      <c r="B19" s="16">
        <f t="shared" si="3"/>
        <v>0</v>
      </c>
      <c r="C19" s="31"/>
      <c r="D19" s="32"/>
      <c r="E19" s="33"/>
      <c r="F19" s="16">
        <f t="shared" si="4"/>
        <v>0</v>
      </c>
      <c r="G19" s="24"/>
      <c r="H19" s="21">
        <v>43336</v>
      </c>
      <c r="I19" s="12">
        <v>429800</v>
      </c>
      <c r="J19" s="46" t="s">
        <v>20</v>
      </c>
      <c r="K19" s="48" t="s">
        <v>38</v>
      </c>
      <c r="L19" s="49" t="s">
        <v>39</v>
      </c>
      <c r="M19" s="50"/>
      <c r="N19" s="50"/>
      <c r="O19" s="49"/>
    </row>
    <row r="20" s="1" customFormat="1" ht="18" customHeight="1" spans="1:15">
      <c r="A20" s="30">
        <v>43299</v>
      </c>
      <c r="B20" s="16">
        <f t="shared" si="3"/>
        <v>876893.2</v>
      </c>
      <c r="C20" s="31">
        <v>1</v>
      </c>
      <c r="D20" s="32" t="s">
        <v>40</v>
      </c>
      <c r="E20" s="33">
        <v>0.03</v>
      </c>
      <c r="F20" s="16">
        <f t="shared" si="4"/>
        <v>26306.8</v>
      </c>
      <c r="G20" s="24">
        <v>903200</v>
      </c>
      <c r="H20" s="21">
        <v>43336</v>
      </c>
      <c r="I20" s="12">
        <v>500000</v>
      </c>
      <c r="J20" s="46" t="s">
        <v>20</v>
      </c>
      <c r="K20" s="48" t="s">
        <v>41</v>
      </c>
      <c r="L20" s="49" t="s">
        <v>42</v>
      </c>
      <c r="M20" s="50"/>
      <c r="N20" s="50"/>
      <c r="O20" s="49"/>
    </row>
    <row r="21" s="1" customFormat="1" ht="18" customHeight="1" spans="1:15">
      <c r="A21" s="30"/>
      <c r="B21" s="16">
        <f t="shared" si="3"/>
        <v>0</v>
      </c>
      <c r="C21" s="31"/>
      <c r="D21" s="32"/>
      <c r="E21" s="33"/>
      <c r="F21" s="16">
        <f t="shared" si="4"/>
        <v>0</v>
      </c>
      <c r="G21" s="24"/>
      <c r="H21" s="21">
        <v>43336</v>
      </c>
      <c r="I21" s="12">
        <v>1000000</v>
      </c>
      <c r="J21" s="46" t="s">
        <v>20</v>
      </c>
      <c r="K21" s="48" t="s">
        <v>43</v>
      </c>
      <c r="L21" s="49" t="s">
        <v>37</v>
      </c>
      <c r="M21" s="50"/>
      <c r="N21" s="50"/>
      <c r="O21" s="49"/>
    </row>
    <row r="22" s="1" customFormat="1" ht="18" customHeight="1" spans="1:15">
      <c r="A22" s="30">
        <v>43374</v>
      </c>
      <c r="B22" s="16">
        <f t="shared" si="3"/>
        <v>28543.4</v>
      </c>
      <c r="C22" s="31">
        <v>1</v>
      </c>
      <c r="D22" s="32" t="s">
        <v>35</v>
      </c>
      <c r="E22" s="33">
        <v>0.06</v>
      </c>
      <c r="F22" s="16">
        <f t="shared" si="4"/>
        <v>1712.6</v>
      </c>
      <c r="G22" s="24">
        <v>30256</v>
      </c>
      <c r="H22" s="21"/>
      <c r="I22" s="12"/>
      <c r="J22" s="46"/>
      <c r="K22" s="48" t="s">
        <v>44</v>
      </c>
      <c r="L22" s="49" t="s">
        <v>45</v>
      </c>
      <c r="M22" s="50"/>
      <c r="N22" s="50"/>
      <c r="O22" s="49"/>
    </row>
    <row r="23" s="1" customFormat="1" ht="18" customHeight="1" spans="1:15">
      <c r="A23" s="30"/>
      <c r="B23" s="16">
        <f t="shared" si="3"/>
        <v>0</v>
      </c>
      <c r="C23" s="31"/>
      <c r="D23" s="32"/>
      <c r="E23" s="33"/>
      <c r="F23" s="16">
        <f t="shared" si="4"/>
        <v>0</v>
      </c>
      <c r="G23" s="24"/>
      <c r="H23" s="21">
        <v>43728</v>
      </c>
      <c r="I23" s="12">
        <v>687891</v>
      </c>
      <c r="J23" s="46" t="s">
        <v>20</v>
      </c>
      <c r="K23" s="48" t="s">
        <v>38</v>
      </c>
      <c r="L23" s="49" t="s">
        <v>39</v>
      </c>
      <c r="M23" s="50"/>
      <c r="N23" s="50"/>
      <c r="O23" s="49"/>
    </row>
    <row r="24" s="1" customFormat="1" ht="18" customHeight="1" spans="1:15">
      <c r="A24" s="30"/>
      <c r="B24" s="16">
        <f t="shared" si="3"/>
        <v>0</v>
      </c>
      <c r="C24" s="31"/>
      <c r="D24" s="32"/>
      <c r="E24" s="33"/>
      <c r="F24" s="16">
        <f t="shared" si="4"/>
        <v>0</v>
      </c>
      <c r="G24" s="24"/>
      <c r="H24" s="34">
        <v>43476</v>
      </c>
      <c r="I24" s="51">
        <v>1050000</v>
      </c>
      <c r="J24" s="52" t="s">
        <v>46</v>
      </c>
      <c r="K24" s="53" t="s">
        <v>47</v>
      </c>
      <c r="L24" s="54" t="s">
        <v>48</v>
      </c>
      <c r="M24" s="50"/>
      <c r="N24" s="50"/>
      <c r="O24" s="49"/>
    </row>
    <row r="25" s="1" customFormat="1" ht="18" customHeight="1" spans="1:15">
      <c r="A25" s="30"/>
      <c r="B25" s="16">
        <f t="shared" si="3"/>
        <v>0</v>
      </c>
      <c r="C25" s="31"/>
      <c r="D25" s="32"/>
      <c r="E25" s="33"/>
      <c r="F25" s="16">
        <f t="shared" si="4"/>
        <v>0</v>
      </c>
      <c r="G25" s="24"/>
      <c r="H25" s="34" t="s">
        <v>49</v>
      </c>
      <c r="I25" s="51">
        <v>142100</v>
      </c>
      <c r="J25" s="52" t="s">
        <v>50</v>
      </c>
      <c r="K25" s="53" t="s">
        <v>51</v>
      </c>
      <c r="L25" s="54"/>
      <c r="M25" s="50"/>
      <c r="N25" s="50"/>
      <c r="O25" s="49"/>
    </row>
    <row r="26" s="1" customFormat="1" ht="18" customHeight="1" spans="1:15">
      <c r="A26" s="30">
        <v>43586</v>
      </c>
      <c r="B26" s="16">
        <f t="shared" si="3"/>
        <v>693805.31</v>
      </c>
      <c r="C26" s="31"/>
      <c r="D26" s="32" t="s">
        <v>35</v>
      </c>
      <c r="E26" s="33">
        <v>0.13</v>
      </c>
      <c r="F26" s="16">
        <f t="shared" si="4"/>
        <v>90194.69</v>
      </c>
      <c r="G26" s="24">
        <f>112000*7</f>
        <v>784000</v>
      </c>
      <c r="H26" s="21"/>
      <c r="I26" s="12"/>
      <c r="J26" s="46"/>
      <c r="K26" s="48" t="s">
        <v>43</v>
      </c>
      <c r="L26" s="49" t="s">
        <v>52</v>
      </c>
      <c r="M26" s="50"/>
      <c r="N26" s="50"/>
      <c r="O26" s="49"/>
    </row>
    <row r="27" s="1" customFormat="1" ht="18" customHeight="1" spans="1:15">
      <c r="A27" s="30"/>
      <c r="B27" s="16">
        <f t="shared" si="3"/>
        <v>0</v>
      </c>
      <c r="C27" s="31"/>
      <c r="D27" s="32"/>
      <c r="E27" s="33"/>
      <c r="F27" s="16">
        <f t="shared" si="4"/>
        <v>0</v>
      </c>
      <c r="G27" s="24"/>
      <c r="H27" s="21">
        <v>43658</v>
      </c>
      <c r="I27" s="12">
        <v>100000</v>
      </c>
      <c r="J27" s="46" t="s">
        <v>20</v>
      </c>
      <c r="K27" s="48" t="s">
        <v>41</v>
      </c>
      <c r="L27" s="49" t="s">
        <v>42</v>
      </c>
      <c r="M27" s="50"/>
      <c r="N27" s="50"/>
      <c r="O27" s="49"/>
    </row>
    <row r="28" s="1" customFormat="1" ht="18" customHeight="1" spans="1:15">
      <c r="A28" s="30"/>
      <c r="B28" s="16">
        <f t="shared" si="3"/>
        <v>0</v>
      </c>
      <c r="C28" s="31"/>
      <c r="D28" s="32"/>
      <c r="E28" s="33"/>
      <c r="F28" s="16">
        <f t="shared" si="4"/>
        <v>0</v>
      </c>
      <c r="G28" s="24"/>
      <c r="H28" s="21">
        <v>43658</v>
      </c>
      <c r="I28" s="12">
        <v>-100000</v>
      </c>
      <c r="J28" s="46" t="s">
        <v>46</v>
      </c>
      <c r="K28" s="48" t="s">
        <v>53</v>
      </c>
      <c r="L28" s="49"/>
      <c r="M28" s="50"/>
      <c r="N28" s="50"/>
      <c r="O28" s="49"/>
    </row>
    <row r="29" s="1" customFormat="1" ht="18" customHeight="1" spans="1:15">
      <c r="A29" s="30">
        <v>43709</v>
      </c>
      <c r="B29" s="16">
        <f t="shared" si="3"/>
        <v>176991.15</v>
      </c>
      <c r="C29" s="31"/>
      <c r="D29" s="32" t="s">
        <v>35</v>
      </c>
      <c r="E29" s="33">
        <v>0.13</v>
      </c>
      <c r="F29" s="16">
        <f t="shared" si="4"/>
        <v>23008.85</v>
      </c>
      <c r="G29" s="24">
        <v>200000</v>
      </c>
      <c r="H29" s="21"/>
      <c r="I29" s="12"/>
      <c r="J29" s="46"/>
      <c r="K29" s="48" t="s">
        <v>43</v>
      </c>
      <c r="L29" s="49" t="s">
        <v>54</v>
      </c>
      <c r="M29" s="50"/>
      <c r="N29" s="50"/>
      <c r="O29" s="49"/>
    </row>
    <row r="30" s="1" customFormat="1" ht="18" customHeight="1" spans="1:15">
      <c r="A30" s="30">
        <v>43800</v>
      </c>
      <c r="B30" s="16">
        <f t="shared" si="3"/>
        <v>477669.9</v>
      </c>
      <c r="C30" s="31"/>
      <c r="D30" s="32" t="s">
        <v>35</v>
      </c>
      <c r="E30" s="35">
        <v>0.03</v>
      </c>
      <c r="F30" s="16">
        <f t="shared" si="4"/>
        <v>14330.1</v>
      </c>
      <c r="G30" s="24">
        <v>492000</v>
      </c>
      <c r="H30" s="21">
        <v>43717</v>
      </c>
      <c r="I30" s="12">
        <v>492000</v>
      </c>
      <c r="J30" s="46" t="s">
        <v>20</v>
      </c>
      <c r="K30" s="55" t="s">
        <v>55</v>
      </c>
      <c r="L30" s="56" t="s">
        <v>56</v>
      </c>
      <c r="M30" s="56" t="s">
        <v>48</v>
      </c>
      <c r="N30" s="50"/>
      <c r="O30" s="49" t="s">
        <v>57</v>
      </c>
    </row>
    <row r="31" s="1" customFormat="1" ht="18" customHeight="1" spans="1:15">
      <c r="A31" s="30"/>
      <c r="B31" s="16">
        <f t="shared" si="3"/>
        <v>0</v>
      </c>
      <c r="C31" s="31"/>
      <c r="D31" s="32"/>
      <c r="E31" s="33"/>
      <c r="F31" s="16">
        <f t="shared" si="4"/>
        <v>0</v>
      </c>
      <c r="G31" s="24"/>
      <c r="H31" s="21">
        <v>43782</v>
      </c>
      <c r="I31" s="12">
        <v>150000</v>
      </c>
      <c r="J31" s="46" t="s">
        <v>20</v>
      </c>
      <c r="K31" s="48" t="s">
        <v>41</v>
      </c>
      <c r="L31" s="49" t="s">
        <v>58</v>
      </c>
      <c r="M31" s="50"/>
      <c r="N31" s="50"/>
      <c r="O31" s="49"/>
    </row>
    <row r="32" s="1" customFormat="1" ht="18" customHeight="1" spans="1:15">
      <c r="A32" s="30"/>
      <c r="B32" s="16">
        <f t="shared" si="3"/>
        <v>0</v>
      </c>
      <c r="C32" s="31"/>
      <c r="D32" s="32"/>
      <c r="E32" s="33"/>
      <c r="F32" s="16">
        <f t="shared" si="4"/>
        <v>0</v>
      </c>
      <c r="G32" s="24"/>
      <c r="H32" s="21">
        <v>43782</v>
      </c>
      <c r="I32" s="12">
        <v>1082964</v>
      </c>
      <c r="J32" s="46" t="s">
        <v>20</v>
      </c>
      <c r="K32" s="48" t="s">
        <v>38</v>
      </c>
      <c r="L32" s="49" t="s">
        <v>59</v>
      </c>
      <c r="M32" s="50"/>
      <c r="N32" s="50"/>
      <c r="O32" s="49"/>
    </row>
    <row r="33" s="1" customFormat="1" ht="18" customHeight="1" spans="1:15">
      <c r="A33" s="30">
        <v>43800</v>
      </c>
      <c r="B33" s="16">
        <f t="shared" si="3"/>
        <v>436893.2</v>
      </c>
      <c r="C33" s="31"/>
      <c r="D33" s="32" t="s">
        <v>35</v>
      </c>
      <c r="E33" s="35">
        <v>0.03</v>
      </c>
      <c r="F33" s="16">
        <f t="shared" si="4"/>
        <v>13106.8</v>
      </c>
      <c r="G33" s="24">
        <v>450000</v>
      </c>
      <c r="H33" s="21">
        <v>43850</v>
      </c>
      <c r="I33" s="57">
        <v>450000</v>
      </c>
      <c r="J33" s="46" t="s">
        <v>20</v>
      </c>
      <c r="K33" s="53" t="s">
        <v>55</v>
      </c>
      <c r="L33" s="54" t="s">
        <v>60</v>
      </c>
      <c r="M33" s="58"/>
      <c r="N33" s="50"/>
      <c r="O33" s="49" t="s">
        <v>61</v>
      </c>
    </row>
    <row r="34" s="1" customFormat="1" ht="18" customHeight="1" spans="1:15">
      <c r="A34" s="30">
        <v>43800</v>
      </c>
      <c r="B34" s="16">
        <f t="shared" si="3"/>
        <v>191150.44</v>
      </c>
      <c r="C34" s="31"/>
      <c r="D34" s="32" t="s">
        <v>35</v>
      </c>
      <c r="E34" s="35">
        <v>0.13</v>
      </c>
      <c r="F34" s="16">
        <f t="shared" si="4"/>
        <v>24849.56</v>
      </c>
      <c r="G34" s="24">
        <f>108000*2</f>
        <v>216000</v>
      </c>
      <c r="H34" s="21">
        <v>43849</v>
      </c>
      <c r="I34" s="12">
        <v>200000</v>
      </c>
      <c r="J34" s="46" t="s">
        <v>20</v>
      </c>
      <c r="K34" s="48" t="s">
        <v>43</v>
      </c>
      <c r="L34" s="49" t="s">
        <v>62</v>
      </c>
      <c r="M34" s="50" t="s">
        <v>63</v>
      </c>
      <c r="N34" s="50" t="s">
        <v>63</v>
      </c>
      <c r="O34" s="49"/>
    </row>
    <row r="35" s="1" customFormat="1" ht="18" customHeight="1" spans="1:15">
      <c r="A35" s="30">
        <v>43891</v>
      </c>
      <c r="B35" s="16">
        <f t="shared" si="3"/>
        <v>98000</v>
      </c>
      <c r="C35" s="31"/>
      <c r="D35" s="32" t="s">
        <v>64</v>
      </c>
      <c r="E35" s="35"/>
      <c r="F35" s="16">
        <f t="shared" si="4"/>
        <v>0</v>
      </c>
      <c r="G35" s="36">
        <v>98000</v>
      </c>
      <c r="H35" s="21">
        <v>43852</v>
      </c>
      <c r="I35" s="12">
        <v>98000</v>
      </c>
      <c r="J35" s="46" t="s">
        <v>46</v>
      </c>
      <c r="K35" s="48" t="s">
        <v>65</v>
      </c>
      <c r="L35" s="49" t="s">
        <v>66</v>
      </c>
      <c r="M35" s="50"/>
      <c r="N35" s="50"/>
      <c r="O35" s="49" t="s">
        <v>67</v>
      </c>
    </row>
    <row r="36" s="1" customFormat="1" ht="18" customHeight="1" spans="1:15">
      <c r="A36" s="30">
        <v>43891</v>
      </c>
      <c r="B36" s="16">
        <f t="shared" si="3"/>
        <v>98000</v>
      </c>
      <c r="C36" s="31"/>
      <c r="D36" s="32" t="s">
        <v>64</v>
      </c>
      <c r="E36" s="35"/>
      <c r="F36" s="16">
        <f t="shared" si="4"/>
        <v>0</v>
      </c>
      <c r="G36" s="36">
        <v>98000</v>
      </c>
      <c r="H36" s="21">
        <v>43852</v>
      </c>
      <c r="I36" s="12">
        <v>98000</v>
      </c>
      <c r="J36" s="46" t="s">
        <v>46</v>
      </c>
      <c r="K36" s="48" t="s">
        <v>68</v>
      </c>
      <c r="L36" s="49" t="s">
        <v>66</v>
      </c>
      <c r="M36" s="50"/>
      <c r="N36" s="50"/>
      <c r="O36" s="49" t="s">
        <v>67</v>
      </c>
    </row>
    <row r="37" s="1" customFormat="1" ht="18" customHeight="1" spans="1:15">
      <c r="A37" s="30">
        <v>43891</v>
      </c>
      <c r="B37" s="16">
        <f t="shared" si="3"/>
        <v>98000</v>
      </c>
      <c r="C37" s="31"/>
      <c r="D37" s="32" t="s">
        <v>64</v>
      </c>
      <c r="E37" s="35"/>
      <c r="F37" s="16">
        <f t="shared" si="4"/>
        <v>0</v>
      </c>
      <c r="G37" s="36">
        <v>98000</v>
      </c>
      <c r="H37" s="21">
        <v>43852</v>
      </c>
      <c r="I37" s="12">
        <v>98000</v>
      </c>
      <c r="J37" s="46" t="s">
        <v>46</v>
      </c>
      <c r="K37" s="48" t="s">
        <v>69</v>
      </c>
      <c r="L37" s="49" t="s">
        <v>66</v>
      </c>
      <c r="M37" s="50"/>
      <c r="N37" s="50"/>
      <c r="O37" s="49" t="s">
        <v>67</v>
      </c>
    </row>
    <row r="38" s="1" customFormat="1" ht="18" customHeight="1" spans="1:15">
      <c r="A38" s="30">
        <v>43891</v>
      </c>
      <c r="B38" s="16">
        <f t="shared" si="3"/>
        <v>98000</v>
      </c>
      <c r="C38" s="31"/>
      <c r="D38" s="32" t="s">
        <v>64</v>
      </c>
      <c r="E38" s="35"/>
      <c r="F38" s="16">
        <f t="shared" si="4"/>
        <v>0</v>
      </c>
      <c r="G38" s="36">
        <v>98000</v>
      </c>
      <c r="H38" s="21">
        <v>43852</v>
      </c>
      <c r="I38" s="12">
        <v>98000</v>
      </c>
      <c r="J38" s="46" t="s">
        <v>46</v>
      </c>
      <c r="K38" s="48" t="s">
        <v>70</v>
      </c>
      <c r="L38" s="49" t="s">
        <v>66</v>
      </c>
      <c r="M38" s="50"/>
      <c r="N38" s="50"/>
      <c r="O38" s="49" t="s">
        <v>67</v>
      </c>
    </row>
    <row r="39" s="1" customFormat="1" ht="18" customHeight="1" spans="1:15">
      <c r="A39" s="30">
        <v>43891</v>
      </c>
      <c r="B39" s="16">
        <f t="shared" ref="B39:B49" si="5">ROUND(G39/(1+E39),2)</f>
        <v>98000</v>
      </c>
      <c r="C39" s="31"/>
      <c r="D39" s="32" t="s">
        <v>64</v>
      </c>
      <c r="E39" s="35"/>
      <c r="F39" s="16">
        <f t="shared" si="4"/>
        <v>0</v>
      </c>
      <c r="G39" s="36">
        <v>98000</v>
      </c>
      <c r="H39" s="21">
        <v>43852</v>
      </c>
      <c r="I39" s="12">
        <v>98000</v>
      </c>
      <c r="J39" s="46" t="s">
        <v>46</v>
      </c>
      <c r="K39" s="48" t="s">
        <v>71</v>
      </c>
      <c r="L39" s="49" t="s">
        <v>66</v>
      </c>
      <c r="M39" s="50"/>
      <c r="N39" s="50"/>
      <c r="O39" s="49" t="s">
        <v>67</v>
      </c>
    </row>
    <row r="40" s="1" customFormat="1" ht="18" customHeight="1" spans="1:15">
      <c r="A40" s="30">
        <v>43891</v>
      </c>
      <c r="B40" s="16">
        <f t="shared" si="5"/>
        <v>436893.2</v>
      </c>
      <c r="C40" s="31"/>
      <c r="D40" s="32" t="s">
        <v>72</v>
      </c>
      <c r="E40" s="35">
        <v>0.03</v>
      </c>
      <c r="F40" s="16">
        <f t="shared" ref="F40:F49" si="6">ROUND(G40/(1+E40)*E40,2)</f>
        <v>13106.8</v>
      </c>
      <c r="G40" s="36">
        <v>450000</v>
      </c>
      <c r="H40" s="21"/>
      <c r="I40" s="12"/>
      <c r="J40" s="46"/>
      <c r="K40" s="48" t="s">
        <v>55</v>
      </c>
      <c r="L40" s="49" t="s">
        <v>73</v>
      </c>
      <c r="M40" s="50"/>
      <c r="N40" s="50"/>
      <c r="O40" s="49" t="s">
        <v>67</v>
      </c>
    </row>
    <row r="41" s="1" customFormat="1" ht="18" customHeight="1" spans="1:15">
      <c r="A41" s="30"/>
      <c r="B41" s="16">
        <f t="shared" si="5"/>
        <v>0</v>
      </c>
      <c r="C41" s="31"/>
      <c r="D41" s="32"/>
      <c r="E41" s="35"/>
      <c r="F41" s="16">
        <f t="shared" si="6"/>
        <v>0</v>
      </c>
      <c r="G41" s="24"/>
      <c r="H41" s="21"/>
      <c r="I41" s="12"/>
      <c r="J41" s="46"/>
      <c r="K41" s="48"/>
      <c r="L41" s="49"/>
      <c r="M41" s="50"/>
      <c r="N41" s="50"/>
      <c r="O41" s="49"/>
    </row>
    <row r="42" s="1" customFormat="1" ht="18" customHeight="1" spans="1:15">
      <c r="A42" s="30"/>
      <c r="B42" s="16">
        <f t="shared" si="5"/>
        <v>0</v>
      </c>
      <c r="C42" s="31"/>
      <c r="D42" s="32"/>
      <c r="E42" s="35"/>
      <c r="F42" s="16">
        <f t="shared" si="6"/>
        <v>0</v>
      </c>
      <c r="G42" s="24"/>
      <c r="H42" s="21"/>
      <c r="I42" s="12"/>
      <c r="J42" s="46"/>
      <c r="K42" s="48"/>
      <c r="L42" s="49"/>
      <c r="M42" s="50"/>
      <c r="N42" s="50"/>
      <c r="O42" s="49"/>
    </row>
    <row r="43" s="1" customFormat="1" ht="18" customHeight="1" spans="1:15">
      <c r="A43" s="30"/>
      <c r="B43" s="16">
        <f t="shared" si="5"/>
        <v>0</v>
      </c>
      <c r="C43" s="31"/>
      <c r="D43" s="32"/>
      <c r="E43" s="35"/>
      <c r="F43" s="16">
        <f t="shared" si="6"/>
        <v>0</v>
      </c>
      <c r="G43" s="24"/>
      <c r="H43" s="21"/>
      <c r="I43" s="12"/>
      <c r="J43" s="46"/>
      <c r="K43" s="48"/>
      <c r="L43" s="49"/>
      <c r="M43" s="50"/>
      <c r="N43" s="50"/>
      <c r="O43" s="49"/>
    </row>
    <row r="44" s="1" customFormat="1" ht="18" customHeight="1" spans="1:15">
      <c r="A44" s="30"/>
      <c r="B44" s="16">
        <f t="shared" si="5"/>
        <v>0</v>
      </c>
      <c r="C44" s="31"/>
      <c r="D44" s="32"/>
      <c r="E44" s="35"/>
      <c r="F44" s="16">
        <f t="shared" si="6"/>
        <v>0</v>
      </c>
      <c r="G44" s="24"/>
      <c r="H44" s="21"/>
      <c r="I44" s="12"/>
      <c r="J44" s="46"/>
      <c r="K44" s="48"/>
      <c r="L44" s="49"/>
      <c r="M44" s="50"/>
      <c r="N44" s="50"/>
      <c r="O44" s="49"/>
    </row>
    <row r="45" s="1" customFormat="1" ht="18" customHeight="1" spans="1:15">
      <c r="A45" s="30"/>
      <c r="B45" s="16">
        <f t="shared" si="5"/>
        <v>0</v>
      </c>
      <c r="C45" s="31"/>
      <c r="D45" s="32"/>
      <c r="E45" s="35"/>
      <c r="F45" s="16">
        <f t="shared" si="6"/>
        <v>0</v>
      </c>
      <c r="G45" s="24"/>
      <c r="H45" s="21" t="s">
        <v>74</v>
      </c>
      <c r="I45" s="12">
        <v>-608950</v>
      </c>
      <c r="J45" s="46" t="s">
        <v>75</v>
      </c>
      <c r="K45" s="48" t="s">
        <v>76</v>
      </c>
      <c r="L45" s="49"/>
      <c r="M45" s="50"/>
      <c r="N45" s="50"/>
      <c r="O45" s="49"/>
    </row>
    <row r="46" s="1" customFormat="1" ht="18" customHeight="1" spans="1:15">
      <c r="A46" s="30"/>
      <c r="B46" s="16">
        <f t="shared" si="5"/>
        <v>0</v>
      </c>
      <c r="C46" s="31"/>
      <c r="D46" s="32"/>
      <c r="E46" s="35"/>
      <c r="F46" s="16">
        <f t="shared" si="6"/>
        <v>0</v>
      </c>
      <c r="G46" s="24"/>
      <c r="H46" s="21" t="s">
        <v>74</v>
      </c>
      <c r="I46" s="12"/>
      <c r="J46" s="46" t="s">
        <v>77</v>
      </c>
      <c r="K46" s="48" t="s">
        <v>78</v>
      </c>
      <c r="L46" s="49"/>
      <c r="M46" s="50"/>
      <c r="N46" s="50"/>
      <c r="O46" s="49"/>
    </row>
    <row r="47" s="1" customFormat="1" ht="18" customHeight="1" spans="1:15">
      <c r="A47" s="30"/>
      <c r="B47" s="16">
        <f t="shared" si="5"/>
        <v>0</v>
      </c>
      <c r="C47" s="31"/>
      <c r="D47" s="32"/>
      <c r="E47" s="35"/>
      <c r="F47" s="16">
        <f t="shared" si="6"/>
        <v>0</v>
      </c>
      <c r="G47" s="24"/>
      <c r="H47" s="21" t="s">
        <v>79</v>
      </c>
      <c r="I47" s="12">
        <v>250</v>
      </c>
      <c r="J47" s="46" t="s">
        <v>50</v>
      </c>
      <c r="K47" s="48" t="s">
        <v>80</v>
      </c>
      <c r="L47" s="49"/>
      <c r="M47" s="50"/>
      <c r="N47" s="50"/>
      <c r="O47" s="49"/>
    </row>
    <row r="48" s="1" customFormat="1" ht="18" customHeight="1" spans="1:15">
      <c r="A48" s="30"/>
      <c r="B48" s="16">
        <f t="shared" si="5"/>
        <v>0</v>
      </c>
      <c r="C48" s="31"/>
      <c r="D48" s="32"/>
      <c r="E48" s="35"/>
      <c r="F48" s="16">
        <f t="shared" si="6"/>
        <v>0</v>
      </c>
      <c r="G48" s="24"/>
      <c r="H48" s="21" t="s">
        <v>79</v>
      </c>
      <c r="I48" s="12">
        <v>110000</v>
      </c>
      <c r="J48" s="46" t="s">
        <v>77</v>
      </c>
      <c r="K48" s="48" t="s">
        <v>81</v>
      </c>
      <c r="L48" s="49"/>
      <c r="M48" s="50"/>
      <c r="N48" s="50"/>
      <c r="O48" s="49"/>
    </row>
    <row r="49" s="1" customFormat="1" ht="18" customHeight="1" spans="1:15">
      <c r="A49" s="30"/>
      <c r="B49" s="16">
        <f t="shared" si="5"/>
        <v>0</v>
      </c>
      <c r="C49" s="31"/>
      <c r="D49" s="32"/>
      <c r="E49" s="35"/>
      <c r="F49" s="16">
        <f t="shared" si="6"/>
        <v>0</v>
      </c>
      <c r="G49" s="24"/>
      <c r="H49" s="21" t="s">
        <v>82</v>
      </c>
      <c r="I49" s="12">
        <v>100</v>
      </c>
      <c r="J49" s="46" t="s">
        <v>50</v>
      </c>
      <c r="K49" s="48" t="s">
        <v>80</v>
      </c>
      <c r="L49" s="49"/>
      <c r="M49" s="50"/>
      <c r="N49" s="50"/>
      <c r="O49" s="49"/>
    </row>
    <row r="50" s="1" customFormat="1" ht="18" customHeight="1" spans="1:15">
      <c r="A50" s="30"/>
      <c r="B50" s="16">
        <f t="shared" ref="B48:B53" si="7">ROUND(G50/(1+E50),2)</f>
        <v>0</v>
      </c>
      <c r="C50" s="31"/>
      <c r="D50" s="32"/>
      <c r="E50" s="35"/>
      <c r="F50" s="16">
        <f t="shared" ref="F47:F52" si="8">ROUND(G50/(1+E50)*E50,2)</f>
        <v>0</v>
      </c>
      <c r="G50" s="24"/>
      <c r="H50" s="21" t="s">
        <v>82</v>
      </c>
      <c r="I50" s="12">
        <v>100</v>
      </c>
      <c r="J50" s="46" t="s">
        <v>50</v>
      </c>
      <c r="K50" s="48" t="s">
        <v>80</v>
      </c>
      <c r="L50" s="49"/>
      <c r="M50" s="50"/>
      <c r="N50" s="50"/>
      <c r="O50" s="49"/>
    </row>
    <row r="51" s="1" customFormat="1" ht="18" customHeight="1" spans="1:15">
      <c r="A51" s="30"/>
      <c r="B51" s="16">
        <f t="shared" si="7"/>
        <v>0</v>
      </c>
      <c r="C51" s="31"/>
      <c r="D51" s="32"/>
      <c r="E51" s="33"/>
      <c r="F51" s="16">
        <f t="shared" si="8"/>
        <v>0</v>
      </c>
      <c r="G51" s="24"/>
      <c r="H51" s="21" t="s">
        <v>83</v>
      </c>
      <c r="I51" s="51">
        <v>-276429</v>
      </c>
      <c r="J51" s="46" t="s">
        <v>75</v>
      </c>
      <c r="K51" s="48" t="s">
        <v>76</v>
      </c>
      <c r="L51" s="49"/>
      <c r="M51" s="50"/>
      <c r="N51" s="50"/>
      <c r="O51" s="49"/>
    </row>
    <row r="52" s="1" customFormat="1" ht="18" customHeight="1" spans="1:18">
      <c r="A52" s="30"/>
      <c r="B52" s="16">
        <f t="shared" si="7"/>
        <v>0</v>
      </c>
      <c r="C52" s="31"/>
      <c r="D52" s="32"/>
      <c r="E52" s="33"/>
      <c r="F52" s="16">
        <f t="shared" si="8"/>
        <v>0</v>
      </c>
      <c r="G52" s="24"/>
      <c r="H52" s="21" t="s">
        <v>83</v>
      </c>
      <c r="I52" s="51">
        <v>775379</v>
      </c>
      <c r="J52" s="46" t="s">
        <v>77</v>
      </c>
      <c r="K52" s="48" t="s">
        <v>81</v>
      </c>
      <c r="L52" s="49"/>
      <c r="M52" s="50"/>
      <c r="N52" s="50"/>
      <c r="O52" s="49"/>
      <c r="R52" s="1">
        <f>I48+I51+I52</f>
        <v>608950</v>
      </c>
    </row>
    <row r="53" s="1" customFormat="1" ht="18" customHeight="1" spans="1:15">
      <c r="A53" s="30"/>
      <c r="B53" s="16">
        <f t="shared" ref="B53:B62" si="9">ROUND(G53/(1+E53),2)</f>
        <v>0</v>
      </c>
      <c r="C53" s="31"/>
      <c r="D53" s="32"/>
      <c r="E53" s="33"/>
      <c r="F53" s="16">
        <f t="shared" ref="F53:F61" si="10">ROUND(G53/(1+E53)*E53,2)</f>
        <v>0</v>
      </c>
      <c r="G53" s="24"/>
      <c r="H53" s="21"/>
      <c r="I53" s="12">
        <v>398</v>
      </c>
      <c r="J53" s="46" t="s">
        <v>50</v>
      </c>
      <c r="K53" s="48" t="s">
        <v>84</v>
      </c>
      <c r="L53" s="49"/>
      <c r="M53" s="50"/>
      <c r="N53" s="50"/>
      <c r="O53" s="49"/>
    </row>
    <row r="54" s="1" customFormat="1" ht="18" customHeight="1" spans="1:15">
      <c r="A54" s="30"/>
      <c r="B54" s="16">
        <f t="shared" si="9"/>
        <v>0</v>
      </c>
      <c r="C54" s="31"/>
      <c r="D54" s="32"/>
      <c r="E54" s="33"/>
      <c r="F54" s="16">
        <f t="shared" si="10"/>
        <v>0</v>
      </c>
      <c r="G54" s="24"/>
      <c r="H54" s="21" t="s">
        <v>49</v>
      </c>
      <c r="I54" s="12">
        <v>4226</v>
      </c>
      <c r="J54" s="46" t="s">
        <v>50</v>
      </c>
      <c r="K54" s="48" t="s">
        <v>85</v>
      </c>
      <c r="L54" s="49"/>
      <c r="M54" s="50"/>
      <c r="N54" s="50"/>
      <c r="O54" s="49"/>
    </row>
    <row r="55" s="1" customFormat="1" ht="18" customHeight="1" spans="1:15">
      <c r="A55" s="30"/>
      <c r="B55" s="16">
        <f t="shared" si="9"/>
        <v>0</v>
      </c>
      <c r="C55" s="31"/>
      <c r="D55" s="32"/>
      <c r="E55" s="33"/>
      <c r="F55" s="16">
        <f t="shared" si="10"/>
        <v>0</v>
      </c>
      <c r="G55" s="24"/>
      <c r="H55" s="21" t="s">
        <v>49</v>
      </c>
      <c r="I55" s="12">
        <v>249595</v>
      </c>
      <c r="J55" s="46" t="s">
        <v>50</v>
      </c>
      <c r="K55" s="48" t="s">
        <v>86</v>
      </c>
      <c r="L55" s="49"/>
      <c r="M55" s="50"/>
      <c r="N55" s="50"/>
      <c r="O55" s="49"/>
    </row>
    <row r="56" s="1" customFormat="1" ht="18" customHeight="1" spans="1:15">
      <c r="A56" s="30"/>
      <c r="B56" s="16">
        <f t="shared" si="9"/>
        <v>0</v>
      </c>
      <c r="C56" s="31"/>
      <c r="D56" s="32"/>
      <c r="E56" s="33"/>
      <c r="F56" s="16">
        <f t="shared" si="10"/>
        <v>0</v>
      </c>
      <c r="G56" s="24"/>
      <c r="H56" s="21" t="s">
        <v>49</v>
      </c>
      <c r="I56" s="51">
        <v>20000</v>
      </c>
      <c r="J56" s="46" t="s">
        <v>50</v>
      </c>
      <c r="K56" s="48" t="s">
        <v>87</v>
      </c>
      <c r="L56" s="49"/>
      <c r="M56" s="50"/>
      <c r="N56" s="50"/>
      <c r="O56" s="49"/>
    </row>
    <row r="57" s="1" customFormat="1" ht="18" customHeight="1" spans="1:15">
      <c r="A57" s="30"/>
      <c r="B57" s="16">
        <f t="shared" si="9"/>
        <v>0</v>
      </c>
      <c r="C57" s="31"/>
      <c r="D57" s="32"/>
      <c r="E57" s="33"/>
      <c r="F57" s="16">
        <f t="shared" si="10"/>
        <v>0</v>
      </c>
      <c r="G57" s="24"/>
      <c r="H57" s="21" t="s">
        <v>49</v>
      </c>
      <c r="I57" s="12">
        <v>500</v>
      </c>
      <c r="J57" s="46" t="s">
        <v>50</v>
      </c>
      <c r="K57" s="48" t="s">
        <v>88</v>
      </c>
      <c r="L57" s="49"/>
      <c r="M57" s="50"/>
      <c r="N57" s="50"/>
      <c r="O57" s="49"/>
    </row>
    <row r="58" s="1" customFormat="1" ht="18" customHeight="1" spans="1:15">
      <c r="A58" s="30"/>
      <c r="B58" s="16">
        <f t="shared" si="9"/>
        <v>0</v>
      </c>
      <c r="C58" s="31"/>
      <c r="D58" s="32"/>
      <c r="E58" s="33"/>
      <c r="F58" s="16">
        <f t="shared" si="10"/>
        <v>0</v>
      </c>
      <c r="G58" s="24"/>
      <c r="H58" s="21" t="s">
        <v>49</v>
      </c>
      <c r="I58" s="12"/>
      <c r="J58" s="46"/>
      <c r="K58" s="48"/>
      <c r="L58" s="49"/>
      <c r="M58" s="50"/>
      <c r="N58" s="50"/>
      <c r="O58" s="49"/>
    </row>
    <row r="59" s="1" customFormat="1" ht="18" customHeight="1" spans="1:15">
      <c r="A59" s="30"/>
      <c r="B59" s="16">
        <f t="shared" si="9"/>
        <v>0</v>
      </c>
      <c r="C59" s="31"/>
      <c r="D59" s="32"/>
      <c r="E59" s="33"/>
      <c r="F59" s="16">
        <f t="shared" si="10"/>
        <v>0</v>
      </c>
      <c r="G59" s="24"/>
      <c r="H59" s="21"/>
      <c r="I59" s="51">
        <f>20000+6949</f>
        <v>26949</v>
      </c>
      <c r="J59" s="46" t="s">
        <v>77</v>
      </c>
      <c r="K59" s="48" t="s">
        <v>78</v>
      </c>
      <c r="L59" s="49"/>
      <c r="M59" s="50"/>
      <c r="N59" s="50"/>
      <c r="O59" s="49"/>
    </row>
    <row r="60" s="1" customFormat="1" ht="18" customHeight="1" spans="1:15">
      <c r="A60" s="30"/>
      <c r="B60" s="16">
        <f t="shared" si="9"/>
        <v>0</v>
      </c>
      <c r="C60" s="31"/>
      <c r="D60" s="32"/>
      <c r="E60" s="33"/>
      <c r="F60" s="16">
        <f t="shared" si="10"/>
        <v>0</v>
      </c>
      <c r="G60" s="24"/>
      <c r="H60" s="21"/>
      <c r="I60" s="51">
        <v>20000</v>
      </c>
      <c r="J60" s="46" t="s">
        <v>77</v>
      </c>
      <c r="K60" s="48" t="s">
        <v>78</v>
      </c>
      <c r="L60" s="49"/>
      <c r="M60" s="50"/>
      <c r="N60" s="50"/>
      <c r="O60" s="49"/>
    </row>
    <row r="61" s="1" customFormat="1" ht="18" customHeight="1" spans="1:15">
      <c r="A61" s="30"/>
      <c r="B61" s="16">
        <f t="shared" si="9"/>
        <v>0</v>
      </c>
      <c r="C61" s="31"/>
      <c r="D61" s="32"/>
      <c r="E61" s="33"/>
      <c r="F61" s="16">
        <f t="shared" si="10"/>
        <v>0</v>
      </c>
      <c r="G61" s="24"/>
      <c r="H61" s="21"/>
      <c r="I61" s="12">
        <v>4815</v>
      </c>
      <c r="J61" s="46" t="s">
        <v>50</v>
      </c>
      <c r="K61" s="48" t="s">
        <v>89</v>
      </c>
      <c r="L61" s="49"/>
      <c r="M61" s="50"/>
      <c r="N61" s="50"/>
      <c r="O61" s="49"/>
    </row>
    <row r="62" s="1" customFormat="1" ht="18" customHeight="1" spans="1:18">
      <c r="A62" s="30"/>
      <c r="B62" s="16">
        <f t="shared" si="9"/>
        <v>0</v>
      </c>
      <c r="C62" s="31"/>
      <c r="D62" s="32"/>
      <c r="E62" s="33"/>
      <c r="F62" s="16">
        <f t="shared" ref="F61:F63" si="11">ROUND(G62/(1+E62)*E62,2)</f>
        <v>0</v>
      </c>
      <c r="G62" s="24"/>
      <c r="H62" s="21"/>
      <c r="I62" s="12">
        <v>500</v>
      </c>
      <c r="J62" s="46" t="s">
        <v>50</v>
      </c>
      <c r="K62" s="48" t="s">
        <v>88</v>
      </c>
      <c r="L62" s="49"/>
      <c r="M62" s="50"/>
      <c r="N62" s="50"/>
      <c r="O62" s="49"/>
      <c r="R62" s="1">
        <f>I51+I52</f>
        <v>498950</v>
      </c>
    </row>
    <row r="63" s="1" customFormat="1" ht="18" customHeight="1" spans="1:15">
      <c r="A63" s="30"/>
      <c r="B63" s="16">
        <f t="shared" ref="B61:B63" si="12">ROUND(G63/(1+E63),2)</f>
        <v>65200</v>
      </c>
      <c r="C63" s="31"/>
      <c r="D63" s="32"/>
      <c r="E63" s="33"/>
      <c r="F63" s="16">
        <f t="shared" si="11"/>
        <v>0</v>
      </c>
      <c r="G63" s="24">
        <f>15000+50200</f>
        <v>65200</v>
      </c>
      <c r="H63" s="21"/>
      <c r="I63" s="12">
        <f>G63</f>
        <v>65200</v>
      </c>
      <c r="J63" s="46" t="s">
        <v>50</v>
      </c>
      <c r="K63" s="48" t="s">
        <v>90</v>
      </c>
      <c r="L63" s="49" t="s">
        <v>91</v>
      </c>
      <c r="M63" s="50"/>
      <c r="N63" s="50"/>
      <c r="O63" s="49"/>
    </row>
    <row r="64" ht="18" customHeight="1" spans="1:15">
      <c r="A64" s="27" t="s">
        <v>21</v>
      </c>
      <c r="B64" s="37">
        <f>SUM(B16:B63)</f>
        <v>8666264.61</v>
      </c>
      <c r="C64" s="27"/>
      <c r="D64" s="38"/>
      <c r="E64" s="38"/>
      <c r="F64" s="39">
        <f>SUM(F16:F63)</f>
        <v>594731.39</v>
      </c>
      <c r="G64" s="40">
        <f>SUM(G16:G63)</f>
        <v>9260996</v>
      </c>
      <c r="H64" s="41"/>
      <c r="I64" s="26">
        <f>SUM(I16:I63)</f>
        <v>10047073</v>
      </c>
      <c r="J64" s="59"/>
      <c r="K64" s="60"/>
      <c r="L64" s="28"/>
      <c r="M64" s="46"/>
      <c r="N64" s="46"/>
      <c r="O64" s="28"/>
    </row>
    <row r="65" ht="18" customHeight="1" spans="1:18">
      <c r="A65" s="61"/>
      <c r="B65" s="62">
        <f>B13-B64</f>
        <v>1068908.5342869</v>
      </c>
      <c r="C65" s="61"/>
      <c r="D65" s="63"/>
      <c r="E65" s="63"/>
      <c r="F65" s="62"/>
      <c r="G65" s="62">
        <f>G13-G64</f>
        <v>1402114</v>
      </c>
      <c r="H65" s="20" t="s">
        <v>92</v>
      </c>
      <c r="I65" s="26">
        <f>I13-I64</f>
        <v>616037</v>
      </c>
      <c r="J65" s="6"/>
      <c r="K65" s="71"/>
      <c r="M65" s="72"/>
      <c r="N65" s="72"/>
      <c r="R65" s="6">
        <f>I77-R62</f>
        <v>-231722.866428275</v>
      </c>
    </row>
    <row r="66" ht="18" customHeight="1" spans="1:3">
      <c r="A66" s="2" t="s">
        <v>93</v>
      </c>
      <c r="C66" s="2"/>
    </row>
    <row r="67" ht="18" customHeight="1" spans="1:9">
      <c r="A67" s="20" t="s">
        <v>94</v>
      </c>
      <c r="B67" s="19" t="s">
        <v>95</v>
      </c>
      <c r="C67" s="28"/>
      <c r="D67" s="20" t="s">
        <v>94</v>
      </c>
      <c r="E67" s="18" t="s">
        <v>15</v>
      </c>
      <c r="F67" s="19" t="s">
        <v>95</v>
      </c>
      <c r="G67" s="19" t="s">
        <v>96</v>
      </c>
      <c r="H67" s="19" t="s">
        <v>97</v>
      </c>
      <c r="I67" s="19" t="s">
        <v>98</v>
      </c>
    </row>
    <row r="68" ht="18" customHeight="1" spans="1:17">
      <c r="A68" s="28" t="s">
        <v>99</v>
      </c>
      <c r="B68" s="16">
        <f>(B13-B64)*0.25</f>
        <v>267227.133571725</v>
      </c>
      <c r="C68" s="28"/>
      <c r="D68" s="9" t="s">
        <v>100</v>
      </c>
      <c r="E68" s="46" t="s">
        <v>101</v>
      </c>
      <c r="F68" s="64">
        <f>F13-F64</f>
        <v>138502.002827356</v>
      </c>
      <c r="G68" s="64">
        <v>0</v>
      </c>
      <c r="H68" s="23">
        <v>226904.112827356</v>
      </c>
      <c r="I68" s="64">
        <f>SUM(F7:F8)-SUM(F16:F26)</f>
        <v>226904.112827356</v>
      </c>
      <c r="Q68" s="6" t="s">
        <v>102</v>
      </c>
    </row>
    <row r="69" ht="18" customHeight="1" spans="1:19">
      <c r="A69" s="28" t="s">
        <v>103</v>
      </c>
      <c r="B69" s="12">
        <f>G13*0.0003</f>
        <v>3198.933</v>
      </c>
      <c r="C69" s="28"/>
      <c r="D69" s="65" t="s">
        <v>104</v>
      </c>
      <c r="E69" s="13">
        <v>0.05</v>
      </c>
      <c r="F69" s="12">
        <f>F68*E69</f>
        <v>6925.10014136779</v>
      </c>
      <c r="G69" s="12">
        <v>0</v>
      </c>
      <c r="H69" s="23">
        <f>H68*E69</f>
        <v>11345.2056413678</v>
      </c>
      <c r="I69" s="12">
        <f>I68*E69</f>
        <v>11345.2056413678</v>
      </c>
      <c r="S69" s="6" t="s">
        <v>102</v>
      </c>
    </row>
    <row r="70" ht="18" customHeight="1" spans="1:18">
      <c r="A70" s="28" t="s">
        <v>105</v>
      </c>
      <c r="B70" s="66">
        <f>B13*0.0006</f>
        <v>5841.10388657214</v>
      </c>
      <c r="C70" s="28"/>
      <c r="D70" s="65" t="s">
        <v>106</v>
      </c>
      <c r="E70" s="13">
        <v>0.03</v>
      </c>
      <c r="F70" s="12">
        <f>F68*E70</f>
        <v>4155.06008482068</v>
      </c>
      <c r="G70" s="12">
        <v>0</v>
      </c>
      <c r="H70" s="23">
        <f>H68*E70</f>
        <v>6807.12338482068</v>
      </c>
      <c r="I70" s="12">
        <f>I68*E70</f>
        <v>6807.12338482068</v>
      </c>
      <c r="R70" s="6" t="s">
        <v>102</v>
      </c>
    </row>
    <row r="71" ht="18" customHeight="1" spans="1:9">
      <c r="A71" s="28"/>
      <c r="B71" s="12"/>
      <c r="C71" s="28"/>
      <c r="D71" s="65" t="s">
        <v>107</v>
      </c>
      <c r="E71" s="13">
        <v>0.02</v>
      </c>
      <c r="F71" s="12">
        <f>F68*E71</f>
        <v>2770.04005654712</v>
      </c>
      <c r="G71" s="12">
        <v>0</v>
      </c>
      <c r="H71" s="23">
        <f>H68*E71</f>
        <v>4538.08225654712</v>
      </c>
      <c r="I71" s="12">
        <f>I68*E71</f>
        <v>4538.08225654712</v>
      </c>
    </row>
    <row r="72" ht="18" customHeight="1" spans="1:12">
      <c r="A72" s="25" t="s">
        <v>108</v>
      </c>
      <c r="B72" s="37">
        <f t="shared" ref="B72:I72" si="13">SUM(B68:B71)</f>
        <v>276267.170458297</v>
      </c>
      <c r="C72" s="28"/>
      <c r="D72" s="25" t="s">
        <v>108</v>
      </c>
      <c r="E72" s="25"/>
      <c r="F72" s="39">
        <f t="shared" si="13"/>
        <v>152352.203110091</v>
      </c>
      <c r="G72" s="39">
        <f t="shared" si="13"/>
        <v>0</v>
      </c>
      <c r="H72" s="67">
        <f t="shared" si="13"/>
        <v>249594.524110092</v>
      </c>
      <c r="I72" s="39">
        <f t="shared" si="13"/>
        <v>249594.524110092</v>
      </c>
      <c r="L72" s="3" t="s">
        <v>102</v>
      </c>
    </row>
    <row r="73" ht="18" customHeight="1" spans="3:9">
      <c r="C73" s="2"/>
      <c r="D73" s="11" t="s">
        <v>103</v>
      </c>
      <c r="E73" s="68">
        <v>0.0003</v>
      </c>
      <c r="F73" s="12">
        <f>G13*E73</f>
        <v>3198.933</v>
      </c>
      <c r="G73" s="12">
        <v>1708.45</v>
      </c>
      <c r="H73" s="23"/>
      <c r="I73" s="12">
        <f>G8*E73</f>
        <v>1490.481</v>
      </c>
    </row>
    <row r="74" ht="18" customHeight="1" spans="3:19">
      <c r="C74" s="2"/>
      <c r="D74" s="11" t="s">
        <v>105</v>
      </c>
      <c r="E74" s="68">
        <v>0.0006</v>
      </c>
      <c r="F74" s="12">
        <f>B13*E74</f>
        <v>5841.10388657214</v>
      </c>
      <c r="G74" s="12">
        <v>3106.28</v>
      </c>
      <c r="H74" s="23"/>
      <c r="I74" s="12">
        <f>B8*E74</f>
        <v>2734.82752293578</v>
      </c>
      <c r="S74" s="6" t="s">
        <v>102</v>
      </c>
    </row>
    <row r="75" ht="18" customHeight="1" spans="3:9">
      <c r="C75" s="2"/>
      <c r="D75" s="69" t="s">
        <v>108</v>
      </c>
      <c r="E75" s="69"/>
      <c r="F75" s="39">
        <f t="shared" ref="F75:I75" si="14">F73+F74</f>
        <v>9040.03688657214</v>
      </c>
      <c r="G75" s="39">
        <f t="shared" si="14"/>
        <v>4814.73</v>
      </c>
      <c r="H75" s="67"/>
      <c r="I75" s="39">
        <f t="shared" si="14"/>
        <v>4225.30852293578</v>
      </c>
    </row>
    <row r="76" ht="18" customHeight="1" spans="3:8">
      <c r="C76" s="2"/>
      <c r="H76" s="70" t="s">
        <v>109</v>
      </c>
    </row>
    <row r="77" ht="18" customHeight="1" spans="3:9">
      <c r="C77" s="2"/>
      <c r="I77" s="3">
        <f>B65*0.25</f>
        <v>267227.133571725</v>
      </c>
    </row>
    <row r="78" ht="18" customHeight="1" spans="3:3">
      <c r="C78" s="2"/>
    </row>
    <row r="79" ht="18" customHeight="1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</sheetData>
  <autoFilter ref="A15:S7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scale="75" fitToWidth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F33" sqref="F33"/>
    </sheetView>
  </sheetViews>
  <sheetFormatPr defaultColWidth="9" defaultRowHeight="13.5" outlineLevelRow="5" outlineLevelCol="2"/>
  <cols>
    <col min="3" max="3" width="11.5" customWidth="1"/>
  </cols>
  <sheetData>
    <row r="1" spans="1:3">
      <c r="A1" s="20" t="s">
        <v>94</v>
      </c>
      <c r="B1" s="18" t="s">
        <v>15</v>
      </c>
      <c r="C1" s="19" t="s">
        <v>97</v>
      </c>
    </row>
    <row r="2" spans="1:3">
      <c r="A2" s="9" t="s">
        <v>100</v>
      </c>
      <c r="B2" s="46" t="s">
        <v>101</v>
      </c>
      <c r="C2" s="64">
        <v>226904.112827356</v>
      </c>
    </row>
    <row r="3" spans="1:3">
      <c r="A3" s="65" t="s">
        <v>104</v>
      </c>
      <c r="B3" s="13">
        <v>0.05</v>
      </c>
      <c r="C3" s="12">
        <v>11345.2056413678</v>
      </c>
    </row>
    <row r="4" spans="1:3">
      <c r="A4" s="65" t="s">
        <v>106</v>
      </c>
      <c r="B4" s="13">
        <v>0.03</v>
      </c>
      <c r="C4" s="12">
        <v>6807.12338482069</v>
      </c>
    </row>
    <row r="5" spans="1:3">
      <c r="A5" s="65" t="s">
        <v>107</v>
      </c>
      <c r="B5" s="13">
        <v>0.02</v>
      </c>
      <c r="C5" s="12">
        <v>4538.08225654713</v>
      </c>
    </row>
    <row r="6" spans="1:3">
      <c r="A6" s="25" t="s">
        <v>108</v>
      </c>
      <c r="B6" s="25"/>
      <c r="C6" s="39">
        <v>249594.524110092</v>
      </c>
    </row>
  </sheetData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5"/>
  <sheetViews>
    <sheetView tabSelected="1" topLeftCell="A43" workbookViewId="0">
      <selection activeCell="K61" sqref="K6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7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7" width="9" style="6"/>
    <col min="18" max="18" width="9.625" style="6"/>
    <col min="19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43005</v>
      </c>
      <c r="C2" s="11" t="s">
        <v>2</v>
      </c>
      <c r="D2" s="12">
        <v>13039455</v>
      </c>
      <c r="E2" s="13" t="s">
        <v>3</v>
      </c>
      <c r="F2" s="12"/>
      <c r="G2" s="14" t="s">
        <v>4</v>
      </c>
      <c r="H2" s="15" t="s">
        <v>5</v>
      </c>
      <c r="I2" s="42"/>
      <c r="J2" s="43"/>
      <c r="K2" s="17"/>
      <c r="L2" s="17"/>
    </row>
    <row r="3" ht="18" customHeight="1" spans="1:12">
      <c r="A3" s="9" t="s">
        <v>6</v>
      </c>
      <c r="B3" s="16"/>
      <c r="C3" s="11" t="s">
        <v>7</v>
      </c>
      <c r="D3" s="11"/>
      <c r="H3" s="17"/>
      <c r="I3" s="44"/>
      <c r="J3" s="17"/>
      <c r="K3" s="17"/>
      <c r="L3" s="17"/>
    </row>
    <row r="4" ht="18" customHeight="1" spans="1:12">
      <c r="A4" s="2" t="s">
        <v>8</v>
      </c>
      <c r="H4" s="17"/>
      <c r="I4" s="44"/>
      <c r="J4" s="17"/>
      <c r="K4" s="17"/>
      <c r="L4" s="17"/>
    </row>
    <row r="5" ht="18" customHeight="1" spans="1:10">
      <c r="A5" s="18" t="s">
        <v>9</v>
      </c>
      <c r="B5" s="19" t="s">
        <v>10</v>
      </c>
      <c r="C5" s="18" t="s">
        <v>11</v>
      </c>
      <c r="D5" s="18"/>
      <c r="E5" s="18" t="s">
        <v>12</v>
      </c>
      <c r="F5" s="19"/>
      <c r="G5" s="19" t="s">
        <v>13</v>
      </c>
      <c r="H5" s="20" t="s">
        <v>14</v>
      </c>
      <c r="I5" s="19"/>
      <c r="J5" s="20"/>
    </row>
    <row r="6" ht="18" customHeight="1" spans="1:11">
      <c r="A6" s="18"/>
      <c r="B6" s="19"/>
      <c r="C6" s="18" t="s">
        <v>15</v>
      </c>
      <c r="D6" s="18" t="s">
        <v>16</v>
      </c>
      <c r="E6" s="18" t="s">
        <v>15</v>
      </c>
      <c r="F6" s="19" t="s">
        <v>16</v>
      </c>
      <c r="G6" s="19"/>
      <c r="H6" s="20" t="s">
        <v>17</v>
      </c>
      <c r="I6" s="19" t="s">
        <v>18</v>
      </c>
      <c r="J6" s="20" t="s">
        <v>19</v>
      </c>
      <c r="K6" s="45"/>
    </row>
    <row r="7" ht="18" customHeight="1" spans="1:10">
      <c r="A7" s="21">
        <v>43290</v>
      </c>
      <c r="B7" s="12">
        <f t="shared" ref="B7:B10" si="0">G7/(1+C7+E7)</f>
        <v>5177127.27272727</v>
      </c>
      <c r="C7" s="22">
        <v>0.02</v>
      </c>
      <c r="D7" s="23">
        <f t="shared" ref="D7:D10" si="1">G7/(1+E7+C7)*C7</f>
        <v>103542.545454545</v>
      </c>
      <c r="E7" s="22">
        <v>0.08</v>
      </c>
      <c r="F7" s="12">
        <f t="shared" ref="F7:F10" si="2">G7/(1+C7+E7)*E7</f>
        <v>414170.181818182</v>
      </c>
      <c r="G7" s="24">
        <v>5694840</v>
      </c>
      <c r="H7" s="21">
        <v>43304</v>
      </c>
      <c r="I7" s="12">
        <v>3000000</v>
      </c>
      <c r="J7" s="46" t="s">
        <v>20</v>
      </c>
    </row>
    <row r="8" ht="18" customHeight="1" spans="1:10">
      <c r="A8" s="21">
        <v>43628</v>
      </c>
      <c r="B8" s="12">
        <f t="shared" si="0"/>
        <v>4558045.87155963</v>
      </c>
      <c r="C8" s="22">
        <v>0.02</v>
      </c>
      <c r="D8" s="23">
        <f t="shared" si="1"/>
        <v>91160.9174311927</v>
      </c>
      <c r="E8" s="22">
        <v>0.07</v>
      </c>
      <c r="F8" s="12">
        <f t="shared" si="2"/>
        <v>319063.211009174</v>
      </c>
      <c r="G8" s="24">
        <v>4968270</v>
      </c>
      <c r="H8" s="21">
        <v>43334</v>
      </c>
      <c r="I8" s="12">
        <v>2000000</v>
      </c>
      <c r="J8" s="46" t="s">
        <v>20</v>
      </c>
    </row>
    <row r="9" ht="18" customHeight="1" spans="1:10">
      <c r="A9" s="21"/>
      <c r="B9" s="12">
        <f t="shared" si="0"/>
        <v>0</v>
      </c>
      <c r="C9" s="22">
        <v>0.02</v>
      </c>
      <c r="D9" s="23">
        <f t="shared" si="1"/>
        <v>0</v>
      </c>
      <c r="E9" s="22">
        <v>0.08</v>
      </c>
      <c r="F9" s="12">
        <f t="shared" si="2"/>
        <v>0</v>
      </c>
      <c r="G9" s="24"/>
      <c r="H9" s="21">
        <v>43363</v>
      </c>
      <c r="I9" s="12">
        <v>694840</v>
      </c>
      <c r="J9" s="46" t="s">
        <v>20</v>
      </c>
    </row>
    <row r="10" ht="18" customHeight="1" spans="1:10">
      <c r="A10" s="21"/>
      <c r="B10" s="12">
        <f t="shared" si="0"/>
        <v>0</v>
      </c>
      <c r="C10" s="22">
        <v>0.02</v>
      </c>
      <c r="D10" s="23">
        <f t="shared" si="1"/>
        <v>0</v>
      </c>
      <c r="E10" s="22">
        <v>0.08</v>
      </c>
      <c r="F10" s="12">
        <f t="shared" si="2"/>
        <v>0</v>
      </c>
      <c r="G10" s="24"/>
      <c r="H10" s="21">
        <v>43683</v>
      </c>
      <c r="I10" s="12">
        <v>2000000</v>
      </c>
      <c r="J10" s="46" t="s">
        <v>20</v>
      </c>
    </row>
    <row r="11" ht="18" customHeight="1" spans="1:10">
      <c r="A11" s="21"/>
      <c r="B11" s="12"/>
      <c r="C11" s="22"/>
      <c r="D11" s="23"/>
      <c r="E11" s="22"/>
      <c r="F11" s="12"/>
      <c r="G11" s="24"/>
      <c r="H11" s="21">
        <v>43775</v>
      </c>
      <c r="I11" s="12">
        <v>2000000</v>
      </c>
      <c r="J11" s="46" t="s">
        <v>20</v>
      </c>
    </row>
    <row r="12" ht="18" customHeight="1" spans="1:10">
      <c r="A12" s="21"/>
      <c r="B12" s="12"/>
      <c r="C12" s="22"/>
      <c r="D12" s="23"/>
      <c r="E12" s="22"/>
      <c r="F12" s="12"/>
      <c r="G12" s="24"/>
      <c r="H12" s="21">
        <v>43849</v>
      </c>
      <c r="I12" s="12">
        <v>968270</v>
      </c>
      <c r="J12" s="46" t="s">
        <v>20</v>
      </c>
    </row>
    <row r="13" ht="18" customHeight="1" spans="1:10">
      <c r="A13" s="25" t="s">
        <v>21</v>
      </c>
      <c r="B13" s="26">
        <f t="shared" ref="B13:G13" si="3">SUM(B7:B12)</f>
        <v>9735173.1442869</v>
      </c>
      <c r="C13" s="27"/>
      <c r="D13" s="26">
        <f t="shared" si="3"/>
        <v>194703.462885738</v>
      </c>
      <c r="E13" s="27"/>
      <c r="F13" s="26">
        <f t="shared" si="3"/>
        <v>733233.392827356</v>
      </c>
      <c r="G13" s="26">
        <f t="shared" si="3"/>
        <v>10663110</v>
      </c>
      <c r="H13" s="28"/>
      <c r="I13" s="26">
        <f>SUM(I7:I12)</f>
        <v>10663110</v>
      </c>
      <c r="J13" s="28"/>
    </row>
    <row r="14" ht="18" customHeight="1" spans="1:12">
      <c r="A14" s="2" t="s">
        <v>22</v>
      </c>
      <c r="J14" s="4"/>
      <c r="K14" s="4"/>
      <c r="L14" s="5"/>
    </row>
    <row r="15" ht="18" customHeight="1" spans="1:15">
      <c r="A15" s="29" t="s">
        <v>23</v>
      </c>
      <c r="B15" s="19" t="s">
        <v>24</v>
      </c>
      <c r="C15" s="18" t="s">
        <v>25</v>
      </c>
      <c r="D15" s="18" t="s">
        <v>26</v>
      </c>
      <c r="E15" s="18" t="s">
        <v>15</v>
      </c>
      <c r="F15" s="19" t="s">
        <v>27</v>
      </c>
      <c r="G15" s="19" t="s">
        <v>13</v>
      </c>
      <c r="H15" s="18" t="s">
        <v>28</v>
      </c>
      <c r="I15" s="19" t="s">
        <v>29</v>
      </c>
      <c r="J15" s="18" t="s">
        <v>19</v>
      </c>
      <c r="K15" s="47" t="s">
        <v>30</v>
      </c>
      <c r="L15" s="20" t="s">
        <v>31</v>
      </c>
      <c r="M15" s="20" t="s">
        <v>32</v>
      </c>
      <c r="N15" s="20" t="s">
        <v>33</v>
      </c>
      <c r="O15" s="20" t="s">
        <v>34</v>
      </c>
    </row>
    <row r="16" s="1" customFormat="1" ht="18" customHeight="1" spans="1:15">
      <c r="A16" s="30">
        <v>43299</v>
      </c>
      <c r="B16" s="16">
        <f t="shared" ref="B16:B63" si="4">ROUND(G16/(1+E16),2)</f>
        <v>1879603.45</v>
      </c>
      <c r="C16" s="31">
        <v>2</v>
      </c>
      <c r="D16" s="32" t="s">
        <v>35</v>
      </c>
      <c r="E16" s="33">
        <v>0.16</v>
      </c>
      <c r="F16" s="16">
        <f t="shared" ref="F16:F63" si="5">ROUND(G16/(1+E16)*E16,2)</f>
        <v>300736.55</v>
      </c>
      <c r="G16" s="24">
        <v>2180340</v>
      </c>
      <c r="H16" s="21">
        <v>43308</v>
      </c>
      <c r="I16" s="12">
        <v>1090000</v>
      </c>
      <c r="J16" s="46" t="s">
        <v>20</v>
      </c>
      <c r="K16" s="48" t="s">
        <v>36</v>
      </c>
      <c r="L16" s="49" t="s">
        <v>37</v>
      </c>
      <c r="M16" s="50"/>
      <c r="N16" s="50"/>
      <c r="O16" s="49"/>
    </row>
    <row r="17" s="1" customFormat="1" ht="18" customHeight="1" spans="1:15">
      <c r="A17" s="30"/>
      <c r="B17" s="16">
        <f t="shared" si="4"/>
        <v>0</v>
      </c>
      <c r="C17" s="31"/>
      <c r="D17" s="32"/>
      <c r="E17" s="33"/>
      <c r="F17" s="16">
        <f t="shared" si="5"/>
        <v>0</v>
      </c>
      <c r="G17" s="24"/>
      <c r="H17" s="21">
        <v>43311</v>
      </c>
      <c r="I17" s="12">
        <v>1090340</v>
      </c>
      <c r="J17" s="46" t="s">
        <v>20</v>
      </c>
      <c r="K17" s="48" t="s">
        <v>36</v>
      </c>
      <c r="L17" s="49" t="s">
        <v>37</v>
      </c>
      <c r="M17" s="50"/>
      <c r="N17" s="50"/>
      <c r="O17" s="49"/>
    </row>
    <row r="18" s="1" customFormat="1" ht="18" customHeight="1" spans="1:15">
      <c r="A18" s="30">
        <v>43299</v>
      </c>
      <c r="B18" s="16">
        <f t="shared" si="4"/>
        <v>2912621.36</v>
      </c>
      <c r="C18" s="31">
        <v>3</v>
      </c>
      <c r="D18" s="32" t="s">
        <v>35</v>
      </c>
      <c r="E18" s="33">
        <v>0.03</v>
      </c>
      <c r="F18" s="16">
        <f t="shared" si="5"/>
        <v>87378.64</v>
      </c>
      <c r="G18" s="24">
        <v>3000000</v>
      </c>
      <c r="H18" s="21">
        <v>43314</v>
      </c>
      <c r="I18" s="12">
        <v>799345</v>
      </c>
      <c r="J18" s="46" t="s">
        <v>20</v>
      </c>
      <c r="K18" s="48" t="s">
        <v>38</v>
      </c>
      <c r="L18" s="49" t="s">
        <v>39</v>
      </c>
      <c r="M18" s="50"/>
      <c r="N18" s="50"/>
      <c r="O18" s="49"/>
    </row>
    <row r="19" s="1" customFormat="1" ht="18" customHeight="1" spans="1:15">
      <c r="A19" s="30"/>
      <c r="B19" s="16">
        <f t="shared" si="4"/>
        <v>0</v>
      </c>
      <c r="C19" s="31"/>
      <c r="D19" s="32"/>
      <c r="E19" s="33"/>
      <c r="F19" s="16">
        <f t="shared" si="5"/>
        <v>0</v>
      </c>
      <c r="G19" s="24"/>
      <c r="H19" s="21">
        <v>43336</v>
      </c>
      <c r="I19" s="12">
        <v>429800</v>
      </c>
      <c r="J19" s="46" t="s">
        <v>20</v>
      </c>
      <c r="K19" s="48" t="s">
        <v>38</v>
      </c>
      <c r="L19" s="49" t="s">
        <v>39</v>
      </c>
      <c r="M19" s="50"/>
      <c r="N19" s="50"/>
      <c r="O19" s="49"/>
    </row>
    <row r="20" s="1" customFormat="1" ht="18" customHeight="1" spans="1:15">
      <c r="A20" s="30">
        <v>43299</v>
      </c>
      <c r="B20" s="16">
        <f t="shared" si="4"/>
        <v>876893.2</v>
      </c>
      <c r="C20" s="31">
        <v>1</v>
      </c>
      <c r="D20" s="32" t="s">
        <v>40</v>
      </c>
      <c r="E20" s="33">
        <v>0.03</v>
      </c>
      <c r="F20" s="16">
        <f t="shared" si="5"/>
        <v>26306.8</v>
      </c>
      <c r="G20" s="24">
        <v>903200</v>
      </c>
      <c r="H20" s="21">
        <v>43336</v>
      </c>
      <c r="I20" s="12">
        <v>500000</v>
      </c>
      <c r="J20" s="46" t="s">
        <v>20</v>
      </c>
      <c r="K20" s="48" t="s">
        <v>41</v>
      </c>
      <c r="L20" s="49" t="s">
        <v>42</v>
      </c>
      <c r="M20" s="50"/>
      <c r="N20" s="50"/>
      <c r="O20" s="49"/>
    </row>
    <row r="21" s="1" customFormat="1" ht="18" customHeight="1" spans="1:15">
      <c r="A21" s="30"/>
      <c r="B21" s="16">
        <f t="shared" si="4"/>
        <v>0</v>
      </c>
      <c r="C21" s="31"/>
      <c r="D21" s="32"/>
      <c r="E21" s="33"/>
      <c r="F21" s="16">
        <f t="shared" si="5"/>
        <v>0</v>
      </c>
      <c r="G21" s="24"/>
      <c r="H21" s="21">
        <v>43336</v>
      </c>
      <c r="I21" s="12">
        <v>1000000</v>
      </c>
      <c r="J21" s="46" t="s">
        <v>20</v>
      </c>
      <c r="K21" s="48" t="s">
        <v>43</v>
      </c>
      <c r="L21" s="49" t="s">
        <v>37</v>
      </c>
      <c r="M21" s="50"/>
      <c r="N21" s="50"/>
      <c r="O21" s="49"/>
    </row>
    <row r="22" s="1" customFormat="1" ht="18" customHeight="1" spans="1:15">
      <c r="A22" s="30">
        <v>43374</v>
      </c>
      <c r="B22" s="16">
        <f t="shared" si="4"/>
        <v>28543.4</v>
      </c>
      <c r="C22" s="31">
        <v>1</v>
      </c>
      <c r="D22" s="32" t="s">
        <v>35</v>
      </c>
      <c r="E22" s="33">
        <v>0.06</v>
      </c>
      <c r="F22" s="16">
        <f t="shared" si="5"/>
        <v>1712.6</v>
      </c>
      <c r="G22" s="24">
        <v>30256</v>
      </c>
      <c r="H22" s="21"/>
      <c r="I22" s="12"/>
      <c r="J22" s="46"/>
      <c r="K22" s="48" t="s">
        <v>44</v>
      </c>
      <c r="L22" s="49" t="s">
        <v>45</v>
      </c>
      <c r="M22" s="50"/>
      <c r="N22" s="50"/>
      <c r="O22" s="49"/>
    </row>
    <row r="23" s="1" customFormat="1" ht="18" customHeight="1" spans="1:15">
      <c r="A23" s="30"/>
      <c r="B23" s="16">
        <f t="shared" si="4"/>
        <v>0</v>
      </c>
      <c r="C23" s="31"/>
      <c r="D23" s="32"/>
      <c r="E23" s="33"/>
      <c r="F23" s="16">
        <f t="shared" si="5"/>
        <v>0</v>
      </c>
      <c r="G23" s="24"/>
      <c r="H23" s="21">
        <v>43728</v>
      </c>
      <c r="I23" s="12">
        <v>687891</v>
      </c>
      <c r="J23" s="46" t="s">
        <v>20</v>
      </c>
      <c r="K23" s="48" t="s">
        <v>38</v>
      </c>
      <c r="L23" s="49" t="s">
        <v>39</v>
      </c>
      <c r="M23" s="50"/>
      <c r="N23" s="50"/>
      <c r="O23" s="49"/>
    </row>
    <row r="24" s="1" customFormat="1" ht="18" customHeight="1" spans="1:15">
      <c r="A24" s="30"/>
      <c r="B24" s="16">
        <f t="shared" si="4"/>
        <v>0</v>
      </c>
      <c r="C24" s="31"/>
      <c r="D24" s="32"/>
      <c r="E24" s="33"/>
      <c r="F24" s="16">
        <f t="shared" si="5"/>
        <v>0</v>
      </c>
      <c r="G24" s="24"/>
      <c r="H24" s="34">
        <v>43476</v>
      </c>
      <c r="I24" s="51">
        <v>1050000</v>
      </c>
      <c r="J24" s="52" t="s">
        <v>46</v>
      </c>
      <c r="K24" s="53" t="s">
        <v>47</v>
      </c>
      <c r="L24" s="54" t="s">
        <v>48</v>
      </c>
      <c r="M24" s="50"/>
      <c r="N24" s="50"/>
      <c r="O24" s="49"/>
    </row>
    <row r="25" s="1" customFormat="1" ht="18" customHeight="1" spans="1:15">
      <c r="A25" s="30"/>
      <c r="B25" s="16">
        <f t="shared" si="4"/>
        <v>0</v>
      </c>
      <c r="C25" s="31"/>
      <c r="D25" s="32"/>
      <c r="E25" s="33"/>
      <c r="F25" s="16">
        <f t="shared" si="5"/>
        <v>0</v>
      </c>
      <c r="G25" s="24"/>
      <c r="H25" s="34" t="s">
        <v>49</v>
      </c>
      <c r="I25" s="51">
        <v>142100</v>
      </c>
      <c r="J25" s="52" t="s">
        <v>50</v>
      </c>
      <c r="K25" s="53" t="s">
        <v>51</v>
      </c>
      <c r="L25" s="54"/>
      <c r="M25" s="50"/>
      <c r="N25" s="50"/>
      <c r="O25" s="49"/>
    </row>
    <row r="26" s="1" customFormat="1" ht="18" customHeight="1" spans="1:15">
      <c r="A26" s="30">
        <v>43586</v>
      </c>
      <c r="B26" s="16">
        <f t="shared" si="4"/>
        <v>693805.31</v>
      </c>
      <c r="C26" s="31"/>
      <c r="D26" s="32" t="s">
        <v>35</v>
      </c>
      <c r="E26" s="33">
        <v>0.13</v>
      </c>
      <c r="F26" s="16">
        <f t="shared" si="5"/>
        <v>90194.69</v>
      </c>
      <c r="G26" s="24">
        <f>112000*7</f>
        <v>784000</v>
      </c>
      <c r="H26" s="21"/>
      <c r="I26" s="12"/>
      <c r="J26" s="46"/>
      <c r="K26" s="48" t="s">
        <v>43</v>
      </c>
      <c r="L26" s="49" t="s">
        <v>52</v>
      </c>
      <c r="M26" s="50"/>
      <c r="N26" s="50"/>
      <c r="O26" s="49"/>
    </row>
    <row r="27" s="1" customFormat="1" ht="18" customHeight="1" spans="1:15">
      <c r="A27" s="30"/>
      <c r="B27" s="16">
        <f t="shared" si="4"/>
        <v>0</v>
      </c>
      <c r="C27" s="31"/>
      <c r="D27" s="32"/>
      <c r="E27" s="33"/>
      <c r="F27" s="16">
        <f t="shared" si="5"/>
        <v>0</v>
      </c>
      <c r="G27" s="24"/>
      <c r="H27" s="21">
        <v>43658</v>
      </c>
      <c r="I27" s="12">
        <v>100000</v>
      </c>
      <c r="J27" s="46" t="s">
        <v>20</v>
      </c>
      <c r="K27" s="48" t="s">
        <v>41</v>
      </c>
      <c r="L27" s="49" t="s">
        <v>42</v>
      </c>
      <c r="M27" s="50"/>
      <c r="N27" s="50"/>
      <c r="O27" s="49"/>
    </row>
    <row r="28" s="1" customFormat="1" ht="18" customHeight="1" spans="1:15">
      <c r="A28" s="30"/>
      <c r="B28" s="16">
        <f t="shared" si="4"/>
        <v>0</v>
      </c>
      <c r="C28" s="31"/>
      <c r="D28" s="32"/>
      <c r="E28" s="33"/>
      <c r="F28" s="16">
        <f t="shared" si="5"/>
        <v>0</v>
      </c>
      <c r="G28" s="24"/>
      <c r="H28" s="21">
        <v>43658</v>
      </c>
      <c r="I28" s="12">
        <v>-100000</v>
      </c>
      <c r="J28" s="46" t="s">
        <v>46</v>
      </c>
      <c r="K28" s="48" t="s">
        <v>53</v>
      </c>
      <c r="L28" s="49"/>
      <c r="M28" s="50"/>
      <c r="N28" s="50"/>
      <c r="O28" s="49"/>
    </row>
    <row r="29" s="1" customFormat="1" ht="18" customHeight="1" spans="1:15">
      <c r="A29" s="30">
        <v>43709</v>
      </c>
      <c r="B29" s="16">
        <f t="shared" si="4"/>
        <v>176991.15</v>
      </c>
      <c r="C29" s="31"/>
      <c r="D29" s="32" t="s">
        <v>35</v>
      </c>
      <c r="E29" s="33">
        <v>0.13</v>
      </c>
      <c r="F29" s="16">
        <f t="shared" si="5"/>
        <v>23008.85</v>
      </c>
      <c r="G29" s="24">
        <v>200000</v>
      </c>
      <c r="H29" s="21"/>
      <c r="I29" s="12"/>
      <c r="J29" s="46"/>
      <c r="K29" s="48" t="s">
        <v>43</v>
      </c>
      <c r="L29" s="49" t="s">
        <v>54</v>
      </c>
      <c r="M29" s="50"/>
      <c r="N29" s="50"/>
      <c r="O29" s="49"/>
    </row>
    <row r="30" s="1" customFormat="1" ht="18" customHeight="1" spans="1:15">
      <c r="A30" s="30">
        <v>43800</v>
      </c>
      <c r="B30" s="16">
        <f t="shared" si="4"/>
        <v>477669.9</v>
      </c>
      <c r="C30" s="31"/>
      <c r="D30" s="32" t="s">
        <v>35</v>
      </c>
      <c r="E30" s="35">
        <v>0.03</v>
      </c>
      <c r="F30" s="16">
        <f t="shared" si="5"/>
        <v>14330.1</v>
      </c>
      <c r="G30" s="24">
        <v>492000</v>
      </c>
      <c r="H30" s="21">
        <v>43717</v>
      </c>
      <c r="I30" s="12">
        <v>492000</v>
      </c>
      <c r="J30" s="46" t="s">
        <v>20</v>
      </c>
      <c r="K30" s="55" t="s">
        <v>55</v>
      </c>
      <c r="L30" s="56" t="s">
        <v>56</v>
      </c>
      <c r="M30" s="56" t="s">
        <v>48</v>
      </c>
      <c r="N30" s="50"/>
      <c r="O30" s="49" t="s">
        <v>57</v>
      </c>
    </row>
    <row r="31" s="1" customFormat="1" ht="18" customHeight="1" spans="1:15">
      <c r="A31" s="30"/>
      <c r="B31" s="16">
        <f t="shared" si="4"/>
        <v>0</v>
      </c>
      <c r="C31" s="31"/>
      <c r="D31" s="32"/>
      <c r="E31" s="33"/>
      <c r="F31" s="16">
        <f t="shared" si="5"/>
        <v>0</v>
      </c>
      <c r="G31" s="24"/>
      <c r="H31" s="21">
        <v>43782</v>
      </c>
      <c r="I31" s="12">
        <v>150000</v>
      </c>
      <c r="J31" s="46" t="s">
        <v>20</v>
      </c>
      <c r="K31" s="48" t="s">
        <v>41</v>
      </c>
      <c r="L31" s="49" t="s">
        <v>58</v>
      </c>
      <c r="M31" s="50"/>
      <c r="N31" s="50"/>
      <c r="O31" s="49"/>
    </row>
    <row r="32" s="1" customFormat="1" ht="18" customHeight="1" spans="1:15">
      <c r="A32" s="30"/>
      <c r="B32" s="16">
        <f t="shared" si="4"/>
        <v>0</v>
      </c>
      <c r="C32" s="31"/>
      <c r="D32" s="32"/>
      <c r="E32" s="33"/>
      <c r="F32" s="16">
        <f t="shared" si="5"/>
        <v>0</v>
      </c>
      <c r="G32" s="24"/>
      <c r="H32" s="21">
        <v>43782</v>
      </c>
      <c r="I32" s="12">
        <v>1082964</v>
      </c>
      <c r="J32" s="46" t="s">
        <v>20</v>
      </c>
      <c r="K32" s="48" t="s">
        <v>38</v>
      </c>
      <c r="L32" s="49" t="s">
        <v>59</v>
      </c>
      <c r="M32" s="50"/>
      <c r="N32" s="50"/>
      <c r="O32" s="49"/>
    </row>
    <row r="33" s="1" customFormat="1" ht="18" customHeight="1" spans="1:15">
      <c r="A33" s="30">
        <v>43800</v>
      </c>
      <c r="B33" s="16">
        <f t="shared" si="4"/>
        <v>436893.2</v>
      </c>
      <c r="C33" s="31"/>
      <c r="D33" s="32" t="s">
        <v>35</v>
      </c>
      <c r="E33" s="35">
        <v>0.03</v>
      </c>
      <c r="F33" s="16">
        <f t="shared" si="5"/>
        <v>13106.8</v>
      </c>
      <c r="G33" s="24">
        <v>450000</v>
      </c>
      <c r="H33" s="21">
        <v>43850</v>
      </c>
      <c r="I33" s="57">
        <v>450000</v>
      </c>
      <c r="J33" s="46" t="s">
        <v>20</v>
      </c>
      <c r="K33" s="53" t="s">
        <v>55</v>
      </c>
      <c r="L33" s="54" t="s">
        <v>60</v>
      </c>
      <c r="M33" s="58"/>
      <c r="N33" s="50"/>
      <c r="O33" s="49" t="s">
        <v>61</v>
      </c>
    </row>
    <row r="34" s="1" customFormat="1" ht="18" customHeight="1" spans="1:15">
      <c r="A34" s="30">
        <v>43800</v>
      </c>
      <c r="B34" s="16">
        <f t="shared" si="4"/>
        <v>191150.44</v>
      </c>
      <c r="C34" s="31"/>
      <c r="D34" s="32" t="s">
        <v>35</v>
      </c>
      <c r="E34" s="35">
        <v>0.13</v>
      </c>
      <c r="F34" s="16">
        <f t="shared" si="5"/>
        <v>24849.56</v>
      </c>
      <c r="G34" s="24">
        <f>108000*2</f>
        <v>216000</v>
      </c>
      <c r="H34" s="21">
        <v>43849</v>
      </c>
      <c r="I34" s="12">
        <v>200000</v>
      </c>
      <c r="J34" s="46" t="s">
        <v>20</v>
      </c>
      <c r="K34" s="48" t="s">
        <v>43</v>
      </c>
      <c r="L34" s="49" t="s">
        <v>62</v>
      </c>
      <c r="M34" s="50" t="s">
        <v>63</v>
      </c>
      <c r="N34" s="50" t="s">
        <v>63</v>
      </c>
      <c r="O34" s="49"/>
    </row>
    <row r="35" s="1" customFormat="1" ht="18" customHeight="1" spans="1:15">
      <c r="A35" s="30">
        <v>43891</v>
      </c>
      <c r="B35" s="16">
        <f t="shared" si="4"/>
        <v>98000</v>
      </c>
      <c r="C35" s="31"/>
      <c r="D35" s="32" t="s">
        <v>64</v>
      </c>
      <c r="E35" s="35"/>
      <c r="F35" s="16">
        <f t="shared" si="5"/>
        <v>0</v>
      </c>
      <c r="G35" s="36">
        <v>98000</v>
      </c>
      <c r="H35" s="21">
        <v>43852</v>
      </c>
      <c r="I35" s="12">
        <v>98000</v>
      </c>
      <c r="J35" s="46" t="s">
        <v>46</v>
      </c>
      <c r="K35" s="48" t="s">
        <v>65</v>
      </c>
      <c r="L35" s="49" t="s">
        <v>66</v>
      </c>
      <c r="M35" s="50"/>
      <c r="N35" s="50"/>
      <c r="O35" s="49" t="s">
        <v>67</v>
      </c>
    </row>
    <row r="36" s="1" customFormat="1" ht="18" customHeight="1" spans="1:15">
      <c r="A36" s="30">
        <v>43891</v>
      </c>
      <c r="B36" s="16">
        <f t="shared" si="4"/>
        <v>98000</v>
      </c>
      <c r="C36" s="31"/>
      <c r="D36" s="32" t="s">
        <v>64</v>
      </c>
      <c r="E36" s="35"/>
      <c r="F36" s="16">
        <f t="shared" si="5"/>
        <v>0</v>
      </c>
      <c r="G36" s="36">
        <v>98000</v>
      </c>
      <c r="H36" s="21">
        <v>43852</v>
      </c>
      <c r="I36" s="12">
        <v>98000</v>
      </c>
      <c r="J36" s="46" t="s">
        <v>46</v>
      </c>
      <c r="K36" s="48" t="s">
        <v>68</v>
      </c>
      <c r="L36" s="49" t="s">
        <v>66</v>
      </c>
      <c r="M36" s="50"/>
      <c r="N36" s="50"/>
      <c r="O36" s="49" t="s">
        <v>67</v>
      </c>
    </row>
    <row r="37" s="1" customFormat="1" ht="18" customHeight="1" spans="1:15">
      <c r="A37" s="30">
        <v>43891</v>
      </c>
      <c r="B37" s="16">
        <f t="shared" si="4"/>
        <v>98000</v>
      </c>
      <c r="C37" s="31"/>
      <c r="D37" s="32" t="s">
        <v>64</v>
      </c>
      <c r="E37" s="35"/>
      <c r="F37" s="16">
        <f t="shared" si="5"/>
        <v>0</v>
      </c>
      <c r="G37" s="36">
        <v>98000</v>
      </c>
      <c r="H37" s="21">
        <v>43852</v>
      </c>
      <c r="I37" s="12">
        <v>98000</v>
      </c>
      <c r="J37" s="46" t="s">
        <v>46</v>
      </c>
      <c r="K37" s="48" t="s">
        <v>69</v>
      </c>
      <c r="L37" s="49" t="s">
        <v>66</v>
      </c>
      <c r="M37" s="50"/>
      <c r="N37" s="50"/>
      <c r="O37" s="49" t="s">
        <v>67</v>
      </c>
    </row>
    <row r="38" s="1" customFormat="1" ht="18" customHeight="1" spans="1:15">
      <c r="A38" s="30">
        <v>43891</v>
      </c>
      <c r="B38" s="16">
        <f t="shared" si="4"/>
        <v>98000</v>
      </c>
      <c r="C38" s="31"/>
      <c r="D38" s="32" t="s">
        <v>64</v>
      </c>
      <c r="E38" s="35"/>
      <c r="F38" s="16">
        <f t="shared" si="5"/>
        <v>0</v>
      </c>
      <c r="G38" s="36">
        <v>98000</v>
      </c>
      <c r="H38" s="21">
        <v>43852</v>
      </c>
      <c r="I38" s="12">
        <v>98000</v>
      </c>
      <c r="J38" s="46" t="s">
        <v>46</v>
      </c>
      <c r="K38" s="48" t="s">
        <v>70</v>
      </c>
      <c r="L38" s="49" t="s">
        <v>66</v>
      </c>
      <c r="M38" s="50"/>
      <c r="N38" s="50"/>
      <c r="O38" s="49" t="s">
        <v>67</v>
      </c>
    </row>
    <row r="39" s="1" customFormat="1" ht="18" customHeight="1" spans="1:15">
      <c r="A39" s="30">
        <v>43891</v>
      </c>
      <c r="B39" s="16">
        <f t="shared" si="4"/>
        <v>98000</v>
      </c>
      <c r="C39" s="31"/>
      <c r="D39" s="32" t="s">
        <v>64</v>
      </c>
      <c r="E39" s="35"/>
      <c r="F39" s="16">
        <f t="shared" si="5"/>
        <v>0</v>
      </c>
      <c r="G39" s="36">
        <v>98000</v>
      </c>
      <c r="H39" s="21">
        <v>43852</v>
      </c>
      <c r="I39" s="12">
        <v>98000</v>
      </c>
      <c r="J39" s="46" t="s">
        <v>46</v>
      </c>
      <c r="K39" s="48" t="s">
        <v>71</v>
      </c>
      <c r="L39" s="49" t="s">
        <v>66</v>
      </c>
      <c r="M39" s="50"/>
      <c r="N39" s="50"/>
      <c r="O39" s="49" t="s">
        <v>67</v>
      </c>
    </row>
    <row r="40" s="1" customFormat="1" ht="18" customHeight="1" spans="1:15">
      <c r="A40" s="30">
        <v>43891</v>
      </c>
      <c r="B40" s="16">
        <f t="shared" si="4"/>
        <v>436893.2</v>
      </c>
      <c r="C40" s="31"/>
      <c r="D40" s="32" t="s">
        <v>72</v>
      </c>
      <c r="E40" s="35">
        <v>0.03</v>
      </c>
      <c r="F40" s="16">
        <f t="shared" si="5"/>
        <v>13106.8</v>
      </c>
      <c r="G40" s="36">
        <v>450000</v>
      </c>
      <c r="H40" s="21"/>
      <c r="I40" s="12"/>
      <c r="J40" s="46"/>
      <c r="K40" s="48" t="s">
        <v>55</v>
      </c>
      <c r="L40" s="49" t="s">
        <v>73</v>
      </c>
      <c r="M40" s="50"/>
      <c r="N40" s="50"/>
      <c r="O40" s="49" t="s">
        <v>67</v>
      </c>
    </row>
    <row r="41" s="1" customFormat="1" ht="18" customHeight="1" spans="1:15">
      <c r="A41" s="30"/>
      <c r="B41" s="16">
        <f t="shared" si="4"/>
        <v>0</v>
      </c>
      <c r="C41" s="31"/>
      <c r="D41" s="32"/>
      <c r="E41" s="35"/>
      <c r="F41" s="16">
        <f t="shared" si="5"/>
        <v>0</v>
      </c>
      <c r="G41" s="24"/>
      <c r="H41" s="21"/>
      <c r="I41" s="12"/>
      <c r="J41" s="46"/>
      <c r="K41" s="48"/>
      <c r="L41" s="49"/>
      <c r="M41" s="50"/>
      <c r="N41" s="50"/>
      <c r="O41" s="49"/>
    </row>
    <row r="42" s="1" customFormat="1" ht="18" customHeight="1" spans="1:15">
      <c r="A42" s="30"/>
      <c r="B42" s="16">
        <f t="shared" si="4"/>
        <v>0</v>
      </c>
      <c r="C42" s="31"/>
      <c r="D42" s="32"/>
      <c r="E42" s="35"/>
      <c r="F42" s="16">
        <f t="shared" si="5"/>
        <v>0</v>
      </c>
      <c r="G42" s="24"/>
      <c r="H42" s="21"/>
      <c r="I42" s="12"/>
      <c r="J42" s="46"/>
      <c r="K42" s="48"/>
      <c r="L42" s="49"/>
      <c r="M42" s="50"/>
      <c r="N42" s="50"/>
      <c r="O42" s="49"/>
    </row>
    <row r="43" s="1" customFormat="1" ht="18" customHeight="1" spans="1:15">
      <c r="A43" s="30"/>
      <c r="B43" s="16">
        <f t="shared" si="4"/>
        <v>0</v>
      </c>
      <c r="C43" s="31"/>
      <c r="D43" s="32"/>
      <c r="E43" s="35"/>
      <c r="F43" s="16">
        <f t="shared" si="5"/>
        <v>0</v>
      </c>
      <c r="G43" s="24"/>
      <c r="H43" s="21"/>
      <c r="I43" s="12"/>
      <c r="J43" s="46"/>
      <c r="K43" s="48"/>
      <c r="L43" s="49"/>
      <c r="M43" s="50"/>
      <c r="N43" s="50"/>
      <c r="O43" s="49"/>
    </row>
    <row r="44" s="1" customFormat="1" ht="18" customHeight="1" spans="1:15">
      <c r="A44" s="30"/>
      <c r="B44" s="16">
        <f t="shared" si="4"/>
        <v>0</v>
      </c>
      <c r="C44" s="31"/>
      <c r="D44" s="32"/>
      <c r="E44" s="35"/>
      <c r="F44" s="16">
        <f t="shared" si="5"/>
        <v>0</v>
      </c>
      <c r="G44" s="24"/>
      <c r="H44" s="21"/>
      <c r="I44" s="12"/>
      <c r="J44" s="46"/>
      <c r="K44" s="48"/>
      <c r="L44" s="49"/>
      <c r="M44" s="50"/>
      <c r="N44" s="50"/>
      <c r="O44" s="49"/>
    </row>
    <row r="45" s="1" customFormat="1" ht="18" customHeight="1" spans="1:15">
      <c r="A45" s="30"/>
      <c r="B45" s="16">
        <f t="shared" si="4"/>
        <v>0</v>
      </c>
      <c r="C45" s="31"/>
      <c r="D45" s="32"/>
      <c r="E45" s="35"/>
      <c r="F45" s="16">
        <f t="shared" si="5"/>
        <v>0</v>
      </c>
      <c r="G45" s="24"/>
      <c r="H45" s="21" t="s">
        <v>74</v>
      </c>
      <c r="I45" s="12"/>
      <c r="J45" s="46" t="s">
        <v>75</v>
      </c>
      <c r="K45" s="48" t="s">
        <v>76</v>
      </c>
      <c r="L45" s="49"/>
      <c r="M45" s="50"/>
      <c r="N45" s="50"/>
      <c r="O45" s="49"/>
    </row>
    <row r="46" s="1" customFormat="1" ht="18" customHeight="1" spans="1:15">
      <c r="A46" s="30"/>
      <c r="B46" s="16">
        <f t="shared" si="4"/>
        <v>0</v>
      </c>
      <c r="C46" s="31"/>
      <c r="D46" s="32"/>
      <c r="E46" s="35"/>
      <c r="F46" s="16">
        <f t="shared" si="5"/>
        <v>0</v>
      </c>
      <c r="G46" s="24"/>
      <c r="H46" s="21" t="s">
        <v>74</v>
      </c>
      <c r="I46" s="12"/>
      <c r="J46" s="46" t="s">
        <v>77</v>
      </c>
      <c r="K46" s="48" t="s">
        <v>78</v>
      </c>
      <c r="L46" s="49"/>
      <c r="M46" s="50"/>
      <c r="N46" s="50"/>
      <c r="O46" s="49"/>
    </row>
    <row r="47" s="1" customFormat="1" ht="18" customHeight="1" spans="1:15">
      <c r="A47" s="30"/>
      <c r="B47" s="16">
        <f t="shared" si="4"/>
        <v>0</v>
      </c>
      <c r="C47" s="31"/>
      <c r="D47" s="32"/>
      <c r="E47" s="35"/>
      <c r="F47" s="16">
        <f t="shared" si="5"/>
        <v>0</v>
      </c>
      <c r="G47" s="24"/>
      <c r="H47" s="21" t="s">
        <v>79</v>
      </c>
      <c r="I47" s="12">
        <v>250</v>
      </c>
      <c r="J47" s="46" t="s">
        <v>50</v>
      </c>
      <c r="K47" s="48" t="s">
        <v>80</v>
      </c>
      <c r="L47" s="49"/>
      <c r="M47" s="50"/>
      <c r="N47" s="50"/>
      <c r="O47" s="49"/>
    </row>
    <row r="48" s="1" customFormat="1" ht="18" customHeight="1" spans="1:15">
      <c r="A48" s="30"/>
      <c r="B48" s="16">
        <f t="shared" si="4"/>
        <v>0</v>
      </c>
      <c r="C48" s="31"/>
      <c r="D48" s="32"/>
      <c r="E48" s="35"/>
      <c r="F48" s="16">
        <f t="shared" si="5"/>
        <v>0</v>
      </c>
      <c r="G48" s="24"/>
      <c r="H48" s="21" t="s">
        <v>79</v>
      </c>
      <c r="I48" s="12">
        <v>110000</v>
      </c>
      <c r="J48" s="46" t="s">
        <v>77</v>
      </c>
      <c r="K48" s="48" t="s">
        <v>81</v>
      </c>
      <c r="L48" s="49"/>
      <c r="M48" s="50"/>
      <c r="N48" s="50"/>
      <c r="O48" s="49"/>
    </row>
    <row r="49" s="1" customFormat="1" ht="18" customHeight="1" spans="1:15">
      <c r="A49" s="30"/>
      <c r="B49" s="16">
        <f t="shared" si="4"/>
        <v>0</v>
      </c>
      <c r="C49" s="31"/>
      <c r="D49" s="32"/>
      <c r="E49" s="35"/>
      <c r="F49" s="16">
        <f t="shared" si="5"/>
        <v>0</v>
      </c>
      <c r="G49" s="24"/>
      <c r="H49" s="21" t="s">
        <v>82</v>
      </c>
      <c r="I49" s="12">
        <v>100</v>
      </c>
      <c r="J49" s="46" t="s">
        <v>50</v>
      </c>
      <c r="K49" s="48" t="s">
        <v>80</v>
      </c>
      <c r="L49" s="49"/>
      <c r="M49" s="50"/>
      <c r="N49" s="50"/>
      <c r="O49" s="49"/>
    </row>
    <row r="50" s="1" customFormat="1" ht="18" customHeight="1" spans="1:15">
      <c r="A50" s="30"/>
      <c r="B50" s="16">
        <f t="shared" si="4"/>
        <v>0</v>
      </c>
      <c r="C50" s="31"/>
      <c r="D50" s="32"/>
      <c r="E50" s="35"/>
      <c r="F50" s="16">
        <f t="shared" si="5"/>
        <v>0</v>
      </c>
      <c r="G50" s="24"/>
      <c r="H50" s="21" t="s">
        <v>82</v>
      </c>
      <c r="I50" s="12">
        <v>100</v>
      </c>
      <c r="J50" s="46" t="s">
        <v>50</v>
      </c>
      <c r="K50" s="48" t="s">
        <v>80</v>
      </c>
      <c r="L50" s="49"/>
      <c r="M50" s="50"/>
      <c r="N50" s="50"/>
      <c r="O50" s="49"/>
    </row>
    <row r="51" s="1" customFormat="1" ht="18" customHeight="1" spans="1:15">
      <c r="A51" s="30"/>
      <c r="B51" s="16">
        <f t="shared" si="4"/>
        <v>0</v>
      </c>
      <c r="C51" s="31"/>
      <c r="D51" s="32"/>
      <c r="E51" s="33"/>
      <c r="F51" s="16">
        <f t="shared" si="5"/>
        <v>0</v>
      </c>
      <c r="G51" s="24"/>
      <c r="H51" s="21" t="s">
        <v>83</v>
      </c>
      <c r="I51" s="51">
        <v>-276429</v>
      </c>
      <c r="J51" s="46" t="s">
        <v>75</v>
      </c>
      <c r="K51" s="48" t="s">
        <v>76</v>
      </c>
      <c r="L51" s="49"/>
      <c r="M51" s="50"/>
      <c r="N51" s="50"/>
      <c r="O51" s="49"/>
    </row>
    <row r="52" s="1" customFormat="1" ht="18" customHeight="1" spans="1:18">
      <c r="A52" s="30"/>
      <c r="B52" s="16">
        <f t="shared" si="4"/>
        <v>0</v>
      </c>
      <c r="C52" s="31"/>
      <c r="D52" s="32"/>
      <c r="E52" s="33"/>
      <c r="F52" s="16">
        <f t="shared" si="5"/>
        <v>0</v>
      </c>
      <c r="G52" s="24"/>
      <c r="H52" s="21" t="s">
        <v>83</v>
      </c>
      <c r="I52" s="51">
        <v>775379</v>
      </c>
      <c r="J52" s="46" t="s">
        <v>77</v>
      </c>
      <c r="K52" s="48" t="s">
        <v>81</v>
      </c>
      <c r="L52" s="49"/>
      <c r="M52" s="50"/>
      <c r="N52" s="50"/>
      <c r="O52" s="49"/>
      <c r="R52" s="1">
        <f>I48+I51+I52</f>
        <v>608950</v>
      </c>
    </row>
    <row r="53" s="1" customFormat="1" ht="18" customHeight="1" spans="1:15">
      <c r="A53" s="30"/>
      <c r="B53" s="16">
        <f t="shared" si="4"/>
        <v>0</v>
      </c>
      <c r="C53" s="31"/>
      <c r="D53" s="32"/>
      <c r="E53" s="33"/>
      <c r="F53" s="16">
        <f t="shared" si="5"/>
        <v>0</v>
      </c>
      <c r="G53" s="24"/>
      <c r="H53" s="21"/>
      <c r="I53" s="12">
        <v>398</v>
      </c>
      <c r="J53" s="46" t="s">
        <v>50</v>
      </c>
      <c r="K53" s="48" t="s">
        <v>84</v>
      </c>
      <c r="L53" s="49"/>
      <c r="M53" s="50"/>
      <c r="N53" s="50"/>
      <c r="O53" s="49"/>
    </row>
    <row r="54" s="1" customFormat="1" ht="18" customHeight="1" spans="1:15">
      <c r="A54" s="30"/>
      <c r="B54" s="16">
        <f t="shared" si="4"/>
        <v>0</v>
      </c>
      <c r="C54" s="31"/>
      <c r="D54" s="32"/>
      <c r="E54" s="33"/>
      <c r="F54" s="16">
        <f t="shared" si="5"/>
        <v>0</v>
      </c>
      <c r="G54" s="24"/>
      <c r="H54" s="21" t="s">
        <v>49</v>
      </c>
      <c r="I54" s="12">
        <v>4226</v>
      </c>
      <c r="J54" s="46" t="s">
        <v>50</v>
      </c>
      <c r="K54" s="48" t="s">
        <v>85</v>
      </c>
      <c r="L54" s="49"/>
      <c r="M54" s="50"/>
      <c r="N54" s="50"/>
      <c r="O54" s="49"/>
    </row>
    <row r="55" s="1" customFormat="1" ht="18" customHeight="1" spans="1:15">
      <c r="A55" s="30"/>
      <c r="B55" s="16">
        <f t="shared" si="4"/>
        <v>0</v>
      </c>
      <c r="C55" s="31"/>
      <c r="D55" s="32"/>
      <c r="E55" s="33"/>
      <c r="F55" s="16">
        <f t="shared" si="5"/>
        <v>0</v>
      </c>
      <c r="G55" s="24"/>
      <c r="H55" s="21" t="s">
        <v>49</v>
      </c>
      <c r="I55" s="12">
        <v>249595</v>
      </c>
      <c r="J55" s="46" t="s">
        <v>50</v>
      </c>
      <c r="K55" s="48" t="s">
        <v>86</v>
      </c>
      <c r="L55" s="49"/>
      <c r="M55" s="50"/>
      <c r="N55" s="50"/>
      <c r="O55" s="49"/>
    </row>
    <row r="56" s="1" customFormat="1" ht="18" customHeight="1" spans="1:15">
      <c r="A56" s="30"/>
      <c r="B56" s="16">
        <f t="shared" si="4"/>
        <v>0</v>
      </c>
      <c r="C56" s="31"/>
      <c r="D56" s="32"/>
      <c r="E56" s="33"/>
      <c r="F56" s="16">
        <f t="shared" si="5"/>
        <v>0</v>
      </c>
      <c r="G56" s="24"/>
      <c r="H56" s="21" t="s">
        <v>49</v>
      </c>
      <c r="I56" s="51">
        <v>20000</v>
      </c>
      <c r="J56" s="46" t="s">
        <v>50</v>
      </c>
      <c r="K56" s="48" t="s">
        <v>87</v>
      </c>
      <c r="L56" s="49"/>
      <c r="M56" s="50"/>
      <c r="N56" s="50"/>
      <c r="O56" s="49"/>
    </row>
    <row r="57" s="1" customFormat="1" ht="18" customHeight="1" spans="1:15">
      <c r="A57" s="30"/>
      <c r="B57" s="16">
        <f t="shared" si="4"/>
        <v>0</v>
      </c>
      <c r="C57" s="31"/>
      <c r="D57" s="32"/>
      <c r="E57" s="33"/>
      <c r="F57" s="16">
        <f t="shared" si="5"/>
        <v>0</v>
      </c>
      <c r="G57" s="24"/>
      <c r="H57" s="21" t="s">
        <v>49</v>
      </c>
      <c r="I57" s="12">
        <v>500</v>
      </c>
      <c r="J57" s="46" t="s">
        <v>50</v>
      </c>
      <c r="K57" s="48" t="s">
        <v>88</v>
      </c>
      <c r="L57" s="49"/>
      <c r="M57" s="50"/>
      <c r="N57" s="50"/>
      <c r="O57" s="49"/>
    </row>
    <row r="58" s="1" customFormat="1" ht="18" customHeight="1" spans="1:15">
      <c r="A58" s="30"/>
      <c r="B58" s="16">
        <f t="shared" si="4"/>
        <v>0</v>
      </c>
      <c r="C58" s="31"/>
      <c r="D58" s="32"/>
      <c r="E58" s="33"/>
      <c r="F58" s="16">
        <f t="shared" si="5"/>
        <v>0</v>
      </c>
      <c r="G58" s="24"/>
      <c r="H58" s="21" t="s">
        <v>49</v>
      </c>
      <c r="I58" s="12"/>
      <c r="J58" s="46"/>
      <c r="K58" s="48"/>
      <c r="L58" s="49"/>
      <c r="M58" s="50"/>
      <c r="N58" s="50"/>
      <c r="O58" s="49"/>
    </row>
    <row r="59" s="1" customFormat="1" ht="18" customHeight="1" spans="1:15">
      <c r="A59" s="30"/>
      <c r="B59" s="16">
        <f t="shared" si="4"/>
        <v>0</v>
      </c>
      <c r="C59" s="31"/>
      <c r="D59" s="32"/>
      <c r="E59" s="33"/>
      <c r="F59" s="16">
        <f t="shared" si="5"/>
        <v>0</v>
      </c>
      <c r="G59" s="24"/>
      <c r="H59" s="21"/>
      <c r="I59" s="51">
        <f>20000+6949</f>
        <v>26949</v>
      </c>
      <c r="J59" s="46" t="s">
        <v>77</v>
      </c>
      <c r="K59" s="48" t="s">
        <v>78</v>
      </c>
      <c r="L59" s="49"/>
      <c r="M59" s="50"/>
      <c r="N59" s="50"/>
      <c r="O59" s="49"/>
    </row>
    <row r="60" s="1" customFormat="1" ht="18" customHeight="1" spans="1:15">
      <c r="A60" s="30"/>
      <c r="B60" s="16">
        <f t="shared" si="4"/>
        <v>0</v>
      </c>
      <c r="C60" s="31"/>
      <c r="D60" s="32"/>
      <c r="E60" s="33"/>
      <c r="F60" s="16">
        <f t="shared" si="5"/>
        <v>0</v>
      </c>
      <c r="G60" s="24"/>
      <c r="H60" s="21"/>
      <c r="I60" s="51">
        <v>20000</v>
      </c>
      <c r="J60" s="46" t="s">
        <v>77</v>
      </c>
      <c r="K60" s="48" t="s">
        <v>78</v>
      </c>
      <c r="L60" s="49"/>
      <c r="M60" s="50"/>
      <c r="N60" s="50"/>
      <c r="O60" s="49"/>
    </row>
    <row r="61" s="1" customFormat="1" ht="18" customHeight="1" spans="1:15">
      <c r="A61" s="30"/>
      <c r="B61" s="16">
        <f t="shared" si="4"/>
        <v>0</v>
      </c>
      <c r="C61" s="31"/>
      <c r="D61" s="32"/>
      <c r="E61" s="33"/>
      <c r="F61" s="16">
        <f t="shared" si="5"/>
        <v>0</v>
      </c>
      <c r="G61" s="24"/>
      <c r="H61" s="21"/>
      <c r="I61" s="12">
        <v>4815</v>
      </c>
      <c r="J61" s="46" t="s">
        <v>50</v>
      </c>
      <c r="K61" s="48" t="s">
        <v>89</v>
      </c>
      <c r="L61" s="49"/>
      <c r="M61" s="50"/>
      <c r="N61" s="50"/>
      <c r="O61" s="49"/>
    </row>
    <row r="62" s="1" customFormat="1" ht="18" customHeight="1" spans="1:18">
      <c r="A62" s="30"/>
      <c r="B62" s="16">
        <f t="shared" si="4"/>
        <v>0</v>
      </c>
      <c r="C62" s="31"/>
      <c r="D62" s="32"/>
      <c r="E62" s="33"/>
      <c r="F62" s="16">
        <f t="shared" si="5"/>
        <v>0</v>
      </c>
      <c r="G62" s="24"/>
      <c r="H62" s="21"/>
      <c r="I62" s="12">
        <v>500</v>
      </c>
      <c r="J62" s="46" t="s">
        <v>50</v>
      </c>
      <c r="K62" s="48" t="s">
        <v>88</v>
      </c>
      <c r="L62" s="49"/>
      <c r="M62" s="50"/>
      <c r="N62" s="50"/>
      <c r="O62" s="49"/>
      <c r="R62" s="1">
        <f>I51+I52</f>
        <v>498950</v>
      </c>
    </row>
    <row r="63" s="1" customFormat="1" ht="18" customHeight="1" spans="1:15">
      <c r="A63" s="30"/>
      <c r="B63" s="16">
        <f t="shared" si="4"/>
        <v>65200</v>
      </c>
      <c r="C63" s="31"/>
      <c r="D63" s="32"/>
      <c r="E63" s="33"/>
      <c r="F63" s="16">
        <f t="shared" si="5"/>
        <v>0</v>
      </c>
      <c r="G63" s="24">
        <f>15000+50200</f>
        <v>65200</v>
      </c>
      <c r="H63" s="21"/>
      <c r="I63" s="12">
        <f>G63</f>
        <v>65200</v>
      </c>
      <c r="J63" s="46" t="s">
        <v>50</v>
      </c>
      <c r="K63" s="48" t="s">
        <v>90</v>
      </c>
      <c r="L63" s="49" t="s">
        <v>91</v>
      </c>
      <c r="M63" s="50"/>
      <c r="N63" s="50"/>
      <c r="O63" s="49"/>
    </row>
    <row r="64" ht="18" customHeight="1" spans="1:15">
      <c r="A64" s="27" t="s">
        <v>21</v>
      </c>
      <c r="B64" s="37">
        <f t="shared" ref="B64:G64" si="6">SUM(B16:B63)</f>
        <v>8666264.61</v>
      </c>
      <c r="C64" s="27"/>
      <c r="D64" s="38"/>
      <c r="E64" s="38"/>
      <c r="F64" s="39">
        <f t="shared" si="6"/>
        <v>594731.39</v>
      </c>
      <c r="G64" s="40">
        <f t="shared" si="6"/>
        <v>9260996</v>
      </c>
      <c r="H64" s="41"/>
      <c r="I64" s="26">
        <f>SUM(I16:I63)</f>
        <v>10656023</v>
      </c>
      <c r="J64" s="59"/>
      <c r="K64" s="60"/>
      <c r="L64" s="28"/>
      <c r="M64" s="46"/>
      <c r="N64" s="46"/>
      <c r="O64" s="28"/>
    </row>
    <row r="65" ht="18" customHeight="1" spans="1:18">
      <c r="A65" s="61"/>
      <c r="B65" s="62">
        <f>B13-B64</f>
        <v>1068908.5342869</v>
      </c>
      <c r="C65" s="61"/>
      <c r="D65" s="63"/>
      <c r="E65" s="63"/>
      <c r="F65" s="62"/>
      <c r="G65" s="62">
        <f>G13-G64</f>
        <v>1402114</v>
      </c>
      <c r="H65" s="20" t="s">
        <v>92</v>
      </c>
      <c r="I65" s="26">
        <f>I13-I64</f>
        <v>7087</v>
      </c>
      <c r="J65" s="6"/>
      <c r="K65" s="71"/>
      <c r="M65" s="72"/>
      <c r="N65" s="72"/>
      <c r="R65" s="6">
        <f>I77-R62</f>
        <v>-231722.866428274</v>
      </c>
    </row>
    <row r="66" ht="18" customHeight="1" spans="1:3">
      <c r="A66" s="2" t="s">
        <v>93</v>
      </c>
      <c r="C66" s="2"/>
    </row>
    <row r="67" ht="18" customHeight="1" spans="1:9">
      <c r="A67" s="20" t="s">
        <v>94</v>
      </c>
      <c r="B67" s="19" t="s">
        <v>95</v>
      </c>
      <c r="C67" s="28"/>
      <c r="D67" s="20" t="s">
        <v>94</v>
      </c>
      <c r="E67" s="18" t="s">
        <v>15</v>
      </c>
      <c r="F67" s="19" t="s">
        <v>95</v>
      </c>
      <c r="G67" s="19" t="s">
        <v>96</v>
      </c>
      <c r="H67" s="19" t="s">
        <v>97</v>
      </c>
      <c r="I67" s="19" t="s">
        <v>98</v>
      </c>
    </row>
    <row r="68" ht="18" customHeight="1" spans="1:17">
      <c r="A68" s="28" t="s">
        <v>99</v>
      </c>
      <c r="B68" s="16">
        <f>(B13-B64)*0.25</f>
        <v>267227.133571726</v>
      </c>
      <c r="C68" s="28"/>
      <c r="D68" s="9" t="s">
        <v>100</v>
      </c>
      <c r="E68" s="46" t="s">
        <v>101</v>
      </c>
      <c r="F68" s="64">
        <f>F13-F64</f>
        <v>138502.002827356</v>
      </c>
      <c r="G68" s="64">
        <v>0</v>
      </c>
      <c r="H68" s="23">
        <v>226904.112827356</v>
      </c>
      <c r="I68" s="64">
        <f>SUM(F7:F8)-SUM(F16:F26)</f>
        <v>226904.112827356</v>
      </c>
      <c r="Q68" s="6" t="s">
        <v>102</v>
      </c>
    </row>
    <row r="69" ht="18" customHeight="1" spans="1:19">
      <c r="A69" s="28" t="s">
        <v>103</v>
      </c>
      <c r="B69" s="12">
        <f>G13*0.0003</f>
        <v>3198.933</v>
      </c>
      <c r="C69" s="28"/>
      <c r="D69" s="65" t="s">
        <v>104</v>
      </c>
      <c r="E69" s="13">
        <v>0.05</v>
      </c>
      <c r="F69" s="12">
        <f>F68*E69</f>
        <v>6925.10014136781</v>
      </c>
      <c r="G69" s="12">
        <v>0</v>
      </c>
      <c r="H69" s="23">
        <f>H68*E69</f>
        <v>11345.2056413678</v>
      </c>
      <c r="I69" s="12">
        <f>I68*E69</f>
        <v>11345.2056413678</v>
      </c>
      <c r="S69" s="6" t="s">
        <v>102</v>
      </c>
    </row>
    <row r="70" ht="18" customHeight="1" spans="1:18">
      <c r="A70" s="28" t="s">
        <v>105</v>
      </c>
      <c r="B70" s="66">
        <f>B13*0.0006</f>
        <v>5841.10388657214</v>
      </c>
      <c r="C70" s="28"/>
      <c r="D70" s="65" t="s">
        <v>106</v>
      </c>
      <c r="E70" s="13">
        <v>0.03</v>
      </c>
      <c r="F70" s="12">
        <f>F68*E70</f>
        <v>4155.06008482068</v>
      </c>
      <c r="G70" s="12">
        <v>0</v>
      </c>
      <c r="H70" s="23">
        <f>H68*E70</f>
        <v>6807.12338482068</v>
      </c>
      <c r="I70" s="12">
        <f>I68*E70</f>
        <v>6807.12338482069</v>
      </c>
      <c r="R70" s="6" t="s">
        <v>102</v>
      </c>
    </row>
    <row r="71" ht="18" customHeight="1" spans="1:9">
      <c r="A71" s="28"/>
      <c r="B71" s="12"/>
      <c r="C71" s="28"/>
      <c r="D71" s="65" t="s">
        <v>107</v>
      </c>
      <c r="E71" s="13">
        <v>0.02</v>
      </c>
      <c r="F71" s="12">
        <f>F68*E71</f>
        <v>2770.04005654712</v>
      </c>
      <c r="G71" s="12">
        <v>0</v>
      </c>
      <c r="H71" s="23">
        <f>H68*E71</f>
        <v>4538.08225654712</v>
      </c>
      <c r="I71" s="12">
        <f>I68*E71</f>
        <v>4538.08225654713</v>
      </c>
    </row>
    <row r="72" ht="18" customHeight="1" spans="1:12">
      <c r="A72" s="25" t="s">
        <v>108</v>
      </c>
      <c r="B72" s="37">
        <f t="shared" ref="B72:I72" si="7">SUM(B68:B71)</f>
        <v>276267.170458298</v>
      </c>
      <c r="C72" s="28"/>
      <c r="D72" s="25" t="s">
        <v>108</v>
      </c>
      <c r="E72" s="25"/>
      <c r="F72" s="39">
        <f t="shared" si="7"/>
        <v>152352.203110092</v>
      </c>
      <c r="G72" s="39">
        <f t="shared" si="7"/>
        <v>0</v>
      </c>
      <c r="H72" s="67">
        <f t="shared" si="7"/>
        <v>249594.524110092</v>
      </c>
      <c r="I72" s="39">
        <f t="shared" si="7"/>
        <v>249594.524110092</v>
      </c>
      <c r="L72" s="3" t="s">
        <v>102</v>
      </c>
    </row>
    <row r="73" ht="18" customHeight="1" spans="3:9">
      <c r="C73" s="2"/>
      <c r="D73" s="11" t="s">
        <v>103</v>
      </c>
      <c r="E73" s="68">
        <v>0.0003</v>
      </c>
      <c r="F73" s="12">
        <f>G13*E73</f>
        <v>3198.933</v>
      </c>
      <c r="G73" s="12">
        <v>1708.45</v>
      </c>
      <c r="H73" s="23"/>
      <c r="I73" s="12">
        <f>G8*E73</f>
        <v>1490.481</v>
      </c>
    </row>
    <row r="74" ht="18" customHeight="1" spans="3:19">
      <c r="C74" s="2"/>
      <c r="D74" s="11" t="s">
        <v>105</v>
      </c>
      <c r="E74" s="68">
        <v>0.0006</v>
      </c>
      <c r="F74" s="12">
        <f>B13*E74</f>
        <v>5841.10388657214</v>
      </c>
      <c r="G74" s="12">
        <v>3106.28</v>
      </c>
      <c r="H74" s="23"/>
      <c r="I74" s="12">
        <f>B8*E74</f>
        <v>2734.82752293578</v>
      </c>
      <c r="S74" s="6" t="s">
        <v>102</v>
      </c>
    </row>
    <row r="75" ht="18" customHeight="1" spans="3:9">
      <c r="C75" s="2"/>
      <c r="D75" s="69" t="s">
        <v>108</v>
      </c>
      <c r="E75" s="69"/>
      <c r="F75" s="39">
        <f t="shared" ref="F75:I75" si="8">F73+F74</f>
        <v>9040.03688657214</v>
      </c>
      <c r="G75" s="39">
        <f t="shared" si="8"/>
        <v>4814.73</v>
      </c>
      <c r="H75" s="67"/>
      <c r="I75" s="39">
        <f t="shared" si="8"/>
        <v>4225.30852293578</v>
      </c>
    </row>
    <row r="76" ht="18" customHeight="1" spans="3:8">
      <c r="C76" s="2"/>
      <c r="H76" s="70" t="s">
        <v>109</v>
      </c>
    </row>
    <row r="77" ht="18" customHeight="1" spans="3:9">
      <c r="C77" s="2"/>
      <c r="I77" s="3">
        <f>B65*0.25</f>
        <v>267227.133571726</v>
      </c>
    </row>
    <row r="78" ht="18" customHeight="1" spans="3:3">
      <c r="C78" s="2"/>
    </row>
    <row r="79" ht="18" customHeight="1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</sheetData>
  <autoFilter ref="A15:S7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scale="75" fitToWidth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7-13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WPS_1680575033</cp:lastModifiedBy>
  <dcterms:created xsi:type="dcterms:W3CDTF">2016-07-12T06:03:00Z</dcterms:created>
  <cp:lastPrinted>2019-01-08T08:09:00Z</cp:lastPrinted>
  <dcterms:modified xsi:type="dcterms:W3CDTF">2023-04-06T02:24:42Z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8776BCE88B1448C7B23988361086F06D_12</vt:lpwstr>
  </property>
</Properties>
</file>