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definedNames>
    <definedName name="_xlnm._FilterDatabase" localSheetId="0" hidden="1">新!$A$18:$O$83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76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7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L80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A46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7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<sst xmlns="http://schemas.openxmlformats.org/spreadsheetml/2006/main" count="391" uniqueCount="114">
  <si>
    <t>无为县泥汊镇2019年四好农村路扩面延伸工程-新兴村、双进村</t>
  </si>
  <si>
    <t>中标日期</t>
  </si>
  <si>
    <t>中标价</t>
  </si>
  <si>
    <t>负责人</t>
  </si>
  <si>
    <t>王冬汉</t>
  </si>
  <si>
    <t>建设单位</t>
  </si>
  <si>
    <t>无为县泥汊镇人民政府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</si>
  <si>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</si>
  <si>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</si>
  <si>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</si>
  <si>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</si>
  <si>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</si>
  <si>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</si>
  <si>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</si>
  <si>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</si>
  <si>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</si>
  <si>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</si>
  <si>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</si>
  <si>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</si>
  <si>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</si>
  <si>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</si>
  <si>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</si>
  <si>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</si>
  <si>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</si>
  <si>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</si>
  <si>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</si>
  <si>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</si>
  <si>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</si>
  <si>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</si>
  <si>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</si>
  <si>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</si>
  <si>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</si>
  <si>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</si>
  <si>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</si>
  <si>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</si>
  <si>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</si>
  <si>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</si>
  <si>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</t>
  </si>
  <si>
    <t>无为县金翠建材门市部</t>
  </si>
  <si>
    <t>沙1920吨</t>
  </si>
  <si>
    <t>有</t>
  </si>
  <si>
    <t>合同价549000</t>
  </si>
  <si>
    <t>无为县树忠建材经营部</t>
  </si>
  <si>
    <t>石子2740吨</t>
  </si>
  <si>
    <t>合同价840000</t>
  </si>
  <si>
    <t>芜湖美姿建材销售有限公司</t>
  </si>
  <si>
    <t>水泥810吨</t>
  </si>
  <si>
    <t>合同价1777500</t>
  </si>
  <si>
    <t>安徽智宏建设投资有限公司</t>
  </si>
  <si>
    <t>工程服务</t>
  </si>
  <si>
    <t>沙2400吨</t>
  </si>
  <si>
    <t>石子2856吨</t>
  </si>
  <si>
    <t>普代</t>
  </si>
  <si>
    <t>石子2404吨</t>
  </si>
  <si>
    <t>徽行</t>
  </si>
  <si>
    <t>蔡克胜</t>
  </si>
  <si>
    <t>沙子</t>
  </si>
  <si>
    <t>石子</t>
  </si>
  <si>
    <t>1份</t>
  </si>
  <si>
    <t>无为县敏海建材门市部</t>
  </si>
  <si>
    <t>水泥652.17吨</t>
  </si>
  <si>
    <t>2021-90#-60万</t>
  </si>
  <si>
    <t>陈平</t>
  </si>
  <si>
    <t>水泥217.39吨</t>
  </si>
  <si>
    <t>2021-113-1#-10万</t>
  </si>
  <si>
    <t>陈晓群</t>
  </si>
  <si>
    <t>2021-113-2#-10万</t>
  </si>
  <si>
    <t>吴梅</t>
  </si>
  <si>
    <t>2021-113-3#-10万</t>
  </si>
  <si>
    <t>吴民虎</t>
  </si>
  <si>
    <t>2021-113-4#-10万</t>
  </si>
  <si>
    <t>水泥</t>
  </si>
  <si>
    <t>退垫付材料款</t>
  </si>
  <si>
    <t>退异地预缴税金</t>
  </si>
  <si>
    <t>扣</t>
  </si>
  <si>
    <t>手续费</t>
  </si>
  <si>
    <t>管理费（剩余全部）</t>
  </si>
  <si>
    <t>5次</t>
  </si>
  <si>
    <t>外经证</t>
  </si>
  <si>
    <t>管理费</t>
  </si>
  <si>
    <t>企税1%</t>
  </si>
  <si>
    <t>2021年印花税</t>
  </si>
  <si>
    <t>4次</t>
  </si>
  <si>
    <t>3次</t>
  </si>
  <si>
    <t>退</t>
  </si>
  <si>
    <t xml:space="preserve">之前暂扣企税 </t>
  </si>
  <si>
    <t>合同未签好</t>
  </si>
  <si>
    <t>2次</t>
  </si>
  <si>
    <t>暂扣</t>
  </si>
  <si>
    <t xml:space="preserve">企税 </t>
  </si>
  <si>
    <t>1次</t>
  </si>
  <si>
    <t>代办费</t>
  </si>
  <si>
    <t>应提供成本</t>
  </si>
  <si>
    <t>可支付金额</t>
  </si>
  <si>
    <t>尚需提供成本</t>
  </si>
  <si>
    <t>公司代缴税金：</t>
  </si>
  <si>
    <t>税种</t>
  </si>
  <si>
    <t>税额</t>
  </si>
  <si>
    <t>19.9月异地少缴</t>
  </si>
  <si>
    <t>19.10月开票扣税</t>
  </si>
  <si>
    <t>19.12/.20.1开票扣税</t>
  </si>
  <si>
    <t>2020年9月开票税金</t>
  </si>
  <si>
    <t>2021年2月开票税金</t>
  </si>
  <si>
    <t xml:space="preserve"> 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</si>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</sst>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177" formatCode="#,##0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yy/m/d;@"/>
    <numFmt numFmtId="179" formatCode="#,##0.00_ "/>
    <numFmt numFmtId="180" formatCode="yyyy&quot;年&quot;m&quot;月&quot;;@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11" fillId="11" borderId="7" applyNumberFormat="0" applyAlignment="0" applyProtection="0">
      <alignment vertical="center"/>
    </xf>
    <xf numFmtId="0" fontId="18" fillId="26" borderId="9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73">
    <xf numFmtId="0" fontId="0" fillId="0" borderId="0" xfId="0"/>
    <xf numFmtId="0" fontId="1" fillId="0" borderId="0" xfId="0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vertical="center"/>
    </xf>
    <xf numFmtId="0" fontId="4" fillId="0" borderId="0" xfId="0" applyFont="1"/>
    <xf numFmtId="179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6" fontId="2" fillId="0" borderId="2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vertical="center"/>
    </xf>
    <xf numFmtId="176" fontId="6" fillId="3" borderId="2" xfId="0" applyNumberFormat="1" applyFont="1" applyFill="1" applyBorder="1" applyAlignment="1">
      <alignment vertical="center"/>
    </xf>
    <xf numFmtId="179" fontId="6" fillId="0" borderId="2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8" fontId="6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9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left" vertical="center"/>
    </xf>
    <xf numFmtId="178" fontId="2" fillId="0" borderId="5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9" fontId="4" fillId="0" borderId="0" xfId="0" applyNumberFormat="1" applyFont="1"/>
    <xf numFmtId="179" fontId="2" fillId="0" borderId="2" xfId="0" applyNumberFormat="1" applyFont="1" applyFill="1" applyBorder="1" applyAlignment="1">
      <alignment vertical="center"/>
    </xf>
    <xf numFmtId="179" fontId="1" fillId="2" borderId="2" xfId="0" applyNumberFormat="1" applyFont="1" applyFill="1" applyBorder="1" applyAlignment="1">
      <alignment vertical="center"/>
    </xf>
    <xf numFmtId="178" fontId="2" fillId="0" borderId="0" xfId="0" applyNumberFormat="1" applyFont="1" applyBorder="1" applyAlignment="1">
      <alignment horizontal="center" vertical="center"/>
    </xf>
    <xf numFmtId="179" fontId="6" fillId="3" borderId="2" xfId="0" applyNumberFormat="1" applyFont="1" applyFill="1" applyBorder="1" applyAlignment="1">
      <alignment vertical="center"/>
    </xf>
    <xf numFmtId="179" fontId="1" fillId="0" borderId="2" xfId="0" applyNumberFormat="1" applyFont="1" applyBorder="1" applyAlignment="1">
      <alignment vertical="center"/>
    </xf>
    <xf numFmtId="178" fontId="1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179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57" fontId="1" fillId="0" borderId="2" xfId="0" applyNumberFormat="1" applyFont="1" applyBorder="1" applyAlignment="1">
      <alignment vertical="center"/>
    </xf>
    <xf numFmtId="179" fontId="6" fillId="0" borderId="3" xfId="0" applyNumberFormat="1" applyFont="1" applyBorder="1" applyAlignment="1">
      <alignment vertical="center"/>
    </xf>
    <xf numFmtId="179" fontId="6" fillId="4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0"/>
  <sheetViews>
    <sheetView tabSelected="1" topLeftCell="A41" workbookViewId="0">
      <selection activeCell="I73" sqref="I73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16.7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15.75" style="6" customWidth="1"/>
    <col min="14" max="14" width="5.625" style="6" customWidth="1"/>
    <col min="15" max="15" width="17.25" style="6" customWidth="1"/>
    <col min="16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43574</v>
      </c>
      <c r="C2" s="11" t="s">
        <v>2</v>
      </c>
      <c r="D2" s="59">
        <v>6679566.69</v>
      </c>
      <c r="E2" s="13" t="s">
        <v>3</v>
      </c>
      <c r="F2" s="14" t="s">
        <v>4</v>
      </c>
      <c r="G2" s="15" t="s">
        <v>5</v>
      </c>
      <c r="H2" s="16" t="s">
        <v>6</v>
      </c>
      <c r="I2" s="48"/>
      <c r="J2" s="49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/>
      <c r="H3" s="18"/>
      <c r="I3" s="50"/>
      <c r="J3" s="18"/>
      <c r="K3" s="18"/>
      <c r="L3" s="18"/>
    </row>
    <row r="4" ht="18" customHeight="1" spans="1:12">
      <c r="A4" s="2" t="s">
        <v>9</v>
      </c>
      <c r="H4" s="18"/>
      <c r="I4" s="50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43731</v>
      </c>
      <c r="B7" s="11">
        <f t="shared" ref="B7:B13" si="0">G7/(1+C7+E7)</f>
        <v>614563.106796116</v>
      </c>
      <c r="C7" s="24">
        <v>0.03</v>
      </c>
      <c r="D7" s="60">
        <f t="shared" ref="D7:D13" si="1">G7/(1+E7+C7)*C7</f>
        <v>18436.8932038835</v>
      </c>
      <c r="E7" s="24"/>
      <c r="F7" s="23">
        <f t="shared" ref="F7:F13" si="2">G7/(1+C7+E7)*E7</f>
        <v>0</v>
      </c>
      <c r="G7" s="61">
        <v>633000</v>
      </c>
      <c r="H7" s="22">
        <v>43733</v>
      </c>
      <c r="I7" s="11">
        <v>633000</v>
      </c>
      <c r="J7" s="51" t="s">
        <v>21</v>
      </c>
    </row>
    <row r="8" ht="18" customHeight="1" spans="1:12">
      <c r="A8" s="22">
        <v>43754</v>
      </c>
      <c r="B8" s="11">
        <f t="shared" si="0"/>
        <v>310679.611650485</v>
      </c>
      <c r="C8" s="27">
        <v>0.03</v>
      </c>
      <c r="D8" s="60">
        <f t="shared" si="1"/>
        <v>9320.38834951456</v>
      </c>
      <c r="E8" s="24"/>
      <c r="F8" s="23">
        <f t="shared" si="2"/>
        <v>0</v>
      </c>
      <c r="G8" s="61">
        <v>320000</v>
      </c>
      <c r="H8" s="22">
        <v>43759</v>
      </c>
      <c r="I8" s="11">
        <v>320000</v>
      </c>
      <c r="J8" s="51" t="s">
        <v>21</v>
      </c>
      <c r="L8" s="3"/>
    </row>
    <row r="9" ht="18" customHeight="1" spans="1:10">
      <c r="A9" s="62">
        <v>43805</v>
      </c>
      <c r="B9" s="11">
        <f t="shared" si="0"/>
        <v>81553.3980582524</v>
      </c>
      <c r="C9" s="27">
        <v>0.03</v>
      </c>
      <c r="D9" s="60">
        <f t="shared" si="1"/>
        <v>2446.60194174757</v>
      </c>
      <c r="E9" s="24"/>
      <c r="F9" s="23">
        <f t="shared" si="2"/>
        <v>0</v>
      </c>
      <c r="G9" s="61">
        <v>84000</v>
      </c>
      <c r="H9" s="22">
        <v>43822</v>
      </c>
      <c r="I9" s="11">
        <v>84000</v>
      </c>
      <c r="J9" s="51" t="s">
        <v>21</v>
      </c>
    </row>
    <row r="10" ht="18" customHeight="1" spans="1:10">
      <c r="A10" s="62">
        <v>43847</v>
      </c>
      <c r="B10" s="11">
        <f t="shared" si="0"/>
        <v>834951.45631068</v>
      </c>
      <c r="C10" s="27">
        <v>0.03</v>
      </c>
      <c r="D10" s="60">
        <f t="shared" si="1"/>
        <v>25048.5436893204</v>
      </c>
      <c r="E10" s="24"/>
      <c r="F10" s="23">
        <f t="shared" si="2"/>
        <v>0</v>
      </c>
      <c r="G10" s="61">
        <v>860000</v>
      </c>
      <c r="H10" s="22">
        <v>43849</v>
      </c>
      <c r="I10" s="11">
        <v>860000</v>
      </c>
      <c r="J10" s="51" t="s">
        <v>21</v>
      </c>
    </row>
    <row r="11" ht="18" customHeight="1" spans="1:10">
      <c r="A11" s="22">
        <v>44077</v>
      </c>
      <c r="B11" s="11">
        <f t="shared" si="0"/>
        <v>349514.563106796</v>
      </c>
      <c r="C11" s="27">
        <v>0.03</v>
      </c>
      <c r="D11" s="60">
        <f t="shared" si="1"/>
        <v>10485.4368932039</v>
      </c>
      <c r="E11" s="24"/>
      <c r="F11" s="23">
        <f t="shared" si="2"/>
        <v>0</v>
      </c>
      <c r="G11" s="61">
        <v>360000</v>
      </c>
      <c r="H11" s="22">
        <v>44082</v>
      </c>
      <c r="I11" s="11">
        <v>360000</v>
      </c>
      <c r="J11" s="51" t="s">
        <v>22</v>
      </c>
    </row>
    <row r="12" ht="18" customHeight="1" spans="1:10">
      <c r="A12" s="22">
        <v>44231</v>
      </c>
      <c r="B12" s="11">
        <f t="shared" si="0"/>
        <v>1646737.86407767</v>
      </c>
      <c r="C12" s="27">
        <v>0.03</v>
      </c>
      <c r="D12" s="60">
        <f t="shared" si="1"/>
        <v>49402.1359223301</v>
      </c>
      <c r="E12" s="24"/>
      <c r="F12" s="23">
        <f t="shared" si="2"/>
        <v>0</v>
      </c>
      <c r="G12" s="61">
        <v>1696140</v>
      </c>
      <c r="H12" s="22">
        <v>44235</v>
      </c>
      <c r="I12" s="11">
        <v>848070</v>
      </c>
      <c r="J12" s="51" t="s">
        <v>22</v>
      </c>
    </row>
    <row r="13" ht="18" customHeight="1" spans="1:10">
      <c r="A13" s="22"/>
      <c r="B13" s="11"/>
      <c r="C13" s="27"/>
      <c r="D13" s="60"/>
      <c r="E13" s="24"/>
      <c r="F13" s="23"/>
      <c r="G13" s="61"/>
      <c r="H13" s="22">
        <v>44266</v>
      </c>
      <c r="I13" s="11">
        <v>848070</v>
      </c>
      <c r="J13" s="51" t="s">
        <v>22</v>
      </c>
    </row>
    <row r="14" ht="18" customHeight="1" spans="1:10">
      <c r="A14" s="22"/>
      <c r="B14" s="11"/>
      <c r="C14" s="27"/>
      <c r="D14" s="60"/>
      <c r="E14" s="24"/>
      <c r="F14" s="23"/>
      <c r="G14" s="61"/>
      <c r="H14" s="22"/>
      <c r="I14" s="11"/>
      <c r="J14" s="51"/>
    </row>
    <row r="15" ht="18" customHeight="1" spans="1:10">
      <c r="A15" s="22"/>
      <c r="B15" s="11">
        <f>G15/(1+C15+E15)</f>
        <v>0</v>
      </c>
      <c r="C15" s="27"/>
      <c r="D15" s="60">
        <f>G15/(1+E15+C15)*C15</f>
        <v>0</v>
      </c>
      <c r="E15" s="24"/>
      <c r="F15" s="23">
        <f>G15/(1+C15+E15)*E15</f>
        <v>0</v>
      </c>
      <c r="G15" s="61"/>
      <c r="H15" s="22"/>
      <c r="I15" s="11"/>
      <c r="J15" s="51"/>
    </row>
    <row r="16" ht="18" customHeight="1" spans="1:10">
      <c r="A16" s="28" t="s">
        <v>23</v>
      </c>
      <c r="B16" s="63">
        <f>SUM(B7:B15)</f>
        <v>3838000</v>
      </c>
      <c r="C16" s="30"/>
      <c r="D16" s="30">
        <f>SUM(D7:D15)</f>
        <v>115140</v>
      </c>
      <c r="E16" s="30"/>
      <c r="F16" s="32">
        <f>SUM(F7:F15)</f>
        <v>0</v>
      </c>
      <c r="G16" s="30">
        <f>SUM(G7:G15)</f>
        <v>3953140</v>
      </c>
      <c r="H16" s="33"/>
      <c r="I16" s="30">
        <f>SUM(I7:I15)</f>
        <v>3953140</v>
      </c>
      <c r="J16" s="33"/>
    </row>
    <row r="17" ht="18" customHeight="1" spans="1:12">
      <c r="A17" s="2" t="s">
        <v>24</v>
      </c>
      <c r="D17" s="42"/>
      <c r="J17" s="4"/>
      <c r="K17" s="4"/>
      <c r="L17" s="5"/>
    </row>
    <row r="18" ht="18" customHeight="1" spans="1:15">
      <c r="A18" s="34" t="s">
        <v>25</v>
      </c>
      <c r="B18" s="20" t="s">
        <v>26</v>
      </c>
      <c r="C18" s="19" t="s">
        <v>27</v>
      </c>
      <c r="D18" s="19" t="s">
        <v>28</v>
      </c>
      <c r="E18" s="19" t="s">
        <v>16</v>
      </c>
      <c r="F18" s="20" t="s">
        <v>29</v>
      </c>
      <c r="G18" s="20" t="s">
        <v>14</v>
      </c>
      <c r="H18" s="19" t="s">
        <v>30</v>
      </c>
      <c r="I18" s="20" t="s">
        <v>31</v>
      </c>
      <c r="J18" s="19" t="s">
        <v>20</v>
      </c>
      <c r="K18" s="52" t="s">
        <v>32</v>
      </c>
      <c r="L18" s="21" t="s">
        <v>33</v>
      </c>
      <c r="M18" s="21" t="s">
        <v>34</v>
      </c>
      <c r="N18" s="21" t="s">
        <v>35</v>
      </c>
      <c r="O18" s="21" t="s">
        <v>36</v>
      </c>
    </row>
    <row r="19" s="1" customFormat="1" ht="18" customHeight="1" spans="1:15">
      <c r="A19" s="35">
        <v>43709</v>
      </c>
      <c r="B19" s="64">
        <f t="shared" ref="B19:B35" si="3">ROUND(G19/(1+E19),2)</f>
        <v>240000</v>
      </c>
      <c r="C19" s="36"/>
      <c r="D19" s="37" t="s">
        <v>37</v>
      </c>
      <c r="E19" s="38"/>
      <c r="F19" s="17">
        <f t="shared" ref="F19:F35" si="4">ROUND(G19/(1+E19)*E19,2)</f>
        <v>0</v>
      </c>
      <c r="G19" s="61">
        <v>240000</v>
      </c>
      <c r="H19" s="22">
        <v>43738</v>
      </c>
      <c r="I19" s="11">
        <v>240000</v>
      </c>
      <c r="J19" s="51" t="s">
        <v>21</v>
      </c>
      <c r="K19" s="53" t="s">
        <v>38</v>
      </c>
      <c r="L19" s="54" t="s">
        <v>39</v>
      </c>
      <c r="M19" s="55" t="s">
        <v>40</v>
      </c>
      <c r="N19" s="55" t="s">
        <v>40</v>
      </c>
      <c r="O19" s="54" t="s">
        <v>41</v>
      </c>
    </row>
    <row r="20" s="1" customFormat="1" ht="18" customHeight="1" spans="1:15">
      <c r="A20" s="35">
        <v>43709</v>
      </c>
      <c r="B20" s="64">
        <f t="shared" si="3"/>
        <v>287700</v>
      </c>
      <c r="C20" s="36"/>
      <c r="D20" s="37" t="s">
        <v>37</v>
      </c>
      <c r="E20" s="38"/>
      <c r="F20" s="17">
        <f t="shared" si="4"/>
        <v>0</v>
      </c>
      <c r="G20" s="61">
        <v>287700</v>
      </c>
      <c r="H20" s="22">
        <v>43738</v>
      </c>
      <c r="I20" s="11">
        <v>287700</v>
      </c>
      <c r="J20" s="51" t="s">
        <v>21</v>
      </c>
      <c r="K20" s="53" t="s">
        <v>42</v>
      </c>
      <c r="L20" s="54" t="s">
        <v>43</v>
      </c>
      <c r="M20" s="55" t="s">
        <v>40</v>
      </c>
      <c r="N20" s="55" t="s">
        <v>40</v>
      </c>
      <c r="O20" s="54" t="s">
        <v>44</v>
      </c>
    </row>
    <row r="21" s="1" customFormat="1" ht="18" customHeight="1" spans="1:15">
      <c r="A21" s="35">
        <v>43739</v>
      </c>
      <c r="B21" s="64">
        <f t="shared" si="3"/>
        <v>299700</v>
      </c>
      <c r="C21" s="36"/>
      <c r="D21" s="37" t="s">
        <v>37</v>
      </c>
      <c r="E21" s="38"/>
      <c r="F21" s="17">
        <f t="shared" si="4"/>
        <v>0</v>
      </c>
      <c r="G21" s="61">
        <f>9990*30</f>
        <v>299700</v>
      </c>
      <c r="H21" s="22">
        <v>43768</v>
      </c>
      <c r="I21" s="11">
        <v>299700</v>
      </c>
      <c r="J21" s="51" t="s">
        <v>21</v>
      </c>
      <c r="K21" s="53" t="s">
        <v>45</v>
      </c>
      <c r="L21" s="54" t="s">
        <v>46</v>
      </c>
      <c r="M21" s="55" t="s">
        <v>40</v>
      </c>
      <c r="N21" s="55" t="s">
        <v>40</v>
      </c>
      <c r="O21" s="54" t="s">
        <v>47</v>
      </c>
    </row>
    <row r="22" s="1" customFormat="1" ht="18" customHeight="1" spans="1:15">
      <c r="A22" s="35">
        <v>43800</v>
      </c>
      <c r="B22" s="64">
        <f t="shared" si="3"/>
        <v>1363605</v>
      </c>
      <c r="C22" s="36"/>
      <c r="D22" s="37" t="s">
        <v>37</v>
      </c>
      <c r="E22" s="38"/>
      <c r="F22" s="17">
        <f t="shared" si="4"/>
        <v>0</v>
      </c>
      <c r="G22" s="61">
        <f>100000*13+63605</f>
        <v>1363605</v>
      </c>
      <c r="H22" s="22">
        <v>43851</v>
      </c>
      <c r="I22" s="11">
        <v>1008767</v>
      </c>
      <c r="J22" s="51" t="s">
        <v>21</v>
      </c>
      <c r="K22" s="53" t="s">
        <v>48</v>
      </c>
      <c r="L22" s="54" t="s">
        <v>49</v>
      </c>
      <c r="M22" s="55"/>
      <c r="N22" s="55"/>
      <c r="O22" s="54"/>
    </row>
    <row r="23" s="1" customFormat="1" ht="18" customHeight="1" spans="1:15">
      <c r="A23" s="35">
        <v>43800</v>
      </c>
      <c r="B23" s="64">
        <f t="shared" si="3"/>
        <v>300000</v>
      </c>
      <c r="C23" s="36"/>
      <c r="D23" s="37" t="s">
        <v>37</v>
      </c>
      <c r="E23" s="38"/>
      <c r="F23" s="17">
        <f t="shared" si="4"/>
        <v>0</v>
      </c>
      <c r="G23" s="61">
        <v>300000</v>
      </c>
      <c r="H23" s="22"/>
      <c r="I23" s="11"/>
      <c r="J23" s="51"/>
      <c r="K23" s="53" t="s">
        <v>38</v>
      </c>
      <c r="L23" s="54" t="s">
        <v>50</v>
      </c>
      <c r="M23" s="55" t="s">
        <v>40</v>
      </c>
      <c r="N23" s="55" t="s">
        <v>40</v>
      </c>
      <c r="O23" s="54"/>
    </row>
    <row r="24" s="1" customFormat="1" ht="18" customHeight="1" spans="1:15">
      <c r="A24" s="35">
        <v>43800</v>
      </c>
      <c r="B24" s="64">
        <f t="shared" si="3"/>
        <v>299880</v>
      </c>
      <c r="C24" s="36"/>
      <c r="D24" s="37" t="s">
        <v>37</v>
      </c>
      <c r="E24" s="38"/>
      <c r="F24" s="17">
        <f t="shared" si="4"/>
        <v>0</v>
      </c>
      <c r="G24" s="61">
        <v>299880</v>
      </c>
      <c r="H24" s="22"/>
      <c r="I24" s="11"/>
      <c r="J24" s="51"/>
      <c r="K24" s="53" t="s">
        <v>42</v>
      </c>
      <c r="L24" s="54" t="s">
        <v>51</v>
      </c>
      <c r="M24" s="55" t="s">
        <v>40</v>
      </c>
      <c r="N24" s="55" t="s">
        <v>40</v>
      </c>
      <c r="O24" s="54"/>
    </row>
    <row r="25" s="1" customFormat="1" ht="18" customHeight="1" spans="1:15">
      <c r="A25" s="35">
        <v>44075</v>
      </c>
      <c r="B25" s="64">
        <f t="shared" si="3"/>
        <v>252420</v>
      </c>
      <c r="C25" s="36"/>
      <c r="D25" s="37" t="s">
        <v>52</v>
      </c>
      <c r="E25" s="38"/>
      <c r="F25" s="17">
        <f t="shared" si="4"/>
        <v>0</v>
      </c>
      <c r="G25" s="61">
        <v>252420</v>
      </c>
      <c r="H25" s="22"/>
      <c r="I25" s="11"/>
      <c r="J25" s="51"/>
      <c r="K25" s="53" t="s">
        <v>42</v>
      </c>
      <c r="L25" s="54" t="s">
        <v>53</v>
      </c>
      <c r="M25" s="55" t="s">
        <v>40</v>
      </c>
      <c r="N25" s="55"/>
      <c r="O25" s="54"/>
    </row>
    <row r="26" s="1" customFormat="1" ht="18" customHeight="1" spans="1:15">
      <c r="A26" s="35"/>
      <c r="B26" s="64">
        <f t="shared" si="3"/>
        <v>0</v>
      </c>
      <c r="C26" s="36"/>
      <c r="D26" s="37"/>
      <c r="E26" s="38"/>
      <c r="F26" s="17">
        <f t="shared" si="4"/>
        <v>0</v>
      </c>
      <c r="G26" s="61"/>
      <c r="H26" s="22">
        <v>44085</v>
      </c>
      <c r="I26" s="64">
        <v>348600</v>
      </c>
      <c r="J26" s="55" t="s">
        <v>21</v>
      </c>
      <c r="K26" s="53" t="s">
        <v>48</v>
      </c>
      <c r="L26" s="54" t="s">
        <v>49</v>
      </c>
      <c r="M26" s="55"/>
      <c r="N26" s="55"/>
      <c r="O26" s="54"/>
    </row>
    <row r="27" s="1" customFormat="1" ht="18" customHeight="1" spans="1:15">
      <c r="A27" s="35"/>
      <c r="B27" s="64">
        <f t="shared" si="3"/>
        <v>0</v>
      </c>
      <c r="C27" s="36"/>
      <c r="D27" s="37"/>
      <c r="E27" s="38"/>
      <c r="F27" s="17">
        <f t="shared" si="4"/>
        <v>0</v>
      </c>
      <c r="G27" s="61"/>
      <c r="H27" s="22">
        <v>44088</v>
      </c>
      <c r="I27" s="11">
        <v>-6238</v>
      </c>
      <c r="J27" s="51" t="s">
        <v>54</v>
      </c>
      <c r="K27" s="53" t="s">
        <v>55</v>
      </c>
      <c r="L27" s="54"/>
      <c r="M27" s="55"/>
      <c r="N27" s="55"/>
      <c r="O27" s="54"/>
    </row>
    <row r="28" s="1" customFormat="1" ht="18" customHeight="1" spans="1:15">
      <c r="A28" s="35"/>
      <c r="B28" s="64">
        <f t="shared" si="3"/>
        <v>0</v>
      </c>
      <c r="C28" s="36"/>
      <c r="D28" s="37"/>
      <c r="E28" s="38"/>
      <c r="F28" s="17">
        <f t="shared" si="4"/>
        <v>0</v>
      </c>
      <c r="G28" s="61"/>
      <c r="H28" s="22"/>
      <c r="I28" s="11">
        <v>6238</v>
      </c>
      <c r="J28" s="51" t="s">
        <v>21</v>
      </c>
      <c r="K28" s="66" t="s">
        <v>48</v>
      </c>
      <c r="L28" s="54" t="s">
        <v>49</v>
      </c>
      <c r="M28" s="55"/>
      <c r="N28" s="55"/>
      <c r="O28" s="54"/>
    </row>
    <row r="29" s="1" customFormat="1" ht="18" customHeight="1" spans="1:15">
      <c r="A29" s="35"/>
      <c r="B29" s="64">
        <f t="shared" si="3"/>
        <v>0</v>
      </c>
      <c r="C29" s="36"/>
      <c r="D29" s="37"/>
      <c r="E29" s="38"/>
      <c r="F29" s="17">
        <f t="shared" si="4"/>
        <v>0</v>
      </c>
      <c r="G29" s="61"/>
      <c r="H29" s="22">
        <v>44237</v>
      </c>
      <c r="I29" s="11">
        <v>300000</v>
      </c>
      <c r="J29" s="51" t="s">
        <v>21</v>
      </c>
      <c r="K29" s="66" t="s">
        <v>38</v>
      </c>
      <c r="L29" s="54" t="s">
        <v>56</v>
      </c>
      <c r="M29" s="55"/>
      <c r="N29" s="55"/>
      <c r="O29" s="54"/>
    </row>
    <row r="30" s="1" customFormat="1" ht="18" customHeight="1" spans="1:15">
      <c r="A30" s="35"/>
      <c r="B30" s="64">
        <f t="shared" si="3"/>
        <v>0</v>
      </c>
      <c r="C30" s="36"/>
      <c r="D30" s="37"/>
      <c r="E30" s="38"/>
      <c r="F30" s="17">
        <f t="shared" si="4"/>
        <v>0</v>
      </c>
      <c r="G30" s="61"/>
      <c r="H30" s="22">
        <v>44237</v>
      </c>
      <c r="I30" s="11">
        <v>513038.36</v>
      </c>
      <c r="J30" s="51" t="s">
        <v>21</v>
      </c>
      <c r="K30" s="66" t="s">
        <v>42</v>
      </c>
      <c r="L30" s="54" t="s">
        <v>57</v>
      </c>
      <c r="M30" s="55"/>
      <c r="N30" s="55"/>
      <c r="O30" s="54"/>
    </row>
    <row r="31" s="1" customFormat="1" ht="18" customHeight="1" spans="1:15">
      <c r="A31" s="35">
        <v>44256</v>
      </c>
      <c r="B31" s="64">
        <f t="shared" si="3"/>
        <v>300000</v>
      </c>
      <c r="C31" s="36" t="s">
        <v>58</v>
      </c>
      <c r="D31" s="37" t="s">
        <v>52</v>
      </c>
      <c r="E31" s="38"/>
      <c r="F31" s="17">
        <f t="shared" si="4"/>
        <v>0</v>
      </c>
      <c r="G31" s="61">
        <v>300000</v>
      </c>
      <c r="H31" s="22"/>
      <c r="I31" s="11"/>
      <c r="J31" s="51"/>
      <c r="K31" s="66" t="s">
        <v>59</v>
      </c>
      <c r="L31" s="54" t="s">
        <v>60</v>
      </c>
      <c r="M31" s="55" t="s">
        <v>61</v>
      </c>
      <c r="N31" s="55"/>
      <c r="O31" s="54"/>
    </row>
    <row r="32" s="1" customFormat="1" ht="18" customHeight="1" spans="1:15">
      <c r="A32" s="35">
        <v>44256</v>
      </c>
      <c r="B32" s="64">
        <f t="shared" si="3"/>
        <v>100000</v>
      </c>
      <c r="C32" s="36" t="s">
        <v>58</v>
      </c>
      <c r="D32" s="37" t="s">
        <v>52</v>
      </c>
      <c r="E32" s="38"/>
      <c r="F32" s="17">
        <f t="shared" si="4"/>
        <v>0</v>
      </c>
      <c r="G32" s="61">
        <v>100000</v>
      </c>
      <c r="H32" s="22"/>
      <c r="I32" s="11"/>
      <c r="J32" s="51"/>
      <c r="K32" s="66" t="s">
        <v>62</v>
      </c>
      <c r="L32" s="54" t="s">
        <v>63</v>
      </c>
      <c r="M32" s="55" t="s">
        <v>64</v>
      </c>
      <c r="N32" s="55"/>
      <c r="O32" s="54"/>
    </row>
    <row r="33" s="1" customFormat="1" ht="18" customHeight="1" spans="1:15">
      <c r="A33" s="35">
        <v>44256</v>
      </c>
      <c r="B33" s="64">
        <f t="shared" si="3"/>
        <v>100000</v>
      </c>
      <c r="C33" s="36" t="s">
        <v>58</v>
      </c>
      <c r="D33" s="37" t="s">
        <v>52</v>
      </c>
      <c r="E33" s="38"/>
      <c r="F33" s="17">
        <f t="shared" si="4"/>
        <v>0</v>
      </c>
      <c r="G33" s="61">
        <v>100000</v>
      </c>
      <c r="H33" s="22"/>
      <c r="I33" s="11"/>
      <c r="J33" s="51"/>
      <c r="K33" s="66" t="s">
        <v>65</v>
      </c>
      <c r="L33" s="54" t="s">
        <v>63</v>
      </c>
      <c r="M33" s="55" t="s">
        <v>66</v>
      </c>
      <c r="N33" s="55"/>
      <c r="O33" s="54"/>
    </row>
    <row r="34" s="1" customFormat="1" ht="18" customHeight="1" spans="1:15">
      <c r="A34" s="35">
        <v>44256</v>
      </c>
      <c r="B34" s="64">
        <f t="shared" si="3"/>
        <v>100000</v>
      </c>
      <c r="C34" s="36" t="s">
        <v>58</v>
      </c>
      <c r="D34" s="37" t="s">
        <v>52</v>
      </c>
      <c r="E34" s="38"/>
      <c r="F34" s="17">
        <f t="shared" si="4"/>
        <v>0</v>
      </c>
      <c r="G34" s="61">
        <v>100000</v>
      </c>
      <c r="H34" s="22"/>
      <c r="I34" s="11"/>
      <c r="J34" s="51"/>
      <c r="K34" s="66" t="s">
        <v>67</v>
      </c>
      <c r="L34" s="54" t="s">
        <v>63</v>
      </c>
      <c r="M34" s="55" t="s">
        <v>68</v>
      </c>
      <c r="N34" s="55"/>
      <c r="O34" s="54"/>
    </row>
    <row r="35" s="1" customFormat="1" ht="18" customHeight="1" spans="1:15">
      <c r="A35" s="35">
        <v>44256</v>
      </c>
      <c r="B35" s="64">
        <f t="shared" si="3"/>
        <v>100000</v>
      </c>
      <c r="C35" s="36" t="s">
        <v>58</v>
      </c>
      <c r="D35" s="37" t="s">
        <v>52</v>
      </c>
      <c r="E35" s="38"/>
      <c r="F35" s="17">
        <f t="shared" si="4"/>
        <v>0</v>
      </c>
      <c r="G35" s="61">
        <v>100000</v>
      </c>
      <c r="H35" s="22"/>
      <c r="I35" s="11"/>
      <c r="J35" s="51"/>
      <c r="K35" s="66" t="s">
        <v>69</v>
      </c>
      <c r="L35" s="54" t="s">
        <v>63</v>
      </c>
      <c r="M35" s="55" t="s">
        <v>70</v>
      </c>
      <c r="N35" s="55"/>
      <c r="O35" s="54"/>
    </row>
    <row r="36" s="1" customFormat="1" ht="18" customHeight="1" spans="1:15">
      <c r="A36" s="35"/>
      <c r="B36" s="64"/>
      <c r="C36" s="36"/>
      <c r="D36" s="37"/>
      <c r="E36" s="38"/>
      <c r="F36" s="17"/>
      <c r="G36" s="61"/>
      <c r="H36" s="65">
        <v>44278</v>
      </c>
      <c r="I36" s="64">
        <v>300000</v>
      </c>
      <c r="J36" s="55" t="s">
        <v>21</v>
      </c>
      <c r="K36" s="53" t="s">
        <v>59</v>
      </c>
      <c r="L36" s="54" t="s">
        <v>71</v>
      </c>
      <c r="M36" s="55"/>
      <c r="N36" s="55"/>
      <c r="O36" s="54"/>
    </row>
    <row r="37" s="1" customFormat="1" ht="18" customHeight="1" spans="1:15">
      <c r="A37" s="35"/>
      <c r="B37" s="64"/>
      <c r="C37" s="36"/>
      <c r="D37" s="37"/>
      <c r="E37" s="38"/>
      <c r="F37" s="17"/>
      <c r="G37" s="61"/>
      <c r="H37" s="65">
        <v>44278</v>
      </c>
      <c r="I37" s="64">
        <v>100000</v>
      </c>
      <c r="J37" s="55" t="s">
        <v>54</v>
      </c>
      <c r="K37" s="53" t="s">
        <v>62</v>
      </c>
      <c r="L37" s="54"/>
      <c r="M37" s="55"/>
      <c r="N37" s="55"/>
      <c r="O37" s="54"/>
    </row>
    <row r="38" s="1" customFormat="1" ht="18" customHeight="1" spans="1:15">
      <c r="A38" s="35"/>
      <c r="B38" s="64"/>
      <c r="C38" s="36"/>
      <c r="D38" s="37"/>
      <c r="E38" s="38"/>
      <c r="F38" s="17"/>
      <c r="G38" s="61"/>
      <c r="H38" s="65">
        <v>44278</v>
      </c>
      <c r="I38" s="64">
        <v>100000</v>
      </c>
      <c r="J38" s="55" t="s">
        <v>54</v>
      </c>
      <c r="K38" s="53" t="s">
        <v>65</v>
      </c>
      <c r="L38" s="54"/>
      <c r="M38" s="55"/>
      <c r="N38" s="55"/>
      <c r="O38" s="54"/>
    </row>
    <row r="39" s="1" customFormat="1" ht="18" customHeight="1" spans="1:15">
      <c r="A39" s="35"/>
      <c r="B39" s="64"/>
      <c r="C39" s="36"/>
      <c r="D39" s="37"/>
      <c r="E39" s="38"/>
      <c r="F39" s="17"/>
      <c r="G39" s="61"/>
      <c r="H39" s="65">
        <v>44278</v>
      </c>
      <c r="I39" s="64">
        <v>100000</v>
      </c>
      <c r="J39" s="55" t="s">
        <v>54</v>
      </c>
      <c r="K39" s="53" t="s">
        <v>67</v>
      </c>
      <c r="L39" s="54"/>
      <c r="M39" s="55"/>
      <c r="N39" s="55"/>
      <c r="O39" s="54"/>
    </row>
    <row r="40" s="1" customFormat="1" ht="18" customHeight="1" spans="1:15">
      <c r="A40" s="35"/>
      <c r="B40" s="64"/>
      <c r="C40" s="36"/>
      <c r="D40" s="37"/>
      <c r="E40" s="38"/>
      <c r="F40" s="17"/>
      <c r="G40" s="61"/>
      <c r="H40" s="65">
        <v>44278</v>
      </c>
      <c r="I40" s="64">
        <v>100000</v>
      </c>
      <c r="J40" s="55" t="s">
        <v>54</v>
      </c>
      <c r="K40" s="53" t="s">
        <v>69</v>
      </c>
      <c r="L40" s="54"/>
      <c r="M40" s="55"/>
      <c r="N40" s="55"/>
      <c r="O40" s="54"/>
    </row>
    <row r="41" s="1" customFormat="1" ht="18" customHeight="1" spans="1:15">
      <c r="A41" s="35"/>
      <c r="B41" s="64">
        <f>ROUND(G41/(1+E41),2)</f>
        <v>0</v>
      </c>
      <c r="C41" s="36"/>
      <c r="D41" s="37"/>
      <c r="E41" s="38"/>
      <c r="F41" s="17">
        <f>ROUND(G41/(1+E41)*E41,2)</f>
        <v>0</v>
      </c>
      <c r="G41" s="61"/>
      <c r="H41" s="65">
        <v>44278</v>
      </c>
      <c r="I41" s="64">
        <v>39261.64</v>
      </c>
      <c r="J41" s="55" t="s">
        <v>21</v>
      </c>
      <c r="K41" s="53" t="s">
        <v>42</v>
      </c>
      <c r="L41" s="54"/>
      <c r="M41" s="55"/>
      <c r="N41" s="55"/>
      <c r="O41" s="54"/>
    </row>
    <row r="42" s="1" customFormat="1" ht="18" customHeight="1" spans="1:15">
      <c r="A42" s="35"/>
      <c r="B42" s="64">
        <f>ROUND(G42/(1+E42),2)</f>
        <v>0</v>
      </c>
      <c r="C42" s="36"/>
      <c r="D42" s="37"/>
      <c r="E42" s="38"/>
      <c r="F42" s="17">
        <f>ROUND(G42/(1+E42)*E42,2)</f>
        <v>0</v>
      </c>
      <c r="G42" s="61"/>
      <c r="H42" s="65">
        <v>44278</v>
      </c>
      <c r="I42" s="64">
        <v>6238</v>
      </c>
      <c r="J42" s="55" t="s">
        <v>54</v>
      </c>
      <c r="K42" s="53" t="s">
        <v>55</v>
      </c>
      <c r="L42" s="54" t="s">
        <v>72</v>
      </c>
      <c r="M42" s="55"/>
      <c r="N42" s="55"/>
      <c r="O42" s="54"/>
    </row>
    <row r="43" s="1" customFormat="1" ht="18" customHeight="1" spans="1:15">
      <c r="A43" s="35"/>
      <c r="B43" s="64"/>
      <c r="C43" s="36"/>
      <c r="D43" s="37"/>
      <c r="E43" s="38"/>
      <c r="F43" s="17"/>
      <c r="G43" s="61"/>
      <c r="H43" s="65">
        <v>44278</v>
      </c>
      <c r="I43" s="64">
        <v>71014.76</v>
      </c>
      <c r="J43" s="55" t="s">
        <v>54</v>
      </c>
      <c r="K43" s="53" t="s">
        <v>55</v>
      </c>
      <c r="L43" s="54" t="s">
        <v>73</v>
      </c>
      <c r="M43" s="55"/>
      <c r="N43" s="55"/>
      <c r="O43" s="54"/>
    </row>
    <row r="44" s="1" customFormat="1" ht="18" customHeight="1" spans="1:15">
      <c r="A44" s="35"/>
      <c r="B44" s="64"/>
      <c r="C44" s="36"/>
      <c r="D44" s="37"/>
      <c r="E44" s="38"/>
      <c r="F44" s="17"/>
      <c r="G44" s="61"/>
      <c r="H44" s="22"/>
      <c r="I44" s="67"/>
      <c r="J44" s="68"/>
      <c r="K44" s="69"/>
      <c r="L44" s="54"/>
      <c r="M44" s="55"/>
      <c r="N44" s="55"/>
      <c r="O44" s="54"/>
    </row>
    <row r="45" s="1" customFormat="1" ht="18" customHeight="1" spans="1:15">
      <c r="A45" s="35"/>
      <c r="B45" s="64"/>
      <c r="C45" s="36"/>
      <c r="D45" s="37"/>
      <c r="E45" s="38"/>
      <c r="F45" s="17"/>
      <c r="G45" s="61"/>
      <c r="H45" s="22">
        <v>44273</v>
      </c>
      <c r="I45" s="11">
        <v>750</v>
      </c>
      <c r="J45" s="51" t="s">
        <v>74</v>
      </c>
      <c r="K45" s="66" t="s">
        <v>75</v>
      </c>
      <c r="L45" s="54"/>
      <c r="M45" s="55"/>
      <c r="N45" s="55"/>
      <c r="O45" s="54"/>
    </row>
    <row r="46" s="1" customFormat="1" ht="18" customHeight="1" spans="1:15">
      <c r="A46" s="35"/>
      <c r="B46" s="64">
        <f t="shared" ref="B46:B53" si="5">ROUND(G46/(1+E46),2)</f>
        <v>30805.6</v>
      </c>
      <c r="C46" s="36"/>
      <c r="D46" s="37"/>
      <c r="E46" s="38"/>
      <c r="F46" s="17">
        <f t="shared" ref="F46:F53" si="6">ROUND(G46/(1+E46)*E46,2)</f>
        <v>0</v>
      </c>
      <c r="G46" s="61">
        <v>30805.6</v>
      </c>
      <c r="H46" s="22">
        <v>44273</v>
      </c>
      <c r="I46" s="11">
        <v>30805.6</v>
      </c>
      <c r="J46" s="51" t="s">
        <v>74</v>
      </c>
      <c r="K46" s="66" t="s">
        <v>76</v>
      </c>
      <c r="L46" s="54"/>
      <c r="M46" s="55"/>
      <c r="N46" s="55"/>
      <c r="O46" s="54"/>
    </row>
    <row r="47" s="1" customFormat="1" ht="18" customHeight="1" spans="1:15">
      <c r="A47" s="35"/>
      <c r="B47" s="64">
        <f t="shared" si="5"/>
        <v>0</v>
      </c>
      <c r="C47" s="36"/>
      <c r="D47" s="37"/>
      <c r="E47" s="38"/>
      <c r="F47" s="17">
        <f t="shared" si="6"/>
        <v>0</v>
      </c>
      <c r="G47" s="61"/>
      <c r="H47" s="22" t="s">
        <v>77</v>
      </c>
      <c r="I47" s="11">
        <v>100</v>
      </c>
      <c r="J47" s="51" t="s">
        <v>74</v>
      </c>
      <c r="K47" s="53" t="s">
        <v>75</v>
      </c>
      <c r="L47" s="54"/>
      <c r="M47" s="55"/>
      <c r="N47" s="55"/>
      <c r="O47" s="54"/>
    </row>
    <row r="48" s="1" customFormat="1" ht="18" customHeight="1" spans="1:15">
      <c r="A48" s="35"/>
      <c r="B48" s="64">
        <f t="shared" si="5"/>
        <v>0</v>
      </c>
      <c r="C48" s="36"/>
      <c r="D48" s="37"/>
      <c r="E48" s="38"/>
      <c r="F48" s="17">
        <f t="shared" si="6"/>
        <v>0</v>
      </c>
      <c r="G48" s="61"/>
      <c r="H48" s="22" t="s">
        <v>77</v>
      </c>
      <c r="I48" s="11">
        <v>500</v>
      </c>
      <c r="J48" s="51" t="s">
        <v>74</v>
      </c>
      <c r="K48" s="53" t="s">
        <v>78</v>
      </c>
      <c r="L48" s="54"/>
      <c r="M48" s="55"/>
      <c r="N48" s="55"/>
      <c r="O48" s="54"/>
    </row>
    <row r="49" s="1" customFormat="1" ht="18" customHeight="1" spans="1:15">
      <c r="A49" s="35"/>
      <c r="B49" s="64">
        <f t="shared" si="5"/>
        <v>16961.4</v>
      </c>
      <c r="C49" s="36"/>
      <c r="D49" s="37"/>
      <c r="E49" s="38"/>
      <c r="F49" s="17">
        <f t="shared" si="6"/>
        <v>0</v>
      </c>
      <c r="G49" s="61">
        <v>16961.4</v>
      </c>
      <c r="H49" s="22" t="s">
        <v>77</v>
      </c>
      <c r="I49" s="11">
        <v>16961.4</v>
      </c>
      <c r="J49" s="51" t="s">
        <v>74</v>
      </c>
      <c r="K49" s="53" t="s">
        <v>79</v>
      </c>
      <c r="L49" s="54"/>
      <c r="M49" s="55"/>
      <c r="N49" s="55"/>
      <c r="O49" s="54"/>
    </row>
    <row r="50" s="1" customFormat="1" ht="18" customHeight="1" spans="1:15">
      <c r="A50" s="35"/>
      <c r="B50" s="64">
        <f t="shared" si="5"/>
        <v>0</v>
      </c>
      <c r="C50" s="36"/>
      <c r="D50" s="37"/>
      <c r="E50" s="38"/>
      <c r="F50" s="17">
        <f t="shared" si="6"/>
        <v>0</v>
      </c>
      <c r="G50" s="61"/>
      <c r="H50" s="22" t="s">
        <v>77</v>
      </c>
      <c r="I50" s="11">
        <v>16961.4</v>
      </c>
      <c r="J50" s="51" t="s">
        <v>74</v>
      </c>
      <c r="K50" s="53" t="s">
        <v>80</v>
      </c>
      <c r="L50" s="54"/>
      <c r="M50" s="55"/>
      <c r="N50" s="55"/>
      <c r="O50" s="54"/>
    </row>
    <row r="51" s="1" customFormat="1" ht="18" customHeight="1" spans="1:15">
      <c r="A51" s="35"/>
      <c r="B51" s="64">
        <f t="shared" si="5"/>
        <v>0</v>
      </c>
      <c r="C51" s="36"/>
      <c r="D51" s="37"/>
      <c r="E51" s="38"/>
      <c r="F51" s="17">
        <f t="shared" si="6"/>
        <v>0</v>
      </c>
      <c r="G51" s="61"/>
      <c r="H51" s="22" t="s">
        <v>77</v>
      </c>
      <c r="I51" s="11">
        <v>508.84</v>
      </c>
      <c r="J51" s="51" t="s">
        <v>74</v>
      </c>
      <c r="K51" s="70" t="s">
        <v>81</v>
      </c>
      <c r="L51" s="54"/>
      <c r="M51" s="55"/>
      <c r="N51" s="55"/>
      <c r="O51" s="54"/>
    </row>
    <row r="52" s="1" customFormat="1" ht="18" customHeight="1" spans="1:15">
      <c r="A52" s="35"/>
      <c r="B52" s="64">
        <f t="shared" si="5"/>
        <v>0</v>
      </c>
      <c r="C52" s="36"/>
      <c r="D52" s="37"/>
      <c r="E52" s="38"/>
      <c r="F52" s="17">
        <f t="shared" si="6"/>
        <v>0</v>
      </c>
      <c r="G52" s="61"/>
      <c r="H52" s="22" t="s">
        <v>82</v>
      </c>
      <c r="I52" s="11">
        <v>100</v>
      </c>
      <c r="J52" s="51" t="s">
        <v>74</v>
      </c>
      <c r="K52" s="53" t="s">
        <v>75</v>
      </c>
      <c r="L52" s="54"/>
      <c r="M52" s="55"/>
      <c r="N52" s="55"/>
      <c r="O52" s="54"/>
    </row>
    <row r="53" s="1" customFormat="1" ht="18" customHeight="1" spans="1:15">
      <c r="A53" s="35"/>
      <c r="B53" s="64">
        <f t="shared" si="5"/>
        <v>0</v>
      </c>
      <c r="C53" s="36"/>
      <c r="D53" s="37"/>
      <c r="E53" s="38"/>
      <c r="F53" s="17">
        <f t="shared" si="6"/>
        <v>0</v>
      </c>
      <c r="G53" s="61"/>
      <c r="H53" s="22" t="s">
        <v>82</v>
      </c>
      <c r="I53" s="11">
        <v>500</v>
      </c>
      <c r="J53" s="51" t="s">
        <v>74</v>
      </c>
      <c r="K53" s="53" t="s">
        <v>78</v>
      </c>
      <c r="L53" s="54"/>
      <c r="M53" s="55"/>
      <c r="N53" s="55"/>
      <c r="O53" s="54"/>
    </row>
    <row r="54" s="1" customFormat="1" ht="18" customHeight="1" spans="1:15">
      <c r="A54" s="35"/>
      <c r="B54" s="64">
        <f t="shared" ref="B53:B71" si="7">ROUND(G54/(1+E54),2)</f>
        <v>7200</v>
      </c>
      <c r="C54" s="36"/>
      <c r="D54" s="37"/>
      <c r="E54" s="38"/>
      <c r="F54" s="17">
        <f t="shared" ref="F53:F71" si="8">ROUND(G54/(1+E54)*E54,2)</f>
        <v>0</v>
      </c>
      <c r="G54" s="61">
        <v>7200</v>
      </c>
      <c r="H54" s="22" t="s">
        <v>82</v>
      </c>
      <c r="I54" s="11">
        <v>7200</v>
      </c>
      <c r="J54" s="51" t="s">
        <v>74</v>
      </c>
      <c r="K54" s="53" t="s">
        <v>79</v>
      </c>
      <c r="L54" s="54"/>
      <c r="M54" s="55"/>
      <c r="N54" s="55"/>
      <c r="O54" s="54"/>
    </row>
    <row r="55" s="1" customFormat="1" ht="18" customHeight="1" spans="1:15">
      <c r="A55" s="35"/>
      <c r="B55" s="64">
        <f t="shared" si="7"/>
        <v>0</v>
      </c>
      <c r="C55" s="36"/>
      <c r="D55" s="37"/>
      <c r="E55" s="38"/>
      <c r="F55" s="17">
        <f t="shared" si="8"/>
        <v>0</v>
      </c>
      <c r="G55" s="61"/>
      <c r="H55" s="22" t="s">
        <v>82</v>
      </c>
      <c r="I55" s="11">
        <v>3600</v>
      </c>
      <c r="J55" s="51" t="s">
        <v>74</v>
      </c>
      <c r="K55" s="53" t="s">
        <v>80</v>
      </c>
      <c r="L55" s="54"/>
      <c r="M55" s="55"/>
      <c r="N55" s="55"/>
      <c r="O55" s="54"/>
    </row>
    <row r="56" s="1" customFormat="1" ht="18" customHeight="1" spans="1:15">
      <c r="A56" s="35"/>
      <c r="B56" s="64">
        <f t="shared" si="7"/>
        <v>0</v>
      </c>
      <c r="C56" s="36"/>
      <c r="D56" s="37"/>
      <c r="E56" s="38"/>
      <c r="F56" s="17">
        <f t="shared" si="8"/>
        <v>0</v>
      </c>
      <c r="G56" s="61"/>
      <c r="H56" s="22" t="s">
        <v>83</v>
      </c>
      <c r="I56" s="11">
        <v>200</v>
      </c>
      <c r="J56" s="51" t="s">
        <v>74</v>
      </c>
      <c r="K56" s="53" t="s">
        <v>75</v>
      </c>
      <c r="L56" s="54"/>
      <c r="M56" s="55"/>
      <c r="N56" s="55"/>
      <c r="O56" s="54"/>
    </row>
    <row r="57" s="1" customFormat="1" ht="18" customHeight="1" spans="1:15">
      <c r="A57" s="35"/>
      <c r="B57" s="64">
        <f t="shared" si="7"/>
        <v>18880</v>
      </c>
      <c r="C57" s="36"/>
      <c r="D57" s="37"/>
      <c r="E57" s="38"/>
      <c r="F57" s="17">
        <f t="shared" si="8"/>
        <v>0</v>
      </c>
      <c r="G57" s="61">
        <f>18880</f>
        <v>18880</v>
      </c>
      <c r="H57" s="22" t="s">
        <v>83</v>
      </c>
      <c r="I57" s="11">
        <f>G57</f>
        <v>18880</v>
      </c>
      <c r="J57" s="51" t="s">
        <v>74</v>
      </c>
      <c r="K57" s="53" t="s">
        <v>79</v>
      </c>
      <c r="L57" s="54"/>
      <c r="M57" s="55"/>
      <c r="N57" s="55"/>
      <c r="O57" s="54"/>
    </row>
    <row r="58" s="1" customFormat="1" ht="18" customHeight="1" spans="1:15">
      <c r="A58" s="35"/>
      <c r="B58" s="64">
        <f t="shared" si="7"/>
        <v>0</v>
      </c>
      <c r="C58" s="36"/>
      <c r="D58" s="37"/>
      <c r="E58" s="38"/>
      <c r="F58" s="17">
        <f t="shared" si="8"/>
        <v>0</v>
      </c>
      <c r="G58" s="61"/>
      <c r="H58" s="22" t="s">
        <v>83</v>
      </c>
      <c r="I58" s="11">
        <v>-17383</v>
      </c>
      <c r="J58" s="51" t="s">
        <v>84</v>
      </c>
      <c r="K58" s="53" t="s">
        <v>85</v>
      </c>
      <c r="L58" s="54"/>
      <c r="M58" s="55"/>
      <c r="N58" s="55"/>
      <c r="O58" s="54"/>
    </row>
    <row r="59" s="1" customFormat="1" ht="18" customHeight="1" spans="1:15">
      <c r="A59" s="35"/>
      <c r="B59" s="64">
        <f t="shared" si="7"/>
        <v>0</v>
      </c>
      <c r="C59" s="36"/>
      <c r="D59" s="37"/>
      <c r="E59" s="38"/>
      <c r="F59" s="17">
        <f t="shared" si="8"/>
        <v>0</v>
      </c>
      <c r="G59" s="61"/>
      <c r="H59" s="22" t="s">
        <v>83</v>
      </c>
      <c r="I59" s="11">
        <v>-65479</v>
      </c>
      <c r="J59" s="51" t="s">
        <v>84</v>
      </c>
      <c r="K59" s="53" t="s">
        <v>86</v>
      </c>
      <c r="L59" s="54"/>
      <c r="M59" s="55"/>
      <c r="N59" s="55"/>
      <c r="O59" s="54"/>
    </row>
    <row r="60" s="1" customFormat="1" ht="18" customHeight="1" spans="1:15">
      <c r="A60" s="35"/>
      <c r="B60" s="64">
        <f t="shared" si="7"/>
        <v>0</v>
      </c>
      <c r="C60" s="36"/>
      <c r="D60" s="37"/>
      <c r="E60" s="38"/>
      <c r="F60" s="17">
        <f t="shared" si="8"/>
        <v>0</v>
      </c>
      <c r="G60" s="61"/>
      <c r="H60" s="22" t="s">
        <v>83</v>
      </c>
      <c r="I60" s="11">
        <v>-10425</v>
      </c>
      <c r="J60" s="51" t="s">
        <v>84</v>
      </c>
      <c r="K60" s="53" t="s">
        <v>86</v>
      </c>
      <c r="L60" s="54"/>
      <c r="M60" s="55"/>
      <c r="N60" s="55"/>
      <c r="O60" s="54"/>
    </row>
    <row r="61" s="1" customFormat="1" ht="18" customHeight="1" spans="1:15">
      <c r="A61" s="35"/>
      <c r="B61" s="64">
        <f t="shared" si="7"/>
        <v>0</v>
      </c>
      <c r="C61" s="36"/>
      <c r="D61" s="37"/>
      <c r="E61" s="38"/>
      <c r="F61" s="17">
        <f t="shared" si="8"/>
        <v>0</v>
      </c>
      <c r="G61" s="61"/>
      <c r="H61" s="22" t="s">
        <v>83</v>
      </c>
      <c r="I61" s="11">
        <v>9440</v>
      </c>
      <c r="J61" s="51" t="s">
        <v>74</v>
      </c>
      <c r="K61" s="53" t="s">
        <v>80</v>
      </c>
      <c r="L61" s="54"/>
      <c r="M61" s="55"/>
      <c r="N61" s="55"/>
      <c r="O61" s="54"/>
    </row>
    <row r="62" s="1" customFormat="1" ht="18" customHeight="1" spans="1:15">
      <c r="A62" s="35"/>
      <c r="B62" s="64">
        <f t="shared" si="7"/>
        <v>0</v>
      </c>
      <c r="C62" s="36"/>
      <c r="D62" s="37"/>
      <c r="E62" s="38"/>
      <c r="F62" s="17">
        <f t="shared" si="8"/>
        <v>0</v>
      </c>
      <c r="G62" s="61"/>
      <c r="H62" s="22" t="s">
        <v>87</v>
      </c>
      <c r="I62" s="11">
        <v>10425</v>
      </c>
      <c r="J62" s="51" t="s">
        <v>88</v>
      </c>
      <c r="K62" s="53" t="s">
        <v>86</v>
      </c>
      <c r="L62" s="54"/>
      <c r="M62" s="55"/>
      <c r="N62" s="55"/>
      <c r="O62" s="54"/>
    </row>
    <row r="63" s="1" customFormat="1" ht="18" customHeight="1" spans="1:15">
      <c r="A63" s="35"/>
      <c r="B63" s="64">
        <f t="shared" si="7"/>
        <v>0</v>
      </c>
      <c r="C63" s="36"/>
      <c r="D63" s="37"/>
      <c r="E63" s="38"/>
      <c r="F63" s="17">
        <f t="shared" si="8"/>
        <v>0</v>
      </c>
      <c r="G63" s="61"/>
      <c r="H63" s="22" t="s">
        <v>87</v>
      </c>
      <c r="I63" s="11">
        <v>3107</v>
      </c>
      <c r="J63" s="51" t="s">
        <v>74</v>
      </c>
      <c r="K63" s="53" t="s">
        <v>80</v>
      </c>
      <c r="L63" s="54"/>
      <c r="M63" s="55"/>
      <c r="N63" s="55"/>
      <c r="O63" s="54"/>
    </row>
    <row r="64" s="1" customFormat="1" ht="18" customHeight="1" spans="1:15">
      <c r="A64" s="35"/>
      <c r="B64" s="64">
        <f t="shared" si="7"/>
        <v>0</v>
      </c>
      <c r="C64" s="36"/>
      <c r="D64" s="37"/>
      <c r="E64" s="38"/>
      <c r="F64" s="17">
        <f t="shared" si="8"/>
        <v>0</v>
      </c>
      <c r="G64" s="61"/>
      <c r="H64" s="22" t="s">
        <v>87</v>
      </c>
      <c r="I64" s="11">
        <v>368</v>
      </c>
      <c r="J64" s="51" t="s">
        <v>88</v>
      </c>
      <c r="K64" s="53" t="s">
        <v>89</v>
      </c>
      <c r="L64" s="54"/>
      <c r="M64" s="55"/>
      <c r="N64" s="55"/>
      <c r="O64" s="54"/>
    </row>
    <row r="65" s="1" customFormat="1" ht="18" customHeight="1" spans="1:15">
      <c r="A65" s="35"/>
      <c r="B65" s="64">
        <f t="shared" si="7"/>
        <v>0</v>
      </c>
      <c r="C65" s="36"/>
      <c r="D65" s="37"/>
      <c r="E65" s="38"/>
      <c r="F65" s="17">
        <f t="shared" si="8"/>
        <v>0</v>
      </c>
      <c r="G65" s="61"/>
      <c r="H65" s="22" t="s">
        <v>90</v>
      </c>
      <c r="I65" s="11">
        <v>17015</v>
      </c>
      <c r="J65" s="51" t="s">
        <v>88</v>
      </c>
      <c r="K65" s="53" t="s">
        <v>89</v>
      </c>
      <c r="L65" s="54"/>
      <c r="M65" s="55"/>
      <c r="N65" s="55"/>
      <c r="O65" s="54"/>
    </row>
    <row r="66" s="1" customFormat="1" ht="18" customHeight="1" spans="1:15">
      <c r="A66" s="35"/>
      <c r="B66" s="64">
        <f t="shared" si="7"/>
        <v>0</v>
      </c>
      <c r="C66" s="36"/>
      <c r="D66" s="37"/>
      <c r="E66" s="38"/>
      <c r="F66" s="17">
        <f t="shared" si="8"/>
        <v>0</v>
      </c>
      <c r="G66" s="61"/>
      <c r="H66" s="22" t="s">
        <v>90</v>
      </c>
      <c r="I66" s="11">
        <v>6146</v>
      </c>
      <c r="J66" s="51" t="s">
        <v>74</v>
      </c>
      <c r="K66" s="53" t="s">
        <v>80</v>
      </c>
      <c r="L66" s="54"/>
      <c r="M66" s="55"/>
      <c r="N66" s="55"/>
      <c r="O66" s="54"/>
    </row>
    <row r="67" s="1" customFormat="1" ht="18" customHeight="1" spans="1:15">
      <c r="A67" s="35"/>
      <c r="B67" s="64">
        <f t="shared" si="7"/>
        <v>0</v>
      </c>
      <c r="C67" s="36"/>
      <c r="D67" s="37"/>
      <c r="E67" s="38"/>
      <c r="F67" s="17">
        <f t="shared" si="8"/>
        <v>0</v>
      </c>
      <c r="G67" s="61"/>
      <c r="H67" s="22" t="s">
        <v>90</v>
      </c>
      <c r="I67" s="11">
        <v>65479</v>
      </c>
      <c r="J67" s="51" t="s">
        <v>88</v>
      </c>
      <c r="K67" s="53" t="s">
        <v>86</v>
      </c>
      <c r="L67" s="54"/>
      <c r="M67" s="55"/>
      <c r="N67" s="55"/>
      <c r="O67" s="54"/>
    </row>
    <row r="68" s="1" customFormat="1" ht="18" customHeight="1" spans="1:15">
      <c r="A68" s="35"/>
      <c r="B68" s="64">
        <f t="shared" si="7"/>
        <v>0</v>
      </c>
      <c r="C68" s="36"/>
      <c r="D68" s="37"/>
      <c r="E68" s="38"/>
      <c r="F68" s="17">
        <f t="shared" si="8"/>
        <v>0</v>
      </c>
      <c r="G68" s="61"/>
      <c r="H68" s="22" t="s">
        <v>90</v>
      </c>
      <c r="I68" s="11">
        <v>4000</v>
      </c>
      <c r="J68" s="51" t="s">
        <v>74</v>
      </c>
      <c r="K68" s="53" t="s">
        <v>91</v>
      </c>
      <c r="L68" s="54"/>
      <c r="M68" s="55"/>
      <c r="N68" s="55"/>
      <c r="O68" s="54"/>
    </row>
    <row r="69" s="1" customFormat="1" ht="18" customHeight="1" spans="1:15">
      <c r="A69" s="35"/>
      <c r="B69" s="64">
        <f t="shared" si="7"/>
        <v>19060</v>
      </c>
      <c r="C69" s="36"/>
      <c r="D69" s="37"/>
      <c r="E69" s="38"/>
      <c r="F69" s="17">
        <f t="shared" si="8"/>
        <v>0</v>
      </c>
      <c r="G69" s="61">
        <f>12660+6400</f>
        <v>19060</v>
      </c>
      <c r="H69" s="22"/>
      <c r="I69" s="11">
        <f>G69</f>
        <v>19060</v>
      </c>
      <c r="J69" s="51" t="s">
        <v>74</v>
      </c>
      <c r="K69" s="53" t="s">
        <v>79</v>
      </c>
      <c r="L69" s="54"/>
      <c r="M69" s="55"/>
      <c r="N69" s="55"/>
      <c r="O69" s="54"/>
    </row>
    <row r="70" ht="18" customHeight="1" spans="1:15">
      <c r="A70" s="30" t="s">
        <v>23</v>
      </c>
      <c r="B70" s="63">
        <f>SUM(B19:B69)</f>
        <v>3836212</v>
      </c>
      <c r="C70" s="30"/>
      <c r="D70" s="39"/>
      <c r="E70" s="39"/>
      <c r="F70" s="32">
        <f>SUM(F19:F69)</f>
        <v>0</v>
      </c>
      <c r="G70" s="71">
        <f>SUM(G19:G69)</f>
        <v>3836212</v>
      </c>
      <c r="H70" s="41"/>
      <c r="I70" s="30">
        <f>SUM(I19:I69)</f>
        <v>3953140</v>
      </c>
      <c r="J70" s="56"/>
      <c r="K70" s="39"/>
      <c r="L70" s="33"/>
      <c r="M70" s="51"/>
      <c r="N70" s="51"/>
      <c r="O70" s="33"/>
    </row>
    <row r="71" ht="18" customHeight="1" spans="1:14">
      <c r="A71" s="42" t="s">
        <v>92</v>
      </c>
      <c r="B71" s="42">
        <f>B16*0.96</f>
        <v>3684480</v>
      </c>
      <c r="C71" s="42"/>
      <c r="D71" s="44"/>
      <c r="E71" s="44"/>
      <c r="F71" s="43"/>
      <c r="G71" s="42">
        <f>G16-G70</f>
        <v>116928</v>
      </c>
      <c r="H71" s="21" t="s">
        <v>93</v>
      </c>
      <c r="I71" s="30">
        <f>I16-I70</f>
        <v>0</v>
      </c>
      <c r="J71" s="6"/>
      <c r="K71" s="57"/>
      <c r="M71" s="58"/>
      <c r="N71" s="58"/>
    </row>
    <row r="72" ht="18" customHeight="1" spans="1:14">
      <c r="A72" s="42" t="s">
        <v>94</v>
      </c>
      <c r="B72" s="42">
        <f>B71-B70</f>
        <v>-151732</v>
      </c>
      <c r="C72" s="42"/>
      <c r="D72" s="44"/>
      <c r="E72" s="44"/>
      <c r="F72" s="43"/>
      <c r="G72" s="43"/>
      <c r="H72" s="45"/>
      <c r="I72" s="43">
        <f>I69+I57+I54+I49+I46</f>
        <v>92907</v>
      </c>
      <c r="J72" s="6"/>
      <c r="K72" s="57"/>
      <c r="M72" s="58"/>
      <c r="N72" s="58"/>
    </row>
    <row r="73" ht="18" customHeight="1" spans="1:3">
      <c r="A73" s="2" t="s">
        <v>95</v>
      </c>
      <c r="C73" s="2"/>
    </row>
    <row r="74" ht="18" customHeight="1" spans="1:19">
      <c r="A74" s="21" t="s">
        <v>96</v>
      </c>
      <c r="B74" s="20" t="s">
        <v>97</v>
      </c>
      <c r="C74" s="33"/>
      <c r="D74" s="21" t="s">
        <v>96</v>
      </c>
      <c r="E74" s="19" t="s">
        <v>16</v>
      </c>
      <c r="F74" s="20" t="s">
        <v>97</v>
      </c>
      <c r="G74" s="20" t="s">
        <v>98</v>
      </c>
      <c r="H74" s="20" t="s">
        <v>99</v>
      </c>
      <c r="I74" s="20" t="s">
        <v>100</v>
      </c>
      <c r="K74" s="41" t="s">
        <v>101</v>
      </c>
      <c r="L74" s="33" t="s">
        <v>102</v>
      </c>
      <c r="S74" s="6" t="s">
        <v>103</v>
      </c>
    </row>
    <row r="75" ht="18" customHeight="1" spans="1:12">
      <c r="A75" s="33" t="s">
        <v>104</v>
      </c>
      <c r="B75" s="17">
        <f>(B71-B70)*0.25</f>
        <v>-37933</v>
      </c>
      <c r="C75" s="33"/>
      <c r="D75" s="28" t="s">
        <v>105</v>
      </c>
      <c r="E75" s="21" t="s">
        <v>106</v>
      </c>
      <c r="F75" s="32">
        <f>F16-F70</f>
        <v>0</v>
      </c>
      <c r="G75" s="32">
        <f>F7</f>
        <v>0</v>
      </c>
      <c r="H75" s="32"/>
      <c r="I75" s="32">
        <v>0</v>
      </c>
      <c r="K75" s="72">
        <f>F11</f>
        <v>0</v>
      </c>
      <c r="L75" s="72">
        <f>D12-49402.14</f>
        <v>-0.00407766990974778</v>
      </c>
    </row>
    <row r="76" ht="18" customHeight="1" spans="1:12">
      <c r="A76" s="33" t="s">
        <v>107</v>
      </c>
      <c r="B76" s="46" t="s">
        <v>108</v>
      </c>
      <c r="C76" s="33"/>
      <c r="D76" s="47" t="s">
        <v>109</v>
      </c>
      <c r="E76" s="13">
        <v>0.05</v>
      </c>
      <c r="F76" s="23">
        <f>F75*E76</f>
        <v>0</v>
      </c>
      <c r="G76" s="23">
        <f>G75*E76</f>
        <v>0</v>
      </c>
      <c r="H76" s="23"/>
      <c r="I76" s="23">
        <v>0</v>
      </c>
      <c r="K76" s="11">
        <f>K75*E76</f>
        <v>0</v>
      </c>
      <c r="L76" s="11">
        <f>L75*0.07</f>
        <v>-0.000285436893682345</v>
      </c>
    </row>
    <row r="77" ht="18" customHeight="1" spans="1:12">
      <c r="A77" s="33" t="s">
        <v>110</v>
      </c>
      <c r="B77" s="46" t="s">
        <v>108</v>
      </c>
      <c r="C77" s="33"/>
      <c r="D77" s="47" t="s">
        <v>111</v>
      </c>
      <c r="E77" s="13">
        <v>0.03</v>
      </c>
      <c r="F77" s="23">
        <f>F75*E77</f>
        <v>0</v>
      </c>
      <c r="G77" s="23">
        <f>G75*E77</f>
        <v>0</v>
      </c>
      <c r="H77" s="23"/>
      <c r="I77" s="23">
        <v>0</v>
      </c>
      <c r="K77" s="11">
        <f>K75*E77</f>
        <v>0</v>
      </c>
      <c r="L77" s="11">
        <f>L75*E77</f>
        <v>-0.000122330097292433</v>
      </c>
    </row>
    <row r="78" ht="18" customHeight="1" spans="1:12">
      <c r="A78" s="33"/>
      <c r="B78" s="23"/>
      <c r="C78" s="33"/>
      <c r="D78" s="47" t="s">
        <v>112</v>
      </c>
      <c r="E78" s="13">
        <v>0.02</v>
      </c>
      <c r="F78" s="23">
        <f>F75*E78</f>
        <v>0</v>
      </c>
      <c r="G78" s="23">
        <f>G75*E78</f>
        <v>0</v>
      </c>
      <c r="H78" s="23"/>
      <c r="I78" s="23">
        <v>0</v>
      </c>
      <c r="K78" s="11">
        <f>K75*E78</f>
        <v>0</v>
      </c>
      <c r="L78" s="11">
        <f>L75*E78</f>
        <v>-8.15533981949557e-5</v>
      </c>
    </row>
    <row r="79" ht="18" customHeight="1" spans="1:12">
      <c r="A79" s="28" t="s">
        <v>113</v>
      </c>
      <c r="B79" s="29">
        <f t="shared" ref="B79:G79" si="9">SUM(B75:B78)</f>
        <v>-37933</v>
      </c>
      <c r="C79" s="33"/>
      <c r="D79" s="34" t="s">
        <v>113</v>
      </c>
      <c r="E79" s="28"/>
      <c r="F79" s="32">
        <f t="shared" si="9"/>
        <v>0</v>
      </c>
      <c r="G79" s="32">
        <f t="shared" si="9"/>
        <v>0</v>
      </c>
      <c r="H79" s="32"/>
      <c r="I79" s="32">
        <v>0</v>
      </c>
      <c r="K79" s="72">
        <f>SUM(K75:K78)</f>
        <v>0</v>
      </c>
      <c r="L79" s="72">
        <f>SUM(L75:L78)</f>
        <v>-0.00456699029891752</v>
      </c>
    </row>
    <row r="80" ht="18" customHeight="1" spans="3:12">
      <c r="C80" s="2"/>
      <c r="D80" s="19" t="s">
        <v>107</v>
      </c>
      <c r="E80" s="30"/>
      <c r="F80" s="31">
        <f>F79</f>
        <v>0</v>
      </c>
      <c r="G80" s="31">
        <f>G79</f>
        <v>0</v>
      </c>
      <c r="H80" s="31"/>
      <c r="I80" s="31">
        <v>0</v>
      </c>
      <c r="K80" s="30">
        <f>K79</f>
        <v>0</v>
      </c>
      <c r="L80" s="30">
        <f>G12*0.0003</f>
        <v>508.842</v>
      </c>
    </row>
    <row r="81" ht="18" customHeight="1" spans="3:12">
      <c r="C81" s="2"/>
      <c r="D81" s="30" t="s">
        <v>104</v>
      </c>
      <c r="E81" s="39">
        <v>0.01</v>
      </c>
      <c r="F81" s="31">
        <f>G16*E81</f>
        <v>39531.4</v>
      </c>
      <c r="G81" s="31">
        <f>B7*E81</f>
        <v>6145.63106796116</v>
      </c>
      <c r="H81" s="31">
        <f>B8*E81</f>
        <v>3106.79611650485</v>
      </c>
      <c r="I81" s="31">
        <f>SUM(G9:G11)*E81</f>
        <v>13040</v>
      </c>
      <c r="K81" s="30">
        <f>G11*E81</f>
        <v>3600</v>
      </c>
      <c r="L81" s="30">
        <f>G12*E81</f>
        <v>16961.4</v>
      </c>
    </row>
    <row r="82" ht="18" customHeight="1" spans="3:3">
      <c r="C82" s="2"/>
    </row>
    <row r="83" ht="18" customHeight="1" spans="3:3">
      <c r="C83" s="2"/>
    </row>
    <row r="84" ht="18" customHeight="1" spans="3:3">
      <c r="C84" s="2"/>
    </row>
    <row r="85" spans="3:3">
      <c r="C85" s="2"/>
    </row>
    <row r="86" spans="3:3">
      <c r="C86" s="2"/>
    </row>
    <row r="87" spans="3:3">
      <c r="C87" s="2"/>
    </row>
    <row r="88" spans="3:3">
      <c r="C88" s="2"/>
    </row>
    <row r="89" spans="3:3">
      <c r="C89" s="2"/>
    </row>
    <row r="90" spans="3:3">
      <c r="C90" s="2"/>
    </row>
    <row r="91" spans="3:3">
      <c r="C91" s="2"/>
    </row>
    <row r="92" spans="3:3">
      <c r="C92" s="2"/>
    </row>
    <row r="93" spans="3:3">
      <c r="C93" s="2"/>
    </row>
    <row r="94" spans="3:3">
      <c r="C94" s="2"/>
    </row>
    <row r="95" spans="3:3">
      <c r="C95" s="2"/>
    </row>
    <row r="96" spans="3:3">
      <c r="C96" s="2"/>
    </row>
    <row r="97" spans="3:3">
      <c r="C97" s="2"/>
    </row>
    <row r="98" spans="3:3">
      <c r="C98" s="2"/>
    </row>
    <row r="99" spans="3:3">
      <c r="C99" s="2"/>
    </row>
    <row r="100" spans="3:3">
      <c r="C100" s="2"/>
    </row>
  </sheetData>
  <autoFilter ref="A18:O83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0"/>
  <sheetViews>
    <sheetView workbookViewId="0">
      <selection activeCell="C25" sqref="C25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16.7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43574</v>
      </c>
      <c r="C2" s="11" t="s">
        <v>2</v>
      </c>
      <c r="D2" s="12">
        <v>6679566.69</v>
      </c>
      <c r="E2" s="13" t="s">
        <v>3</v>
      </c>
      <c r="F2" s="14" t="s">
        <v>4</v>
      </c>
      <c r="G2" s="15" t="s">
        <v>5</v>
      </c>
      <c r="H2" s="16" t="s">
        <v>6</v>
      </c>
      <c r="I2" s="48"/>
      <c r="J2" s="49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/>
      <c r="H3" s="18"/>
      <c r="I3" s="50"/>
      <c r="J3" s="18"/>
      <c r="K3" s="18"/>
      <c r="L3" s="18"/>
    </row>
    <row r="4" ht="18" customHeight="1" spans="1:12">
      <c r="A4" s="2" t="s">
        <v>9</v>
      </c>
      <c r="H4" s="18"/>
      <c r="I4" s="50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43731</v>
      </c>
      <c r="B7" s="23">
        <f t="shared" ref="B7:B10" si="0">G7/(1+C7+E7)</f>
        <v>614563.106796116</v>
      </c>
      <c r="C7" s="24">
        <v>0.03</v>
      </c>
      <c r="D7" s="25">
        <f>G7/(1+E7+C7)*C7</f>
        <v>18436.8932038835</v>
      </c>
      <c r="E7" s="24"/>
      <c r="F7" s="23">
        <f>G7/(1+C7+E7)*E7</f>
        <v>0</v>
      </c>
      <c r="G7" s="26">
        <v>633000</v>
      </c>
      <c r="H7" s="22">
        <v>43733</v>
      </c>
      <c r="I7" s="23">
        <v>633000</v>
      </c>
      <c r="J7" s="51" t="s">
        <v>21</v>
      </c>
    </row>
    <row r="8" ht="18" customHeight="1" spans="1:12">
      <c r="A8" s="22">
        <v>43754</v>
      </c>
      <c r="B8" s="23">
        <f t="shared" si="0"/>
        <v>310679.611650485</v>
      </c>
      <c r="C8" s="27">
        <v>0.03</v>
      </c>
      <c r="D8" s="25">
        <f t="shared" ref="D8:D10" si="1">G8/(1+E8+C8)*C8</f>
        <v>9320.38834951456</v>
      </c>
      <c r="E8" s="24"/>
      <c r="F8" s="23">
        <f t="shared" ref="F8:F10" si="2">G8/(1+C8+E8)*E8</f>
        <v>0</v>
      </c>
      <c r="G8" s="26">
        <v>320000</v>
      </c>
      <c r="H8" s="22">
        <v>43759</v>
      </c>
      <c r="I8" s="23">
        <v>320000</v>
      </c>
      <c r="J8" s="51" t="s">
        <v>21</v>
      </c>
      <c r="L8" s="3">
        <f>D7+F7</f>
        <v>18436.8932038835</v>
      </c>
    </row>
    <row r="9" ht="18" customHeight="1" spans="1:10">
      <c r="A9" s="2">
        <v>43805</v>
      </c>
      <c r="B9" s="23">
        <f t="shared" si="0"/>
        <v>81553.3980582524</v>
      </c>
      <c r="C9" s="27">
        <v>0.03</v>
      </c>
      <c r="D9" s="25">
        <f t="shared" si="1"/>
        <v>2446.60194174757</v>
      </c>
      <c r="E9" s="24"/>
      <c r="F9" s="23">
        <f t="shared" si="2"/>
        <v>0</v>
      </c>
      <c r="G9" s="26">
        <v>84000</v>
      </c>
      <c r="H9" s="22">
        <v>43822</v>
      </c>
      <c r="I9" s="23">
        <v>84000</v>
      </c>
      <c r="J9" s="51" t="s">
        <v>21</v>
      </c>
    </row>
    <row r="10" ht="18" customHeight="1" spans="1:10">
      <c r="A10" s="22">
        <v>43847</v>
      </c>
      <c r="B10" s="23">
        <f t="shared" si="0"/>
        <v>834951.45631068</v>
      </c>
      <c r="C10" s="27">
        <v>0.03</v>
      </c>
      <c r="D10" s="25">
        <f t="shared" si="1"/>
        <v>25048.5436893204</v>
      </c>
      <c r="E10" s="24"/>
      <c r="F10" s="23">
        <f t="shared" si="2"/>
        <v>0</v>
      </c>
      <c r="G10" s="26">
        <v>860000</v>
      </c>
      <c r="H10" s="22">
        <v>43849</v>
      </c>
      <c r="I10" s="23">
        <v>860000</v>
      </c>
      <c r="J10" s="51" t="s">
        <v>21</v>
      </c>
    </row>
    <row r="11" ht="18" customHeight="1" spans="1:10">
      <c r="A11" s="28" t="s">
        <v>23</v>
      </c>
      <c r="B11" s="29">
        <f>SUM(B7:B10)</f>
        <v>1841747.57281553</v>
      </c>
      <c r="C11" s="30"/>
      <c r="D11" s="31">
        <f>SUM(D7:D10)</f>
        <v>55252.427184466</v>
      </c>
      <c r="E11" s="30"/>
      <c r="F11" s="32">
        <f>SUM(F7:F10)</f>
        <v>0</v>
      </c>
      <c r="G11" s="31">
        <f>SUM(G7:G10)</f>
        <v>1897000</v>
      </c>
      <c r="H11" s="33"/>
      <c r="I11" s="31">
        <f>SUM(I7:I10)</f>
        <v>1897000</v>
      </c>
      <c r="J11" s="33"/>
    </row>
    <row r="12" ht="18" customHeight="1" spans="1:12">
      <c r="A12" s="2" t="s">
        <v>24</v>
      </c>
      <c r="J12" s="4"/>
      <c r="K12" s="4"/>
      <c r="L12" s="5"/>
    </row>
    <row r="13" ht="18" customHeight="1" spans="1:15">
      <c r="A13" s="34" t="s">
        <v>25</v>
      </c>
      <c r="B13" s="20" t="s">
        <v>26</v>
      </c>
      <c r="C13" s="19" t="s">
        <v>27</v>
      </c>
      <c r="D13" s="19" t="s">
        <v>28</v>
      </c>
      <c r="E13" s="19" t="s">
        <v>16</v>
      </c>
      <c r="F13" s="20" t="s">
        <v>29</v>
      </c>
      <c r="G13" s="20" t="s">
        <v>14</v>
      </c>
      <c r="H13" s="19" t="s">
        <v>30</v>
      </c>
      <c r="I13" s="20" t="s">
        <v>31</v>
      </c>
      <c r="J13" s="19" t="s">
        <v>20</v>
      </c>
      <c r="K13" s="52" t="s">
        <v>32</v>
      </c>
      <c r="L13" s="21" t="s">
        <v>33</v>
      </c>
      <c r="M13" s="21" t="s">
        <v>34</v>
      </c>
      <c r="N13" s="21" t="s">
        <v>35</v>
      </c>
      <c r="O13" s="21" t="s">
        <v>36</v>
      </c>
    </row>
    <row r="14" s="1" customFormat="1" ht="18" customHeight="1" spans="1:15">
      <c r="A14" s="35">
        <v>43709</v>
      </c>
      <c r="B14" s="17">
        <f t="shared" ref="B14:B19" si="3">ROUND(G14/(1+E14),2)</f>
        <v>240000</v>
      </c>
      <c r="C14" s="36"/>
      <c r="D14" s="37" t="s">
        <v>37</v>
      </c>
      <c r="E14" s="38"/>
      <c r="F14" s="17">
        <f t="shared" ref="F14:F19" si="4">ROUND(G14/(1+E14)*E14,2)</f>
        <v>0</v>
      </c>
      <c r="G14" s="26">
        <v>240000</v>
      </c>
      <c r="H14" s="22">
        <v>43738</v>
      </c>
      <c r="I14" s="23">
        <v>240000</v>
      </c>
      <c r="J14" s="51" t="s">
        <v>21</v>
      </c>
      <c r="K14" s="53" t="s">
        <v>38</v>
      </c>
      <c r="L14" s="54" t="s">
        <v>39</v>
      </c>
      <c r="M14" s="55" t="s">
        <v>40</v>
      </c>
      <c r="N14" s="55" t="s">
        <v>40</v>
      </c>
      <c r="O14" s="54"/>
    </row>
    <row r="15" s="1" customFormat="1" ht="18" customHeight="1" spans="1:15">
      <c r="A15" s="35">
        <v>43709</v>
      </c>
      <c r="B15" s="17">
        <f t="shared" si="3"/>
        <v>287700</v>
      </c>
      <c r="C15" s="36"/>
      <c r="D15" s="37" t="s">
        <v>37</v>
      </c>
      <c r="E15" s="38"/>
      <c r="F15" s="17">
        <f t="shared" si="4"/>
        <v>0</v>
      </c>
      <c r="G15" s="26">
        <v>287700</v>
      </c>
      <c r="H15" s="22">
        <v>43738</v>
      </c>
      <c r="I15" s="23">
        <v>287700</v>
      </c>
      <c r="J15" s="51" t="s">
        <v>21</v>
      </c>
      <c r="K15" s="53" t="s">
        <v>42</v>
      </c>
      <c r="L15" s="54" t="s">
        <v>43</v>
      </c>
      <c r="M15" s="55" t="s">
        <v>40</v>
      </c>
      <c r="N15" s="55" t="s">
        <v>40</v>
      </c>
      <c r="O15" s="54"/>
    </row>
    <row r="16" s="1" customFormat="1" ht="18" customHeight="1" spans="1:15">
      <c r="A16" s="35">
        <v>43739</v>
      </c>
      <c r="B16" s="17">
        <f t="shared" si="3"/>
        <v>299700</v>
      </c>
      <c r="C16" s="36"/>
      <c r="D16" s="37" t="s">
        <v>37</v>
      </c>
      <c r="E16" s="38"/>
      <c r="F16" s="17">
        <f t="shared" si="4"/>
        <v>0</v>
      </c>
      <c r="G16" s="26">
        <f>9990*30</f>
        <v>299700</v>
      </c>
      <c r="H16" s="22">
        <v>43768</v>
      </c>
      <c r="I16" s="23">
        <v>299700</v>
      </c>
      <c r="J16" s="51" t="s">
        <v>21</v>
      </c>
      <c r="K16" s="53" t="s">
        <v>45</v>
      </c>
      <c r="L16" s="54" t="s">
        <v>46</v>
      </c>
      <c r="M16" s="55" t="s">
        <v>40</v>
      </c>
      <c r="N16" s="55" t="s">
        <v>40</v>
      </c>
      <c r="O16" s="54"/>
    </row>
    <row r="17" s="1" customFormat="1" ht="18" customHeight="1" spans="1:15">
      <c r="A17" s="35">
        <v>43800</v>
      </c>
      <c r="B17" s="17">
        <f t="shared" si="3"/>
        <v>1363605</v>
      </c>
      <c r="C17" s="36"/>
      <c r="D17" s="37" t="s">
        <v>37</v>
      </c>
      <c r="E17" s="38"/>
      <c r="F17" s="17">
        <f t="shared" si="4"/>
        <v>0</v>
      </c>
      <c r="G17" s="26">
        <f>100000*13+63605</f>
        <v>1363605</v>
      </c>
      <c r="H17" s="22">
        <v>43851</v>
      </c>
      <c r="I17" s="23">
        <v>1008767</v>
      </c>
      <c r="J17" s="51" t="s">
        <v>21</v>
      </c>
      <c r="K17" s="53" t="s">
        <v>48</v>
      </c>
      <c r="L17" s="54" t="s">
        <v>49</v>
      </c>
      <c r="M17" s="55"/>
      <c r="N17" s="55"/>
      <c r="O17" s="54"/>
    </row>
    <row r="18" s="1" customFormat="1" ht="18" customHeight="1" spans="1:15">
      <c r="A18" s="35">
        <v>43800</v>
      </c>
      <c r="B18" s="17">
        <f t="shared" si="3"/>
        <v>300000</v>
      </c>
      <c r="C18" s="36"/>
      <c r="D18" s="37" t="s">
        <v>37</v>
      </c>
      <c r="E18" s="38"/>
      <c r="F18" s="17">
        <f t="shared" si="4"/>
        <v>0</v>
      </c>
      <c r="G18" s="26">
        <v>300000</v>
      </c>
      <c r="H18" s="22"/>
      <c r="I18" s="23"/>
      <c r="J18" s="51"/>
      <c r="K18" s="53" t="s">
        <v>38</v>
      </c>
      <c r="L18" s="54" t="s">
        <v>50</v>
      </c>
      <c r="M18" s="55" t="s">
        <v>40</v>
      </c>
      <c r="N18" s="55" t="s">
        <v>40</v>
      </c>
      <c r="O18" s="54"/>
    </row>
    <row r="19" s="1" customFormat="1" ht="18" customHeight="1" spans="1:15">
      <c r="A19" s="35">
        <v>43800</v>
      </c>
      <c r="B19" s="17">
        <f t="shared" si="3"/>
        <v>299880</v>
      </c>
      <c r="C19" s="36"/>
      <c r="D19" s="37" t="s">
        <v>37</v>
      </c>
      <c r="E19" s="38"/>
      <c r="F19" s="17">
        <f t="shared" si="4"/>
        <v>0</v>
      </c>
      <c r="G19" s="26">
        <v>299880</v>
      </c>
      <c r="H19" s="22"/>
      <c r="I19" s="23"/>
      <c r="J19" s="51"/>
      <c r="K19" s="53" t="s">
        <v>42</v>
      </c>
      <c r="L19" s="54" t="s">
        <v>51</v>
      </c>
      <c r="M19" s="55" t="s">
        <v>40</v>
      </c>
      <c r="N19" s="55" t="s">
        <v>40</v>
      </c>
      <c r="O19" s="54"/>
    </row>
    <row r="20" s="1" customFormat="1" ht="18" customHeight="1" spans="1:15">
      <c r="A20" s="35"/>
      <c r="B20" s="17">
        <f t="shared" ref="B20:B31" si="5">ROUND(G20/(1+E20),2)</f>
        <v>0</v>
      </c>
      <c r="C20" s="36"/>
      <c r="D20" s="37"/>
      <c r="E20" s="38"/>
      <c r="F20" s="17">
        <f t="shared" ref="F20:F31" si="6">ROUND(G20/(1+E20)*E20,2)</f>
        <v>0</v>
      </c>
      <c r="G20" s="26"/>
      <c r="H20" s="22"/>
      <c r="I20" s="23"/>
      <c r="J20" s="51"/>
      <c r="K20" s="53"/>
      <c r="L20" s="54"/>
      <c r="M20" s="55"/>
      <c r="N20" s="55"/>
      <c r="O20" s="54"/>
    </row>
    <row r="21" s="1" customFormat="1" ht="18" customHeight="1" spans="1:15">
      <c r="A21" s="35"/>
      <c r="B21" s="17">
        <f t="shared" si="5"/>
        <v>0</v>
      </c>
      <c r="C21" s="36"/>
      <c r="D21" s="37"/>
      <c r="E21" s="38"/>
      <c r="F21" s="17">
        <f t="shared" si="6"/>
        <v>0</v>
      </c>
      <c r="G21" s="26"/>
      <c r="H21" s="22"/>
      <c r="I21" s="23"/>
      <c r="J21" s="51"/>
      <c r="K21" s="53"/>
      <c r="L21" s="54"/>
      <c r="M21" s="55"/>
      <c r="N21" s="55"/>
      <c r="O21" s="54"/>
    </row>
    <row r="22" s="1" customFormat="1" ht="18" customHeight="1" spans="1:15">
      <c r="A22" s="35"/>
      <c r="B22" s="17">
        <f t="shared" si="5"/>
        <v>0</v>
      </c>
      <c r="C22" s="36"/>
      <c r="D22" s="37"/>
      <c r="E22" s="38"/>
      <c r="F22" s="17">
        <f t="shared" si="6"/>
        <v>0</v>
      </c>
      <c r="G22" s="26"/>
      <c r="H22" s="22"/>
      <c r="I22" s="23"/>
      <c r="J22" s="51"/>
      <c r="K22" s="53"/>
      <c r="L22" s="54"/>
      <c r="M22" s="55"/>
      <c r="N22" s="55"/>
      <c r="O22" s="54"/>
    </row>
    <row r="23" s="1" customFormat="1" ht="18" customHeight="1" spans="1:15">
      <c r="A23" s="35"/>
      <c r="B23" s="17">
        <f t="shared" si="5"/>
        <v>0</v>
      </c>
      <c r="C23" s="36"/>
      <c r="D23" s="37"/>
      <c r="E23" s="38"/>
      <c r="F23" s="17">
        <f t="shared" si="6"/>
        <v>0</v>
      </c>
      <c r="G23" s="26"/>
      <c r="H23" s="22"/>
      <c r="I23" s="23"/>
      <c r="J23" s="51"/>
      <c r="K23" s="53"/>
      <c r="L23" s="54"/>
      <c r="M23" s="55"/>
      <c r="N23" s="55"/>
      <c r="O23" s="54"/>
    </row>
    <row r="24" s="1" customFormat="1" ht="18" customHeight="1" spans="1:15">
      <c r="A24" s="35"/>
      <c r="B24" s="17">
        <f t="shared" si="5"/>
        <v>0</v>
      </c>
      <c r="C24" s="36"/>
      <c r="D24" s="37"/>
      <c r="E24" s="38"/>
      <c r="F24" s="17">
        <f t="shared" si="6"/>
        <v>0</v>
      </c>
      <c r="G24" s="26"/>
      <c r="H24" s="22" t="s">
        <v>83</v>
      </c>
      <c r="I24" s="23">
        <v>200</v>
      </c>
      <c r="J24" s="51" t="s">
        <v>74</v>
      </c>
      <c r="K24" s="53" t="s">
        <v>75</v>
      </c>
      <c r="L24" s="54"/>
      <c r="M24" s="55"/>
      <c r="N24" s="55"/>
      <c r="O24" s="54"/>
    </row>
    <row r="25" s="1" customFormat="1" ht="18" customHeight="1" spans="1:15">
      <c r="A25" s="35"/>
      <c r="B25" s="17">
        <f t="shared" si="5"/>
        <v>18880</v>
      </c>
      <c r="C25" s="36"/>
      <c r="D25" s="37"/>
      <c r="E25" s="38"/>
      <c r="F25" s="17">
        <f t="shared" si="6"/>
        <v>0</v>
      </c>
      <c r="G25" s="26">
        <f>18880</f>
        <v>18880</v>
      </c>
      <c r="H25" s="22" t="s">
        <v>83</v>
      </c>
      <c r="I25" s="23">
        <f>G25</f>
        <v>18880</v>
      </c>
      <c r="J25" s="51" t="s">
        <v>74</v>
      </c>
      <c r="K25" s="53" t="s">
        <v>79</v>
      </c>
      <c r="L25" s="54"/>
      <c r="M25" s="55"/>
      <c r="N25" s="55"/>
      <c r="O25" s="54"/>
    </row>
    <row r="26" s="1" customFormat="1" ht="18" customHeight="1" spans="1:15">
      <c r="A26" s="35"/>
      <c r="B26" s="17">
        <f t="shared" si="5"/>
        <v>0</v>
      </c>
      <c r="C26" s="36"/>
      <c r="D26" s="37"/>
      <c r="E26" s="38"/>
      <c r="F26" s="17">
        <f t="shared" si="6"/>
        <v>0</v>
      </c>
      <c r="G26" s="26"/>
      <c r="H26" s="22" t="s">
        <v>83</v>
      </c>
      <c r="I26" s="23">
        <v>-17383</v>
      </c>
      <c r="J26" s="51" t="s">
        <v>84</v>
      </c>
      <c r="K26" s="53" t="s">
        <v>85</v>
      </c>
      <c r="L26" s="54"/>
      <c r="M26" s="55"/>
      <c r="N26" s="55"/>
      <c r="O26" s="54"/>
    </row>
    <row r="27" s="1" customFormat="1" ht="18" customHeight="1" spans="1:15">
      <c r="A27" s="35"/>
      <c r="B27" s="17">
        <f t="shared" si="5"/>
        <v>0</v>
      </c>
      <c r="C27" s="36"/>
      <c r="D27" s="37"/>
      <c r="E27" s="38"/>
      <c r="F27" s="17">
        <f t="shared" si="6"/>
        <v>0</v>
      </c>
      <c r="G27" s="26"/>
      <c r="H27" s="22" t="s">
        <v>83</v>
      </c>
      <c r="I27" s="23">
        <v>-65479</v>
      </c>
      <c r="J27" s="51" t="s">
        <v>84</v>
      </c>
      <c r="K27" s="53" t="s">
        <v>86</v>
      </c>
      <c r="L27" s="54"/>
      <c r="M27" s="55"/>
      <c r="N27" s="55"/>
      <c r="O27" s="54"/>
    </row>
    <row r="28" s="1" customFormat="1" ht="18" customHeight="1" spans="1:15">
      <c r="A28" s="35"/>
      <c r="B28" s="17">
        <f t="shared" si="5"/>
        <v>0</v>
      </c>
      <c r="C28" s="36"/>
      <c r="D28" s="37"/>
      <c r="E28" s="38"/>
      <c r="F28" s="17">
        <f t="shared" si="6"/>
        <v>0</v>
      </c>
      <c r="G28" s="26"/>
      <c r="H28" s="22" t="s">
        <v>83</v>
      </c>
      <c r="I28" s="23">
        <v>-10425</v>
      </c>
      <c r="J28" s="51" t="s">
        <v>84</v>
      </c>
      <c r="K28" s="53" t="s">
        <v>86</v>
      </c>
      <c r="L28" s="54"/>
      <c r="M28" s="55"/>
      <c r="N28" s="55"/>
      <c r="O28" s="54"/>
    </row>
    <row r="29" s="1" customFormat="1" ht="18" customHeight="1" spans="1:15">
      <c r="A29" s="35"/>
      <c r="B29" s="17">
        <f t="shared" si="5"/>
        <v>0</v>
      </c>
      <c r="C29" s="36"/>
      <c r="D29" s="37"/>
      <c r="E29" s="38"/>
      <c r="F29" s="17">
        <f t="shared" si="6"/>
        <v>0</v>
      </c>
      <c r="G29" s="26"/>
      <c r="H29" s="22" t="s">
        <v>83</v>
      </c>
      <c r="I29" s="23">
        <v>9440</v>
      </c>
      <c r="J29" s="51" t="s">
        <v>74</v>
      </c>
      <c r="K29" s="53" t="s">
        <v>80</v>
      </c>
      <c r="L29" s="54"/>
      <c r="M29" s="55"/>
      <c r="N29" s="55"/>
      <c r="O29" s="54"/>
    </row>
    <row r="30" s="1" customFormat="1" ht="18" customHeight="1" spans="1:15">
      <c r="A30" s="35"/>
      <c r="B30" s="17">
        <f t="shared" si="5"/>
        <v>0</v>
      </c>
      <c r="C30" s="36"/>
      <c r="D30" s="37"/>
      <c r="E30" s="38"/>
      <c r="F30" s="17">
        <f t="shared" si="6"/>
        <v>0</v>
      </c>
      <c r="G30" s="26"/>
      <c r="H30" s="22" t="s">
        <v>87</v>
      </c>
      <c r="I30" s="23">
        <v>10425</v>
      </c>
      <c r="J30" s="51" t="s">
        <v>88</v>
      </c>
      <c r="K30" s="53" t="s">
        <v>86</v>
      </c>
      <c r="L30" s="54"/>
      <c r="M30" s="55"/>
      <c r="N30" s="55"/>
      <c r="O30" s="54"/>
    </row>
    <row r="31" s="1" customFormat="1" ht="18" customHeight="1" spans="1:15">
      <c r="A31" s="35"/>
      <c r="B31" s="17">
        <f t="shared" si="5"/>
        <v>0</v>
      </c>
      <c r="C31" s="36"/>
      <c r="D31" s="37"/>
      <c r="E31" s="38"/>
      <c r="F31" s="17">
        <f t="shared" si="6"/>
        <v>0</v>
      </c>
      <c r="G31" s="26"/>
      <c r="H31" s="22" t="s">
        <v>87</v>
      </c>
      <c r="I31" s="23">
        <v>3107</v>
      </c>
      <c r="J31" s="51" t="s">
        <v>74</v>
      </c>
      <c r="K31" s="53" t="s">
        <v>80</v>
      </c>
      <c r="L31" s="54"/>
      <c r="M31" s="55"/>
      <c r="N31" s="55"/>
      <c r="O31" s="54"/>
    </row>
    <row r="32" s="1" customFormat="1" ht="18" customHeight="1" spans="1:15">
      <c r="A32" s="35"/>
      <c r="B32" s="17">
        <f t="shared" ref="B29:B35" si="7">ROUND(G32/(1+E32),2)</f>
        <v>0</v>
      </c>
      <c r="C32" s="36"/>
      <c r="D32" s="37"/>
      <c r="E32" s="38"/>
      <c r="F32" s="17">
        <f t="shared" ref="F29:F35" si="8">ROUND(G32/(1+E32)*E32,2)</f>
        <v>0</v>
      </c>
      <c r="G32" s="26"/>
      <c r="H32" s="22" t="s">
        <v>87</v>
      </c>
      <c r="I32" s="23">
        <v>368</v>
      </c>
      <c r="J32" s="51" t="s">
        <v>88</v>
      </c>
      <c r="K32" s="53" t="s">
        <v>89</v>
      </c>
      <c r="L32" s="54"/>
      <c r="M32" s="55"/>
      <c r="N32" s="55"/>
      <c r="O32" s="54"/>
    </row>
    <row r="33" s="1" customFormat="1" ht="18" customHeight="1" spans="1:15">
      <c r="A33" s="35"/>
      <c r="B33" s="17">
        <f t="shared" si="7"/>
        <v>0</v>
      </c>
      <c r="C33" s="36"/>
      <c r="D33" s="37"/>
      <c r="E33" s="38"/>
      <c r="F33" s="17">
        <f t="shared" si="8"/>
        <v>0</v>
      </c>
      <c r="G33" s="26"/>
      <c r="H33" s="22" t="s">
        <v>90</v>
      </c>
      <c r="I33" s="23">
        <v>17015</v>
      </c>
      <c r="J33" s="51" t="s">
        <v>88</v>
      </c>
      <c r="K33" s="53" t="s">
        <v>89</v>
      </c>
      <c r="L33" s="54"/>
      <c r="M33" s="55"/>
      <c r="N33" s="55"/>
      <c r="O33" s="54"/>
    </row>
    <row r="34" s="1" customFormat="1" ht="18" customHeight="1" spans="1:15">
      <c r="A34" s="35"/>
      <c r="B34" s="17">
        <f t="shared" si="7"/>
        <v>0</v>
      </c>
      <c r="C34" s="36"/>
      <c r="D34" s="37"/>
      <c r="E34" s="38"/>
      <c r="F34" s="17">
        <f t="shared" si="8"/>
        <v>0</v>
      </c>
      <c r="G34" s="26"/>
      <c r="H34" s="22" t="s">
        <v>90</v>
      </c>
      <c r="I34" s="23">
        <v>6146</v>
      </c>
      <c r="J34" s="51" t="s">
        <v>74</v>
      </c>
      <c r="K34" s="53" t="s">
        <v>80</v>
      </c>
      <c r="L34" s="54"/>
      <c r="M34" s="55"/>
      <c r="N34" s="55"/>
      <c r="O34" s="54"/>
    </row>
    <row r="35" s="1" customFormat="1" ht="18" customHeight="1" spans="1:15">
      <c r="A35" s="35"/>
      <c r="B35" s="17">
        <f t="shared" si="7"/>
        <v>0</v>
      </c>
      <c r="C35" s="36"/>
      <c r="D35" s="37"/>
      <c r="E35" s="38"/>
      <c r="F35" s="17">
        <f t="shared" si="8"/>
        <v>0</v>
      </c>
      <c r="G35" s="26"/>
      <c r="H35" s="22"/>
      <c r="I35" s="23"/>
      <c r="J35" s="51"/>
      <c r="K35" s="53"/>
      <c r="L35" s="54"/>
      <c r="M35" s="55"/>
      <c r="N35" s="55"/>
      <c r="O35" s="54"/>
    </row>
    <row r="36" s="1" customFormat="1" ht="18" customHeight="1" spans="1:15">
      <c r="A36" s="35"/>
      <c r="B36" s="17">
        <f t="shared" ref="B36:B39" si="9">ROUND(G36/(1+E36),2)</f>
        <v>0</v>
      </c>
      <c r="C36" s="36"/>
      <c r="D36" s="37"/>
      <c r="E36" s="38"/>
      <c r="F36" s="17">
        <f t="shared" ref="F36:F39" si="10">ROUND(G36/(1+E36)*E36,2)</f>
        <v>0</v>
      </c>
      <c r="G36" s="26"/>
      <c r="H36" s="22" t="s">
        <v>90</v>
      </c>
      <c r="I36" s="23">
        <v>65479</v>
      </c>
      <c r="J36" s="51" t="s">
        <v>88</v>
      </c>
      <c r="K36" s="53" t="s">
        <v>86</v>
      </c>
      <c r="L36" s="54"/>
      <c r="M36" s="55"/>
      <c r="N36" s="55"/>
      <c r="O36" s="54"/>
    </row>
    <row r="37" s="1" customFormat="1" ht="18" customHeight="1" spans="1:15">
      <c r="A37" s="35"/>
      <c r="B37" s="17">
        <f t="shared" si="9"/>
        <v>0</v>
      </c>
      <c r="C37" s="36"/>
      <c r="D37" s="37"/>
      <c r="E37" s="38"/>
      <c r="F37" s="17">
        <f t="shared" si="10"/>
        <v>0</v>
      </c>
      <c r="G37" s="26"/>
      <c r="H37" s="22" t="s">
        <v>90</v>
      </c>
      <c r="I37" s="23">
        <v>4000</v>
      </c>
      <c r="J37" s="51" t="s">
        <v>74</v>
      </c>
      <c r="K37" s="53" t="s">
        <v>91</v>
      </c>
      <c r="L37" s="54"/>
      <c r="M37" s="55"/>
      <c r="N37" s="55"/>
      <c r="O37" s="54"/>
    </row>
    <row r="38" s="1" customFormat="1" ht="18" customHeight="1" spans="1:15">
      <c r="A38" s="35"/>
      <c r="B38" s="17">
        <f t="shared" si="9"/>
        <v>19060</v>
      </c>
      <c r="C38" s="36"/>
      <c r="D38" s="37"/>
      <c r="E38" s="38"/>
      <c r="F38" s="17">
        <f t="shared" si="10"/>
        <v>0</v>
      </c>
      <c r="G38" s="26">
        <f>12660+6400</f>
        <v>19060</v>
      </c>
      <c r="H38" s="22"/>
      <c r="I38" s="23">
        <f>G38</f>
        <v>19060</v>
      </c>
      <c r="J38" s="51" t="s">
        <v>74</v>
      </c>
      <c r="K38" s="53" t="s">
        <v>79</v>
      </c>
      <c r="L38" s="54"/>
      <c r="M38" s="55"/>
      <c r="N38" s="55"/>
      <c r="O38" s="54"/>
    </row>
    <row r="39" s="1" customFormat="1" ht="18" customHeight="1" spans="1:15">
      <c r="A39" s="35"/>
      <c r="B39" s="17">
        <f t="shared" si="9"/>
        <v>0</v>
      </c>
      <c r="C39" s="36"/>
      <c r="D39" s="37"/>
      <c r="E39" s="38"/>
      <c r="F39" s="17">
        <f t="shared" si="10"/>
        <v>0</v>
      </c>
      <c r="G39" s="26"/>
      <c r="H39" s="22"/>
      <c r="I39" s="23"/>
      <c r="J39" s="51"/>
      <c r="K39" s="53"/>
      <c r="L39" s="54"/>
      <c r="M39" s="55"/>
      <c r="N39" s="55"/>
      <c r="O39" s="54"/>
    </row>
    <row r="40" ht="18" customHeight="1" spans="1:15">
      <c r="A40" s="30" t="s">
        <v>23</v>
      </c>
      <c r="B40" s="29">
        <f>SUM(B14:B39)</f>
        <v>2828825</v>
      </c>
      <c r="C40" s="30"/>
      <c r="D40" s="39"/>
      <c r="E40" s="39"/>
      <c r="F40" s="32">
        <f>SUM(F14:F39)</f>
        <v>0</v>
      </c>
      <c r="G40" s="40">
        <f>SUM(G14:G39)</f>
        <v>2828825</v>
      </c>
      <c r="H40" s="41"/>
      <c r="I40" s="31">
        <f>SUM(I14:I39)</f>
        <v>1897000</v>
      </c>
      <c r="J40" s="56"/>
      <c r="K40" s="39"/>
      <c r="L40" s="33"/>
      <c r="M40" s="51"/>
      <c r="N40" s="51"/>
      <c r="O40" s="33"/>
    </row>
    <row r="41" ht="18" customHeight="1" spans="1:14">
      <c r="A41" s="42" t="s">
        <v>92</v>
      </c>
      <c r="B41" s="43">
        <f>B11*0.99</f>
        <v>1823330.09708738</v>
      </c>
      <c r="C41" s="42"/>
      <c r="D41" s="44"/>
      <c r="E41" s="44"/>
      <c r="F41" s="43"/>
      <c r="G41" s="43">
        <f>G11-G40</f>
        <v>-931825</v>
      </c>
      <c r="H41" s="21" t="s">
        <v>93</v>
      </c>
      <c r="I41" s="31">
        <f>I11-I40</f>
        <v>0</v>
      </c>
      <c r="J41" s="6"/>
      <c r="K41" s="57"/>
      <c r="M41" s="58"/>
      <c r="N41" s="58"/>
    </row>
    <row r="42" ht="18" customHeight="1" spans="1:14">
      <c r="A42" s="42" t="s">
        <v>94</v>
      </c>
      <c r="B42" s="43">
        <f>B41-B40</f>
        <v>-1005494.90291262</v>
      </c>
      <c r="C42" s="42"/>
      <c r="D42" s="44"/>
      <c r="E42" s="44"/>
      <c r="F42" s="43"/>
      <c r="G42" s="43"/>
      <c r="H42" s="45"/>
      <c r="I42" s="43"/>
      <c r="J42" s="6"/>
      <c r="K42" s="57"/>
      <c r="M42" s="58"/>
      <c r="N42" s="58"/>
    </row>
    <row r="43" ht="18" customHeight="1" spans="1:3">
      <c r="A43" s="2" t="s">
        <v>95</v>
      </c>
      <c r="C43" s="2"/>
    </row>
    <row r="44" ht="18" customHeight="1" spans="1:19">
      <c r="A44" s="21" t="s">
        <v>96</v>
      </c>
      <c r="B44" s="20" t="s">
        <v>97</v>
      </c>
      <c r="C44" s="33"/>
      <c r="D44" s="21" t="s">
        <v>96</v>
      </c>
      <c r="E44" s="19" t="s">
        <v>16</v>
      </c>
      <c r="F44" s="20" t="s">
        <v>97</v>
      </c>
      <c r="G44" s="20" t="s">
        <v>98</v>
      </c>
      <c r="H44" s="20" t="s">
        <v>99</v>
      </c>
      <c r="I44" s="20" t="s">
        <v>100</v>
      </c>
      <c r="S44" s="6" t="s">
        <v>103</v>
      </c>
    </row>
    <row r="45" ht="18" customHeight="1" spans="1:9">
      <c r="A45" s="33" t="s">
        <v>104</v>
      </c>
      <c r="B45" s="17">
        <f>(B41-B40)*0.25</f>
        <v>-251373.725728155</v>
      </c>
      <c r="C45" s="33"/>
      <c r="D45" s="28" t="s">
        <v>105</v>
      </c>
      <c r="E45" s="21" t="s">
        <v>106</v>
      </c>
      <c r="F45" s="32">
        <f>F11-F40</f>
        <v>0</v>
      </c>
      <c r="G45" s="32">
        <f>F7</f>
        <v>0</v>
      </c>
      <c r="H45" s="32"/>
      <c r="I45" s="32">
        <v>0</v>
      </c>
    </row>
    <row r="46" ht="18" customHeight="1" spans="1:9">
      <c r="A46" s="33" t="s">
        <v>107</v>
      </c>
      <c r="B46" s="46" t="s">
        <v>108</v>
      </c>
      <c r="C46" s="33"/>
      <c r="D46" s="47" t="s">
        <v>109</v>
      </c>
      <c r="E46" s="13">
        <v>0.05</v>
      </c>
      <c r="F46" s="23">
        <f>F45*E46</f>
        <v>0</v>
      </c>
      <c r="G46" s="23">
        <f>G45*E46</f>
        <v>0</v>
      </c>
      <c r="H46" s="23"/>
      <c r="I46" s="23">
        <v>0</v>
      </c>
    </row>
    <row r="47" ht="18" customHeight="1" spans="1:9">
      <c r="A47" s="33" t="s">
        <v>110</v>
      </c>
      <c r="B47" s="46" t="s">
        <v>108</v>
      </c>
      <c r="C47" s="33"/>
      <c r="D47" s="47" t="s">
        <v>111</v>
      </c>
      <c r="E47" s="13">
        <v>0.03</v>
      </c>
      <c r="F47" s="23">
        <f>F45*E47</f>
        <v>0</v>
      </c>
      <c r="G47" s="23">
        <f>G45*E47</f>
        <v>0</v>
      </c>
      <c r="H47" s="23"/>
      <c r="I47" s="23">
        <v>0</v>
      </c>
    </row>
    <row r="48" ht="18" customHeight="1" spans="1:9">
      <c r="A48" s="33"/>
      <c r="B48" s="23"/>
      <c r="C48" s="33"/>
      <c r="D48" s="47" t="s">
        <v>112</v>
      </c>
      <c r="E48" s="13">
        <v>0.02</v>
      </c>
      <c r="F48" s="23">
        <f>F45*E48</f>
        <v>0</v>
      </c>
      <c r="G48" s="23">
        <f>G45*E48</f>
        <v>0</v>
      </c>
      <c r="H48" s="23"/>
      <c r="I48" s="23">
        <v>0</v>
      </c>
    </row>
    <row r="49" ht="18" customHeight="1" spans="1:9">
      <c r="A49" s="28" t="s">
        <v>113</v>
      </c>
      <c r="B49" s="29">
        <f t="shared" ref="B49:G49" si="11">SUM(B45:B48)</f>
        <v>-251373.725728155</v>
      </c>
      <c r="C49" s="33"/>
      <c r="D49" s="34" t="s">
        <v>113</v>
      </c>
      <c r="E49" s="28"/>
      <c r="F49" s="32">
        <f t="shared" si="11"/>
        <v>0</v>
      </c>
      <c r="G49" s="32">
        <f t="shared" si="11"/>
        <v>0</v>
      </c>
      <c r="H49" s="32"/>
      <c r="I49" s="32">
        <v>0</v>
      </c>
    </row>
    <row r="50" ht="18" customHeight="1" spans="3:9">
      <c r="C50" s="2"/>
      <c r="D50" s="19" t="s">
        <v>23</v>
      </c>
      <c r="E50" s="30"/>
      <c r="F50" s="31">
        <f>F49</f>
        <v>0</v>
      </c>
      <c r="G50" s="31">
        <f>G49</f>
        <v>0</v>
      </c>
      <c r="H50" s="31"/>
      <c r="I50" s="31">
        <v>0</v>
      </c>
    </row>
    <row r="51" ht="18" customHeight="1" spans="3:9">
      <c r="C51" s="2"/>
      <c r="D51" s="30" t="s">
        <v>104</v>
      </c>
      <c r="E51" s="39">
        <v>0.01</v>
      </c>
      <c r="F51" s="31">
        <f>B11*E51</f>
        <v>18417.4757281553</v>
      </c>
      <c r="G51" s="31">
        <f>B7*E51</f>
        <v>6145.63106796116</v>
      </c>
      <c r="H51" s="31">
        <f>B8*E51</f>
        <v>3106.79611650485</v>
      </c>
      <c r="I51" s="31">
        <f>SUM(G9:G10)*E51</f>
        <v>9440</v>
      </c>
    </row>
    <row r="52" ht="18" customHeight="1" spans="3:8">
      <c r="C52" s="2"/>
      <c r="G52" s="3">
        <f>B42*0.25</f>
        <v>-251373.725728155</v>
      </c>
      <c r="H52" s="4">
        <f>B42*0.25</f>
        <v>-251373.725728155</v>
      </c>
    </row>
    <row r="53" ht="18" customHeight="1" spans="3:9">
      <c r="C53" s="2"/>
      <c r="I53" s="3">
        <f>H52-I33</f>
        <v>-268388.725728155</v>
      </c>
    </row>
    <row r="54" ht="18" customHeight="1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2021-09-09T05:38:56Z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E0D320B7C28C476D894935B129884CBA</vt:lpwstr>
  </property>
</Properties>
</file>