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新!$A$15:$P$120</definedName>
    <definedName name="_xlnm._FilterDatabase" localSheetId="1" hidden="1">旧!$A$13:$P$94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</authors>
  <commentList>
    <comment ref="I9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本次补扣2020.6.2止的全部含税企税                                                                                                              </t>
        </r>
      </text>
    </comment>
    <comment ref="A11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1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L118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印花税95.63异地未预缴</t>
        </r>
      </text>
    </comment>
    <comment ref="K11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本次开票印花税、水利基金异地已预缴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8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<sst xmlns="http://schemas.openxmlformats.org/spreadsheetml/2006/main" count="557" uniqueCount="131">
  <si>
    <t>C9887  颍上县2018年农村公路组组通工程（二期）施工（四十五标段）</t>
  </si>
  <si>
    <t>中标日期</t>
  </si>
  <si>
    <t>中标价</t>
  </si>
  <si>
    <t>负责人</t>
  </si>
  <si>
    <t>吴俊</t>
  </si>
  <si>
    <t>建设单位</t>
  </si>
  <si>
    <t>颍上县慎和园林建设有限公司9134 1226 MA2M QT5X3K</t>
  </si>
  <si>
    <t>颍上县政务南路266号</t>
  </si>
  <si>
    <t>企税0.6%</t>
  </si>
  <si>
    <t>决算日期</t>
  </si>
  <si>
    <t>决算价</t>
  </si>
  <si>
    <t>2033 4122 6001 0000 0441 561  中国农业发展银行颍上县支行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</si>
  <si>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</si>
  <si>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</si>
  <si>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</si>
  <si>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</si>
  <si>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</si>
  <si>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</si>
  <si>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</si>
  <si>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</si>
  <si>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</si>
  <si>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</si>
  <si>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</si>
  <si>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</si>
  <si>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</si>
  <si>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</si>
  <si>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</si>
  <si>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</si>
  <si>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</si>
  <si>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</si>
  <si>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</si>
  <si>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</si>
  <si>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</si>
  <si>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</si>
  <si>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</si>
  <si>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</si>
  <si>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</si>
  <si>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</si>
  <si>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</si>
  <si>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18-7-</t>
  </si>
  <si>
    <t>颍上县集中招投标交易中心</t>
  </si>
  <si>
    <t>招标服务费+L13:L14</t>
  </si>
  <si>
    <t>安徽皖申工程项目管理有限公司</t>
  </si>
  <si>
    <t>安徽红日工程管理有限公司</t>
  </si>
  <si>
    <t>徽行</t>
  </si>
  <si>
    <t>钱玉荣</t>
  </si>
  <si>
    <t>住宿费</t>
  </si>
  <si>
    <t>办公用品</t>
  </si>
  <si>
    <t>18-10-</t>
  </si>
  <si>
    <t>淮南市八公山水泥厂</t>
  </si>
  <si>
    <t>18-9-</t>
  </si>
  <si>
    <t>安全生产费</t>
  </si>
  <si>
    <t>柴油</t>
  </si>
  <si>
    <t>专</t>
  </si>
  <si>
    <t>淮南舜岳水泥有限责任公司</t>
  </si>
  <si>
    <t xml:space="preserve"> 柴油</t>
  </si>
  <si>
    <t>安徽坤恒建筑劳务有限公司</t>
  </si>
  <si>
    <t>工程劳务费</t>
  </si>
  <si>
    <t>机打</t>
  </si>
  <si>
    <t>颍上大润发</t>
  </si>
  <si>
    <t>普代</t>
  </si>
  <si>
    <t>石子、黄沙</t>
  </si>
  <si>
    <t>代付材料款</t>
  </si>
  <si>
    <t>水泥</t>
  </si>
  <si>
    <t>材料款、安全生产费等</t>
  </si>
  <si>
    <t>水泥1123.6吨*383.61</t>
  </si>
  <si>
    <t>水泥739.16吨*293.96</t>
  </si>
  <si>
    <t>颍上县三八购物广场有限责任公司</t>
  </si>
  <si>
    <t>普</t>
  </si>
  <si>
    <t>颍上县豪战商贸有限公司</t>
  </si>
  <si>
    <t>雅迪电动车</t>
  </si>
  <si>
    <t>加油卷票</t>
  </si>
  <si>
    <t>水泥969.68吨</t>
  </si>
  <si>
    <t>安徽顺一商贸有限公司</t>
  </si>
  <si>
    <t>石子</t>
  </si>
  <si>
    <t>黄沙</t>
  </si>
  <si>
    <t>水泥972.94吨</t>
  </si>
  <si>
    <t>水泥588吨</t>
  </si>
  <si>
    <t>加油票</t>
  </si>
  <si>
    <t>水泥572吨</t>
  </si>
  <si>
    <t>汽油</t>
  </si>
  <si>
    <t>退代转材料款</t>
  </si>
  <si>
    <t>中国人寿财产保险股份有限公司阜阳市中心支公司</t>
  </si>
  <si>
    <t>建筑工程一切险</t>
  </si>
  <si>
    <t>水泥322.12吨</t>
  </si>
  <si>
    <t>有</t>
  </si>
  <si>
    <t>普（邮政代）</t>
  </si>
  <si>
    <t>碎石</t>
  </si>
  <si>
    <t>黄砂</t>
  </si>
  <si>
    <t>颍上县创亿建材销售有限公司</t>
  </si>
  <si>
    <t>水泥款</t>
  </si>
  <si>
    <t>专票</t>
  </si>
  <si>
    <t>水泥2000吨</t>
  </si>
  <si>
    <t>武中颍</t>
  </si>
  <si>
    <t>吴多友</t>
  </si>
  <si>
    <t>黄沙、碎石</t>
  </si>
  <si>
    <t>退周转金</t>
  </si>
  <si>
    <t>补扣</t>
  </si>
  <si>
    <t>增值税及附加（城建税前期差额部分，资金管理模块录入）</t>
  </si>
  <si>
    <t>8次</t>
  </si>
  <si>
    <t>扣</t>
  </si>
  <si>
    <t>手续费</t>
  </si>
  <si>
    <t>外经证</t>
  </si>
  <si>
    <t>补扣开票额企税0.6%</t>
  </si>
  <si>
    <t>增值税及附加</t>
  </si>
  <si>
    <t>6次</t>
  </si>
  <si>
    <t>管理费</t>
  </si>
  <si>
    <t>代办费</t>
  </si>
  <si>
    <t>应提供成本</t>
  </si>
  <si>
    <t>可支付金额</t>
  </si>
  <si>
    <t>尚需提供成本</t>
  </si>
  <si>
    <t>公司代缴税金：</t>
  </si>
  <si>
    <t>税种</t>
  </si>
  <si>
    <t>税额</t>
  </si>
  <si>
    <t>18.12-19.1开票扣税</t>
  </si>
  <si>
    <t>19年4月开票扣税</t>
  </si>
  <si>
    <t>19年11月开票扣税</t>
  </si>
  <si>
    <t>2020年6月开票扣税</t>
  </si>
  <si>
    <t>2021年12月开票税金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</si>
  <si>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</si>
  <si>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</si>
  <si>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</si>
  <si>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</si>
  <si>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</si>
  <si>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</si>
  <si>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</si>
  <si>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</si>
  <si>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</si>
  <si>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</si>
  <si>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颍上县2018年农村公路组组通工程（二期）施工（四十五标段）</t>
  </si>
  <si>
    <t>颍上县慎和园林建设有限公司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</si>
</sst>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  <numFmt numFmtId="177" formatCode="0.00_ "/>
    <numFmt numFmtId="178" formatCode="yy/m/d;@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6" borderId="1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25" fillId="35" borderId="12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9" fontId="1" fillId="0" borderId="2" xfId="11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9" fontId="1" fillId="6" borderId="2" xfId="0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vertical="center"/>
    </xf>
    <xf numFmtId="180" fontId="2" fillId="6" borderId="2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9" fontId="2" fillId="7" borderId="2" xfId="1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 wrapText="1"/>
    </xf>
    <xf numFmtId="178" fontId="2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3" fontId="2" fillId="0" borderId="0" xfId="8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176" fontId="2" fillId="6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10" fontId="5" fillId="0" borderId="0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6" fontId="5" fillId="4" borderId="2" xfId="0" applyNumberFormat="1" applyFont="1" applyFill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tabSelected="1" topLeftCell="A100" workbookViewId="0">
      <selection activeCell="M127" sqref="M127"/>
    </sheetView>
  </sheetViews>
  <sheetFormatPr defaultColWidth="9" defaultRowHeight="11.25"/>
  <cols>
    <col min="1" max="1" width="10.775" style="2" customWidth="1"/>
    <col min="2" max="2" width="15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4.1083333333333" style="3" customWidth="1"/>
    <col min="7" max="7" width="20.1083333333333" style="3" customWidth="1"/>
    <col min="8" max="8" width="11.5" style="4" customWidth="1"/>
    <col min="9" max="9" width="17.375" style="3" customWidth="1"/>
    <col min="10" max="10" width="10" style="5" customWidth="1"/>
    <col min="11" max="11" width="33.375" style="65" customWidth="1"/>
    <col min="12" max="12" width="19.875" style="6" customWidth="1"/>
    <col min="13" max="13" width="21.375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80"/>
      <c r="L1" s="16"/>
    </row>
    <row r="2" ht="18" customHeight="1" spans="1:16">
      <c r="A2" s="9" t="s">
        <v>1</v>
      </c>
      <c r="B2" s="10">
        <v>43271</v>
      </c>
      <c r="C2" s="11" t="s">
        <v>2</v>
      </c>
      <c r="D2" s="11">
        <v>10682290.6</v>
      </c>
      <c r="E2" s="12" t="s">
        <v>3</v>
      </c>
      <c r="F2" s="11" t="s">
        <v>4</v>
      </c>
      <c r="G2" s="13" t="s">
        <v>5</v>
      </c>
      <c r="H2" s="14" t="s">
        <v>6</v>
      </c>
      <c r="I2" s="43"/>
      <c r="J2" s="44"/>
      <c r="K2" s="81" t="s">
        <v>7</v>
      </c>
      <c r="L2" s="16"/>
      <c r="P2" s="45" t="s">
        <v>8</v>
      </c>
    </row>
    <row r="3" ht="28" customHeight="1" spans="1:12">
      <c r="A3" s="9" t="s">
        <v>9</v>
      </c>
      <c r="B3" s="15"/>
      <c r="C3" s="11" t="s">
        <v>10</v>
      </c>
      <c r="D3" s="11">
        <v>10623273.91</v>
      </c>
      <c r="H3" s="16"/>
      <c r="I3" s="46"/>
      <c r="J3" s="16"/>
      <c r="K3" s="81" t="s">
        <v>11</v>
      </c>
      <c r="L3" s="16"/>
    </row>
    <row r="4" ht="18" customHeight="1" spans="1:12">
      <c r="A4" s="2" t="s">
        <v>12</v>
      </c>
      <c r="H4" s="16"/>
      <c r="I4" s="46"/>
      <c r="J4" s="16"/>
      <c r="K4" s="80"/>
      <c r="L4" s="16"/>
    </row>
    <row r="5" ht="18" customHeight="1" spans="1:10">
      <c r="A5" s="17" t="s">
        <v>13</v>
      </c>
      <c r="B5" s="18" t="s">
        <v>14</v>
      </c>
      <c r="C5" s="17" t="s">
        <v>15</v>
      </c>
      <c r="D5" s="17"/>
      <c r="E5" s="17" t="s">
        <v>16</v>
      </c>
      <c r="F5" s="18"/>
      <c r="G5" s="18" t="s">
        <v>17</v>
      </c>
      <c r="H5" s="19" t="s">
        <v>18</v>
      </c>
      <c r="I5" s="18"/>
      <c r="J5" s="19"/>
    </row>
    <row r="6" ht="18" customHeight="1" spans="1:10">
      <c r="A6" s="17"/>
      <c r="B6" s="18"/>
      <c r="C6" s="17" t="s">
        <v>19</v>
      </c>
      <c r="D6" s="17" t="s">
        <v>20</v>
      </c>
      <c r="E6" s="17" t="s">
        <v>19</v>
      </c>
      <c r="F6" s="18" t="s">
        <v>20</v>
      </c>
      <c r="G6" s="18"/>
      <c r="H6" s="19" t="s">
        <v>21</v>
      </c>
      <c r="I6" s="18" t="s">
        <v>22</v>
      </c>
      <c r="J6" s="19" t="s">
        <v>23</v>
      </c>
    </row>
    <row r="7" ht="18" customHeight="1" spans="1:10">
      <c r="A7" s="20">
        <v>43441</v>
      </c>
      <c r="B7" s="11">
        <f t="shared" ref="B7:B12" si="0">G7/(1+C7+E7)</f>
        <v>472727.272727273</v>
      </c>
      <c r="C7" s="22">
        <v>0.02</v>
      </c>
      <c r="D7" s="66">
        <f t="shared" ref="D7:D12" si="1">G7/(1+E7+C7)*C7</f>
        <v>9454.54545454545</v>
      </c>
      <c r="E7" s="22">
        <v>0.08</v>
      </c>
      <c r="F7" s="11">
        <f t="shared" ref="F7:F12" si="2">G7/(1+C7+E7)*E7</f>
        <v>37818.1818181818</v>
      </c>
      <c r="G7" s="67">
        <v>520000</v>
      </c>
      <c r="H7" s="20">
        <v>43474</v>
      </c>
      <c r="I7" s="11">
        <v>3234100</v>
      </c>
      <c r="J7" s="47" t="s">
        <v>24</v>
      </c>
    </row>
    <row r="8" ht="18" customHeight="1" spans="1:10">
      <c r="A8" s="20">
        <v>43468</v>
      </c>
      <c r="B8" s="11">
        <f t="shared" si="0"/>
        <v>2468272.72727273</v>
      </c>
      <c r="C8" s="22">
        <v>0.02</v>
      </c>
      <c r="D8" s="66">
        <f t="shared" si="1"/>
        <v>49365.4545454545</v>
      </c>
      <c r="E8" s="22">
        <v>0.08</v>
      </c>
      <c r="F8" s="11">
        <f t="shared" si="2"/>
        <v>197461.818181818</v>
      </c>
      <c r="G8" s="67">
        <v>2715100</v>
      </c>
      <c r="H8" s="20">
        <v>43613</v>
      </c>
      <c r="I8" s="11">
        <v>2153800</v>
      </c>
      <c r="J8" s="47" t="s">
        <v>24</v>
      </c>
    </row>
    <row r="9" ht="18" customHeight="1" spans="1:10">
      <c r="A9" s="20">
        <v>43567</v>
      </c>
      <c r="B9" s="11">
        <f t="shared" si="0"/>
        <v>1975963.30275229</v>
      </c>
      <c r="C9" s="22">
        <v>0.02</v>
      </c>
      <c r="D9" s="66">
        <f t="shared" si="1"/>
        <v>39519.2660550459</v>
      </c>
      <c r="E9" s="22">
        <v>0.07</v>
      </c>
      <c r="F9" s="11">
        <f t="shared" si="2"/>
        <v>138317.431192661</v>
      </c>
      <c r="G9" s="67">
        <v>2153800</v>
      </c>
      <c r="H9" s="20">
        <v>43846</v>
      </c>
      <c r="I9" s="11">
        <v>1940000</v>
      </c>
      <c r="J9" s="47" t="s">
        <v>24</v>
      </c>
    </row>
    <row r="10" ht="18" customHeight="1" spans="1:10">
      <c r="A10" s="20">
        <v>43782</v>
      </c>
      <c r="B10" s="11">
        <f t="shared" si="0"/>
        <v>1779816.51376147</v>
      </c>
      <c r="C10" s="22">
        <v>0.02</v>
      </c>
      <c r="D10" s="66">
        <f t="shared" si="1"/>
        <v>35596.3302752294</v>
      </c>
      <c r="E10" s="25">
        <v>0.07</v>
      </c>
      <c r="F10" s="11">
        <f t="shared" si="2"/>
        <v>124587.155963303</v>
      </c>
      <c r="G10" s="67">
        <v>1940000</v>
      </c>
      <c r="H10" s="20">
        <v>44039</v>
      </c>
      <c r="I10" s="11">
        <v>2975600</v>
      </c>
      <c r="J10" s="47" t="s">
        <v>24</v>
      </c>
    </row>
    <row r="11" ht="18" customHeight="1" spans="1:10">
      <c r="A11" s="20">
        <v>43984</v>
      </c>
      <c r="B11" s="11">
        <f t="shared" si="0"/>
        <v>2729908.25688073</v>
      </c>
      <c r="C11" s="25">
        <v>0.02</v>
      </c>
      <c r="D11" s="66">
        <f t="shared" si="1"/>
        <v>54598.1651376147</v>
      </c>
      <c r="E11" s="25">
        <v>0.07</v>
      </c>
      <c r="F11" s="11">
        <f t="shared" si="2"/>
        <v>191093.577981651</v>
      </c>
      <c r="G11" s="67">
        <v>2975600</v>
      </c>
      <c r="H11" s="20"/>
      <c r="I11" s="11"/>
      <c r="J11" s="47"/>
    </row>
    <row r="12" ht="18" customHeight="1" spans="1:12">
      <c r="A12" s="68">
        <v>44544</v>
      </c>
      <c r="B12" s="69">
        <f t="shared" si="0"/>
        <v>292453.128440367</v>
      </c>
      <c r="C12" s="70">
        <v>0.02</v>
      </c>
      <c r="D12" s="71">
        <f t="shared" si="1"/>
        <v>5849.06256880734</v>
      </c>
      <c r="E12" s="70">
        <v>0.07</v>
      </c>
      <c r="F12" s="69">
        <f t="shared" si="2"/>
        <v>20471.7189908257</v>
      </c>
      <c r="G12" s="67">
        <v>318773.91</v>
      </c>
      <c r="H12" s="20"/>
      <c r="I12" s="11"/>
      <c r="J12" s="82"/>
      <c r="K12" s="65"/>
      <c r="L12" s="81"/>
    </row>
    <row r="13" ht="18" customHeight="1" spans="1:10">
      <c r="A13" s="26" t="s">
        <v>25</v>
      </c>
      <c r="B13" s="11">
        <f>SUM(B7:B12)</f>
        <v>9719141.20183486</v>
      </c>
      <c r="C13" s="28"/>
      <c r="D13" s="28">
        <f>SUM(D7:D12)</f>
        <v>194382.824036697</v>
      </c>
      <c r="E13" s="28"/>
      <c r="F13" s="72">
        <f>SUM(F7:F12)</f>
        <v>709749.88412844</v>
      </c>
      <c r="G13" s="28">
        <f>SUM(G7:G12)</f>
        <v>10623273.91</v>
      </c>
      <c r="H13" s="31"/>
      <c r="I13" s="28">
        <f>SUM(I7:I10)</f>
        <v>10303500</v>
      </c>
      <c r="J13" s="31"/>
    </row>
    <row r="14" ht="18" customHeight="1" spans="1:12">
      <c r="A14" s="2" t="s">
        <v>26</v>
      </c>
      <c r="I14" s="3">
        <f>D3-I13</f>
        <v>319773.91</v>
      </c>
      <c r="J14" s="4"/>
      <c r="K14" s="83"/>
      <c r="L14" s="5"/>
    </row>
    <row r="15" ht="18" customHeight="1" spans="1:15">
      <c r="A15" s="32" t="s">
        <v>27</v>
      </c>
      <c r="B15" s="18" t="s">
        <v>28</v>
      </c>
      <c r="C15" s="17" t="s">
        <v>29</v>
      </c>
      <c r="D15" s="17" t="s">
        <v>30</v>
      </c>
      <c r="E15" s="17" t="s">
        <v>19</v>
      </c>
      <c r="F15" s="18" t="s">
        <v>31</v>
      </c>
      <c r="G15" s="18" t="s">
        <v>17</v>
      </c>
      <c r="H15" s="17" t="s">
        <v>32</v>
      </c>
      <c r="I15" s="18" t="s">
        <v>33</v>
      </c>
      <c r="J15" s="17" t="s">
        <v>23</v>
      </c>
      <c r="K15" s="84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</row>
    <row r="16" ht="18" customHeight="1" spans="1:15">
      <c r="A16" s="33">
        <v>43282</v>
      </c>
      <c r="B16" s="11">
        <f t="shared" ref="B16:B22" si="3">ROUND(G16/(1+E16),2)</f>
        <v>52622</v>
      </c>
      <c r="C16" s="34"/>
      <c r="D16" s="35"/>
      <c r="E16" s="36"/>
      <c r="F16" s="11">
        <f t="shared" ref="F16:F22" si="4">ROUND(G16/(1+E16)*E16,2)</f>
        <v>0</v>
      </c>
      <c r="G16" s="73">
        <v>52622</v>
      </c>
      <c r="H16" s="20" t="s">
        <v>39</v>
      </c>
      <c r="I16" s="11">
        <v>52622</v>
      </c>
      <c r="J16" s="47" t="s">
        <v>24</v>
      </c>
      <c r="K16" s="85" t="s">
        <v>40</v>
      </c>
      <c r="L16" s="31" t="s">
        <v>41</v>
      </c>
      <c r="M16" s="47"/>
      <c r="N16" s="47"/>
      <c r="O16" s="31"/>
    </row>
    <row r="17" ht="18" customHeight="1" spans="1:15">
      <c r="A17" s="33">
        <v>43282</v>
      </c>
      <c r="B17" s="11">
        <f t="shared" si="3"/>
        <v>17333.49</v>
      </c>
      <c r="C17" s="34"/>
      <c r="D17" s="35"/>
      <c r="E17" s="36">
        <v>0.06</v>
      </c>
      <c r="F17" s="11">
        <f t="shared" si="4"/>
        <v>1040.01</v>
      </c>
      <c r="G17" s="73">
        <v>18373.5</v>
      </c>
      <c r="H17" s="20" t="s">
        <v>39</v>
      </c>
      <c r="I17" s="11">
        <v>18373.5</v>
      </c>
      <c r="J17" s="47" t="s">
        <v>24</v>
      </c>
      <c r="K17" s="85" t="s">
        <v>42</v>
      </c>
      <c r="L17" s="31"/>
      <c r="M17" s="47"/>
      <c r="N17" s="47"/>
      <c r="O17" s="31"/>
    </row>
    <row r="18" ht="18" customHeight="1" spans="1:15">
      <c r="A18" s="33">
        <v>43282</v>
      </c>
      <c r="B18" s="11">
        <f t="shared" si="3"/>
        <v>17333.49</v>
      </c>
      <c r="C18" s="34"/>
      <c r="D18" s="35"/>
      <c r="E18" s="36">
        <v>0.06</v>
      </c>
      <c r="F18" s="11">
        <f t="shared" si="4"/>
        <v>1040.01</v>
      </c>
      <c r="G18" s="73">
        <v>18373.5</v>
      </c>
      <c r="H18" s="20" t="s">
        <v>39</v>
      </c>
      <c r="I18" s="11">
        <v>18373.5</v>
      </c>
      <c r="J18" s="47" t="s">
        <v>24</v>
      </c>
      <c r="K18" s="85" t="s">
        <v>43</v>
      </c>
      <c r="L18" s="31"/>
      <c r="M18" s="47"/>
      <c r="N18" s="47"/>
      <c r="O18" s="31"/>
    </row>
    <row r="19" ht="18" customHeight="1" spans="1:15">
      <c r="A19" s="33"/>
      <c r="B19" s="11">
        <f t="shared" si="3"/>
        <v>0</v>
      </c>
      <c r="C19" s="34"/>
      <c r="D19" s="35"/>
      <c r="E19" s="36"/>
      <c r="F19" s="11">
        <f t="shared" si="4"/>
        <v>0</v>
      </c>
      <c r="G19" s="73"/>
      <c r="H19" s="20" t="s">
        <v>39</v>
      </c>
      <c r="I19" s="11">
        <v>-89369</v>
      </c>
      <c r="J19" s="47" t="s">
        <v>44</v>
      </c>
      <c r="K19" s="85" t="s">
        <v>45</v>
      </c>
      <c r="L19" s="31"/>
      <c r="M19" s="47"/>
      <c r="N19" s="47"/>
      <c r="O19" s="31"/>
    </row>
    <row r="20" ht="18" customHeight="1" spans="1:15">
      <c r="A20" s="33">
        <v>43435</v>
      </c>
      <c r="B20" s="11">
        <f t="shared" si="3"/>
        <v>340</v>
      </c>
      <c r="C20" s="34"/>
      <c r="D20" s="35"/>
      <c r="E20" s="36"/>
      <c r="F20" s="11">
        <f t="shared" si="4"/>
        <v>0</v>
      </c>
      <c r="G20" s="73">
        <v>340</v>
      </c>
      <c r="H20" s="20"/>
      <c r="I20" s="11"/>
      <c r="J20" s="47"/>
      <c r="K20" s="85" t="s">
        <v>4</v>
      </c>
      <c r="L20" s="31" t="s">
        <v>46</v>
      </c>
      <c r="M20" s="47"/>
      <c r="N20" s="47"/>
      <c r="O20" s="31"/>
    </row>
    <row r="21" ht="18" customHeight="1" spans="1:15">
      <c r="A21" s="33">
        <v>43435</v>
      </c>
      <c r="B21" s="11">
        <f t="shared" si="3"/>
        <v>3448.28</v>
      </c>
      <c r="C21" s="34"/>
      <c r="D21" s="35"/>
      <c r="E21" s="36">
        <v>0.16</v>
      </c>
      <c r="F21" s="11">
        <f t="shared" si="4"/>
        <v>551.72</v>
      </c>
      <c r="G21" s="73">
        <v>4000</v>
      </c>
      <c r="H21" s="20"/>
      <c r="I21" s="11"/>
      <c r="J21" s="47"/>
      <c r="K21" s="85" t="s">
        <v>4</v>
      </c>
      <c r="L21" s="31" t="s">
        <v>47</v>
      </c>
      <c r="M21" s="47"/>
      <c r="N21" s="47"/>
      <c r="O21" s="31"/>
    </row>
    <row r="22" ht="18" customHeight="1" spans="1:15">
      <c r="A22" s="33">
        <v>43435</v>
      </c>
      <c r="B22" s="11">
        <f t="shared" si="3"/>
        <v>446762.93</v>
      </c>
      <c r="C22" s="34"/>
      <c r="D22" s="35"/>
      <c r="E22" s="36">
        <v>0.16</v>
      </c>
      <c r="F22" s="11">
        <f t="shared" si="4"/>
        <v>71482.07</v>
      </c>
      <c r="G22" s="73">
        <v>518245</v>
      </c>
      <c r="H22" s="20" t="s">
        <v>48</v>
      </c>
      <c r="I22" s="11">
        <v>100000</v>
      </c>
      <c r="J22" s="47" t="s">
        <v>24</v>
      </c>
      <c r="K22" s="85" t="s">
        <v>49</v>
      </c>
      <c r="L22" s="31"/>
      <c r="M22" s="47"/>
      <c r="N22" s="47"/>
      <c r="O22" s="31"/>
    </row>
    <row r="23" ht="18" customHeight="1" spans="1:15">
      <c r="A23" s="33"/>
      <c r="B23" s="11"/>
      <c r="C23" s="34"/>
      <c r="D23" s="35"/>
      <c r="E23" s="36"/>
      <c r="F23" s="11"/>
      <c r="G23" s="73"/>
      <c r="H23" s="20" t="s">
        <v>48</v>
      </c>
      <c r="I23" s="11">
        <v>-100000</v>
      </c>
      <c r="J23" s="47" t="s">
        <v>44</v>
      </c>
      <c r="K23" s="85" t="s">
        <v>4</v>
      </c>
      <c r="L23" s="31"/>
      <c r="M23" s="47"/>
      <c r="N23" s="47"/>
      <c r="O23" s="31"/>
    </row>
    <row r="24" ht="18" customHeight="1" spans="1:15">
      <c r="A24" s="33"/>
      <c r="B24" s="11"/>
      <c r="C24" s="34"/>
      <c r="D24" s="35"/>
      <c r="E24" s="36"/>
      <c r="F24" s="11"/>
      <c r="G24" s="73"/>
      <c r="H24" s="20" t="s">
        <v>50</v>
      </c>
      <c r="I24" s="11">
        <v>550000</v>
      </c>
      <c r="J24" s="47" t="s">
        <v>24</v>
      </c>
      <c r="K24" s="85" t="s">
        <v>49</v>
      </c>
      <c r="L24" s="31"/>
      <c r="M24" s="47"/>
      <c r="N24" s="47"/>
      <c r="O24" s="31"/>
    </row>
    <row r="25" ht="18" customHeight="1" spans="1:15">
      <c r="A25" s="33"/>
      <c r="B25" s="11"/>
      <c r="C25" s="34"/>
      <c r="D25" s="35"/>
      <c r="E25" s="36"/>
      <c r="F25" s="11"/>
      <c r="G25" s="73"/>
      <c r="H25" s="20" t="s">
        <v>50</v>
      </c>
      <c r="I25" s="11">
        <v>-550000</v>
      </c>
      <c r="J25" s="47" t="s">
        <v>44</v>
      </c>
      <c r="K25" s="85" t="s">
        <v>4</v>
      </c>
      <c r="L25" s="31"/>
      <c r="M25" s="47"/>
      <c r="N25" s="47"/>
      <c r="O25" s="31"/>
    </row>
    <row r="26" ht="18" customHeight="1" spans="1:15">
      <c r="A26" s="33">
        <v>43435</v>
      </c>
      <c r="B26" s="11">
        <f t="shared" ref="B26:B28" si="5">ROUND(G26/(1+E26),2)</f>
        <v>199000</v>
      </c>
      <c r="C26" s="34"/>
      <c r="D26" s="35"/>
      <c r="E26" s="36"/>
      <c r="F26" s="11">
        <f t="shared" ref="F26:F28" si="6">ROUND(G26/(1+E26)*E26,2)</f>
        <v>0</v>
      </c>
      <c r="G26" s="73">
        <v>199000</v>
      </c>
      <c r="H26" s="20"/>
      <c r="I26" s="11"/>
      <c r="J26" s="47"/>
      <c r="K26" s="85" t="s">
        <v>4</v>
      </c>
      <c r="L26" s="31" t="s">
        <v>51</v>
      </c>
      <c r="M26" s="47"/>
      <c r="N26" s="47"/>
      <c r="O26" s="31"/>
    </row>
    <row r="27" ht="18" customHeight="1" spans="1:15">
      <c r="A27" s="33">
        <v>43435</v>
      </c>
      <c r="B27" s="11">
        <f t="shared" si="5"/>
        <v>34940</v>
      </c>
      <c r="C27" s="34"/>
      <c r="D27" s="35"/>
      <c r="E27" s="36"/>
      <c r="F27" s="11">
        <f t="shared" si="6"/>
        <v>0</v>
      </c>
      <c r="G27" s="73">
        <v>34940</v>
      </c>
      <c r="H27" s="20"/>
      <c r="I27" s="11"/>
      <c r="J27" s="47"/>
      <c r="K27" s="85"/>
      <c r="L27" s="31" t="s">
        <v>52</v>
      </c>
      <c r="M27" s="47"/>
      <c r="N27" s="47"/>
      <c r="O27" s="31"/>
    </row>
    <row r="28" ht="18" customHeight="1" spans="1:15">
      <c r="A28" s="33">
        <v>43435</v>
      </c>
      <c r="B28" s="11">
        <f t="shared" si="5"/>
        <v>258620.69</v>
      </c>
      <c r="C28" s="34"/>
      <c r="D28" s="38" t="s">
        <v>53</v>
      </c>
      <c r="E28" s="36">
        <v>0.16</v>
      </c>
      <c r="F28" s="11">
        <f t="shared" si="6"/>
        <v>41379.31</v>
      </c>
      <c r="G28" s="73">
        <v>300000</v>
      </c>
      <c r="H28" s="20" t="s">
        <v>50</v>
      </c>
      <c r="I28" s="11">
        <v>300000</v>
      </c>
      <c r="J28" s="47" t="s">
        <v>24</v>
      </c>
      <c r="K28" s="86" t="s">
        <v>54</v>
      </c>
      <c r="L28" s="31" t="s">
        <v>54</v>
      </c>
      <c r="M28" s="47"/>
      <c r="N28" s="47"/>
      <c r="O28" s="31"/>
    </row>
    <row r="29" ht="18" customHeight="1" spans="1:15">
      <c r="A29" s="33"/>
      <c r="B29" s="11"/>
      <c r="C29" s="34"/>
      <c r="D29" s="35"/>
      <c r="E29" s="36"/>
      <c r="F29" s="11"/>
      <c r="G29" s="73"/>
      <c r="H29" s="20" t="s">
        <v>50</v>
      </c>
      <c r="I29" s="11">
        <v>-300000</v>
      </c>
      <c r="J29" s="47" t="s">
        <v>44</v>
      </c>
      <c r="K29" s="85" t="s">
        <v>4</v>
      </c>
      <c r="L29" s="31"/>
      <c r="M29" s="47"/>
      <c r="N29" s="47"/>
      <c r="O29" s="31"/>
    </row>
    <row r="30" ht="18" customHeight="1" spans="1:15">
      <c r="A30" s="33">
        <v>43435</v>
      </c>
      <c r="B30" s="11">
        <f t="shared" ref="B30:B36" si="7">ROUND(G30/(1+E30),2)</f>
        <v>3879.31</v>
      </c>
      <c r="C30" s="34"/>
      <c r="D30" s="35"/>
      <c r="E30" s="36">
        <v>0.16</v>
      </c>
      <c r="F30" s="11">
        <f t="shared" ref="F30:F36" si="8">ROUND(G30/(1+E30)*E30,2)</f>
        <v>620.69</v>
      </c>
      <c r="G30" s="73">
        <v>4500</v>
      </c>
      <c r="H30" s="20"/>
      <c r="I30" s="11"/>
      <c r="J30" s="47"/>
      <c r="K30" s="85" t="s">
        <v>49</v>
      </c>
      <c r="L30" s="31"/>
      <c r="M30" s="47"/>
      <c r="N30" s="47"/>
      <c r="O30" s="31"/>
    </row>
    <row r="31" ht="18" customHeight="1" spans="1:15">
      <c r="A31" s="33">
        <v>43435</v>
      </c>
      <c r="B31" s="11">
        <f t="shared" si="7"/>
        <v>300</v>
      </c>
      <c r="C31" s="34"/>
      <c r="D31" s="35"/>
      <c r="E31" s="36"/>
      <c r="F31" s="11">
        <f t="shared" si="8"/>
        <v>0</v>
      </c>
      <c r="G31" s="73">
        <v>300</v>
      </c>
      <c r="H31" s="20"/>
      <c r="I31" s="11"/>
      <c r="J31" s="47"/>
      <c r="K31" s="85" t="s">
        <v>4</v>
      </c>
      <c r="L31" s="31" t="s">
        <v>55</v>
      </c>
      <c r="M31" s="47"/>
      <c r="N31" s="47"/>
      <c r="O31" s="31"/>
    </row>
    <row r="32" s="1" customFormat="1" ht="18" customHeight="1" spans="1:15">
      <c r="A32" s="39">
        <v>43466</v>
      </c>
      <c r="B32" s="69">
        <f t="shared" si="7"/>
        <v>1456310.68</v>
      </c>
      <c r="C32" s="40"/>
      <c r="D32" s="38" t="s">
        <v>53</v>
      </c>
      <c r="E32" s="41">
        <v>0.03</v>
      </c>
      <c r="F32" s="69">
        <f t="shared" si="8"/>
        <v>43689.32</v>
      </c>
      <c r="G32" s="67">
        <v>1500000</v>
      </c>
      <c r="H32" s="20">
        <v>43486</v>
      </c>
      <c r="I32" s="11">
        <v>1500000</v>
      </c>
      <c r="J32" s="47" t="s">
        <v>24</v>
      </c>
      <c r="K32" s="87" t="s">
        <v>56</v>
      </c>
      <c r="L32" s="51" t="s">
        <v>57</v>
      </c>
      <c r="M32" s="52"/>
      <c r="N32" s="52"/>
      <c r="O32" s="51"/>
    </row>
    <row r="33" s="1" customFormat="1" ht="18" customHeight="1" spans="1:15">
      <c r="A33" s="39">
        <v>43466</v>
      </c>
      <c r="B33" s="69">
        <f t="shared" si="7"/>
        <v>1000</v>
      </c>
      <c r="C33" s="40"/>
      <c r="D33" s="38" t="s">
        <v>58</v>
      </c>
      <c r="E33" s="41"/>
      <c r="F33" s="69">
        <f t="shared" si="8"/>
        <v>0</v>
      </c>
      <c r="G33" s="67">
        <v>1000</v>
      </c>
      <c r="H33" s="20"/>
      <c r="I33" s="11"/>
      <c r="J33" s="47"/>
      <c r="K33" s="87" t="s">
        <v>59</v>
      </c>
      <c r="L33" s="51" t="s">
        <v>47</v>
      </c>
      <c r="M33" s="52"/>
      <c r="N33" s="52"/>
      <c r="O33" s="51"/>
    </row>
    <row r="34" ht="18" customHeight="1" spans="1:15">
      <c r="A34" s="74">
        <v>43466</v>
      </c>
      <c r="B34" s="75">
        <f t="shared" si="7"/>
        <v>500000</v>
      </c>
      <c r="C34" s="76"/>
      <c r="D34" s="77" t="s">
        <v>60</v>
      </c>
      <c r="E34" s="78"/>
      <c r="F34" s="75">
        <f t="shared" si="8"/>
        <v>0</v>
      </c>
      <c r="G34" s="73">
        <f>75000*4+100000+100000</f>
        <v>500000</v>
      </c>
      <c r="H34" s="79"/>
      <c r="I34" s="88"/>
      <c r="J34" s="89"/>
      <c r="K34" s="90" t="s">
        <v>4</v>
      </c>
      <c r="L34" s="91" t="s">
        <v>61</v>
      </c>
      <c r="M34" s="89"/>
      <c r="N34" s="89"/>
      <c r="O34" s="92"/>
    </row>
    <row r="35" s="1" customFormat="1" ht="18" customHeight="1" spans="1:15">
      <c r="A35" s="39"/>
      <c r="B35" s="69">
        <f t="shared" si="7"/>
        <v>0</v>
      </c>
      <c r="C35" s="40"/>
      <c r="D35" s="38"/>
      <c r="E35" s="41"/>
      <c r="F35" s="69">
        <f t="shared" si="8"/>
        <v>0</v>
      </c>
      <c r="G35" s="67"/>
      <c r="H35" s="20">
        <v>43475</v>
      </c>
      <c r="I35" s="11">
        <v>950000</v>
      </c>
      <c r="J35" s="47" t="s">
        <v>44</v>
      </c>
      <c r="K35" s="85" t="s">
        <v>4</v>
      </c>
      <c r="L35" s="51" t="s">
        <v>62</v>
      </c>
      <c r="M35" s="52"/>
      <c r="N35" s="52"/>
      <c r="O35" s="51"/>
    </row>
    <row r="36" s="1" customFormat="1" ht="18" customHeight="1" spans="1:15">
      <c r="A36" s="39">
        <v>43466</v>
      </c>
      <c r="B36" s="69">
        <f t="shared" si="7"/>
        <v>109702.59</v>
      </c>
      <c r="C36" s="40"/>
      <c r="D36" s="38" t="s">
        <v>53</v>
      </c>
      <c r="E36" s="41">
        <v>0.16</v>
      </c>
      <c r="F36" s="69">
        <f t="shared" si="8"/>
        <v>17552.41</v>
      </c>
      <c r="G36" s="67">
        <f>63627+63628</f>
        <v>127255</v>
      </c>
      <c r="H36" s="20"/>
      <c r="I36" s="11"/>
      <c r="J36" s="47"/>
      <c r="K36" s="85" t="s">
        <v>49</v>
      </c>
      <c r="L36" s="51" t="s">
        <v>63</v>
      </c>
      <c r="M36" s="52"/>
      <c r="N36" s="52"/>
      <c r="O36" s="51"/>
    </row>
    <row r="37" s="1" customFormat="1" ht="18" customHeight="1" spans="1:15">
      <c r="A37" s="39"/>
      <c r="B37" s="69"/>
      <c r="C37" s="40"/>
      <c r="D37" s="38"/>
      <c r="E37" s="41"/>
      <c r="F37" s="69"/>
      <c r="G37" s="67"/>
      <c r="H37" s="20">
        <v>43490</v>
      </c>
      <c r="I37" s="11">
        <v>633055</v>
      </c>
      <c r="J37" s="47" t="s">
        <v>44</v>
      </c>
      <c r="K37" s="87" t="s">
        <v>4</v>
      </c>
      <c r="L37" s="51" t="s">
        <v>64</v>
      </c>
      <c r="M37" s="52"/>
      <c r="N37" s="52"/>
      <c r="O37" s="51"/>
    </row>
    <row r="38" s="1" customFormat="1" ht="18" customHeight="1" spans="1:15">
      <c r="A38" s="39">
        <v>43556</v>
      </c>
      <c r="B38" s="69">
        <f t="shared" ref="B38:B84" si="9">ROUND(G38/(1+E38),2)</f>
        <v>431034.48</v>
      </c>
      <c r="C38" s="40"/>
      <c r="D38" s="38" t="s">
        <v>53</v>
      </c>
      <c r="E38" s="41">
        <v>0.16</v>
      </c>
      <c r="F38" s="69">
        <f t="shared" ref="F38:F84" si="10">ROUND(G38/(1+E38)*E38,2)</f>
        <v>68965.52</v>
      </c>
      <c r="G38" s="67">
        <v>500000</v>
      </c>
      <c r="H38" s="20">
        <v>43546</v>
      </c>
      <c r="I38" s="11">
        <v>500000</v>
      </c>
      <c r="J38" s="47" t="s">
        <v>24</v>
      </c>
      <c r="K38" s="87" t="s">
        <v>54</v>
      </c>
      <c r="L38" s="51" t="s">
        <v>65</v>
      </c>
      <c r="M38" s="52"/>
      <c r="N38" s="52"/>
      <c r="O38" s="51"/>
    </row>
    <row r="39" s="1" customFormat="1" ht="18" customHeight="1" spans="1:15">
      <c r="A39" s="39"/>
      <c r="B39" s="69">
        <f t="shared" si="9"/>
        <v>0</v>
      </c>
      <c r="C39" s="40"/>
      <c r="D39" s="38"/>
      <c r="E39" s="41"/>
      <c r="F39" s="69">
        <f t="shared" si="10"/>
        <v>0</v>
      </c>
      <c r="G39" s="67"/>
      <c r="H39" s="20">
        <v>43546</v>
      </c>
      <c r="I39" s="11">
        <v>-500000</v>
      </c>
      <c r="J39" s="47" t="s">
        <v>44</v>
      </c>
      <c r="K39" s="85" t="s">
        <v>4</v>
      </c>
      <c r="L39" s="51"/>
      <c r="M39" s="52"/>
      <c r="N39" s="52"/>
      <c r="O39" s="51"/>
    </row>
    <row r="40" s="1" customFormat="1" ht="18" customHeight="1" spans="1:15">
      <c r="A40" s="39">
        <v>43556</v>
      </c>
      <c r="B40" s="69">
        <f t="shared" si="9"/>
        <v>217250</v>
      </c>
      <c r="C40" s="40"/>
      <c r="D40" s="38" t="s">
        <v>53</v>
      </c>
      <c r="E40" s="41">
        <v>0.16</v>
      </c>
      <c r="F40" s="69">
        <f t="shared" si="10"/>
        <v>34760</v>
      </c>
      <c r="G40" s="67">
        <f>102000+47710+102300</f>
        <v>252010</v>
      </c>
      <c r="H40" s="20">
        <v>43550</v>
      </c>
      <c r="I40" s="11">
        <v>253000</v>
      </c>
      <c r="J40" s="47" t="s">
        <v>24</v>
      </c>
      <c r="K40" s="85" t="s">
        <v>49</v>
      </c>
      <c r="L40" s="51" t="s">
        <v>63</v>
      </c>
      <c r="M40" s="52"/>
      <c r="N40" s="52"/>
      <c r="O40" s="51"/>
    </row>
    <row r="41" s="1" customFormat="1" ht="18" customHeight="1" spans="1:15">
      <c r="A41" s="39"/>
      <c r="B41" s="69">
        <f t="shared" si="9"/>
        <v>0</v>
      </c>
      <c r="C41" s="40"/>
      <c r="D41" s="38"/>
      <c r="E41" s="41"/>
      <c r="F41" s="69">
        <f t="shared" si="10"/>
        <v>0</v>
      </c>
      <c r="G41" s="67"/>
      <c r="H41" s="20">
        <v>43550</v>
      </c>
      <c r="I41" s="11">
        <v>-253000</v>
      </c>
      <c r="J41" s="47" t="s">
        <v>44</v>
      </c>
      <c r="K41" s="85" t="s">
        <v>4</v>
      </c>
      <c r="L41" s="51"/>
      <c r="M41" s="52"/>
      <c r="N41" s="52"/>
      <c r="O41" s="51"/>
    </row>
    <row r="42" s="1" customFormat="1" ht="18" customHeight="1" spans="1:15">
      <c r="A42" s="39"/>
      <c r="B42" s="69">
        <f t="shared" si="9"/>
        <v>0</v>
      </c>
      <c r="C42" s="40"/>
      <c r="D42" s="38"/>
      <c r="E42" s="41"/>
      <c r="F42" s="69">
        <f t="shared" si="10"/>
        <v>0</v>
      </c>
      <c r="G42" s="67"/>
      <c r="H42" s="20">
        <v>43566</v>
      </c>
      <c r="I42" s="11">
        <v>400000</v>
      </c>
      <c r="J42" s="47" t="s">
        <v>24</v>
      </c>
      <c r="K42" s="85" t="s">
        <v>49</v>
      </c>
      <c r="L42" s="51" t="s">
        <v>66</v>
      </c>
      <c r="M42" s="52"/>
      <c r="N42" s="52"/>
      <c r="O42" s="51"/>
    </row>
    <row r="43" s="1" customFormat="1" ht="18" customHeight="1" spans="1:15">
      <c r="A43" s="39"/>
      <c r="B43" s="69">
        <f t="shared" si="9"/>
        <v>0</v>
      </c>
      <c r="C43" s="40"/>
      <c r="D43" s="38"/>
      <c r="E43" s="41"/>
      <c r="F43" s="69">
        <f t="shared" si="10"/>
        <v>0</v>
      </c>
      <c r="G43" s="67"/>
      <c r="H43" s="20">
        <v>43566</v>
      </c>
      <c r="I43" s="11">
        <v>-400000</v>
      </c>
      <c r="J43" s="47" t="s">
        <v>44</v>
      </c>
      <c r="K43" s="85" t="s">
        <v>4</v>
      </c>
      <c r="L43" s="51"/>
      <c r="M43" s="52"/>
      <c r="N43" s="52"/>
      <c r="O43" s="51"/>
    </row>
    <row r="44" s="1" customFormat="1" ht="18" customHeight="1" spans="1:15">
      <c r="A44" s="39">
        <v>43556</v>
      </c>
      <c r="B44" s="69">
        <f t="shared" si="9"/>
        <v>1553398.06</v>
      </c>
      <c r="C44" s="40"/>
      <c r="D44" s="38" t="s">
        <v>53</v>
      </c>
      <c r="E44" s="41">
        <v>0.03</v>
      </c>
      <c r="F44" s="69">
        <f t="shared" si="10"/>
        <v>46601.94</v>
      </c>
      <c r="G44" s="67">
        <f>900000+700000</f>
        <v>1600000</v>
      </c>
      <c r="H44" s="20"/>
      <c r="I44" s="11"/>
      <c r="J44" s="47"/>
      <c r="K44" s="87" t="s">
        <v>56</v>
      </c>
      <c r="L44" s="51" t="s">
        <v>57</v>
      </c>
      <c r="M44" s="52"/>
      <c r="N44" s="52"/>
      <c r="O44" s="51"/>
    </row>
    <row r="45" s="1" customFormat="1" ht="18" customHeight="1" spans="1:15">
      <c r="A45" s="39">
        <v>43556</v>
      </c>
      <c r="B45" s="69">
        <f t="shared" si="9"/>
        <v>4310.34</v>
      </c>
      <c r="C45" s="40"/>
      <c r="D45" s="38" t="s">
        <v>53</v>
      </c>
      <c r="E45" s="41">
        <v>0.16</v>
      </c>
      <c r="F45" s="69">
        <f t="shared" si="10"/>
        <v>689.66</v>
      </c>
      <c r="G45" s="67">
        <v>5000</v>
      </c>
      <c r="H45" s="20"/>
      <c r="I45" s="11"/>
      <c r="J45" s="47"/>
      <c r="K45" s="85" t="s">
        <v>67</v>
      </c>
      <c r="L45" s="51" t="s">
        <v>47</v>
      </c>
      <c r="M45" s="52"/>
      <c r="N45" s="52"/>
      <c r="O45" s="51"/>
    </row>
    <row r="46" s="1" customFormat="1" ht="18" customHeight="1" spans="1:15">
      <c r="A46" s="39">
        <v>43556</v>
      </c>
      <c r="B46" s="69">
        <f t="shared" si="9"/>
        <v>2460</v>
      </c>
      <c r="C46" s="40"/>
      <c r="D46" s="38" t="s">
        <v>68</v>
      </c>
      <c r="E46" s="41"/>
      <c r="F46" s="69">
        <f t="shared" si="10"/>
        <v>0</v>
      </c>
      <c r="G46" s="67">
        <v>2460</v>
      </c>
      <c r="H46" s="20"/>
      <c r="I46" s="11"/>
      <c r="J46" s="47"/>
      <c r="K46" s="85" t="s">
        <v>69</v>
      </c>
      <c r="L46" s="51" t="s">
        <v>70</v>
      </c>
      <c r="M46" s="52"/>
      <c r="N46" s="52"/>
      <c r="O46" s="51"/>
    </row>
    <row r="47" s="1" customFormat="1" ht="18" customHeight="1" spans="1:15">
      <c r="A47" s="39">
        <v>43556</v>
      </c>
      <c r="B47" s="69">
        <f t="shared" si="9"/>
        <v>2760</v>
      </c>
      <c r="C47" s="40"/>
      <c r="D47" s="38" t="s">
        <v>68</v>
      </c>
      <c r="E47" s="41"/>
      <c r="F47" s="69">
        <f t="shared" si="10"/>
        <v>0</v>
      </c>
      <c r="G47" s="67">
        <f>200+300+330+300+300+100+1230</f>
        <v>2760</v>
      </c>
      <c r="H47" s="20"/>
      <c r="I47" s="11"/>
      <c r="J47" s="47"/>
      <c r="K47" s="85"/>
      <c r="L47" s="51" t="s">
        <v>71</v>
      </c>
      <c r="M47" s="52"/>
      <c r="N47" s="52"/>
      <c r="O47" s="51"/>
    </row>
    <row r="48" s="1" customFormat="1" ht="18" customHeight="1" spans="1:15">
      <c r="A48" s="39">
        <v>43556</v>
      </c>
      <c r="B48" s="69">
        <f t="shared" si="9"/>
        <v>1651</v>
      </c>
      <c r="C48" s="40"/>
      <c r="D48" s="38" t="s">
        <v>68</v>
      </c>
      <c r="E48" s="41"/>
      <c r="F48" s="69">
        <f t="shared" si="10"/>
        <v>0</v>
      </c>
      <c r="G48" s="67">
        <f>351+300+300+300+200+200</f>
        <v>1651</v>
      </c>
      <c r="H48" s="20"/>
      <c r="I48" s="11"/>
      <c r="J48" s="47"/>
      <c r="K48" s="85"/>
      <c r="L48" s="51" t="s">
        <v>71</v>
      </c>
      <c r="M48" s="52"/>
      <c r="N48" s="52"/>
      <c r="O48" s="51"/>
    </row>
    <row r="49" s="1" customFormat="1" ht="18" customHeight="1" spans="1:15">
      <c r="A49" s="39">
        <v>43586</v>
      </c>
      <c r="B49" s="69">
        <f t="shared" si="9"/>
        <v>354858.41</v>
      </c>
      <c r="C49" s="40"/>
      <c r="D49" s="38" t="s">
        <v>53</v>
      </c>
      <c r="E49" s="41">
        <v>0.13</v>
      </c>
      <c r="F49" s="69">
        <f t="shared" si="10"/>
        <v>46131.59</v>
      </c>
      <c r="G49" s="67">
        <v>400990</v>
      </c>
      <c r="H49" s="20"/>
      <c r="I49" s="11"/>
      <c r="J49" s="47"/>
      <c r="K49" s="85" t="s">
        <v>49</v>
      </c>
      <c r="L49" s="51" t="s">
        <v>72</v>
      </c>
      <c r="M49" s="52"/>
      <c r="N49" s="52"/>
      <c r="O49" s="51"/>
    </row>
    <row r="50" s="1" customFormat="1" ht="18" customHeight="1" spans="1:15">
      <c r="A50" s="39">
        <v>43586</v>
      </c>
      <c r="B50" s="69">
        <f t="shared" si="9"/>
        <v>11295</v>
      </c>
      <c r="C50" s="40"/>
      <c r="D50" s="38"/>
      <c r="E50" s="41"/>
      <c r="F50" s="69">
        <f t="shared" si="10"/>
        <v>0</v>
      </c>
      <c r="G50" s="67">
        <f>390+300+1680+325+600+300+1500+1300+400+300+600+700+1000+1300+300+300</f>
        <v>11295</v>
      </c>
      <c r="H50" s="20"/>
      <c r="I50" s="11"/>
      <c r="J50" s="47"/>
      <c r="K50" s="85"/>
      <c r="L50" s="51" t="s">
        <v>71</v>
      </c>
      <c r="M50" s="52"/>
      <c r="N50" s="52"/>
      <c r="O50" s="51"/>
    </row>
    <row r="51" s="1" customFormat="1" ht="18" customHeight="1" spans="1:15">
      <c r="A51" s="39">
        <v>43586</v>
      </c>
      <c r="B51" s="69">
        <f t="shared" si="9"/>
        <v>890.57</v>
      </c>
      <c r="C51" s="40"/>
      <c r="D51" s="38"/>
      <c r="E51" s="41"/>
      <c r="F51" s="69">
        <f t="shared" si="10"/>
        <v>0</v>
      </c>
      <c r="G51" s="67">
        <f>300+300.47+290.1</f>
        <v>890.57</v>
      </c>
      <c r="H51" s="20"/>
      <c r="I51" s="11"/>
      <c r="J51" s="47"/>
      <c r="K51" s="87"/>
      <c r="L51" s="51" t="s">
        <v>71</v>
      </c>
      <c r="M51" s="52"/>
      <c r="N51" s="52"/>
      <c r="O51" s="51"/>
    </row>
    <row r="52" s="1" customFormat="1" ht="18" customHeight="1" spans="1:15">
      <c r="A52" s="39"/>
      <c r="B52" s="69">
        <f t="shared" si="9"/>
        <v>0</v>
      </c>
      <c r="C52" s="40"/>
      <c r="D52" s="38"/>
      <c r="E52" s="41"/>
      <c r="F52" s="69">
        <f t="shared" si="10"/>
        <v>0</v>
      </c>
      <c r="G52" s="67"/>
      <c r="H52" s="20">
        <v>43620</v>
      </c>
      <c r="I52" s="11">
        <v>1600000</v>
      </c>
      <c r="J52" s="47" t="s">
        <v>24</v>
      </c>
      <c r="K52" s="87" t="s">
        <v>56</v>
      </c>
      <c r="L52" s="51" t="s">
        <v>57</v>
      </c>
      <c r="M52" s="52"/>
      <c r="N52" s="52"/>
      <c r="O52" s="51"/>
    </row>
    <row r="53" s="1" customFormat="1" ht="18" customHeight="1" spans="1:15">
      <c r="A53" s="39">
        <v>43617</v>
      </c>
      <c r="B53" s="69">
        <f t="shared" si="9"/>
        <v>776699.03</v>
      </c>
      <c r="C53" s="40"/>
      <c r="D53" s="38" t="s">
        <v>53</v>
      </c>
      <c r="E53" s="41">
        <v>0.03</v>
      </c>
      <c r="F53" s="69">
        <f t="shared" si="10"/>
        <v>23300.97</v>
      </c>
      <c r="G53" s="67">
        <v>800000</v>
      </c>
      <c r="H53" s="20">
        <v>43620</v>
      </c>
      <c r="I53" s="11">
        <v>498868</v>
      </c>
      <c r="J53" s="47" t="s">
        <v>24</v>
      </c>
      <c r="K53" s="87" t="s">
        <v>73</v>
      </c>
      <c r="L53" s="51" t="s">
        <v>74</v>
      </c>
      <c r="M53" s="52"/>
      <c r="N53" s="52"/>
      <c r="O53" s="51"/>
    </row>
    <row r="54" s="1" customFormat="1" ht="18" customHeight="1" spans="1:15">
      <c r="A54" s="39">
        <v>43617</v>
      </c>
      <c r="B54" s="69">
        <f t="shared" si="9"/>
        <v>290163.11</v>
      </c>
      <c r="C54" s="40"/>
      <c r="D54" s="38" t="s">
        <v>53</v>
      </c>
      <c r="E54" s="41">
        <v>0.03</v>
      </c>
      <c r="F54" s="69">
        <f t="shared" si="10"/>
        <v>8704.89</v>
      </c>
      <c r="G54" s="67">
        <f>198868+100000</f>
        <v>298868</v>
      </c>
      <c r="H54" s="20">
        <v>43629</v>
      </c>
      <c r="I54" s="11">
        <v>600000</v>
      </c>
      <c r="J54" s="47" t="s">
        <v>24</v>
      </c>
      <c r="K54" s="87" t="s">
        <v>73</v>
      </c>
      <c r="L54" s="51" t="s">
        <v>75</v>
      </c>
      <c r="M54" s="52"/>
      <c r="N54" s="52"/>
      <c r="O54" s="51"/>
    </row>
    <row r="55" s="1" customFormat="1" ht="18" customHeight="1" spans="1:15">
      <c r="A55" s="39"/>
      <c r="B55" s="69">
        <f t="shared" si="9"/>
        <v>0</v>
      </c>
      <c r="C55" s="40"/>
      <c r="D55" s="38"/>
      <c r="E55" s="41"/>
      <c r="F55" s="69">
        <f t="shared" si="10"/>
        <v>0</v>
      </c>
      <c r="G55" s="67"/>
      <c r="H55" s="20">
        <v>43629</v>
      </c>
      <c r="I55" s="11">
        <v>-600000</v>
      </c>
      <c r="J55" s="47" t="s">
        <v>44</v>
      </c>
      <c r="K55" s="87" t="s">
        <v>4</v>
      </c>
      <c r="L55" s="51"/>
      <c r="M55" s="52"/>
      <c r="N55" s="52"/>
      <c r="O55" s="51"/>
    </row>
    <row r="56" s="1" customFormat="1" ht="18" customHeight="1" spans="1:15">
      <c r="A56" s="39">
        <v>43739</v>
      </c>
      <c r="B56" s="69">
        <f t="shared" si="9"/>
        <v>359177.61</v>
      </c>
      <c r="C56" s="40"/>
      <c r="D56" s="38" t="s">
        <v>53</v>
      </c>
      <c r="E56" s="42">
        <v>0.13</v>
      </c>
      <c r="F56" s="69">
        <f t="shared" si="10"/>
        <v>46693.09</v>
      </c>
      <c r="G56" s="67">
        <f>374711.8+31158.9</f>
        <v>405870.7</v>
      </c>
      <c r="H56" s="20">
        <v>43689</v>
      </c>
      <c r="I56" s="11">
        <v>400000</v>
      </c>
      <c r="J56" s="47" t="s">
        <v>24</v>
      </c>
      <c r="K56" s="86" t="s">
        <v>54</v>
      </c>
      <c r="L56" s="51" t="s">
        <v>76</v>
      </c>
      <c r="M56" s="52"/>
      <c r="N56" s="52"/>
      <c r="O56" s="51"/>
    </row>
    <row r="57" s="1" customFormat="1" ht="18" customHeight="1" spans="1:15">
      <c r="A57" s="39"/>
      <c r="B57" s="69">
        <f t="shared" si="9"/>
        <v>0</v>
      </c>
      <c r="C57" s="40"/>
      <c r="D57" s="38"/>
      <c r="E57" s="41"/>
      <c r="F57" s="69">
        <f t="shared" si="10"/>
        <v>0</v>
      </c>
      <c r="G57" s="67"/>
      <c r="H57" s="20">
        <v>43689</v>
      </c>
      <c r="I57" s="11">
        <v>-400000</v>
      </c>
      <c r="J57" s="47" t="s">
        <v>44</v>
      </c>
      <c r="K57" s="85" t="s">
        <v>4</v>
      </c>
      <c r="L57" s="51"/>
      <c r="M57" s="52"/>
      <c r="N57" s="52"/>
      <c r="O57" s="51"/>
    </row>
    <row r="58" s="1" customFormat="1" ht="18" customHeight="1" spans="1:15">
      <c r="A58" s="39">
        <v>43739</v>
      </c>
      <c r="B58" s="69">
        <f t="shared" si="9"/>
        <v>176991.15</v>
      </c>
      <c r="C58" s="40"/>
      <c r="D58" s="38" t="s">
        <v>53</v>
      </c>
      <c r="E58" s="42">
        <v>0.13</v>
      </c>
      <c r="F58" s="69">
        <f t="shared" si="10"/>
        <v>23008.85</v>
      </c>
      <c r="G58" s="67">
        <f>100000*2</f>
        <v>200000</v>
      </c>
      <c r="H58" s="20">
        <v>43724</v>
      </c>
      <c r="I58" s="11">
        <v>200000</v>
      </c>
      <c r="J58" s="47" t="s">
        <v>24</v>
      </c>
      <c r="K58" s="85" t="s">
        <v>49</v>
      </c>
      <c r="L58" s="51" t="s">
        <v>77</v>
      </c>
      <c r="M58" s="52"/>
      <c r="N58" s="52"/>
      <c r="O58" s="51"/>
    </row>
    <row r="59" s="1" customFormat="1" ht="18" customHeight="1" spans="1:15">
      <c r="A59" s="39"/>
      <c r="B59" s="69">
        <f t="shared" si="9"/>
        <v>0</v>
      </c>
      <c r="C59" s="40"/>
      <c r="D59" s="38"/>
      <c r="E59" s="41"/>
      <c r="F59" s="69">
        <f t="shared" si="10"/>
        <v>0</v>
      </c>
      <c r="G59" s="67"/>
      <c r="H59" s="20">
        <v>43724</v>
      </c>
      <c r="I59" s="11">
        <v>-200000</v>
      </c>
      <c r="J59" s="47" t="s">
        <v>44</v>
      </c>
      <c r="K59" s="85" t="s">
        <v>4</v>
      </c>
      <c r="L59" s="51"/>
      <c r="M59" s="52"/>
      <c r="N59" s="52"/>
      <c r="O59" s="51"/>
    </row>
    <row r="60" s="1" customFormat="1" ht="18" customHeight="1" spans="1:15">
      <c r="A60" s="39">
        <v>43739</v>
      </c>
      <c r="B60" s="69">
        <f t="shared" si="9"/>
        <v>2610</v>
      </c>
      <c r="C60" s="40"/>
      <c r="D60" s="38" t="s">
        <v>68</v>
      </c>
      <c r="E60" s="41"/>
      <c r="F60" s="69">
        <f t="shared" si="10"/>
        <v>0</v>
      </c>
      <c r="G60" s="67">
        <f>200+300+200+280+270+260+200+300+300+300</f>
        <v>2610</v>
      </c>
      <c r="H60" s="20"/>
      <c r="I60" s="11"/>
      <c r="J60" s="47"/>
      <c r="K60" s="85" t="s">
        <v>78</v>
      </c>
      <c r="L60" s="51"/>
      <c r="M60" s="52"/>
      <c r="N60" s="52"/>
      <c r="O60" s="51"/>
    </row>
    <row r="61" s="1" customFormat="1" ht="18" customHeight="1" spans="1:15">
      <c r="A61" s="39">
        <v>43739</v>
      </c>
      <c r="B61" s="69">
        <f t="shared" si="9"/>
        <v>800</v>
      </c>
      <c r="C61" s="40"/>
      <c r="D61" s="38" t="s">
        <v>68</v>
      </c>
      <c r="E61" s="41"/>
      <c r="F61" s="69">
        <f t="shared" si="10"/>
        <v>0</v>
      </c>
      <c r="G61" s="67">
        <v>800</v>
      </c>
      <c r="H61" s="20"/>
      <c r="I61" s="11"/>
      <c r="J61" s="47"/>
      <c r="K61" s="85" t="s">
        <v>78</v>
      </c>
      <c r="L61" s="51"/>
      <c r="M61" s="52"/>
      <c r="N61" s="52"/>
      <c r="O61" s="51"/>
    </row>
    <row r="62" s="1" customFormat="1" ht="18" customHeight="1" spans="1:15">
      <c r="A62" s="39"/>
      <c r="B62" s="69">
        <f t="shared" si="9"/>
        <v>0</v>
      </c>
      <c r="C62" s="40"/>
      <c r="D62" s="38"/>
      <c r="E62" s="41"/>
      <c r="F62" s="69">
        <f t="shared" si="10"/>
        <v>0</v>
      </c>
      <c r="G62" s="67"/>
      <c r="H62" s="20">
        <v>43780</v>
      </c>
      <c r="I62" s="11">
        <v>200000</v>
      </c>
      <c r="J62" s="47" t="s">
        <v>24</v>
      </c>
      <c r="K62" s="85" t="s">
        <v>49</v>
      </c>
      <c r="L62" s="51"/>
      <c r="M62" s="52"/>
      <c r="N62" s="52"/>
      <c r="O62" s="51"/>
    </row>
    <row r="63" s="1" customFormat="1" ht="18" customHeight="1" spans="1:15">
      <c r="A63" s="39"/>
      <c r="B63" s="69">
        <f t="shared" si="9"/>
        <v>0</v>
      </c>
      <c r="C63" s="40"/>
      <c r="D63" s="38"/>
      <c r="E63" s="41"/>
      <c r="F63" s="69">
        <f t="shared" si="10"/>
        <v>0</v>
      </c>
      <c r="G63" s="67"/>
      <c r="H63" s="20">
        <v>43780</v>
      </c>
      <c r="I63" s="11">
        <v>-200000</v>
      </c>
      <c r="J63" s="47" t="s">
        <v>44</v>
      </c>
      <c r="K63" s="85" t="s">
        <v>4</v>
      </c>
      <c r="L63" s="51"/>
      <c r="M63" s="52"/>
      <c r="N63" s="52"/>
      <c r="O63" s="51"/>
    </row>
    <row r="64" s="1" customFormat="1" ht="18" customHeight="1" spans="1:15">
      <c r="A64" s="39">
        <v>43770</v>
      </c>
      <c r="B64" s="69">
        <f t="shared" si="9"/>
        <v>3539.82</v>
      </c>
      <c r="C64" s="40"/>
      <c r="D64" s="38" t="s">
        <v>53</v>
      </c>
      <c r="E64" s="42">
        <v>0.13</v>
      </c>
      <c r="F64" s="69">
        <f t="shared" si="10"/>
        <v>460.18</v>
      </c>
      <c r="G64" s="67">
        <v>4000</v>
      </c>
      <c r="H64" s="20"/>
      <c r="I64" s="11"/>
      <c r="J64" s="47"/>
      <c r="K64" s="85" t="s">
        <v>67</v>
      </c>
      <c r="L64" s="51" t="s">
        <v>47</v>
      </c>
      <c r="M64" s="52"/>
      <c r="N64" s="52"/>
      <c r="O64" s="51"/>
    </row>
    <row r="65" s="1" customFormat="1" ht="18" customHeight="1" spans="1:15">
      <c r="A65" s="39">
        <v>43770</v>
      </c>
      <c r="B65" s="69">
        <f t="shared" si="9"/>
        <v>2745.02</v>
      </c>
      <c r="C65" s="40"/>
      <c r="D65" s="38" t="s">
        <v>68</v>
      </c>
      <c r="E65" s="41"/>
      <c r="F65" s="69">
        <f t="shared" si="10"/>
        <v>0</v>
      </c>
      <c r="G65" s="67">
        <f>700+100+1340.02+305+300</f>
        <v>2745.02</v>
      </c>
      <c r="H65" s="20"/>
      <c r="I65" s="11"/>
      <c r="J65" s="47"/>
      <c r="K65" s="85" t="s">
        <v>78</v>
      </c>
      <c r="L65" s="51"/>
      <c r="M65" s="52"/>
      <c r="N65" s="52"/>
      <c r="O65" s="51"/>
    </row>
    <row r="66" s="1" customFormat="1" ht="18" customHeight="1" spans="1:15">
      <c r="A66" s="39">
        <v>43770</v>
      </c>
      <c r="B66" s="69">
        <f t="shared" si="9"/>
        <v>860</v>
      </c>
      <c r="C66" s="40"/>
      <c r="D66" s="38" t="s">
        <v>68</v>
      </c>
      <c r="E66" s="41"/>
      <c r="F66" s="69">
        <f t="shared" si="10"/>
        <v>0</v>
      </c>
      <c r="G66" s="67">
        <f>300+300+260</f>
        <v>860</v>
      </c>
      <c r="H66" s="20"/>
      <c r="I66" s="11"/>
      <c r="J66" s="47"/>
      <c r="K66" s="85" t="s">
        <v>78</v>
      </c>
      <c r="L66" s="51"/>
      <c r="M66" s="52"/>
      <c r="N66" s="52"/>
      <c r="O66" s="51"/>
    </row>
    <row r="67" s="1" customFormat="1" ht="18" customHeight="1" spans="1:15">
      <c r="A67" s="39">
        <v>43770</v>
      </c>
      <c r="B67" s="69">
        <f t="shared" si="9"/>
        <v>176991.15</v>
      </c>
      <c r="C67" s="40"/>
      <c r="D67" s="38" t="s">
        <v>53</v>
      </c>
      <c r="E67" s="42">
        <v>0.13</v>
      </c>
      <c r="F67" s="69">
        <f t="shared" si="10"/>
        <v>23008.85</v>
      </c>
      <c r="G67" s="67">
        <v>200000</v>
      </c>
      <c r="H67" s="20"/>
      <c r="I67" s="11"/>
      <c r="J67" s="47"/>
      <c r="K67" s="85" t="s">
        <v>49</v>
      </c>
      <c r="L67" s="51" t="s">
        <v>79</v>
      </c>
      <c r="M67" s="52"/>
      <c r="N67" s="52"/>
      <c r="O67" s="51"/>
    </row>
    <row r="68" s="1" customFormat="1" ht="18" customHeight="1" spans="1:15">
      <c r="A68" s="39">
        <v>43770</v>
      </c>
      <c r="B68" s="69">
        <f t="shared" si="9"/>
        <v>680</v>
      </c>
      <c r="C68" s="40"/>
      <c r="D68" s="38" t="s">
        <v>68</v>
      </c>
      <c r="E68" s="41"/>
      <c r="F68" s="69">
        <f t="shared" si="10"/>
        <v>0</v>
      </c>
      <c r="G68" s="67">
        <f>100+280+300</f>
        <v>680</v>
      </c>
      <c r="H68" s="20"/>
      <c r="I68" s="11"/>
      <c r="J68" s="47"/>
      <c r="K68" s="85" t="s">
        <v>78</v>
      </c>
      <c r="L68" s="51"/>
      <c r="M68" s="52"/>
      <c r="N68" s="52"/>
      <c r="O68" s="51"/>
    </row>
    <row r="69" s="1" customFormat="1" ht="18" customHeight="1" spans="1:15">
      <c r="A69" s="39">
        <v>43800</v>
      </c>
      <c r="B69" s="69">
        <f t="shared" si="9"/>
        <v>5309.73</v>
      </c>
      <c r="C69" s="40"/>
      <c r="D69" s="38" t="s">
        <v>53</v>
      </c>
      <c r="E69" s="42">
        <v>0.13</v>
      </c>
      <c r="F69" s="69">
        <f t="shared" si="10"/>
        <v>690.27</v>
      </c>
      <c r="G69" s="67">
        <v>6000</v>
      </c>
      <c r="H69" s="20"/>
      <c r="I69" s="11"/>
      <c r="J69" s="47"/>
      <c r="K69" s="85" t="s">
        <v>67</v>
      </c>
      <c r="L69" s="51" t="s">
        <v>47</v>
      </c>
      <c r="M69" s="52"/>
      <c r="N69" s="52"/>
      <c r="O69" s="51"/>
    </row>
    <row r="70" s="1" customFormat="1" ht="18" customHeight="1" spans="1:15">
      <c r="A70" s="39">
        <v>43800</v>
      </c>
      <c r="B70" s="69">
        <f t="shared" si="9"/>
        <v>300</v>
      </c>
      <c r="C70" s="40"/>
      <c r="D70" s="38" t="s">
        <v>68</v>
      </c>
      <c r="E70" s="41"/>
      <c r="F70" s="69">
        <f t="shared" si="10"/>
        <v>0</v>
      </c>
      <c r="G70" s="67">
        <v>300</v>
      </c>
      <c r="H70" s="20"/>
      <c r="I70" s="11"/>
      <c r="J70" s="47"/>
      <c r="K70" s="85" t="s">
        <v>80</v>
      </c>
      <c r="L70" s="51"/>
      <c r="M70" s="52"/>
      <c r="N70" s="52"/>
      <c r="O70" s="51"/>
    </row>
    <row r="71" s="1" customFormat="1" ht="18" customHeight="1" spans="1:15">
      <c r="A71" s="39">
        <v>43800</v>
      </c>
      <c r="B71" s="69">
        <f t="shared" si="9"/>
        <v>2200</v>
      </c>
      <c r="C71" s="40"/>
      <c r="D71" s="38" t="s">
        <v>68</v>
      </c>
      <c r="E71" s="41"/>
      <c r="F71" s="69">
        <f t="shared" si="10"/>
        <v>0</v>
      </c>
      <c r="G71" s="67">
        <v>2200</v>
      </c>
      <c r="H71" s="20"/>
      <c r="I71" s="11"/>
      <c r="J71" s="47"/>
      <c r="K71" s="85" t="s">
        <v>52</v>
      </c>
      <c r="L71" s="51"/>
      <c r="M71" s="52"/>
      <c r="N71" s="52"/>
      <c r="O71" s="51"/>
    </row>
    <row r="72" s="1" customFormat="1" ht="18" customHeight="1" spans="1:15">
      <c r="A72" s="39"/>
      <c r="B72" s="69">
        <f t="shared" si="9"/>
        <v>0</v>
      </c>
      <c r="C72" s="40"/>
      <c r="D72" s="38"/>
      <c r="E72" s="41"/>
      <c r="F72" s="69">
        <f t="shared" si="10"/>
        <v>0</v>
      </c>
      <c r="G72" s="67"/>
      <c r="H72" s="20">
        <v>43851</v>
      </c>
      <c r="I72" s="11">
        <v>1697172</v>
      </c>
      <c r="J72" s="47" t="s">
        <v>44</v>
      </c>
      <c r="K72" s="85" t="s">
        <v>4</v>
      </c>
      <c r="L72" s="51" t="s">
        <v>81</v>
      </c>
      <c r="M72" s="52"/>
      <c r="N72" s="52"/>
      <c r="O72" s="51"/>
    </row>
    <row r="73" s="1" customFormat="1" ht="18" customHeight="1" spans="1:15">
      <c r="A73" s="39"/>
      <c r="B73" s="69">
        <f t="shared" si="9"/>
        <v>0</v>
      </c>
      <c r="C73" s="40"/>
      <c r="D73" s="38"/>
      <c r="E73" s="41"/>
      <c r="F73" s="69">
        <f t="shared" si="10"/>
        <v>0</v>
      </c>
      <c r="G73" s="67"/>
      <c r="H73" s="20">
        <v>43851</v>
      </c>
      <c r="I73" s="11">
        <v>125000</v>
      </c>
      <c r="J73" s="47" t="s">
        <v>24</v>
      </c>
      <c r="K73" s="85" t="s">
        <v>54</v>
      </c>
      <c r="L73" s="51" t="s">
        <v>63</v>
      </c>
      <c r="M73" s="52"/>
      <c r="N73" s="52"/>
      <c r="O73" s="51"/>
    </row>
    <row r="74" s="1" customFormat="1" ht="18" customHeight="1" spans="1:15">
      <c r="A74" s="39">
        <v>43952</v>
      </c>
      <c r="B74" s="69">
        <f t="shared" si="9"/>
        <v>20148.11</v>
      </c>
      <c r="C74" s="40"/>
      <c r="D74" s="38" t="s">
        <v>53</v>
      </c>
      <c r="E74" s="42">
        <v>0.06</v>
      </c>
      <c r="F74" s="69">
        <f t="shared" si="10"/>
        <v>1208.89</v>
      </c>
      <c r="G74" s="67">
        <v>21357</v>
      </c>
      <c r="H74" s="20"/>
      <c r="I74" s="11"/>
      <c r="J74" s="47"/>
      <c r="K74" s="85" t="s">
        <v>82</v>
      </c>
      <c r="L74" s="51" t="s">
        <v>83</v>
      </c>
      <c r="M74" s="52"/>
      <c r="N74" s="52"/>
      <c r="O74" s="51"/>
    </row>
    <row r="75" s="1" customFormat="1" ht="18" customHeight="1" spans="1:15">
      <c r="A75" s="39">
        <v>43952</v>
      </c>
      <c r="B75" s="69">
        <f t="shared" si="9"/>
        <v>119726.02</v>
      </c>
      <c r="C75" s="40"/>
      <c r="D75" s="38" t="s">
        <v>53</v>
      </c>
      <c r="E75" s="42">
        <v>0.13</v>
      </c>
      <c r="F75" s="69">
        <f t="shared" si="10"/>
        <v>15564.38</v>
      </c>
      <c r="G75" s="67">
        <v>135290.4</v>
      </c>
      <c r="H75" s="20"/>
      <c r="I75" s="11"/>
      <c r="J75" s="47"/>
      <c r="K75" s="85" t="s">
        <v>54</v>
      </c>
      <c r="L75" s="51" t="s">
        <v>84</v>
      </c>
      <c r="M75" s="52" t="s">
        <v>85</v>
      </c>
      <c r="N75" s="52"/>
      <c r="O75" s="51"/>
    </row>
    <row r="76" s="1" customFormat="1" ht="18" customHeight="1" spans="1:15">
      <c r="A76" s="39">
        <v>43952</v>
      </c>
      <c r="B76" s="69">
        <f t="shared" si="9"/>
        <v>500000</v>
      </c>
      <c r="C76" s="40"/>
      <c r="D76" s="38" t="s">
        <v>86</v>
      </c>
      <c r="E76" s="42"/>
      <c r="F76" s="69">
        <f t="shared" si="10"/>
        <v>0</v>
      </c>
      <c r="G76" s="67">
        <v>500000</v>
      </c>
      <c r="H76" s="20"/>
      <c r="I76" s="11"/>
      <c r="J76" s="47"/>
      <c r="K76" s="85" t="s">
        <v>4</v>
      </c>
      <c r="L76" s="51" t="s">
        <v>87</v>
      </c>
      <c r="M76" s="52" t="s">
        <v>85</v>
      </c>
      <c r="N76" s="52"/>
      <c r="O76" s="51"/>
    </row>
    <row r="77" s="1" customFormat="1" ht="18" customHeight="1" spans="1:15">
      <c r="A77" s="39">
        <v>43952</v>
      </c>
      <c r="B77" s="69">
        <f t="shared" si="9"/>
        <v>338632</v>
      </c>
      <c r="C77" s="40"/>
      <c r="D77" s="38" t="s">
        <v>86</v>
      </c>
      <c r="E77" s="42"/>
      <c r="F77" s="69">
        <f t="shared" si="10"/>
        <v>0</v>
      </c>
      <c r="G77" s="67">
        <v>338632</v>
      </c>
      <c r="H77" s="20"/>
      <c r="I77" s="11"/>
      <c r="J77" s="47"/>
      <c r="K77" s="85" t="s">
        <v>4</v>
      </c>
      <c r="L77" s="51" t="s">
        <v>88</v>
      </c>
      <c r="M77" s="52"/>
      <c r="N77" s="52"/>
      <c r="O77" s="51"/>
    </row>
    <row r="78" s="1" customFormat="1" ht="18" customHeight="1" spans="1:15">
      <c r="A78" s="39"/>
      <c r="B78" s="69">
        <f t="shared" si="9"/>
        <v>0</v>
      </c>
      <c r="C78" s="40"/>
      <c r="D78" s="38"/>
      <c r="E78" s="42"/>
      <c r="F78" s="69">
        <f t="shared" si="10"/>
        <v>0</v>
      </c>
      <c r="G78" s="67"/>
      <c r="H78" s="68">
        <v>43983</v>
      </c>
      <c r="I78" s="69">
        <v>-842000</v>
      </c>
      <c r="J78" s="52" t="s">
        <v>24</v>
      </c>
      <c r="K78" s="87" t="s">
        <v>4</v>
      </c>
      <c r="L78" s="51"/>
      <c r="M78" s="52"/>
      <c r="N78" s="52"/>
      <c r="O78" s="51"/>
    </row>
    <row r="79" s="1" customFormat="1" ht="18" customHeight="1" spans="1:15">
      <c r="A79" s="39"/>
      <c r="B79" s="69">
        <f t="shared" si="9"/>
        <v>0</v>
      </c>
      <c r="C79" s="40"/>
      <c r="D79" s="38"/>
      <c r="E79" s="42"/>
      <c r="F79" s="69">
        <f t="shared" si="10"/>
        <v>0</v>
      </c>
      <c r="G79" s="67"/>
      <c r="H79" s="68">
        <v>43984</v>
      </c>
      <c r="I79" s="69">
        <v>842000</v>
      </c>
      <c r="J79" s="52" t="s">
        <v>24</v>
      </c>
      <c r="K79" s="87" t="s">
        <v>89</v>
      </c>
      <c r="L79" s="51" t="s">
        <v>90</v>
      </c>
      <c r="M79" s="52"/>
      <c r="N79" s="52"/>
      <c r="O79" s="51"/>
    </row>
    <row r="80" s="1" customFormat="1" ht="18" customHeight="1" spans="1:15">
      <c r="A80" s="39">
        <v>43983</v>
      </c>
      <c r="B80" s="69">
        <f t="shared" si="9"/>
        <v>745132.74</v>
      </c>
      <c r="C80" s="40"/>
      <c r="D80" s="38" t="s">
        <v>91</v>
      </c>
      <c r="E80" s="42">
        <v>0.13</v>
      </c>
      <c r="F80" s="69">
        <f t="shared" si="10"/>
        <v>96867.26</v>
      </c>
      <c r="G80" s="67">
        <v>842000</v>
      </c>
      <c r="H80" s="68"/>
      <c r="I80" s="69"/>
      <c r="J80" s="52"/>
      <c r="K80" s="87" t="s">
        <v>89</v>
      </c>
      <c r="L80" s="51" t="s">
        <v>92</v>
      </c>
      <c r="M80" s="52" t="s">
        <v>85</v>
      </c>
      <c r="N80" s="52"/>
      <c r="O80" s="51"/>
    </row>
    <row r="81" s="1" customFormat="1" ht="18" customHeight="1" spans="1:15">
      <c r="A81" s="39">
        <v>43983</v>
      </c>
      <c r="B81" s="69">
        <f t="shared" si="9"/>
        <v>2510</v>
      </c>
      <c r="C81" s="40"/>
      <c r="D81" s="38"/>
      <c r="E81" s="42"/>
      <c r="F81" s="69">
        <f t="shared" si="10"/>
        <v>0</v>
      </c>
      <c r="G81" s="67">
        <v>2510</v>
      </c>
      <c r="H81" s="68"/>
      <c r="I81" s="69"/>
      <c r="J81" s="52"/>
      <c r="K81" s="87" t="s">
        <v>78</v>
      </c>
      <c r="L81" s="51"/>
      <c r="M81" s="52"/>
      <c r="N81" s="52"/>
      <c r="O81" s="51"/>
    </row>
    <row r="82" s="1" customFormat="1" ht="18" customHeight="1" spans="1:15">
      <c r="A82" s="39">
        <v>43983</v>
      </c>
      <c r="B82" s="69">
        <f t="shared" si="9"/>
        <v>400000</v>
      </c>
      <c r="C82" s="40"/>
      <c r="D82" s="38" t="s">
        <v>68</v>
      </c>
      <c r="E82" s="42"/>
      <c r="F82" s="69">
        <f t="shared" si="10"/>
        <v>0</v>
      </c>
      <c r="G82" s="67">
        <v>400000</v>
      </c>
      <c r="H82" s="68"/>
      <c r="I82" s="69"/>
      <c r="J82" s="52"/>
      <c r="K82" s="87" t="s">
        <v>93</v>
      </c>
      <c r="L82" s="51" t="s">
        <v>87</v>
      </c>
      <c r="M82" s="52" t="s">
        <v>85</v>
      </c>
      <c r="N82" s="52"/>
      <c r="O82" s="51"/>
    </row>
    <row r="83" s="1" customFormat="1" ht="18" customHeight="1" spans="1:15">
      <c r="A83" s="39">
        <v>43983</v>
      </c>
      <c r="B83" s="69">
        <f t="shared" si="9"/>
        <v>285000</v>
      </c>
      <c r="C83" s="40"/>
      <c r="D83" s="38" t="s">
        <v>68</v>
      </c>
      <c r="E83" s="42"/>
      <c r="F83" s="69">
        <f t="shared" si="10"/>
        <v>0</v>
      </c>
      <c r="G83" s="67">
        <v>285000</v>
      </c>
      <c r="H83" s="68"/>
      <c r="I83" s="69"/>
      <c r="J83" s="52"/>
      <c r="K83" s="87" t="s">
        <v>94</v>
      </c>
      <c r="L83" s="51" t="s">
        <v>87</v>
      </c>
      <c r="M83" s="52" t="s">
        <v>85</v>
      </c>
      <c r="N83" s="52"/>
      <c r="O83" s="51"/>
    </row>
    <row r="84" s="1" customFormat="1" ht="18" customHeight="1" spans="1:15">
      <c r="A84" s="39">
        <v>43983</v>
      </c>
      <c r="B84" s="69">
        <f t="shared" si="9"/>
        <v>500000</v>
      </c>
      <c r="C84" s="40"/>
      <c r="D84" s="38" t="s">
        <v>68</v>
      </c>
      <c r="E84" s="41"/>
      <c r="F84" s="69">
        <f t="shared" si="10"/>
        <v>0</v>
      </c>
      <c r="G84" s="67">
        <v>500000</v>
      </c>
      <c r="H84" s="20"/>
      <c r="I84" s="11"/>
      <c r="J84" s="47"/>
      <c r="K84" s="85" t="s">
        <v>93</v>
      </c>
      <c r="L84" s="51" t="s">
        <v>87</v>
      </c>
      <c r="M84" s="52" t="s">
        <v>85</v>
      </c>
      <c r="N84" s="52"/>
      <c r="O84" s="51"/>
    </row>
    <row r="85" s="1" customFormat="1" ht="18" customHeight="1" spans="1:15">
      <c r="A85" s="39"/>
      <c r="B85" s="69"/>
      <c r="C85" s="40"/>
      <c r="D85" s="38"/>
      <c r="E85" s="41"/>
      <c r="F85" s="69"/>
      <c r="G85" s="67"/>
      <c r="H85" s="68">
        <v>44042</v>
      </c>
      <c r="I85" s="69">
        <v>285000</v>
      </c>
      <c r="J85" s="52"/>
      <c r="K85" s="87" t="s">
        <v>94</v>
      </c>
      <c r="L85" s="51" t="s">
        <v>87</v>
      </c>
      <c r="M85" s="52"/>
      <c r="N85" s="52"/>
      <c r="O85" s="51"/>
    </row>
    <row r="86" s="1" customFormat="1" ht="18" customHeight="1" spans="1:15">
      <c r="A86" s="39"/>
      <c r="B86" s="69"/>
      <c r="C86" s="40"/>
      <c r="D86" s="38"/>
      <c r="E86" s="41"/>
      <c r="F86" s="69"/>
      <c r="G86" s="67"/>
      <c r="H86" s="68">
        <v>44042</v>
      </c>
      <c r="I86" s="69">
        <v>838632</v>
      </c>
      <c r="J86" s="52"/>
      <c r="K86" s="87" t="s">
        <v>4</v>
      </c>
      <c r="L86" s="51" t="s">
        <v>95</v>
      </c>
      <c r="M86" s="52"/>
      <c r="N86" s="52"/>
      <c r="O86" s="51"/>
    </row>
    <row r="87" s="1" customFormat="1" ht="18" customHeight="1" spans="1:15">
      <c r="A87" s="39"/>
      <c r="B87" s="69"/>
      <c r="C87" s="40"/>
      <c r="D87" s="38"/>
      <c r="E87" s="41"/>
      <c r="F87" s="69"/>
      <c r="G87" s="67"/>
      <c r="H87" s="68">
        <v>44042</v>
      </c>
      <c r="I87" s="69">
        <v>900000</v>
      </c>
      <c r="J87" s="52"/>
      <c r="K87" s="87" t="s">
        <v>93</v>
      </c>
      <c r="L87" s="51" t="s">
        <v>87</v>
      </c>
      <c r="M87" s="52"/>
      <c r="N87" s="52"/>
      <c r="O87" s="51"/>
    </row>
    <row r="88" s="1" customFormat="1" ht="18" customHeight="1" spans="1:15">
      <c r="A88" s="39"/>
      <c r="B88" s="69"/>
      <c r="C88" s="40"/>
      <c r="D88" s="38"/>
      <c r="E88" s="41"/>
      <c r="F88" s="69"/>
      <c r="G88" s="67"/>
      <c r="H88" s="68">
        <v>44042</v>
      </c>
      <c r="I88" s="69">
        <v>910860.16</v>
      </c>
      <c r="J88" s="52"/>
      <c r="K88" s="87" t="s">
        <v>4</v>
      </c>
      <c r="L88" s="51" t="s">
        <v>96</v>
      </c>
      <c r="M88" s="52"/>
      <c r="N88" s="52"/>
      <c r="O88" s="51"/>
    </row>
    <row r="89" s="1" customFormat="1" ht="18" customHeight="1" spans="1:15">
      <c r="A89" s="39"/>
      <c r="B89" s="69"/>
      <c r="C89" s="40"/>
      <c r="D89" s="38"/>
      <c r="E89" s="41"/>
      <c r="F89" s="69"/>
      <c r="G89" s="67"/>
      <c r="H89" s="68"/>
      <c r="I89" s="69"/>
      <c r="J89" s="52"/>
      <c r="K89" s="87"/>
      <c r="L89" s="51"/>
      <c r="M89" s="52"/>
      <c r="N89" s="52"/>
      <c r="O89" s="51"/>
    </row>
    <row r="90" s="1" customFormat="1" ht="18" customHeight="1" spans="1:15">
      <c r="A90" s="39"/>
      <c r="B90" s="69"/>
      <c r="C90" s="40"/>
      <c r="D90" s="38"/>
      <c r="E90" s="41"/>
      <c r="F90" s="69"/>
      <c r="G90" s="67"/>
      <c r="H90" s="68"/>
      <c r="I90" s="69"/>
      <c r="J90" s="52"/>
      <c r="K90" s="87"/>
      <c r="L90" s="51"/>
      <c r="M90" s="52"/>
      <c r="N90" s="52"/>
      <c r="O90" s="51"/>
    </row>
    <row r="91" s="1" customFormat="1" ht="18" customHeight="1" spans="1:15">
      <c r="A91" s="39"/>
      <c r="B91" s="69"/>
      <c r="C91" s="40"/>
      <c r="D91" s="38"/>
      <c r="E91" s="41"/>
      <c r="F91" s="69"/>
      <c r="G91" s="67"/>
      <c r="H91" s="68"/>
      <c r="I91" s="69"/>
      <c r="J91" s="52"/>
      <c r="K91" s="87"/>
      <c r="L91" s="51"/>
      <c r="M91" s="52"/>
      <c r="N91" s="52"/>
      <c r="O91" s="51"/>
    </row>
    <row r="92" s="1" customFormat="1" ht="18" customHeight="1" spans="1:15">
      <c r="A92" s="39"/>
      <c r="B92" s="69"/>
      <c r="C92" s="40"/>
      <c r="D92" s="38"/>
      <c r="E92" s="41"/>
      <c r="F92" s="69"/>
      <c r="G92" s="67"/>
      <c r="H92" s="68"/>
      <c r="I92" s="69"/>
      <c r="J92" s="52"/>
      <c r="K92" s="87"/>
      <c r="L92" s="51"/>
      <c r="M92" s="52"/>
      <c r="N92" s="52"/>
      <c r="O92" s="51"/>
    </row>
    <row r="93" s="1" customFormat="1" ht="18" customHeight="1" spans="1:15">
      <c r="A93" s="39"/>
      <c r="B93" s="69"/>
      <c r="C93" s="40"/>
      <c r="D93" s="38"/>
      <c r="E93" s="41"/>
      <c r="F93" s="69"/>
      <c r="G93" s="67"/>
      <c r="H93" s="20"/>
      <c r="I93" s="11"/>
      <c r="J93" s="47"/>
      <c r="K93" s="85"/>
      <c r="L93" s="51"/>
      <c r="M93" s="52"/>
      <c r="N93" s="52"/>
      <c r="O93" s="51"/>
    </row>
    <row r="94" s="1" customFormat="1" ht="18" customHeight="1" spans="1:15">
      <c r="A94" s="39"/>
      <c r="B94" s="69"/>
      <c r="C94" s="40"/>
      <c r="D94" s="38"/>
      <c r="E94" s="41"/>
      <c r="F94" s="69"/>
      <c r="G94" s="67"/>
      <c r="H94" s="20"/>
      <c r="I94" s="96">
        <v>1158.52</v>
      </c>
      <c r="J94" s="97" t="s">
        <v>97</v>
      </c>
      <c r="K94" s="98" t="s">
        <v>98</v>
      </c>
      <c r="L94" s="51"/>
      <c r="M94" s="52"/>
      <c r="N94" s="52"/>
      <c r="O94" s="51"/>
    </row>
    <row r="95" s="1" customFormat="1" ht="18" customHeight="1" spans="1:15">
      <c r="A95" s="39"/>
      <c r="B95" s="69"/>
      <c r="C95" s="40"/>
      <c r="D95" s="38"/>
      <c r="E95" s="41"/>
      <c r="F95" s="69"/>
      <c r="G95" s="67"/>
      <c r="H95" s="20" t="s">
        <v>99</v>
      </c>
      <c r="I95" s="69">
        <v>500</v>
      </c>
      <c r="J95" s="52" t="s">
        <v>100</v>
      </c>
      <c r="K95" s="87" t="s">
        <v>101</v>
      </c>
      <c r="L95" s="51"/>
      <c r="M95" s="52"/>
      <c r="N95" s="52"/>
      <c r="O95" s="51"/>
    </row>
    <row r="96" s="1" customFormat="1" ht="18" customHeight="1" spans="1:15">
      <c r="A96" s="39"/>
      <c r="B96" s="69"/>
      <c r="C96" s="40"/>
      <c r="D96" s="38"/>
      <c r="E96" s="41"/>
      <c r="F96" s="69"/>
      <c r="G96" s="67"/>
      <c r="H96" s="20" t="s">
        <v>99</v>
      </c>
      <c r="I96" s="69">
        <v>500</v>
      </c>
      <c r="J96" s="52" t="s">
        <v>100</v>
      </c>
      <c r="K96" s="87" t="s">
        <v>102</v>
      </c>
      <c r="L96" s="51"/>
      <c r="M96" s="52"/>
      <c r="N96" s="52"/>
      <c r="O96" s="51"/>
    </row>
    <row r="97" s="1" customFormat="1" ht="18" customHeight="1" spans="1:15">
      <c r="A97" s="39"/>
      <c r="B97" s="69">
        <f>ROUND(G97/(1+E97),2)</f>
        <v>0</v>
      </c>
      <c r="C97" s="40"/>
      <c r="D97" s="38"/>
      <c r="E97" s="41"/>
      <c r="F97" s="69">
        <f>ROUND(G97/(1+E97)*E97,2)</f>
        <v>0</v>
      </c>
      <c r="G97" s="67"/>
      <c r="H97" s="20" t="s">
        <v>99</v>
      </c>
      <c r="I97" s="11">
        <v>2831.4</v>
      </c>
      <c r="J97" s="47" t="s">
        <v>100</v>
      </c>
      <c r="K97" s="85" t="s">
        <v>103</v>
      </c>
      <c r="L97" s="51"/>
      <c r="M97" s="52"/>
      <c r="N97" s="52"/>
      <c r="O97" s="51"/>
    </row>
    <row r="98" s="1" customFormat="1" ht="18" customHeight="1" spans="1:15">
      <c r="A98" s="39"/>
      <c r="B98" s="69">
        <f t="shared" ref="B98:B107" si="11">ROUND(G98/(1+E98),2)</f>
        <v>0</v>
      </c>
      <c r="C98" s="40"/>
      <c r="D98" s="38"/>
      <c r="E98" s="41"/>
      <c r="F98" s="69">
        <f>ROUND(G98/(1+E98)*E98,2)</f>
        <v>0</v>
      </c>
      <c r="G98" s="67"/>
      <c r="H98" s="20" t="s">
        <v>99</v>
      </c>
      <c r="I98" s="11">
        <v>17853.6</v>
      </c>
      <c r="J98" s="47" t="s">
        <v>100</v>
      </c>
      <c r="K98" s="87" t="s">
        <v>8</v>
      </c>
      <c r="L98" s="51"/>
      <c r="M98" s="52"/>
      <c r="N98" s="52"/>
      <c r="O98" s="51"/>
    </row>
    <row r="99" s="1" customFormat="1" ht="18" customHeight="1" spans="1:15">
      <c r="A99" s="39"/>
      <c r="B99" s="69">
        <f t="shared" si="11"/>
        <v>0</v>
      </c>
      <c r="C99" s="40"/>
      <c r="D99" s="38"/>
      <c r="E99" s="41"/>
      <c r="F99" s="69">
        <f t="shared" ref="F99:F107" si="12">ROUND(G99/(1+E99)*E99,2)</f>
        <v>0</v>
      </c>
      <c r="G99" s="67"/>
      <c r="H99" s="20" t="s">
        <v>99</v>
      </c>
      <c r="I99" s="11">
        <v>19422.84</v>
      </c>
      <c r="J99" s="47" t="s">
        <v>100</v>
      </c>
      <c r="K99" s="87" t="s">
        <v>104</v>
      </c>
      <c r="L99" s="51"/>
      <c r="M99" s="52"/>
      <c r="N99" s="52"/>
      <c r="O99" s="51"/>
    </row>
    <row r="100" s="1" customFormat="1" ht="18" customHeight="1" spans="1:15">
      <c r="A100" s="39"/>
      <c r="B100" s="69">
        <f t="shared" si="11"/>
        <v>0</v>
      </c>
      <c r="C100" s="40"/>
      <c r="D100" s="38"/>
      <c r="E100" s="41"/>
      <c r="F100" s="69">
        <f t="shared" si="12"/>
        <v>0</v>
      </c>
      <c r="G100" s="67"/>
      <c r="H100" s="20" t="s">
        <v>105</v>
      </c>
      <c r="I100" s="11">
        <v>300</v>
      </c>
      <c r="J100" s="47" t="s">
        <v>100</v>
      </c>
      <c r="K100" s="85" t="s">
        <v>101</v>
      </c>
      <c r="L100" s="51"/>
      <c r="M100" s="52"/>
      <c r="N100" s="52"/>
      <c r="O100" s="51"/>
    </row>
    <row r="101" s="1" customFormat="1" ht="18" customHeight="1" spans="1:15">
      <c r="A101" s="39"/>
      <c r="B101" s="69">
        <f t="shared" si="11"/>
        <v>105888</v>
      </c>
      <c r="C101" s="40"/>
      <c r="D101" s="38"/>
      <c r="E101" s="41"/>
      <c r="F101" s="69">
        <f t="shared" si="12"/>
        <v>0</v>
      </c>
      <c r="G101" s="67">
        <f>105888</f>
        <v>105888</v>
      </c>
      <c r="H101" s="20" t="s">
        <v>105</v>
      </c>
      <c r="I101" s="11">
        <f>G101</f>
        <v>105888</v>
      </c>
      <c r="J101" s="47" t="s">
        <v>100</v>
      </c>
      <c r="K101" s="87" t="s">
        <v>106</v>
      </c>
      <c r="L101" s="51"/>
      <c r="M101" s="52"/>
      <c r="N101" s="52"/>
      <c r="O101" s="51"/>
    </row>
    <row r="102" s="1" customFormat="1" ht="18" customHeight="1" spans="1:15">
      <c r="A102" s="39"/>
      <c r="B102" s="69">
        <f t="shared" si="11"/>
        <v>0</v>
      </c>
      <c r="C102" s="40"/>
      <c r="D102" s="38"/>
      <c r="E102" s="41"/>
      <c r="F102" s="69">
        <f t="shared" si="12"/>
        <v>0</v>
      </c>
      <c r="G102" s="67"/>
      <c r="H102" s="20" t="s">
        <v>105</v>
      </c>
      <c r="I102" s="11">
        <v>11640</v>
      </c>
      <c r="J102" s="47" t="s">
        <v>100</v>
      </c>
      <c r="K102" s="87" t="s">
        <v>8</v>
      </c>
      <c r="L102" s="51"/>
      <c r="M102" s="52"/>
      <c r="N102" s="52"/>
      <c r="O102" s="51"/>
    </row>
    <row r="103" s="1" customFormat="1" ht="18" customHeight="1" spans="1:15">
      <c r="A103" s="39"/>
      <c r="B103" s="69">
        <f t="shared" si="11"/>
        <v>0</v>
      </c>
      <c r="C103" s="40"/>
      <c r="D103" s="38"/>
      <c r="E103" s="41"/>
      <c r="F103" s="69">
        <f t="shared" si="12"/>
        <v>0</v>
      </c>
      <c r="G103" s="67"/>
      <c r="H103" s="20"/>
      <c r="I103" s="11">
        <v>11856</v>
      </c>
      <c r="J103" s="47" t="s">
        <v>100</v>
      </c>
      <c r="K103" s="87" t="s">
        <v>8</v>
      </c>
      <c r="L103" s="51"/>
      <c r="M103" s="52"/>
      <c r="N103" s="52"/>
      <c r="O103" s="51"/>
    </row>
    <row r="104" s="1" customFormat="1" ht="18" customHeight="1" spans="1:15">
      <c r="A104" s="39"/>
      <c r="B104" s="69">
        <f t="shared" si="11"/>
        <v>0</v>
      </c>
      <c r="C104" s="40"/>
      <c r="D104" s="38"/>
      <c r="E104" s="41"/>
      <c r="F104" s="69">
        <f t="shared" si="12"/>
        <v>0</v>
      </c>
      <c r="G104" s="67"/>
      <c r="H104" s="20"/>
      <c r="I104" s="11">
        <v>5000</v>
      </c>
      <c r="J104" s="47" t="s">
        <v>100</v>
      </c>
      <c r="K104" s="87" t="s">
        <v>107</v>
      </c>
      <c r="L104" s="51"/>
      <c r="M104" s="52"/>
      <c r="N104" s="52"/>
      <c r="O104" s="51"/>
    </row>
    <row r="105" s="1" customFormat="1" ht="18" customHeight="1" spans="1:15">
      <c r="A105" s="39"/>
      <c r="B105" s="69">
        <f t="shared" si="11"/>
        <v>107758</v>
      </c>
      <c r="C105" s="40"/>
      <c r="D105" s="38"/>
      <c r="E105" s="41"/>
      <c r="F105" s="69">
        <f t="shared" si="12"/>
        <v>0</v>
      </c>
      <c r="G105" s="67">
        <f>64682+43076</f>
        <v>107758</v>
      </c>
      <c r="H105" s="20"/>
      <c r="I105" s="11">
        <f>G105</f>
        <v>107758</v>
      </c>
      <c r="J105" s="47" t="s">
        <v>100</v>
      </c>
      <c r="K105" s="87" t="s">
        <v>106</v>
      </c>
      <c r="L105" s="51"/>
      <c r="M105" s="52"/>
      <c r="N105" s="52"/>
      <c r="O105" s="51"/>
    </row>
    <row r="106" s="1" customFormat="1" ht="18" customHeight="1" spans="1:15">
      <c r="A106" s="39"/>
      <c r="B106" s="69">
        <f t="shared" si="11"/>
        <v>0</v>
      </c>
      <c r="C106" s="40"/>
      <c r="D106" s="38"/>
      <c r="E106" s="41"/>
      <c r="F106" s="69">
        <f t="shared" si="12"/>
        <v>0</v>
      </c>
      <c r="G106" s="67"/>
      <c r="H106" s="20"/>
      <c r="I106" s="11">
        <v>17646</v>
      </c>
      <c r="J106" s="47" t="s">
        <v>100</v>
      </c>
      <c r="K106" s="87" t="s">
        <v>8</v>
      </c>
      <c r="L106" s="51"/>
      <c r="M106" s="52"/>
      <c r="N106" s="52"/>
      <c r="O106" s="51"/>
    </row>
    <row r="107" s="1" customFormat="1" ht="18" customHeight="1" spans="1:15">
      <c r="A107" s="39"/>
      <c r="B107" s="69">
        <f t="shared" si="11"/>
        <v>0</v>
      </c>
      <c r="C107" s="40"/>
      <c r="D107" s="38"/>
      <c r="E107" s="41"/>
      <c r="F107" s="69">
        <f t="shared" si="12"/>
        <v>0</v>
      </c>
      <c r="G107" s="67"/>
      <c r="H107" s="20"/>
      <c r="I107" s="11">
        <v>63717</v>
      </c>
      <c r="J107" s="47" t="s">
        <v>100</v>
      </c>
      <c r="K107" s="87" t="s">
        <v>104</v>
      </c>
      <c r="L107" s="51"/>
      <c r="M107" s="52"/>
      <c r="N107" s="52"/>
      <c r="O107" s="51"/>
    </row>
    <row r="108" ht="18" customHeight="1" spans="1:15">
      <c r="A108" s="28" t="s">
        <v>25</v>
      </c>
      <c r="B108" s="93">
        <f>SUM(B16:B107)</f>
        <v>10605362.81</v>
      </c>
      <c r="C108" s="28"/>
      <c r="D108" s="53"/>
      <c r="E108" s="53"/>
      <c r="F108" s="72">
        <f>SUM(F16:F107)</f>
        <v>614011.88</v>
      </c>
      <c r="G108" s="94">
        <f>SUM(G16:G107)</f>
        <v>11219374.69</v>
      </c>
      <c r="H108" s="55"/>
      <c r="I108" s="28">
        <f>SUM(I16:I107)</f>
        <v>10304658.52</v>
      </c>
      <c r="J108" s="62"/>
      <c r="K108" s="99"/>
      <c r="L108" s="31"/>
      <c r="M108" s="47"/>
      <c r="N108" s="47"/>
      <c r="O108" s="31"/>
    </row>
    <row r="109" ht="18" customHeight="1" spans="1:14">
      <c r="A109" s="56" t="s">
        <v>108</v>
      </c>
      <c r="B109" s="56">
        <f>B13*0.994</f>
        <v>9660826.35462385</v>
      </c>
      <c r="C109" s="56"/>
      <c r="D109" s="58"/>
      <c r="E109" s="58"/>
      <c r="F109" s="57"/>
      <c r="G109" s="56">
        <f>G13-G108</f>
        <v>-596100.779999999</v>
      </c>
      <c r="H109" s="19" t="s">
        <v>109</v>
      </c>
      <c r="I109" s="28">
        <f>I13-I108</f>
        <v>-1158.51999999955</v>
      </c>
      <c r="J109" s="6"/>
      <c r="K109" s="100"/>
      <c r="M109" s="64"/>
      <c r="N109" s="64"/>
    </row>
    <row r="110" ht="18" customHeight="1" spans="1:14">
      <c r="A110" s="56" t="s">
        <v>110</v>
      </c>
      <c r="B110" s="56">
        <f>B109-B108</f>
        <v>-944536.455376146</v>
      </c>
      <c r="C110" s="56"/>
      <c r="D110" s="58"/>
      <c r="E110" s="58"/>
      <c r="F110" s="57"/>
      <c r="G110" s="57"/>
      <c r="H110" s="59"/>
      <c r="I110" s="57">
        <f>I107+I99</f>
        <v>83139.84</v>
      </c>
      <c r="J110" s="6"/>
      <c r="K110" s="100"/>
      <c r="M110" s="64"/>
      <c r="N110" s="64"/>
    </row>
    <row r="111" ht="18" customHeight="1" spans="1:9">
      <c r="A111" s="2" t="s">
        <v>111</v>
      </c>
      <c r="C111" s="2"/>
      <c r="I111" s="3">
        <f>84298.36-I110</f>
        <v>1158.52</v>
      </c>
    </row>
    <row r="112" ht="18" customHeight="1" spans="1:12">
      <c r="A112" s="19" t="s">
        <v>112</v>
      </c>
      <c r="B112" s="18" t="s">
        <v>113</v>
      </c>
      <c r="C112" s="31"/>
      <c r="D112" s="19" t="s">
        <v>112</v>
      </c>
      <c r="E112" s="17" t="s">
        <v>19</v>
      </c>
      <c r="F112" s="18" t="s">
        <v>113</v>
      </c>
      <c r="G112" s="18" t="s">
        <v>114</v>
      </c>
      <c r="H112" s="18" t="s">
        <v>115</v>
      </c>
      <c r="I112" s="18" t="s">
        <v>116</v>
      </c>
      <c r="K112" s="101" t="s">
        <v>117</v>
      </c>
      <c r="L112" s="31" t="s">
        <v>118</v>
      </c>
    </row>
    <row r="113" ht="18" customHeight="1" spans="1:12">
      <c r="A113" s="31" t="s">
        <v>119</v>
      </c>
      <c r="B113" s="15">
        <f>(B109-B108)*0.25</f>
        <v>-236134.113844037</v>
      </c>
      <c r="C113" s="31"/>
      <c r="D113" s="26" t="s">
        <v>120</v>
      </c>
      <c r="E113" s="19" t="s">
        <v>121</v>
      </c>
      <c r="F113" s="30">
        <f>F13-F108</f>
        <v>95738.0041284404</v>
      </c>
      <c r="G113" s="30">
        <v>57924.46</v>
      </c>
      <c r="H113" s="30">
        <v>0</v>
      </c>
      <c r="I113" s="30">
        <v>0</v>
      </c>
      <c r="K113" s="102">
        <f>F9+F10+F11-F38-F40-F44-F45-F49-F53-F54-F56-F58-F64-F67-F69-F74-F75-F80</f>
        <v>17341.8251376147</v>
      </c>
      <c r="L113" s="72">
        <f>F12</f>
        <v>20471.7189908257</v>
      </c>
    </row>
    <row r="114" ht="18" customHeight="1" spans="1:12">
      <c r="A114" s="31" t="s">
        <v>122</v>
      </c>
      <c r="B114" s="60" t="s">
        <v>123</v>
      </c>
      <c r="C114" s="31"/>
      <c r="D114" s="61" t="s">
        <v>124</v>
      </c>
      <c r="E114" s="12">
        <v>0.05</v>
      </c>
      <c r="F114" s="21">
        <f>F113*E114</f>
        <v>4786.90020642202</v>
      </c>
      <c r="G114" s="21">
        <f>G113*E114</f>
        <v>2896.223</v>
      </c>
      <c r="H114" s="21">
        <v>0</v>
      </c>
      <c r="I114" s="21">
        <v>0</v>
      </c>
      <c r="K114" s="103">
        <f>K113*0.07</f>
        <v>1213.92775963303</v>
      </c>
      <c r="L114" s="11">
        <f>L113*0.07</f>
        <v>1433.0203293578</v>
      </c>
    </row>
    <row r="115" ht="18" customHeight="1" spans="1:12">
      <c r="A115" s="31" t="s">
        <v>125</v>
      </c>
      <c r="B115" s="60" t="s">
        <v>123</v>
      </c>
      <c r="C115" s="31"/>
      <c r="D115" s="61" t="s">
        <v>126</v>
      </c>
      <c r="E115" s="12">
        <v>0.03</v>
      </c>
      <c r="F115" s="21">
        <f>F113*E115</f>
        <v>2872.14012385321</v>
      </c>
      <c r="G115" s="21">
        <f>G113*E115</f>
        <v>1737.7338</v>
      </c>
      <c r="H115" s="21">
        <v>0</v>
      </c>
      <c r="I115" s="21">
        <v>0</v>
      </c>
      <c r="K115" s="103">
        <f>K113*E115</f>
        <v>520.254754128441</v>
      </c>
      <c r="L115" s="11">
        <f>L113*0.03</f>
        <v>614.151569724771</v>
      </c>
    </row>
    <row r="116" ht="18" customHeight="1" spans="1:12">
      <c r="A116" s="31"/>
      <c r="B116" s="21"/>
      <c r="C116" s="31"/>
      <c r="D116" s="61" t="s">
        <v>127</v>
      </c>
      <c r="E116" s="12">
        <v>0.02</v>
      </c>
      <c r="F116" s="21">
        <f>F113*E116</f>
        <v>1914.76008256881</v>
      </c>
      <c r="G116" s="21">
        <f>G113*E116</f>
        <v>1158.4892</v>
      </c>
      <c r="H116" s="21">
        <v>0</v>
      </c>
      <c r="I116" s="21">
        <v>0</v>
      </c>
      <c r="K116" s="103">
        <f>K113*E116</f>
        <v>346.836502752294</v>
      </c>
      <c r="L116" s="11">
        <f>L113*0.02</f>
        <v>409.434379816514</v>
      </c>
    </row>
    <row r="117" ht="18" customHeight="1" spans="1:12">
      <c r="A117" s="26" t="s">
        <v>128</v>
      </c>
      <c r="B117" s="27">
        <f t="shared" ref="B117:G117" si="13">SUM(B113:B116)</f>
        <v>-236134.113844037</v>
      </c>
      <c r="C117" s="31"/>
      <c r="D117" s="32" t="s">
        <v>128</v>
      </c>
      <c r="E117" s="26"/>
      <c r="F117" s="30">
        <f t="shared" si="13"/>
        <v>105311.804541284</v>
      </c>
      <c r="G117" s="30">
        <f t="shared" si="13"/>
        <v>63716.906</v>
      </c>
      <c r="H117" s="30">
        <v>0</v>
      </c>
      <c r="I117" s="30">
        <v>0</v>
      </c>
      <c r="K117" s="102">
        <f>SUM(K113:K116)</f>
        <v>19422.8441541285</v>
      </c>
      <c r="L117" s="72">
        <f>SUM(L113:L116)</f>
        <v>22928.3252697248</v>
      </c>
    </row>
    <row r="118" ht="18" customHeight="1" spans="3:12">
      <c r="C118" s="2"/>
      <c r="D118" s="17" t="s">
        <v>25</v>
      </c>
      <c r="E118" s="28"/>
      <c r="F118" s="29">
        <f>F117</f>
        <v>105311.804541284</v>
      </c>
      <c r="G118" s="29">
        <f>G117</f>
        <v>63716.906</v>
      </c>
      <c r="H118" s="29">
        <v>0</v>
      </c>
      <c r="I118" s="29">
        <v>0</v>
      </c>
      <c r="K118" s="104">
        <f>K117</f>
        <v>19422.8441541285</v>
      </c>
      <c r="L118" s="28">
        <f>L117+95.63</f>
        <v>23023.9552697248</v>
      </c>
    </row>
    <row r="119" ht="18" customHeight="1" spans="3:12">
      <c r="C119" s="2"/>
      <c r="D119" s="28" t="s">
        <v>119</v>
      </c>
      <c r="E119" s="53">
        <v>0.006</v>
      </c>
      <c r="F119" s="29">
        <f>G13*E119</f>
        <v>63739.64346</v>
      </c>
      <c r="G119" s="29">
        <f>(B7+B8)*E119</f>
        <v>17646</v>
      </c>
      <c r="H119" s="29">
        <f>B9*E119</f>
        <v>11855.7798165138</v>
      </c>
      <c r="I119" s="29">
        <f>G10*E119</f>
        <v>11640</v>
      </c>
      <c r="K119" s="104">
        <f>G11*E119</f>
        <v>17853.6</v>
      </c>
      <c r="L119" s="28">
        <f>G12*E119</f>
        <v>1912.64346</v>
      </c>
    </row>
    <row r="120" ht="18" customHeight="1" spans="3:7">
      <c r="C120" s="2"/>
      <c r="F120" s="3">
        <f>F119-I97-I98-I102-I103-I106</f>
        <v>1912.64346</v>
      </c>
      <c r="G120" s="3">
        <f>F7+F8-SUM(F16:F36)</f>
        <v>57924.46</v>
      </c>
    </row>
    <row r="121" ht="18" customHeight="1" spans="3:4">
      <c r="C121" s="2"/>
      <c r="D121" s="95"/>
    </row>
    <row r="122" spans="3:3">
      <c r="C122" s="2"/>
    </row>
    <row r="123" spans="3:3">
      <c r="C123" s="2"/>
    </row>
    <row r="124" spans="3:3">
      <c r="C124" s="2"/>
    </row>
    <row r="125" spans="3:3">
      <c r="C125" s="2"/>
    </row>
    <row r="126" spans="3:3">
      <c r="C126" s="2"/>
    </row>
    <row r="127" spans="3:3">
      <c r="C127" s="2"/>
    </row>
    <row r="128" spans="3:3">
      <c r="C128" s="2"/>
    </row>
    <row r="129" spans="3:3">
      <c r="C129" s="2"/>
    </row>
    <row r="130" spans="3:3">
      <c r="C130" s="2"/>
    </row>
    <row r="131" spans="3:3">
      <c r="C131" s="2"/>
    </row>
    <row r="132" spans="3:3">
      <c r="C132" s="2"/>
    </row>
    <row r="133" spans="3:3">
      <c r="C133" s="2"/>
    </row>
    <row r="134" spans="3:3">
      <c r="C134" s="2"/>
    </row>
    <row r="135" spans="3:3">
      <c r="C135" s="2"/>
    </row>
    <row r="136" spans="3:3">
      <c r="C136" s="2"/>
    </row>
    <row r="137" spans="3:3">
      <c r="C137" s="2"/>
    </row>
  </sheetData>
  <autoFilter ref="A15:P12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workbookViewId="0">
      <selection activeCell="K24" sqref="K24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4.1083333333333" style="3" customWidth="1"/>
    <col min="7" max="7" width="20.1083333333333" style="3" customWidth="1"/>
    <col min="8" max="8" width="15.8833333333333" style="4" customWidth="1"/>
    <col min="9" max="9" width="13.8833333333333" style="3" customWidth="1"/>
    <col min="10" max="10" width="6.10833333333333" style="5" customWidth="1"/>
    <col min="11" max="11" width="31.4416666666667" style="6" customWidth="1"/>
    <col min="12" max="12" width="12.775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129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6">
      <c r="A2" s="9" t="s">
        <v>1</v>
      </c>
      <c r="B2" s="10">
        <v>43271</v>
      </c>
      <c r="C2" s="11" t="s">
        <v>2</v>
      </c>
      <c r="D2" s="11">
        <v>10682290.6</v>
      </c>
      <c r="E2" s="12" t="s">
        <v>3</v>
      </c>
      <c r="F2" s="11" t="s">
        <v>4</v>
      </c>
      <c r="G2" s="13" t="s">
        <v>5</v>
      </c>
      <c r="H2" s="14" t="s">
        <v>130</v>
      </c>
      <c r="I2" s="43"/>
      <c r="J2" s="44"/>
      <c r="K2" s="16"/>
      <c r="L2" s="16"/>
      <c r="P2" s="45" t="s">
        <v>8</v>
      </c>
    </row>
    <row r="3" ht="18" customHeight="1" spans="1:12">
      <c r="A3" s="9" t="s">
        <v>9</v>
      </c>
      <c r="B3" s="15"/>
      <c r="C3" s="11" t="s">
        <v>10</v>
      </c>
      <c r="D3" s="11"/>
      <c r="H3" s="16"/>
      <c r="I3" s="46"/>
      <c r="J3" s="16"/>
      <c r="K3" s="16"/>
      <c r="L3" s="16"/>
    </row>
    <row r="4" ht="18" customHeight="1" spans="1:12">
      <c r="A4" s="2" t="s">
        <v>12</v>
      </c>
      <c r="H4" s="16"/>
      <c r="I4" s="46"/>
      <c r="J4" s="16"/>
      <c r="K4" s="16"/>
      <c r="L4" s="16"/>
    </row>
    <row r="5" ht="18" customHeight="1" spans="1:10">
      <c r="A5" s="17" t="s">
        <v>13</v>
      </c>
      <c r="B5" s="18" t="s">
        <v>14</v>
      </c>
      <c r="C5" s="17" t="s">
        <v>15</v>
      </c>
      <c r="D5" s="17"/>
      <c r="E5" s="17" t="s">
        <v>16</v>
      </c>
      <c r="F5" s="18"/>
      <c r="G5" s="18" t="s">
        <v>17</v>
      </c>
      <c r="H5" s="19" t="s">
        <v>18</v>
      </c>
      <c r="I5" s="18"/>
      <c r="J5" s="19"/>
    </row>
    <row r="6" ht="18" customHeight="1" spans="1:10">
      <c r="A6" s="17"/>
      <c r="B6" s="18"/>
      <c r="C6" s="17" t="s">
        <v>19</v>
      </c>
      <c r="D6" s="17" t="s">
        <v>20</v>
      </c>
      <c r="E6" s="17" t="s">
        <v>19</v>
      </c>
      <c r="F6" s="18" t="s">
        <v>20</v>
      </c>
      <c r="G6" s="18"/>
      <c r="H6" s="19" t="s">
        <v>21</v>
      </c>
      <c r="I6" s="18" t="s">
        <v>22</v>
      </c>
      <c r="J6" s="19" t="s">
        <v>23</v>
      </c>
    </row>
    <row r="7" ht="18" customHeight="1" spans="1:10">
      <c r="A7" s="20">
        <v>43441</v>
      </c>
      <c r="B7" s="21">
        <f t="shared" ref="B7:B8" si="0">G7/(1+C7+E7)</f>
        <v>472727.272727273</v>
      </c>
      <c r="C7" s="22">
        <v>0.02</v>
      </c>
      <c r="D7" s="23">
        <f t="shared" ref="D7:D8" si="1">G7/(1+E7+C7)*C7</f>
        <v>9454.54545454545</v>
      </c>
      <c r="E7" s="22">
        <v>0.08</v>
      </c>
      <c r="F7" s="21">
        <f t="shared" ref="F7:F8" si="2">G7/(1+C7+E7)*E7</f>
        <v>37818.1818181818</v>
      </c>
      <c r="G7" s="24">
        <v>520000</v>
      </c>
      <c r="H7" s="20">
        <v>43474</v>
      </c>
      <c r="I7" s="21">
        <v>3234100</v>
      </c>
      <c r="J7" s="47" t="s">
        <v>24</v>
      </c>
    </row>
    <row r="8" ht="18" customHeight="1" spans="1:10">
      <c r="A8" s="20">
        <v>43468</v>
      </c>
      <c r="B8" s="21">
        <f t="shared" si="0"/>
        <v>2468272.72727273</v>
      </c>
      <c r="C8" s="22">
        <v>0.02</v>
      </c>
      <c r="D8" s="23">
        <f t="shared" si="1"/>
        <v>49365.4545454545</v>
      </c>
      <c r="E8" s="22">
        <v>0.08</v>
      </c>
      <c r="F8" s="21">
        <f t="shared" si="2"/>
        <v>197461.818181818</v>
      </c>
      <c r="G8" s="24">
        <v>2715100</v>
      </c>
      <c r="H8" s="20">
        <v>43613</v>
      </c>
      <c r="I8" s="21">
        <v>2153800</v>
      </c>
      <c r="J8" s="47" t="s">
        <v>24</v>
      </c>
    </row>
    <row r="9" ht="18" customHeight="1" spans="1:10">
      <c r="A9" s="20">
        <v>43567</v>
      </c>
      <c r="B9" s="21">
        <f t="shared" ref="B9:B10" si="3">G9/(1+C9+E9)</f>
        <v>1975963.30275229</v>
      </c>
      <c r="C9" s="22">
        <v>0.02</v>
      </c>
      <c r="D9" s="23">
        <f t="shared" ref="D9:D10" si="4">G9/(1+E9+C9)*C9</f>
        <v>39519.2660550459</v>
      </c>
      <c r="E9" s="22">
        <v>0.07</v>
      </c>
      <c r="F9" s="21">
        <f t="shared" ref="F9:F10" si="5">G9/(1+C9+E9)*E9</f>
        <v>138317.431192661</v>
      </c>
      <c r="G9" s="24">
        <v>2153800</v>
      </c>
      <c r="H9" s="20">
        <v>43846</v>
      </c>
      <c r="I9" s="21">
        <v>1940000</v>
      </c>
      <c r="J9" s="47" t="s">
        <v>24</v>
      </c>
    </row>
    <row r="10" ht="18" customHeight="1" spans="1:10">
      <c r="A10" s="20">
        <v>43782</v>
      </c>
      <c r="B10" s="21">
        <f t="shared" si="3"/>
        <v>1779816.51376147</v>
      </c>
      <c r="C10" s="22">
        <v>0.02</v>
      </c>
      <c r="D10" s="23">
        <f t="shared" si="4"/>
        <v>35596.3302752294</v>
      </c>
      <c r="E10" s="25">
        <v>0.07</v>
      </c>
      <c r="F10" s="21">
        <f t="shared" si="5"/>
        <v>124587.155963303</v>
      </c>
      <c r="G10" s="24">
        <v>1940000</v>
      </c>
      <c r="H10" s="20"/>
      <c r="I10" s="21"/>
      <c r="J10" s="47"/>
    </row>
    <row r="11" ht="18" customHeight="1" spans="1:10">
      <c r="A11" s="26" t="s">
        <v>25</v>
      </c>
      <c r="B11" s="27">
        <f>SUM(B7:B10)</f>
        <v>6696779.81651376</v>
      </c>
      <c r="C11" s="28"/>
      <c r="D11" s="29">
        <f t="shared" ref="D11:G11" si="6">SUM(D7:D10)</f>
        <v>133935.596330275</v>
      </c>
      <c r="E11" s="28"/>
      <c r="F11" s="30">
        <f t="shared" si="6"/>
        <v>498184.587155963</v>
      </c>
      <c r="G11" s="29">
        <f t="shared" si="6"/>
        <v>7328900</v>
      </c>
      <c r="H11" s="31"/>
      <c r="I11" s="29">
        <f>SUM(I7:I10)</f>
        <v>7327900</v>
      </c>
      <c r="J11" s="31"/>
    </row>
    <row r="12" ht="18" customHeight="1" spans="1:12">
      <c r="A12" s="2" t="s">
        <v>26</v>
      </c>
      <c r="J12" s="4"/>
      <c r="K12" s="4"/>
      <c r="L12" s="5"/>
    </row>
    <row r="13" ht="18" customHeight="1" spans="1:15">
      <c r="A13" s="32" t="s">
        <v>27</v>
      </c>
      <c r="B13" s="18" t="s">
        <v>28</v>
      </c>
      <c r="C13" s="17" t="s">
        <v>29</v>
      </c>
      <c r="D13" s="17" t="s">
        <v>30</v>
      </c>
      <c r="E13" s="17" t="s">
        <v>19</v>
      </c>
      <c r="F13" s="18" t="s">
        <v>31</v>
      </c>
      <c r="G13" s="18" t="s">
        <v>17</v>
      </c>
      <c r="H13" s="17" t="s">
        <v>32</v>
      </c>
      <c r="I13" s="18" t="s">
        <v>33</v>
      </c>
      <c r="J13" s="17" t="s">
        <v>23</v>
      </c>
      <c r="K13" s="48" t="s">
        <v>34</v>
      </c>
      <c r="L13" s="19" t="s">
        <v>35</v>
      </c>
      <c r="M13" s="19" t="s">
        <v>36</v>
      </c>
      <c r="N13" s="19" t="s">
        <v>37</v>
      </c>
      <c r="O13" s="19" t="s">
        <v>38</v>
      </c>
    </row>
    <row r="14" ht="18" customHeight="1" spans="1:15">
      <c r="A14" s="33">
        <v>43282</v>
      </c>
      <c r="B14" s="21">
        <f t="shared" ref="B14:B29" si="7">ROUND(G14/(1+E14),2)</f>
        <v>52622</v>
      </c>
      <c r="C14" s="34"/>
      <c r="D14" s="35"/>
      <c r="E14" s="36"/>
      <c r="F14" s="21">
        <f t="shared" ref="F14:F17" si="8">ROUND(G14/(1+E14)*E14,2)</f>
        <v>0</v>
      </c>
      <c r="G14" s="37">
        <v>52622</v>
      </c>
      <c r="H14" s="20" t="s">
        <v>39</v>
      </c>
      <c r="I14" s="21">
        <v>52622</v>
      </c>
      <c r="J14" s="47" t="s">
        <v>24</v>
      </c>
      <c r="K14" s="49" t="s">
        <v>40</v>
      </c>
      <c r="L14" s="31" t="s">
        <v>41</v>
      </c>
      <c r="M14" s="47"/>
      <c r="N14" s="47"/>
      <c r="O14" s="31"/>
    </row>
    <row r="15" ht="18" customHeight="1" spans="1:15">
      <c r="A15" s="33">
        <v>43282</v>
      </c>
      <c r="B15" s="21">
        <f t="shared" si="7"/>
        <v>17333.49</v>
      </c>
      <c r="C15" s="34"/>
      <c r="D15" s="35"/>
      <c r="E15" s="36">
        <v>0.06</v>
      </c>
      <c r="F15" s="21">
        <f t="shared" si="8"/>
        <v>1040.01</v>
      </c>
      <c r="G15" s="37">
        <v>18373.5</v>
      </c>
      <c r="H15" s="20" t="s">
        <v>39</v>
      </c>
      <c r="I15" s="21">
        <v>18373.5</v>
      </c>
      <c r="J15" s="47" t="s">
        <v>24</v>
      </c>
      <c r="K15" s="49" t="s">
        <v>42</v>
      </c>
      <c r="L15" s="31"/>
      <c r="M15" s="47"/>
      <c r="N15" s="47"/>
      <c r="O15" s="31"/>
    </row>
    <row r="16" ht="18" customHeight="1" spans="1:15">
      <c r="A16" s="33">
        <v>43282</v>
      </c>
      <c r="B16" s="21">
        <f t="shared" si="7"/>
        <v>17333.49</v>
      </c>
      <c r="C16" s="34"/>
      <c r="D16" s="35"/>
      <c r="E16" s="36">
        <v>0.06</v>
      </c>
      <c r="F16" s="21">
        <f t="shared" si="8"/>
        <v>1040.01</v>
      </c>
      <c r="G16" s="37">
        <v>18373.5</v>
      </c>
      <c r="H16" s="20" t="s">
        <v>39</v>
      </c>
      <c r="I16" s="21">
        <v>18373.5</v>
      </c>
      <c r="J16" s="47" t="s">
        <v>24</v>
      </c>
      <c r="K16" s="49" t="s">
        <v>43</v>
      </c>
      <c r="L16" s="31"/>
      <c r="M16" s="47"/>
      <c r="N16" s="47"/>
      <c r="O16" s="31"/>
    </row>
    <row r="17" ht="18" customHeight="1" spans="1:15">
      <c r="A17" s="33"/>
      <c r="B17" s="21">
        <f t="shared" si="7"/>
        <v>0</v>
      </c>
      <c r="C17" s="34"/>
      <c r="D17" s="35"/>
      <c r="E17" s="36"/>
      <c r="F17" s="21">
        <f t="shared" si="8"/>
        <v>0</v>
      </c>
      <c r="G17" s="37"/>
      <c r="H17" s="20" t="s">
        <v>39</v>
      </c>
      <c r="I17" s="21">
        <v>-89369</v>
      </c>
      <c r="J17" s="47" t="s">
        <v>44</v>
      </c>
      <c r="K17" s="49" t="s">
        <v>45</v>
      </c>
      <c r="L17" s="31"/>
      <c r="M17" s="47"/>
      <c r="N17" s="47"/>
      <c r="O17" s="31"/>
    </row>
    <row r="18" ht="18" customHeight="1" spans="1:15">
      <c r="A18" s="33">
        <v>43435</v>
      </c>
      <c r="B18" s="21">
        <f t="shared" si="7"/>
        <v>340</v>
      </c>
      <c r="C18" s="34"/>
      <c r="D18" s="35"/>
      <c r="E18" s="36"/>
      <c r="F18" s="21">
        <f t="shared" ref="F18:F29" si="9">ROUND(G18/(1+E18)*E18,2)</f>
        <v>0</v>
      </c>
      <c r="G18" s="37">
        <v>340</v>
      </c>
      <c r="H18" s="20"/>
      <c r="I18" s="21"/>
      <c r="J18" s="47"/>
      <c r="K18" s="49" t="s">
        <v>4</v>
      </c>
      <c r="L18" s="31" t="s">
        <v>46</v>
      </c>
      <c r="M18" s="47"/>
      <c r="N18" s="47"/>
      <c r="O18" s="31"/>
    </row>
    <row r="19" ht="18" customHeight="1" spans="1:15">
      <c r="A19" s="33">
        <v>43435</v>
      </c>
      <c r="B19" s="21">
        <f t="shared" si="7"/>
        <v>3448.28</v>
      </c>
      <c r="C19" s="34"/>
      <c r="D19" s="35"/>
      <c r="E19" s="36">
        <v>0.16</v>
      </c>
      <c r="F19" s="21">
        <f t="shared" si="9"/>
        <v>551.72</v>
      </c>
      <c r="G19" s="37">
        <v>4000</v>
      </c>
      <c r="H19" s="20"/>
      <c r="I19" s="21"/>
      <c r="J19" s="47"/>
      <c r="K19" s="49" t="s">
        <v>4</v>
      </c>
      <c r="L19" s="31" t="s">
        <v>47</v>
      </c>
      <c r="M19" s="47"/>
      <c r="N19" s="47"/>
      <c r="O19" s="31"/>
    </row>
    <row r="20" ht="18" customHeight="1" spans="1:15">
      <c r="A20" s="33">
        <v>43435</v>
      </c>
      <c r="B20" s="21">
        <f t="shared" si="7"/>
        <v>446762.93</v>
      </c>
      <c r="C20" s="34"/>
      <c r="D20" s="35"/>
      <c r="E20" s="36">
        <v>0.16</v>
      </c>
      <c r="F20" s="21">
        <f t="shared" si="9"/>
        <v>71482.07</v>
      </c>
      <c r="G20" s="37">
        <v>518245</v>
      </c>
      <c r="H20" s="20" t="s">
        <v>48</v>
      </c>
      <c r="I20" s="21">
        <v>100000</v>
      </c>
      <c r="J20" s="47" t="s">
        <v>24</v>
      </c>
      <c r="K20" s="49" t="s">
        <v>49</v>
      </c>
      <c r="L20" s="31"/>
      <c r="M20" s="47"/>
      <c r="N20" s="47"/>
      <c r="O20" s="31"/>
    </row>
    <row r="21" ht="18" customHeight="1" spans="1:15">
      <c r="A21" s="33"/>
      <c r="B21" s="21"/>
      <c r="C21" s="34"/>
      <c r="D21" s="35"/>
      <c r="E21" s="36"/>
      <c r="F21" s="21"/>
      <c r="G21" s="37"/>
      <c r="H21" s="20" t="s">
        <v>48</v>
      </c>
      <c r="I21" s="21">
        <v>-100000</v>
      </c>
      <c r="J21" s="47" t="s">
        <v>44</v>
      </c>
      <c r="K21" s="49" t="s">
        <v>4</v>
      </c>
      <c r="L21" s="31"/>
      <c r="M21" s="47"/>
      <c r="N21" s="47"/>
      <c r="O21" s="31"/>
    </row>
    <row r="22" ht="18" customHeight="1" spans="1:15">
      <c r="A22" s="33"/>
      <c r="B22" s="21"/>
      <c r="C22" s="34"/>
      <c r="D22" s="35"/>
      <c r="E22" s="36"/>
      <c r="F22" s="21"/>
      <c r="G22" s="37"/>
      <c r="H22" s="20" t="s">
        <v>50</v>
      </c>
      <c r="I22" s="21">
        <v>550000</v>
      </c>
      <c r="J22" s="47" t="s">
        <v>24</v>
      </c>
      <c r="K22" s="49" t="s">
        <v>49</v>
      </c>
      <c r="L22" s="31"/>
      <c r="M22" s="47"/>
      <c r="N22" s="47"/>
      <c r="O22" s="31"/>
    </row>
    <row r="23" ht="18" customHeight="1" spans="1:15">
      <c r="A23" s="33"/>
      <c r="B23" s="21"/>
      <c r="C23" s="34"/>
      <c r="D23" s="35"/>
      <c r="E23" s="36"/>
      <c r="F23" s="21"/>
      <c r="G23" s="37"/>
      <c r="H23" s="20" t="s">
        <v>50</v>
      </c>
      <c r="I23" s="21">
        <v>-550000</v>
      </c>
      <c r="J23" s="47" t="s">
        <v>44</v>
      </c>
      <c r="K23" s="49" t="s">
        <v>4</v>
      </c>
      <c r="L23" s="31"/>
      <c r="M23" s="47"/>
      <c r="N23" s="47"/>
      <c r="O23" s="31"/>
    </row>
    <row r="24" ht="18" customHeight="1" spans="1:15">
      <c r="A24" s="33">
        <v>43435</v>
      </c>
      <c r="B24" s="21">
        <f t="shared" si="7"/>
        <v>199000</v>
      </c>
      <c r="C24" s="34"/>
      <c r="D24" s="35"/>
      <c r="E24" s="36"/>
      <c r="F24" s="21">
        <f t="shared" si="9"/>
        <v>0</v>
      </c>
      <c r="G24" s="37">
        <v>199000</v>
      </c>
      <c r="H24" s="20"/>
      <c r="I24" s="21"/>
      <c r="J24" s="47"/>
      <c r="K24" s="49" t="s">
        <v>4</v>
      </c>
      <c r="L24" s="31" t="s">
        <v>51</v>
      </c>
      <c r="M24" s="47"/>
      <c r="N24" s="47"/>
      <c r="O24" s="31"/>
    </row>
    <row r="25" ht="18" customHeight="1" spans="1:15">
      <c r="A25" s="33">
        <v>43435</v>
      </c>
      <c r="B25" s="21">
        <f t="shared" si="7"/>
        <v>34940</v>
      </c>
      <c r="C25" s="34"/>
      <c r="D25" s="35"/>
      <c r="E25" s="36"/>
      <c r="F25" s="21">
        <f t="shared" si="9"/>
        <v>0</v>
      </c>
      <c r="G25" s="37">
        <v>34940</v>
      </c>
      <c r="H25" s="20"/>
      <c r="I25" s="21"/>
      <c r="J25" s="47"/>
      <c r="K25" s="49"/>
      <c r="L25" s="31" t="s">
        <v>52</v>
      </c>
      <c r="M25" s="47"/>
      <c r="N25" s="47"/>
      <c r="O25" s="31"/>
    </row>
    <row r="26" ht="18" customHeight="1" spans="1:15">
      <c r="A26" s="33">
        <v>43435</v>
      </c>
      <c r="B26" s="21">
        <f t="shared" si="7"/>
        <v>258620.69</v>
      </c>
      <c r="C26" s="34"/>
      <c r="D26" s="38" t="s">
        <v>53</v>
      </c>
      <c r="E26" s="36">
        <v>0.16</v>
      </c>
      <c r="F26" s="21">
        <f t="shared" si="9"/>
        <v>41379.31</v>
      </c>
      <c r="G26" s="37">
        <v>300000</v>
      </c>
      <c r="H26" s="20" t="s">
        <v>50</v>
      </c>
      <c r="I26" s="21">
        <v>300000</v>
      </c>
      <c r="J26" s="47" t="s">
        <v>24</v>
      </c>
      <c r="K26" s="31" t="s">
        <v>54</v>
      </c>
      <c r="L26" s="31" t="s">
        <v>54</v>
      </c>
      <c r="M26" s="47"/>
      <c r="N26" s="47"/>
      <c r="O26" s="31"/>
    </row>
    <row r="27" ht="18" customHeight="1" spans="1:15">
      <c r="A27" s="33"/>
      <c r="B27" s="21"/>
      <c r="C27" s="34"/>
      <c r="D27" s="35"/>
      <c r="E27" s="36"/>
      <c r="F27" s="21"/>
      <c r="G27" s="37"/>
      <c r="H27" s="20" t="s">
        <v>50</v>
      </c>
      <c r="I27" s="21">
        <v>-300000</v>
      </c>
      <c r="J27" s="47" t="s">
        <v>44</v>
      </c>
      <c r="K27" s="49" t="s">
        <v>4</v>
      </c>
      <c r="L27" s="31"/>
      <c r="M27" s="47"/>
      <c r="N27" s="47"/>
      <c r="O27" s="31"/>
    </row>
    <row r="28" ht="18" customHeight="1" spans="1:15">
      <c r="A28" s="33">
        <v>43435</v>
      </c>
      <c r="B28" s="21">
        <f t="shared" si="7"/>
        <v>3879.31</v>
      </c>
      <c r="C28" s="34"/>
      <c r="D28" s="35"/>
      <c r="E28" s="36">
        <v>0.16</v>
      </c>
      <c r="F28" s="21">
        <f t="shared" si="9"/>
        <v>620.69</v>
      </c>
      <c r="G28" s="37">
        <v>4500</v>
      </c>
      <c r="H28" s="20"/>
      <c r="I28" s="21"/>
      <c r="J28" s="47"/>
      <c r="K28" s="49" t="s">
        <v>49</v>
      </c>
      <c r="L28" s="31"/>
      <c r="M28" s="47"/>
      <c r="N28" s="47"/>
      <c r="O28" s="31"/>
    </row>
    <row r="29" ht="18" customHeight="1" spans="1:15">
      <c r="A29" s="33">
        <v>43435</v>
      </c>
      <c r="B29" s="21">
        <f t="shared" si="7"/>
        <v>300</v>
      </c>
      <c r="C29" s="34"/>
      <c r="D29" s="35"/>
      <c r="E29" s="36"/>
      <c r="F29" s="21">
        <f t="shared" si="9"/>
        <v>0</v>
      </c>
      <c r="G29" s="37">
        <v>300</v>
      </c>
      <c r="H29" s="20"/>
      <c r="I29" s="21"/>
      <c r="J29" s="47"/>
      <c r="K29" s="49" t="s">
        <v>4</v>
      </c>
      <c r="L29" s="31" t="s">
        <v>55</v>
      </c>
      <c r="M29" s="47"/>
      <c r="N29" s="47"/>
      <c r="O29" s="31"/>
    </row>
    <row r="30" s="1" customFormat="1" ht="18" customHeight="1" spans="1:15">
      <c r="A30" s="39">
        <v>43466</v>
      </c>
      <c r="B30" s="15">
        <f t="shared" ref="B30" si="10">ROUND(G30/(1+E30),2)</f>
        <v>1456310.68</v>
      </c>
      <c r="C30" s="40"/>
      <c r="D30" s="38" t="s">
        <v>53</v>
      </c>
      <c r="E30" s="41">
        <v>0.03</v>
      </c>
      <c r="F30" s="15">
        <f t="shared" ref="F30" si="11">ROUND(G30/(1+E30)*E30,2)</f>
        <v>43689.32</v>
      </c>
      <c r="G30" s="24">
        <v>1500000</v>
      </c>
      <c r="H30" s="20">
        <v>43486</v>
      </c>
      <c r="I30" s="21">
        <v>1500000</v>
      </c>
      <c r="J30" s="47" t="s">
        <v>24</v>
      </c>
      <c r="K30" s="50" t="s">
        <v>56</v>
      </c>
      <c r="L30" s="51" t="s">
        <v>57</v>
      </c>
      <c r="M30" s="52"/>
      <c r="N30" s="52"/>
      <c r="O30" s="51"/>
    </row>
    <row r="31" s="1" customFormat="1" ht="18" customHeight="1" spans="1:15">
      <c r="A31" s="39">
        <v>43466</v>
      </c>
      <c r="B31" s="15">
        <f t="shared" ref="B31:B32" si="12">ROUND(G31/(1+E31),2)</f>
        <v>1000</v>
      </c>
      <c r="C31" s="40"/>
      <c r="D31" s="38" t="s">
        <v>58</v>
      </c>
      <c r="E31" s="41"/>
      <c r="F31" s="15">
        <f t="shared" ref="F31:F34" si="13">ROUND(G31/(1+E31)*E31,2)</f>
        <v>0</v>
      </c>
      <c r="G31" s="24">
        <v>1000</v>
      </c>
      <c r="H31" s="20"/>
      <c r="I31" s="21"/>
      <c r="J31" s="47"/>
      <c r="K31" s="50" t="s">
        <v>59</v>
      </c>
      <c r="L31" s="51" t="s">
        <v>47</v>
      </c>
      <c r="M31" s="52"/>
      <c r="N31" s="52"/>
      <c r="O31" s="51"/>
    </row>
    <row r="32" ht="18" customHeight="1" spans="1:15">
      <c r="A32" s="39">
        <v>43466</v>
      </c>
      <c r="B32" s="15">
        <f t="shared" si="12"/>
        <v>500000</v>
      </c>
      <c r="C32" s="34"/>
      <c r="D32" s="38" t="s">
        <v>60</v>
      </c>
      <c r="E32" s="36"/>
      <c r="F32" s="15">
        <f t="shared" si="13"/>
        <v>0</v>
      </c>
      <c r="G32" s="37">
        <f>75000*4+100000+100000</f>
        <v>500000</v>
      </c>
      <c r="H32" s="20"/>
      <c r="I32" s="21"/>
      <c r="J32" s="47"/>
      <c r="K32" s="49" t="s">
        <v>4</v>
      </c>
      <c r="L32" s="31" t="s">
        <v>61</v>
      </c>
      <c r="M32" s="47"/>
      <c r="N32" s="47"/>
      <c r="O32" s="31"/>
    </row>
    <row r="33" s="1" customFormat="1" ht="18" customHeight="1" spans="1:15">
      <c r="A33" s="39"/>
      <c r="B33" s="15">
        <f t="shared" ref="B33:B57" si="14">ROUND(G33/(1+E33),2)</f>
        <v>0</v>
      </c>
      <c r="C33" s="40"/>
      <c r="D33" s="38"/>
      <c r="E33" s="41"/>
      <c r="F33" s="15">
        <f t="shared" si="13"/>
        <v>0</v>
      </c>
      <c r="G33" s="24"/>
      <c r="H33" s="20">
        <v>43475</v>
      </c>
      <c r="I33" s="21">
        <v>950000</v>
      </c>
      <c r="J33" s="47" t="s">
        <v>44</v>
      </c>
      <c r="K33" s="49" t="s">
        <v>4</v>
      </c>
      <c r="L33" s="51" t="s">
        <v>62</v>
      </c>
      <c r="M33" s="52"/>
      <c r="N33" s="52"/>
      <c r="O33" s="51"/>
    </row>
    <row r="34" s="1" customFormat="1" ht="18" customHeight="1" spans="1:15">
      <c r="A34" s="39">
        <v>43466</v>
      </c>
      <c r="B34" s="15">
        <f t="shared" si="14"/>
        <v>109702.59</v>
      </c>
      <c r="C34" s="40"/>
      <c r="D34" s="38" t="s">
        <v>53</v>
      </c>
      <c r="E34" s="41">
        <v>0.16</v>
      </c>
      <c r="F34" s="15">
        <f t="shared" si="13"/>
        <v>17552.41</v>
      </c>
      <c r="G34" s="24">
        <f>63627+63628</f>
        <v>127255</v>
      </c>
      <c r="H34" s="20"/>
      <c r="I34" s="21"/>
      <c r="J34" s="47"/>
      <c r="K34" s="49" t="s">
        <v>49</v>
      </c>
      <c r="L34" s="51" t="s">
        <v>63</v>
      </c>
      <c r="M34" s="52"/>
      <c r="N34" s="52"/>
      <c r="O34" s="51"/>
    </row>
    <row r="35" s="1" customFormat="1" ht="18" customHeight="1" spans="1:15">
      <c r="A35" s="39"/>
      <c r="B35" s="15"/>
      <c r="C35" s="40"/>
      <c r="D35" s="38"/>
      <c r="E35" s="41"/>
      <c r="F35" s="15"/>
      <c r="G35" s="24"/>
      <c r="H35" s="20">
        <v>43490</v>
      </c>
      <c r="I35" s="21">
        <v>633055</v>
      </c>
      <c r="J35" s="47" t="s">
        <v>44</v>
      </c>
      <c r="K35" s="50" t="s">
        <v>4</v>
      </c>
      <c r="L35" s="51" t="s">
        <v>64</v>
      </c>
      <c r="M35" s="52"/>
      <c r="N35" s="52"/>
      <c r="O35" s="51"/>
    </row>
    <row r="36" s="1" customFormat="1" ht="18" customHeight="1" spans="1:15">
      <c r="A36" s="39">
        <v>43556</v>
      </c>
      <c r="B36" s="15">
        <f t="shared" si="14"/>
        <v>431034.48</v>
      </c>
      <c r="C36" s="40"/>
      <c r="D36" s="38" t="s">
        <v>53</v>
      </c>
      <c r="E36" s="41">
        <v>0.16</v>
      </c>
      <c r="F36" s="15">
        <f t="shared" ref="F36:F57" si="15">ROUND(G36/(1+E36)*E36,2)</f>
        <v>68965.52</v>
      </c>
      <c r="G36" s="24">
        <v>500000</v>
      </c>
      <c r="H36" s="20">
        <v>43546</v>
      </c>
      <c r="I36" s="21">
        <v>500000</v>
      </c>
      <c r="J36" s="47" t="s">
        <v>24</v>
      </c>
      <c r="K36" s="50" t="s">
        <v>54</v>
      </c>
      <c r="L36" s="51" t="s">
        <v>65</v>
      </c>
      <c r="M36" s="52"/>
      <c r="N36" s="52"/>
      <c r="O36" s="51"/>
    </row>
    <row r="37" s="1" customFormat="1" ht="18" customHeight="1" spans="1:15">
      <c r="A37" s="39"/>
      <c r="B37" s="15">
        <f t="shared" si="14"/>
        <v>0</v>
      </c>
      <c r="C37" s="40"/>
      <c r="D37" s="38"/>
      <c r="E37" s="41"/>
      <c r="F37" s="15">
        <f t="shared" si="15"/>
        <v>0</v>
      </c>
      <c r="G37" s="24"/>
      <c r="H37" s="20">
        <v>43546</v>
      </c>
      <c r="I37" s="21">
        <v>-500000</v>
      </c>
      <c r="J37" s="47" t="s">
        <v>44</v>
      </c>
      <c r="K37" s="49" t="s">
        <v>4</v>
      </c>
      <c r="L37" s="51"/>
      <c r="M37" s="52"/>
      <c r="N37" s="52"/>
      <c r="O37" s="51"/>
    </row>
    <row r="38" s="1" customFormat="1" ht="18" customHeight="1" spans="1:15">
      <c r="A38" s="39">
        <v>43556</v>
      </c>
      <c r="B38" s="15">
        <f t="shared" si="14"/>
        <v>217250</v>
      </c>
      <c r="C38" s="40"/>
      <c r="D38" s="38" t="s">
        <v>53</v>
      </c>
      <c r="E38" s="41">
        <v>0.16</v>
      </c>
      <c r="F38" s="15">
        <f t="shared" si="15"/>
        <v>34760</v>
      </c>
      <c r="G38" s="24">
        <f>102000+47710+102300</f>
        <v>252010</v>
      </c>
      <c r="H38" s="20">
        <v>43550</v>
      </c>
      <c r="I38" s="21">
        <v>253000</v>
      </c>
      <c r="J38" s="47" t="s">
        <v>24</v>
      </c>
      <c r="K38" s="49" t="s">
        <v>49</v>
      </c>
      <c r="L38" s="51" t="s">
        <v>63</v>
      </c>
      <c r="M38" s="52"/>
      <c r="N38" s="52"/>
      <c r="O38" s="51"/>
    </row>
    <row r="39" s="1" customFormat="1" ht="18" customHeight="1" spans="1:15">
      <c r="A39" s="39"/>
      <c r="B39" s="15">
        <f t="shared" si="14"/>
        <v>0</v>
      </c>
      <c r="C39" s="40"/>
      <c r="D39" s="38"/>
      <c r="E39" s="41"/>
      <c r="F39" s="15">
        <f t="shared" si="15"/>
        <v>0</v>
      </c>
      <c r="G39" s="24"/>
      <c r="H39" s="20">
        <v>43550</v>
      </c>
      <c r="I39" s="21">
        <v>-253000</v>
      </c>
      <c r="J39" s="47" t="s">
        <v>44</v>
      </c>
      <c r="K39" s="49" t="s">
        <v>4</v>
      </c>
      <c r="L39" s="51"/>
      <c r="M39" s="52"/>
      <c r="N39" s="52"/>
      <c r="O39" s="51"/>
    </row>
    <row r="40" s="1" customFormat="1" ht="18" customHeight="1" spans="1:15">
      <c r="A40" s="39"/>
      <c r="B40" s="15">
        <f t="shared" si="14"/>
        <v>0</v>
      </c>
      <c r="C40" s="40"/>
      <c r="D40" s="38"/>
      <c r="E40" s="41"/>
      <c r="F40" s="15">
        <f t="shared" si="15"/>
        <v>0</v>
      </c>
      <c r="G40" s="24"/>
      <c r="H40" s="20">
        <v>43566</v>
      </c>
      <c r="I40" s="21">
        <v>400000</v>
      </c>
      <c r="J40" s="47" t="s">
        <v>24</v>
      </c>
      <c r="K40" s="49" t="s">
        <v>49</v>
      </c>
      <c r="L40" s="51" t="s">
        <v>66</v>
      </c>
      <c r="M40" s="52"/>
      <c r="N40" s="52"/>
      <c r="O40" s="51"/>
    </row>
    <row r="41" s="1" customFormat="1" ht="18" customHeight="1" spans="1:15">
      <c r="A41" s="39"/>
      <c r="B41" s="15">
        <f t="shared" si="14"/>
        <v>0</v>
      </c>
      <c r="C41" s="40"/>
      <c r="D41" s="38"/>
      <c r="E41" s="41"/>
      <c r="F41" s="15">
        <f t="shared" si="15"/>
        <v>0</v>
      </c>
      <c r="G41" s="24"/>
      <c r="H41" s="20">
        <v>43566</v>
      </c>
      <c r="I41" s="21">
        <v>-400000</v>
      </c>
      <c r="J41" s="47" t="s">
        <v>44</v>
      </c>
      <c r="K41" s="49" t="s">
        <v>4</v>
      </c>
      <c r="L41" s="51"/>
      <c r="M41" s="52"/>
      <c r="N41" s="52"/>
      <c r="O41" s="51"/>
    </row>
    <row r="42" s="1" customFormat="1" ht="18" customHeight="1" spans="1:15">
      <c r="A42" s="39">
        <v>43556</v>
      </c>
      <c r="B42" s="15">
        <f t="shared" si="14"/>
        <v>1553398.06</v>
      </c>
      <c r="C42" s="40"/>
      <c r="D42" s="38" t="s">
        <v>53</v>
      </c>
      <c r="E42" s="41">
        <v>0.03</v>
      </c>
      <c r="F42" s="15">
        <f t="shared" si="15"/>
        <v>46601.94</v>
      </c>
      <c r="G42" s="24">
        <f>900000+700000</f>
        <v>1600000</v>
      </c>
      <c r="H42" s="20"/>
      <c r="I42" s="21"/>
      <c r="J42" s="47"/>
      <c r="K42" s="50" t="s">
        <v>56</v>
      </c>
      <c r="L42" s="51" t="s">
        <v>57</v>
      </c>
      <c r="M42" s="52"/>
      <c r="N42" s="52"/>
      <c r="O42" s="51"/>
    </row>
    <row r="43" s="1" customFormat="1" ht="18" customHeight="1" spans="1:15">
      <c r="A43" s="39">
        <v>43556</v>
      </c>
      <c r="B43" s="15">
        <f t="shared" si="14"/>
        <v>4310.34</v>
      </c>
      <c r="C43" s="40"/>
      <c r="D43" s="38" t="s">
        <v>53</v>
      </c>
      <c r="E43" s="41">
        <v>0.16</v>
      </c>
      <c r="F43" s="15">
        <f t="shared" si="15"/>
        <v>689.66</v>
      </c>
      <c r="G43" s="24">
        <v>5000</v>
      </c>
      <c r="H43" s="20"/>
      <c r="I43" s="21"/>
      <c r="J43" s="47"/>
      <c r="K43" s="49" t="s">
        <v>67</v>
      </c>
      <c r="L43" s="51" t="s">
        <v>47</v>
      </c>
      <c r="M43" s="52"/>
      <c r="N43" s="52"/>
      <c r="O43" s="51"/>
    </row>
    <row r="44" s="1" customFormat="1" ht="18" customHeight="1" spans="1:15">
      <c r="A44" s="39">
        <v>43556</v>
      </c>
      <c r="B44" s="15">
        <f t="shared" si="14"/>
        <v>2460</v>
      </c>
      <c r="C44" s="40"/>
      <c r="D44" s="38" t="s">
        <v>68</v>
      </c>
      <c r="E44" s="41"/>
      <c r="F44" s="15">
        <f t="shared" si="15"/>
        <v>0</v>
      </c>
      <c r="G44" s="24">
        <v>2460</v>
      </c>
      <c r="H44" s="20"/>
      <c r="I44" s="21"/>
      <c r="J44" s="47"/>
      <c r="K44" s="49" t="s">
        <v>69</v>
      </c>
      <c r="L44" s="51" t="s">
        <v>70</v>
      </c>
      <c r="M44" s="52"/>
      <c r="N44" s="52"/>
      <c r="O44" s="51"/>
    </row>
    <row r="45" s="1" customFormat="1" ht="18" customHeight="1" spans="1:15">
      <c r="A45" s="39">
        <v>43556</v>
      </c>
      <c r="B45" s="15">
        <f t="shared" si="14"/>
        <v>2760</v>
      </c>
      <c r="C45" s="40"/>
      <c r="D45" s="38" t="s">
        <v>68</v>
      </c>
      <c r="E45" s="41"/>
      <c r="F45" s="15">
        <f t="shared" si="15"/>
        <v>0</v>
      </c>
      <c r="G45" s="24">
        <f>200+300+330+300+300+100+1230</f>
        <v>2760</v>
      </c>
      <c r="H45" s="20"/>
      <c r="I45" s="21"/>
      <c r="J45" s="47"/>
      <c r="K45" s="49"/>
      <c r="L45" s="51" t="s">
        <v>71</v>
      </c>
      <c r="M45" s="52"/>
      <c r="N45" s="52"/>
      <c r="O45" s="51"/>
    </row>
    <row r="46" s="1" customFormat="1" ht="18" customHeight="1" spans="1:15">
      <c r="A46" s="39">
        <v>43556</v>
      </c>
      <c r="B46" s="15">
        <f t="shared" si="14"/>
        <v>1651</v>
      </c>
      <c r="C46" s="40"/>
      <c r="D46" s="38" t="s">
        <v>68</v>
      </c>
      <c r="E46" s="41"/>
      <c r="F46" s="15">
        <f t="shared" si="15"/>
        <v>0</v>
      </c>
      <c r="G46" s="24">
        <f>351+300+300+300+200+200</f>
        <v>1651</v>
      </c>
      <c r="H46" s="20"/>
      <c r="I46" s="21"/>
      <c r="J46" s="47"/>
      <c r="K46" s="49"/>
      <c r="L46" s="51" t="s">
        <v>71</v>
      </c>
      <c r="M46" s="52"/>
      <c r="N46" s="52"/>
      <c r="O46" s="51"/>
    </row>
    <row r="47" s="1" customFormat="1" ht="18" customHeight="1" spans="1:15">
      <c r="A47" s="39">
        <v>43586</v>
      </c>
      <c r="B47" s="15">
        <f t="shared" si="14"/>
        <v>354858.41</v>
      </c>
      <c r="C47" s="40"/>
      <c r="D47" s="38" t="s">
        <v>53</v>
      </c>
      <c r="E47" s="41">
        <v>0.13</v>
      </c>
      <c r="F47" s="15">
        <f t="shared" si="15"/>
        <v>46131.59</v>
      </c>
      <c r="G47" s="24">
        <v>400990</v>
      </c>
      <c r="H47" s="20"/>
      <c r="I47" s="21"/>
      <c r="J47" s="47"/>
      <c r="K47" s="49" t="s">
        <v>49</v>
      </c>
      <c r="L47" s="51" t="s">
        <v>72</v>
      </c>
      <c r="M47" s="52"/>
      <c r="N47" s="52"/>
      <c r="O47" s="51"/>
    </row>
    <row r="48" s="1" customFormat="1" ht="18" customHeight="1" spans="1:15">
      <c r="A48" s="39">
        <v>43586</v>
      </c>
      <c r="B48" s="15">
        <f t="shared" si="14"/>
        <v>11295</v>
      </c>
      <c r="C48" s="40"/>
      <c r="D48" s="38"/>
      <c r="E48" s="41"/>
      <c r="F48" s="15">
        <f t="shared" si="15"/>
        <v>0</v>
      </c>
      <c r="G48" s="24">
        <f>390+300+1680+325+600+300+1500+1300+400+300+600+700+1000+1300+300+300</f>
        <v>11295</v>
      </c>
      <c r="H48" s="20"/>
      <c r="I48" s="21"/>
      <c r="J48" s="47"/>
      <c r="K48" s="49"/>
      <c r="L48" s="51" t="s">
        <v>71</v>
      </c>
      <c r="M48" s="52"/>
      <c r="N48" s="52"/>
      <c r="O48" s="51"/>
    </row>
    <row r="49" s="1" customFormat="1" ht="18" customHeight="1" spans="1:15">
      <c r="A49" s="39">
        <v>43586</v>
      </c>
      <c r="B49" s="15">
        <f t="shared" si="14"/>
        <v>890.57</v>
      </c>
      <c r="C49" s="40"/>
      <c r="D49" s="38"/>
      <c r="E49" s="41"/>
      <c r="F49" s="15">
        <f t="shared" si="15"/>
        <v>0</v>
      </c>
      <c r="G49" s="24">
        <f>300+300.47+290.1</f>
        <v>890.57</v>
      </c>
      <c r="H49" s="20"/>
      <c r="I49" s="21"/>
      <c r="J49" s="47"/>
      <c r="K49" s="50"/>
      <c r="L49" s="51" t="s">
        <v>71</v>
      </c>
      <c r="M49" s="52"/>
      <c r="N49" s="52"/>
      <c r="O49" s="51"/>
    </row>
    <row r="50" s="1" customFormat="1" ht="18" customHeight="1" spans="1:15">
      <c r="A50" s="39"/>
      <c r="B50" s="15">
        <f t="shared" si="14"/>
        <v>0</v>
      </c>
      <c r="C50" s="40"/>
      <c r="D50" s="38"/>
      <c r="E50" s="41"/>
      <c r="F50" s="15">
        <f t="shared" si="15"/>
        <v>0</v>
      </c>
      <c r="G50" s="24"/>
      <c r="H50" s="20">
        <v>43620</v>
      </c>
      <c r="I50" s="21">
        <v>1600000</v>
      </c>
      <c r="J50" s="47" t="s">
        <v>24</v>
      </c>
      <c r="K50" s="50" t="s">
        <v>56</v>
      </c>
      <c r="L50" s="51" t="s">
        <v>57</v>
      </c>
      <c r="M50" s="52"/>
      <c r="N50" s="52"/>
      <c r="O50" s="51"/>
    </row>
    <row r="51" s="1" customFormat="1" ht="18" customHeight="1" spans="1:15">
      <c r="A51" s="39">
        <v>43617</v>
      </c>
      <c r="B51" s="15">
        <f t="shared" si="14"/>
        <v>864077.67</v>
      </c>
      <c r="C51" s="40"/>
      <c r="D51" s="38" t="s">
        <v>53</v>
      </c>
      <c r="E51" s="41">
        <v>0.03</v>
      </c>
      <c r="F51" s="15">
        <f t="shared" si="15"/>
        <v>25922.33</v>
      </c>
      <c r="G51" s="24">
        <f>300000+590000</f>
        <v>890000</v>
      </c>
      <c r="H51" s="20">
        <v>43620</v>
      </c>
      <c r="I51" s="21">
        <v>498868</v>
      </c>
      <c r="J51" s="47" t="s">
        <v>24</v>
      </c>
      <c r="K51" s="50" t="s">
        <v>73</v>
      </c>
      <c r="L51" s="51" t="s">
        <v>74</v>
      </c>
      <c r="M51" s="52"/>
      <c r="N51" s="52"/>
      <c r="O51" s="51"/>
    </row>
    <row r="52" s="1" customFormat="1" ht="18" customHeight="1" spans="1:15">
      <c r="A52" s="39">
        <v>43617</v>
      </c>
      <c r="B52" s="15">
        <f t="shared" si="14"/>
        <v>290163.11</v>
      </c>
      <c r="C52" s="40"/>
      <c r="D52" s="38" t="s">
        <v>53</v>
      </c>
      <c r="E52" s="41">
        <v>0.03</v>
      </c>
      <c r="F52" s="15">
        <f t="shared" si="15"/>
        <v>8704.89</v>
      </c>
      <c r="G52" s="24">
        <f>198868+100000</f>
        <v>298868</v>
      </c>
      <c r="H52" s="20">
        <v>43629</v>
      </c>
      <c r="I52" s="21">
        <v>600000</v>
      </c>
      <c r="J52" s="47" t="s">
        <v>24</v>
      </c>
      <c r="K52" s="50" t="s">
        <v>73</v>
      </c>
      <c r="L52" s="51" t="s">
        <v>75</v>
      </c>
      <c r="M52" s="52"/>
      <c r="N52" s="52"/>
      <c r="O52" s="51"/>
    </row>
    <row r="53" s="1" customFormat="1" ht="18" customHeight="1" spans="1:15">
      <c r="A53" s="39"/>
      <c r="B53" s="15">
        <f t="shared" si="14"/>
        <v>0</v>
      </c>
      <c r="C53" s="40"/>
      <c r="D53" s="38"/>
      <c r="E53" s="41"/>
      <c r="F53" s="15">
        <f t="shared" si="15"/>
        <v>0</v>
      </c>
      <c r="G53" s="24"/>
      <c r="H53" s="20">
        <v>43629</v>
      </c>
      <c r="I53" s="21">
        <v>-600000</v>
      </c>
      <c r="J53" s="47" t="s">
        <v>44</v>
      </c>
      <c r="K53" s="50" t="s">
        <v>4</v>
      </c>
      <c r="L53" s="51"/>
      <c r="M53" s="52"/>
      <c r="N53" s="52"/>
      <c r="O53" s="51"/>
    </row>
    <row r="54" s="1" customFormat="1" ht="18" customHeight="1" spans="1:15">
      <c r="A54" s="39">
        <v>43739</v>
      </c>
      <c r="B54" s="15">
        <f t="shared" si="14"/>
        <v>359177.61</v>
      </c>
      <c r="C54" s="40"/>
      <c r="D54" s="38" t="s">
        <v>53</v>
      </c>
      <c r="E54" s="42">
        <v>0.13</v>
      </c>
      <c r="F54" s="15">
        <f t="shared" si="15"/>
        <v>46693.09</v>
      </c>
      <c r="G54" s="24">
        <f>374711.8+31158.9</f>
        <v>405870.7</v>
      </c>
      <c r="H54" s="20">
        <v>43689</v>
      </c>
      <c r="I54" s="21">
        <v>400000</v>
      </c>
      <c r="J54" s="47" t="s">
        <v>24</v>
      </c>
      <c r="K54" s="31" t="s">
        <v>54</v>
      </c>
      <c r="L54" s="51" t="s">
        <v>76</v>
      </c>
      <c r="M54" s="52"/>
      <c r="N54" s="52"/>
      <c r="O54" s="51"/>
    </row>
    <row r="55" s="1" customFormat="1" ht="18" customHeight="1" spans="1:15">
      <c r="A55" s="39"/>
      <c r="B55" s="15">
        <f t="shared" si="14"/>
        <v>0</v>
      </c>
      <c r="C55" s="40"/>
      <c r="D55" s="38"/>
      <c r="E55" s="41"/>
      <c r="F55" s="15">
        <f t="shared" si="15"/>
        <v>0</v>
      </c>
      <c r="G55" s="24"/>
      <c r="H55" s="20">
        <v>43689</v>
      </c>
      <c r="I55" s="21">
        <v>-400000</v>
      </c>
      <c r="J55" s="47" t="s">
        <v>44</v>
      </c>
      <c r="K55" s="49" t="s">
        <v>4</v>
      </c>
      <c r="L55" s="51"/>
      <c r="M55" s="52"/>
      <c r="N55" s="52"/>
      <c r="O55" s="51"/>
    </row>
    <row r="56" s="1" customFormat="1" ht="18" customHeight="1" spans="1:15">
      <c r="A56" s="39">
        <v>43739</v>
      </c>
      <c r="B56" s="15">
        <f t="shared" si="14"/>
        <v>176991.15</v>
      </c>
      <c r="C56" s="40"/>
      <c r="D56" s="38" t="s">
        <v>53</v>
      </c>
      <c r="E56" s="42">
        <v>0.13</v>
      </c>
      <c r="F56" s="15">
        <f t="shared" si="15"/>
        <v>23008.85</v>
      </c>
      <c r="G56" s="24">
        <f>100000*2</f>
        <v>200000</v>
      </c>
      <c r="H56" s="20">
        <v>43724</v>
      </c>
      <c r="I56" s="21">
        <v>200000</v>
      </c>
      <c r="J56" s="47" t="s">
        <v>24</v>
      </c>
      <c r="K56" s="49" t="s">
        <v>49</v>
      </c>
      <c r="L56" s="51" t="s">
        <v>77</v>
      </c>
      <c r="M56" s="52"/>
      <c r="N56" s="52"/>
      <c r="O56" s="51"/>
    </row>
    <row r="57" s="1" customFormat="1" ht="18" customHeight="1" spans="1:15">
      <c r="A57" s="39"/>
      <c r="B57" s="15">
        <f t="shared" si="14"/>
        <v>0</v>
      </c>
      <c r="C57" s="40"/>
      <c r="D57" s="38"/>
      <c r="E57" s="41"/>
      <c r="F57" s="15">
        <f t="shared" si="15"/>
        <v>0</v>
      </c>
      <c r="G57" s="24"/>
      <c r="H57" s="20">
        <v>43724</v>
      </c>
      <c r="I57" s="21">
        <v>-200000</v>
      </c>
      <c r="J57" s="47" t="s">
        <v>44</v>
      </c>
      <c r="K57" s="49" t="s">
        <v>4</v>
      </c>
      <c r="L57" s="51"/>
      <c r="M57" s="52"/>
      <c r="N57" s="52"/>
      <c r="O57" s="51"/>
    </row>
    <row r="58" s="1" customFormat="1" ht="18" customHeight="1" spans="1:15">
      <c r="A58" s="39">
        <v>43739</v>
      </c>
      <c r="B58" s="15">
        <f t="shared" ref="B58:B69" si="16">ROUND(G58/(1+E58),2)</f>
        <v>2610</v>
      </c>
      <c r="C58" s="40"/>
      <c r="D58" s="38" t="s">
        <v>68</v>
      </c>
      <c r="E58" s="41"/>
      <c r="F58" s="15">
        <f t="shared" ref="F58:F69" si="17">ROUND(G58/(1+E58)*E58,2)</f>
        <v>0</v>
      </c>
      <c r="G58" s="24">
        <f>200+300+200+280+270+260+200+300+300+300</f>
        <v>2610</v>
      </c>
      <c r="H58" s="20"/>
      <c r="I58" s="21"/>
      <c r="J58" s="47"/>
      <c r="K58" s="49" t="s">
        <v>78</v>
      </c>
      <c r="L58" s="51"/>
      <c r="M58" s="52"/>
      <c r="N58" s="52"/>
      <c r="O58" s="51"/>
    </row>
    <row r="59" s="1" customFormat="1" ht="18" customHeight="1" spans="1:15">
      <c r="A59" s="39">
        <v>43739</v>
      </c>
      <c r="B59" s="15">
        <f t="shared" si="16"/>
        <v>800</v>
      </c>
      <c r="C59" s="40"/>
      <c r="D59" s="38" t="s">
        <v>68</v>
      </c>
      <c r="E59" s="41"/>
      <c r="F59" s="15">
        <f t="shared" si="17"/>
        <v>0</v>
      </c>
      <c r="G59" s="24">
        <v>800</v>
      </c>
      <c r="H59" s="20"/>
      <c r="I59" s="21"/>
      <c r="J59" s="47"/>
      <c r="K59" s="49" t="s">
        <v>78</v>
      </c>
      <c r="L59" s="51"/>
      <c r="M59" s="52"/>
      <c r="N59" s="52"/>
      <c r="O59" s="51"/>
    </row>
    <row r="60" s="1" customFormat="1" ht="18" customHeight="1" spans="1:15">
      <c r="A60" s="39"/>
      <c r="B60" s="15">
        <f t="shared" si="16"/>
        <v>0</v>
      </c>
      <c r="C60" s="40"/>
      <c r="D60" s="38"/>
      <c r="E60" s="41"/>
      <c r="F60" s="15">
        <f t="shared" si="17"/>
        <v>0</v>
      </c>
      <c r="G60" s="24"/>
      <c r="H60" s="20">
        <v>43780</v>
      </c>
      <c r="I60" s="21">
        <v>200000</v>
      </c>
      <c r="J60" s="47" t="s">
        <v>24</v>
      </c>
      <c r="K60" s="49" t="s">
        <v>49</v>
      </c>
      <c r="L60" s="51"/>
      <c r="M60" s="52"/>
      <c r="N60" s="52"/>
      <c r="O60" s="51"/>
    </row>
    <row r="61" s="1" customFormat="1" ht="18" customHeight="1" spans="1:15">
      <c r="A61" s="39"/>
      <c r="B61" s="15">
        <f t="shared" si="16"/>
        <v>0</v>
      </c>
      <c r="C61" s="40"/>
      <c r="D61" s="38"/>
      <c r="E61" s="41"/>
      <c r="F61" s="15">
        <f t="shared" si="17"/>
        <v>0</v>
      </c>
      <c r="G61" s="24"/>
      <c r="H61" s="20">
        <v>43780</v>
      </c>
      <c r="I61" s="21">
        <v>-200000</v>
      </c>
      <c r="J61" s="47" t="s">
        <v>44</v>
      </c>
      <c r="K61" s="49" t="s">
        <v>4</v>
      </c>
      <c r="L61" s="51"/>
      <c r="M61" s="52"/>
      <c r="N61" s="52"/>
      <c r="O61" s="51"/>
    </row>
    <row r="62" s="1" customFormat="1" ht="18" customHeight="1" spans="1:15">
      <c r="A62" s="39">
        <v>43770</v>
      </c>
      <c r="B62" s="15">
        <f t="shared" si="16"/>
        <v>3539.82</v>
      </c>
      <c r="C62" s="40"/>
      <c r="D62" s="38" t="s">
        <v>53</v>
      </c>
      <c r="E62" s="42">
        <v>0.13</v>
      </c>
      <c r="F62" s="15">
        <f t="shared" si="17"/>
        <v>460.18</v>
      </c>
      <c r="G62" s="24">
        <v>4000</v>
      </c>
      <c r="H62" s="20"/>
      <c r="I62" s="21"/>
      <c r="J62" s="47"/>
      <c r="K62" s="49" t="s">
        <v>67</v>
      </c>
      <c r="L62" s="51" t="s">
        <v>47</v>
      </c>
      <c r="M62" s="52"/>
      <c r="N62" s="52"/>
      <c r="O62" s="51"/>
    </row>
    <row r="63" s="1" customFormat="1" ht="18" customHeight="1" spans="1:15">
      <c r="A63" s="39">
        <v>43770</v>
      </c>
      <c r="B63" s="15">
        <f t="shared" si="16"/>
        <v>2745.02</v>
      </c>
      <c r="C63" s="40"/>
      <c r="D63" s="38" t="s">
        <v>68</v>
      </c>
      <c r="E63" s="41"/>
      <c r="F63" s="15">
        <f t="shared" si="17"/>
        <v>0</v>
      </c>
      <c r="G63" s="24">
        <f>700+100+1340.02+305+300</f>
        <v>2745.02</v>
      </c>
      <c r="H63" s="20"/>
      <c r="I63" s="21"/>
      <c r="J63" s="47"/>
      <c r="K63" s="49" t="s">
        <v>78</v>
      </c>
      <c r="L63" s="51"/>
      <c r="M63" s="52"/>
      <c r="N63" s="52"/>
      <c r="O63" s="51"/>
    </row>
    <row r="64" s="1" customFormat="1" ht="18" customHeight="1" spans="1:15">
      <c r="A64" s="39">
        <v>43770</v>
      </c>
      <c r="B64" s="15">
        <f t="shared" si="16"/>
        <v>860</v>
      </c>
      <c r="C64" s="40"/>
      <c r="D64" s="38" t="s">
        <v>68</v>
      </c>
      <c r="E64" s="41"/>
      <c r="F64" s="15">
        <f t="shared" si="17"/>
        <v>0</v>
      </c>
      <c r="G64" s="24">
        <f>300+300+260</f>
        <v>860</v>
      </c>
      <c r="H64" s="20"/>
      <c r="I64" s="21"/>
      <c r="J64" s="47"/>
      <c r="K64" s="49" t="s">
        <v>78</v>
      </c>
      <c r="L64" s="51"/>
      <c r="M64" s="52"/>
      <c r="N64" s="52"/>
      <c r="O64" s="51"/>
    </row>
    <row r="65" s="1" customFormat="1" ht="18" customHeight="1" spans="1:15">
      <c r="A65" s="39">
        <v>43770</v>
      </c>
      <c r="B65" s="15">
        <f t="shared" si="16"/>
        <v>176991.15</v>
      </c>
      <c r="C65" s="40"/>
      <c r="D65" s="38" t="s">
        <v>53</v>
      </c>
      <c r="E65" s="42">
        <v>0.13</v>
      </c>
      <c r="F65" s="15">
        <f t="shared" si="17"/>
        <v>23008.85</v>
      </c>
      <c r="G65" s="24">
        <v>200000</v>
      </c>
      <c r="H65" s="20"/>
      <c r="I65" s="21"/>
      <c r="J65" s="47"/>
      <c r="K65" s="49" t="s">
        <v>49</v>
      </c>
      <c r="L65" s="51" t="s">
        <v>79</v>
      </c>
      <c r="M65" s="52"/>
      <c r="N65" s="52"/>
      <c r="O65" s="51"/>
    </row>
    <row r="66" s="1" customFormat="1" ht="18" customHeight="1" spans="1:15">
      <c r="A66" s="39">
        <v>43770</v>
      </c>
      <c r="B66" s="15">
        <f t="shared" si="16"/>
        <v>680</v>
      </c>
      <c r="C66" s="40"/>
      <c r="D66" s="38" t="s">
        <v>68</v>
      </c>
      <c r="E66" s="41"/>
      <c r="F66" s="15">
        <f t="shared" si="17"/>
        <v>0</v>
      </c>
      <c r="G66" s="24">
        <f>100+280+300</f>
        <v>680</v>
      </c>
      <c r="H66" s="20"/>
      <c r="I66" s="21"/>
      <c r="J66" s="47"/>
      <c r="K66" s="49" t="s">
        <v>78</v>
      </c>
      <c r="L66" s="51"/>
      <c r="M66" s="52"/>
      <c r="N66" s="52"/>
      <c r="O66" s="51"/>
    </row>
    <row r="67" s="1" customFormat="1" ht="18" customHeight="1" spans="1:15">
      <c r="A67" s="39">
        <v>43800</v>
      </c>
      <c r="B67" s="15">
        <f t="shared" si="16"/>
        <v>5309.73</v>
      </c>
      <c r="C67" s="40"/>
      <c r="D67" s="38" t="s">
        <v>53</v>
      </c>
      <c r="E67" s="42">
        <v>0.13</v>
      </c>
      <c r="F67" s="15">
        <f t="shared" si="17"/>
        <v>690.27</v>
      </c>
      <c r="G67" s="24">
        <v>6000</v>
      </c>
      <c r="H67" s="20"/>
      <c r="I67" s="21"/>
      <c r="J67" s="47"/>
      <c r="K67" s="49" t="s">
        <v>67</v>
      </c>
      <c r="L67" s="51" t="s">
        <v>47</v>
      </c>
      <c r="M67" s="52"/>
      <c r="N67" s="52"/>
      <c r="O67" s="51"/>
    </row>
    <row r="68" s="1" customFormat="1" ht="18" customHeight="1" spans="1:15">
      <c r="A68" s="39">
        <v>43800</v>
      </c>
      <c r="B68" s="15">
        <f t="shared" si="16"/>
        <v>300</v>
      </c>
      <c r="C68" s="40"/>
      <c r="D68" s="38" t="s">
        <v>68</v>
      </c>
      <c r="E68" s="41"/>
      <c r="F68" s="15">
        <f t="shared" si="17"/>
        <v>0</v>
      </c>
      <c r="G68" s="24">
        <v>300</v>
      </c>
      <c r="H68" s="20"/>
      <c r="I68" s="21"/>
      <c r="J68" s="47"/>
      <c r="K68" s="49" t="s">
        <v>80</v>
      </c>
      <c r="L68" s="51"/>
      <c r="M68" s="52"/>
      <c r="N68" s="52"/>
      <c r="O68" s="51"/>
    </row>
    <row r="69" s="1" customFormat="1" ht="18" customHeight="1" spans="1:15">
      <c r="A69" s="39">
        <v>43800</v>
      </c>
      <c r="B69" s="15">
        <f t="shared" si="16"/>
        <v>2200</v>
      </c>
      <c r="C69" s="40"/>
      <c r="D69" s="38" t="s">
        <v>68</v>
      </c>
      <c r="E69" s="41"/>
      <c r="F69" s="15">
        <f t="shared" si="17"/>
        <v>0</v>
      </c>
      <c r="G69" s="24">
        <v>2200</v>
      </c>
      <c r="H69" s="20"/>
      <c r="I69" s="21"/>
      <c r="J69" s="47"/>
      <c r="K69" s="49" t="s">
        <v>52</v>
      </c>
      <c r="L69" s="51"/>
      <c r="M69" s="52"/>
      <c r="N69" s="52"/>
      <c r="O69" s="51"/>
    </row>
    <row r="70" s="1" customFormat="1" ht="18" customHeight="1" spans="1:15">
      <c r="A70" s="39"/>
      <c r="B70" s="15"/>
      <c r="C70" s="40"/>
      <c r="D70" s="38"/>
      <c r="E70" s="41"/>
      <c r="F70" s="15"/>
      <c r="G70" s="24"/>
      <c r="H70" s="20">
        <v>43851</v>
      </c>
      <c r="I70" s="21">
        <v>1697172</v>
      </c>
      <c r="J70" s="47" t="s">
        <v>44</v>
      </c>
      <c r="K70" s="49" t="s">
        <v>4</v>
      </c>
      <c r="L70" s="51" t="s">
        <v>81</v>
      </c>
      <c r="M70" s="52"/>
      <c r="N70" s="52"/>
      <c r="O70" s="51"/>
    </row>
    <row r="71" s="1" customFormat="1" ht="18" customHeight="1" spans="1:15">
      <c r="A71" s="39"/>
      <c r="B71" s="15"/>
      <c r="C71" s="40"/>
      <c r="D71" s="38"/>
      <c r="E71" s="41"/>
      <c r="F71" s="15"/>
      <c r="G71" s="24"/>
      <c r="H71" s="20">
        <v>43851</v>
      </c>
      <c r="I71" s="21">
        <v>125000</v>
      </c>
      <c r="J71" s="47" t="s">
        <v>24</v>
      </c>
      <c r="K71" s="49" t="s">
        <v>54</v>
      </c>
      <c r="L71" s="51" t="s">
        <v>63</v>
      </c>
      <c r="M71" s="52"/>
      <c r="N71" s="52"/>
      <c r="O71" s="51"/>
    </row>
    <row r="72" s="1" customFormat="1" ht="18" customHeight="1" spans="1:15">
      <c r="A72" s="39"/>
      <c r="B72" s="15"/>
      <c r="C72" s="40"/>
      <c r="D72" s="38"/>
      <c r="E72" s="41"/>
      <c r="F72" s="15"/>
      <c r="G72" s="24"/>
      <c r="H72" s="20"/>
      <c r="I72" s="21"/>
      <c r="J72" s="47"/>
      <c r="K72" s="49"/>
      <c r="L72" s="51"/>
      <c r="M72" s="52"/>
      <c r="N72" s="52"/>
      <c r="O72" s="51"/>
    </row>
    <row r="73" s="1" customFormat="1" ht="18" customHeight="1" spans="1:15">
      <c r="A73" s="39"/>
      <c r="B73" s="15"/>
      <c r="C73" s="40"/>
      <c r="D73" s="38"/>
      <c r="E73" s="41"/>
      <c r="F73" s="15"/>
      <c r="G73" s="24"/>
      <c r="H73" s="20" t="s">
        <v>105</v>
      </c>
      <c r="I73" s="21">
        <v>300</v>
      </c>
      <c r="J73" s="47" t="s">
        <v>100</v>
      </c>
      <c r="K73" s="49" t="s">
        <v>101</v>
      </c>
      <c r="L73" s="51"/>
      <c r="M73" s="52"/>
      <c r="N73" s="52"/>
      <c r="O73" s="51"/>
    </row>
    <row r="74" s="1" customFormat="1" ht="18" customHeight="1" spans="1:15">
      <c r="A74" s="39"/>
      <c r="B74" s="15">
        <f>ROUND(G74/(1+E74),2)</f>
        <v>105888</v>
      </c>
      <c r="C74" s="40"/>
      <c r="D74" s="38"/>
      <c r="E74" s="41"/>
      <c r="F74" s="15">
        <f>ROUND(G74/(1+E74)*E74,2)</f>
        <v>0</v>
      </c>
      <c r="G74" s="24">
        <f>105888</f>
        <v>105888</v>
      </c>
      <c r="H74" s="20" t="s">
        <v>105</v>
      </c>
      <c r="I74" s="21">
        <f>G74</f>
        <v>105888</v>
      </c>
      <c r="J74" s="47" t="s">
        <v>100</v>
      </c>
      <c r="K74" s="50" t="s">
        <v>106</v>
      </c>
      <c r="L74" s="51"/>
      <c r="M74" s="52"/>
      <c r="N74" s="52"/>
      <c r="O74" s="51"/>
    </row>
    <row r="75" s="1" customFormat="1" ht="18" customHeight="1" spans="1:15">
      <c r="A75" s="39"/>
      <c r="B75" s="15">
        <f>ROUND(G75/(1+E75),2)</f>
        <v>0</v>
      </c>
      <c r="C75" s="40"/>
      <c r="D75" s="38"/>
      <c r="E75" s="41"/>
      <c r="F75" s="15">
        <f>ROUND(G75/(1+E75)*E75,2)</f>
        <v>0</v>
      </c>
      <c r="G75" s="24"/>
      <c r="H75" s="20" t="s">
        <v>105</v>
      </c>
      <c r="I75" s="21">
        <v>11640</v>
      </c>
      <c r="J75" s="47" t="s">
        <v>100</v>
      </c>
      <c r="K75" s="50" t="s">
        <v>8</v>
      </c>
      <c r="L75" s="51"/>
      <c r="M75" s="52"/>
      <c r="N75" s="52"/>
      <c r="O75" s="51"/>
    </row>
    <row r="76" s="1" customFormat="1" ht="18" customHeight="1" spans="1:15">
      <c r="A76" s="39"/>
      <c r="B76" s="15">
        <f>ROUND(G76/(1+E76),2)</f>
        <v>0</v>
      </c>
      <c r="C76" s="40"/>
      <c r="D76" s="38"/>
      <c r="E76" s="41"/>
      <c r="F76" s="15">
        <f>ROUND(G76/(1+E76)*E76,2)</f>
        <v>0</v>
      </c>
      <c r="G76" s="24"/>
      <c r="H76" s="20"/>
      <c r="I76" s="21">
        <v>11856</v>
      </c>
      <c r="J76" s="47" t="s">
        <v>100</v>
      </c>
      <c r="K76" s="50" t="s">
        <v>8</v>
      </c>
      <c r="L76" s="51"/>
      <c r="M76" s="52"/>
      <c r="N76" s="52"/>
      <c r="O76" s="51"/>
    </row>
    <row r="77" s="1" customFormat="1" ht="18" customHeight="1" spans="1:15">
      <c r="A77" s="39"/>
      <c r="B77" s="15">
        <f t="shared" ref="B77:B80" si="18">ROUND(G77/(1+E77),2)</f>
        <v>0</v>
      </c>
      <c r="C77" s="40"/>
      <c r="D77" s="38"/>
      <c r="E77" s="41"/>
      <c r="F77" s="15">
        <f t="shared" ref="F77:F80" si="19">ROUND(G77/(1+E77)*E77,2)</f>
        <v>0</v>
      </c>
      <c r="G77" s="24"/>
      <c r="H77" s="20"/>
      <c r="I77" s="21">
        <v>5000</v>
      </c>
      <c r="J77" s="47" t="s">
        <v>100</v>
      </c>
      <c r="K77" s="50" t="s">
        <v>107</v>
      </c>
      <c r="L77" s="51"/>
      <c r="M77" s="52"/>
      <c r="N77" s="52"/>
      <c r="O77" s="51"/>
    </row>
    <row r="78" s="1" customFormat="1" ht="18" customHeight="1" spans="1:15">
      <c r="A78" s="39"/>
      <c r="B78" s="15">
        <f t="shared" si="18"/>
        <v>107758</v>
      </c>
      <c r="C78" s="40"/>
      <c r="D78" s="38"/>
      <c r="E78" s="41"/>
      <c r="F78" s="15">
        <f t="shared" si="19"/>
        <v>0</v>
      </c>
      <c r="G78" s="24">
        <f>64682+43076</f>
        <v>107758</v>
      </c>
      <c r="H78" s="20"/>
      <c r="I78" s="21">
        <f>G78</f>
        <v>107758</v>
      </c>
      <c r="J78" s="47" t="s">
        <v>100</v>
      </c>
      <c r="K78" s="50" t="s">
        <v>106</v>
      </c>
      <c r="L78" s="51"/>
      <c r="M78" s="52"/>
      <c r="N78" s="52"/>
      <c r="O78" s="51"/>
    </row>
    <row r="79" s="1" customFormat="1" ht="18" customHeight="1" spans="1:15">
      <c r="A79" s="39"/>
      <c r="B79" s="15">
        <f t="shared" si="18"/>
        <v>0</v>
      </c>
      <c r="C79" s="40"/>
      <c r="D79" s="38"/>
      <c r="E79" s="41"/>
      <c r="F79" s="15">
        <f t="shared" si="19"/>
        <v>0</v>
      </c>
      <c r="G79" s="24"/>
      <c r="H79" s="20"/>
      <c r="I79" s="21">
        <v>17646</v>
      </c>
      <c r="J79" s="47" t="s">
        <v>100</v>
      </c>
      <c r="K79" s="50" t="s">
        <v>8</v>
      </c>
      <c r="L79" s="51"/>
      <c r="M79" s="52"/>
      <c r="N79" s="52"/>
      <c r="O79" s="51"/>
    </row>
    <row r="80" s="1" customFormat="1" ht="18" customHeight="1" spans="1:15">
      <c r="A80" s="39"/>
      <c r="B80" s="15">
        <f t="shared" si="18"/>
        <v>0</v>
      </c>
      <c r="C80" s="40"/>
      <c r="D80" s="38"/>
      <c r="E80" s="41"/>
      <c r="F80" s="15">
        <f t="shared" si="19"/>
        <v>0</v>
      </c>
      <c r="G80" s="24"/>
      <c r="H80" s="20"/>
      <c r="I80" s="21">
        <v>63717</v>
      </c>
      <c r="J80" s="47" t="s">
        <v>100</v>
      </c>
      <c r="K80" s="50" t="s">
        <v>104</v>
      </c>
      <c r="L80" s="51"/>
      <c r="M80" s="52"/>
      <c r="N80" s="52"/>
      <c r="O80" s="51"/>
    </row>
    <row r="81" ht="18" customHeight="1" spans="1:15">
      <c r="A81" s="28" t="s">
        <v>25</v>
      </c>
      <c r="B81" s="27">
        <f>SUM(B14:B80)</f>
        <v>7781592.58</v>
      </c>
      <c r="C81" s="28"/>
      <c r="D81" s="53"/>
      <c r="E81" s="53"/>
      <c r="F81" s="30">
        <f>SUM(F14:F80)</f>
        <v>502992.71</v>
      </c>
      <c r="G81" s="54">
        <f>SUM(G14:G80)</f>
        <v>8284585.29</v>
      </c>
      <c r="H81" s="55"/>
      <c r="I81" s="29">
        <f>SUM(I14:I80)</f>
        <v>7327900</v>
      </c>
      <c r="J81" s="62"/>
      <c r="K81" s="53"/>
      <c r="L81" s="31"/>
      <c r="M81" s="47"/>
      <c r="N81" s="47"/>
      <c r="O81" s="31"/>
    </row>
    <row r="82" ht="18" customHeight="1" spans="1:14">
      <c r="A82" s="56" t="s">
        <v>108</v>
      </c>
      <c r="B82" s="57">
        <f>B11*0.994</f>
        <v>6656599.13761468</v>
      </c>
      <c r="C82" s="56"/>
      <c r="D82" s="58"/>
      <c r="E82" s="58"/>
      <c r="F82" s="57"/>
      <c r="G82" s="57">
        <f>G11-G81</f>
        <v>-955685.29</v>
      </c>
      <c r="H82" s="19" t="s">
        <v>109</v>
      </c>
      <c r="I82" s="29">
        <f>I11-I81</f>
        <v>0</v>
      </c>
      <c r="J82" s="6"/>
      <c r="K82" s="63"/>
      <c r="M82" s="64"/>
      <c r="N82" s="64"/>
    </row>
    <row r="83" ht="18" customHeight="1" spans="1:14">
      <c r="A83" s="56" t="s">
        <v>110</v>
      </c>
      <c r="B83" s="57">
        <f>B82-B81</f>
        <v>-1124993.44238532</v>
      </c>
      <c r="C83" s="56"/>
      <c r="D83" s="58"/>
      <c r="E83" s="58"/>
      <c r="F83" s="57"/>
      <c r="G83" s="57"/>
      <c r="H83" s="59"/>
      <c r="I83" s="57"/>
      <c r="J83" s="6"/>
      <c r="K83" s="63"/>
      <c r="M83" s="64"/>
      <c r="N83" s="64"/>
    </row>
    <row r="84" ht="18" customHeight="1" spans="1:3">
      <c r="A84" s="2" t="s">
        <v>111</v>
      </c>
      <c r="C84" s="2"/>
    </row>
    <row r="85" ht="18" customHeight="1" spans="1:9">
      <c r="A85" s="19" t="s">
        <v>112</v>
      </c>
      <c r="B85" s="18" t="s">
        <v>113</v>
      </c>
      <c r="C85" s="31"/>
      <c r="D85" s="19" t="s">
        <v>112</v>
      </c>
      <c r="E85" s="17" t="s">
        <v>19</v>
      </c>
      <c r="F85" s="18" t="s">
        <v>113</v>
      </c>
      <c r="G85" s="18" t="s">
        <v>114</v>
      </c>
      <c r="H85" s="18" t="s">
        <v>115</v>
      </c>
      <c r="I85" s="18" t="s">
        <v>116</v>
      </c>
    </row>
    <row r="86" ht="18" customHeight="1" spans="1:9">
      <c r="A86" s="31" t="s">
        <v>119</v>
      </c>
      <c r="B86" s="15">
        <f>(B82-B81)*0.25</f>
        <v>-281248.36059633</v>
      </c>
      <c r="C86" s="31"/>
      <c r="D86" s="26" t="s">
        <v>120</v>
      </c>
      <c r="E86" s="19" t="s">
        <v>121</v>
      </c>
      <c r="F86" s="30">
        <f>F11-F81</f>
        <v>-4808.12284403702</v>
      </c>
      <c r="G86" s="30">
        <v>57924.46</v>
      </c>
      <c r="H86" s="30">
        <v>0</v>
      </c>
      <c r="I86" s="30">
        <v>0</v>
      </c>
    </row>
    <row r="87" ht="18" customHeight="1" spans="1:9">
      <c r="A87" s="31" t="s">
        <v>122</v>
      </c>
      <c r="B87" s="60" t="s">
        <v>123</v>
      </c>
      <c r="C87" s="31"/>
      <c r="D87" s="61" t="s">
        <v>124</v>
      </c>
      <c r="E87" s="12">
        <v>0.05</v>
      </c>
      <c r="F87" s="21">
        <f>F86*E87</f>
        <v>-240.406142201851</v>
      </c>
      <c r="G87" s="21">
        <f>G86*E87</f>
        <v>2896.223</v>
      </c>
      <c r="H87" s="21">
        <v>0</v>
      </c>
      <c r="I87" s="21">
        <v>0</v>
      </c>
    </row>
    <row r="88" ht="18" customHeight="1" spans="1:9">
      <c r="A88" s="31" t="s">
        <v>125</v>
      </c>
      <c r="B88" s="60" t="s">
        <v>123</v>
      </c>
      <c r="C88" s="31"/>
      <c r="D88" s="61" t="s">
        <v>126</v>
      </c>
      <c r="E88" s="12">
        <v>0.03</v>
      </c>
      <c r="F88" s="21">
        <f>F86*E88</f>
        <v>-144.243685321111</v>
      </c>
      <c r="G88" s="21">
        <f>G86*E88</f>
        <v>1737.7338</v>
      </c>
      <c r="H88" s="21">
        <v>0</v>
      </c>
      <c r="I88" s="21">
        <v>0</v>
      </c>
    </row>
    <row r="89" ht="18" customHeight="1" spans="1:9">
      <c r="A89" s="31"/>
      <c r="B89" s="21"/>
      <c r="C89" s="31"/>
      <c r="D89" s="61" t="s">
        <v>127</v>
      </c>
      <c r="E89" s="12">
        <v>0.02</v>
      </c>
      <c r="F89" s="21">
        <f>F86*E89</f>
        <v>-96.1624568807404</v>
      </c>
      <c r="G89" s="21">
        <f>G86*E89</f>
        <v>1158.4892</v>
      </c>
      <c r="H89" s="21">
        <v>0</v>
      </c>
      <c r="I89" s="21">
        <v>0</v>
      </c>
    </row>
    <row r="90" ht="18" customHeight="1" spans="1:9">
      <c r="A90" s="26" t="s">
        <v>128</v>
      </c>
      <c r="B90" s="27">
        <f t="shared" ref="B90:G90" si="20">SUM(B86:B89)</f>
        <v>-281248.36059633</v>
      </c>
      <c r="C90" s="31"/>
      <c r="D90" s="32" t="s">
        <v>128</v>
      </c>
      <c r="E90" s="26"/>
      <c r="F90" s="30">
        <f t="shared" si="20"/>
        <v>-5288.93512844072</v>
      </c>
      <c r="G90" s="30">
        <f t="shared" si="20"/>
        <v>63716.906</v>
      </c>
      <c r="H90" s="30">
        <v>0</v>
      </c>
      <c r="I90" s="30">
        <v>0</v>
      </c>
    </row>
    <row r="91" ht="18" customHeight="1" spans="3:9">
      <c r="C91" s="2"/>
      <c r="D91" s="17" t="s">
        <v>25</v>
      </c>
      <c r="E91" s="28"/>
      <c r="F91" s="29">
        <f>F90</f>
        <v>-5288.93512844072</v>
      </c>
      <c r="G91" s="29">
        <f>G90</f>
        <v>63716.906</v>
      </c>
      <c r="H91" s="29">
        <v>0</v>
      </c>
      <c r="I91" s="29">
        <v>0</v>
      </c>
    </row>
    <row r="92" ht="18" customHeight="1" spans="3:9">
      <c r="C92" s="2"/>
      <c r="D92" s="28" t="s">
        <v>119</v>
      </c>
      <c r="E92" s="53">
        <v>0.016</v>
      </c>
      <c r="F92" s="29">
        <f>B11*E92</f>
        <v>107148.47706422</v>
      </c>
      <c r="G92" s="29"/>
      <c r="H92" s="29"/>
      <c r="I92" s="29"/>
    </row>
    <row r="93" ht="18" customHeight="1" spans="3:9">
      <c r="C93" s="2"/>
      <c r="D93" s="28" t="s">
        <v>119</v>
      </c>
      <c r="E93" s="53">
        <v>0.006</v>
      </c>
      <c r="F93" s="29">
        <f>B11*E93</f>
        <v>40180.6788990826</v>
      </c>
      <c r="G93" s="29">
        <f>(B7+B8)*E93</f>
        <v>17646</v>
      </c>
      <c r="H93" s="29">
        <f>B9*E93</f>
        <v>11855.7798165138</v>
      </c>
      <c r="I93" s="29">
        <f>G10*E93</f>
        <v>11640</v>
      </c>
    </row>
    <row r="94" ht="18" customHeight="1" spans="3:7">
      <c r="C94" s="2"/>
      <c r="G94" s="3">
        <f>F7+F8-SUM(F14:F34)</f>
        <v>57924.46</v>
      </c>
    </row>
    <row r="95" ht="18" customHeight="1" spans="3:4">
      <c r="C95" s="2"/>
      <c r="D95" s="38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</sheetData>
  <autoFilter ref="A13:P9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2021-12-14T04:23:15Z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6751925186054A8D9048C85F6FCE8B64</vt:lpwstr>
  </property>
</Properties>
</file>