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2"/>
  </bookViews>
  <sheets>
    <sheet name="原表" sheetId="1" r:id="rId1"/>
    <sheet name="吴总修改" sheetId="2" r:id="rId2"/>
    <sheet name="新" sheetId="3" r:id="rId3"/>
  </sheets>
  <definedNames>
    <definedName name="_xlnm._FilterDatabase" localSheetId="2" hidden="1">新!$A$18:$S$291</definedName>
    <definedName name="_xlnm._FilterDatabase" localSheetId="0" hidden="1">原表!$A$17:$S$265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8" authorId="0">
      <text>
        <r>
          <rPr>
            <sz val="9"/>
            <rFont val="宋体"/>
            <charset val="134"/>
          </rPr>
          <t>cw05:
填写专票税率</t>
        </r>
      </text>
    </comment>
    <comment ref="G18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258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259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8" authorId="0">
      <text>
        <r>
          <rPr>
            <sz val="9"/>
            <rFont val="宋体"/>
            <charset val="134"/>
          </rPr>
          <t>cw05:
填写专票税率</t>
        </r>
      </text>
    </comment>
    <comment ref="G18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26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26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3.xml><?xml version="1.0" encoding="utf-8"?>
<comments xmlns="http://schemas.openxmlformats.org/spreadsheetml/2006/main">
  <authors>
    <author>cw05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9" authorId="0">
      <text>
        <r>
          <rPr>
            <sz val="9"/>
            <rFont val="宋体"/>
            <charset val="134"/>
          </rPr>
          <t>cw05:
填写专票税率</t>
        </r>
      </text>
    </comment>
    <comment ref="G19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I22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异地未预缴</t>
        </r>
      </text>
    </comment>
    <comment ref="L22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异地未预缴</t>
        </r>
      </text>
    </comment>
    <comment ref="A273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274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M27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异地已预缴621.5元</t>
        </r>
      </text>
    </comment>
    <comment ref="M28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异地未预缴</t>
        </r>
      </text>
    </comment>
  </commentList>
</comments>
</file>

<file path=xl/sharedStrings.xml><?xml version="1.0" encoding="utf-8"?>
<sst xmlns="http://schemas.openxmlformats.org/spreadsheetml/2006/main" count="2635" uniqueCount="218">
  <si>
    <t>县道骑河路骑虎至古耳段路面改造工程</t>
  </si>
  <si>
    <t>中标日期</t>
  </si>
  <si>
    <t>2018.5.11</t>
  </si>
  <si>
    <t>中标价</t>
  </si>
  <si>
    <t>负责人</t>
  </si>
  <si>
    <t>李俊强</t>
  </si>
  <si>
    <t>建设单位</t>
  </si>
  <si>
    <t>决算日期</t>
  </si>
  <si>
    <t>决算价</t>
  </si>
  <si>
    <t>企税0.6%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</si>
  <si>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</si>
  <si>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</si>
  <si>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</si>
  <si>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</si>
  <si>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</si>
  <si>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</si>
  <si>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</si>
  <si>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 xml:space="preserve">  </t>
  </si>
  <si>
    <t>税率</t>
  </si>
  <si>
    <t>增值税额</t>
  </si>
  <si>
    <t>日期</t>
  </si>
  <si>
    <t>金额</t>
  </si>
  <si>
    <t>银行</t>
  </si>
  <si>
    <t>专户</t>
  </si>
  <si>
    <t>合计</t>
  </si>
  <si>
    <t>材料发票：</t>
  </si>
  <si>
    <t>收票日期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</si>
  <si>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</si>
  <si>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</si>
  <si>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</si>
  <si>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</si>
  <si>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</si>
  <si>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</si>
  <si>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</si>
  <si>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</si>
  <si>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</si>
  <si>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</si>
  <si>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</si>
  <si>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2018-9-</t>
  </si>
  <si>
    <t>专</t>
  </si>
  <si>
    <t>中行</t>
  </si>
  <si>
    <t>太平财产保险有限公司乐山中心支公司</t>
  </si>
  <si>
    <t>保险</t>
  </si>
  <si>
    <t>徽行</t>
  </si>
  <si>
    <t>章罗燕</t>
  </si>
  <si>
    <t>普</t>
  </si>
  <si>
    <t>北京国泰建中管理咨询有限公司成都分公司</t>
  </si>
  <si>
    <t>招标代理费</t>
  </si>
  <si>
    <t>合作人自己打钱给招标中心，招标中心扣下187395.21元</t>
  </si>
  <si>
    <t>中国石油天燃气股份有限公司四川眉山销售分公司</t>
  </si>
  <si>
    <t>柴油</t>
  </si>
  <si>
    <t>2018-10-</t>
  </si>
  <si>
    <t>乐山市市中区众创达建材经营部</t>
  </si>
  <si>
    <t>加油机</t>
  </si>
  <si>
    <t>乐山市宏顺桥梁板有限公司</t>
  </si>
  <si>
    <t>桥梁板</t>
  </si>
  <si>
    <t>有</t>
  </si>
  <si>
    <t>仁寿县鑫路达混凝土有限公司</t>
  </si>
  <si>
    <t>混凝土</t>
  </si>
  <si>
    <t>四川华构住宅工业有限公司沙湾分公司</t>
  </si>
  <si>
    <t>涵管</t>
  </si>
  <si>
    <t>眉山宝祥商贸有限公司</t>
  </si>
  <si>
    <t>水泥</t>
  </si>
  <si>
    <t>成都富升美佳商贸有限公司</t>
  </si>
  <si>
    <t>钢筋</t>
  </si>
  <si>
    <t>眉山市新区建材厂</t>
  </si>
  <si>
    <t>仁寿县富石商贸有限公司</t>
  </si>
  <si>
    <t>统料</t>
  </si>
  <si>
    <t>四川宏进电子科技有限公司</t>
  </si>
  <si>
    <t>地磅</t>
  </si>
  <si>
    <t>中国石油天然气股份有限公司四川眉山销售分公司</t>
  </si>
  <si>
    <t>四川强晨建筑劳务有限公司</t>
  </si>
  <si>
    <t>劳务费</t>
  </si>
  <si>
    <t>仁寿县康隆建材有限公司</t>
  </si>
  <si>
    <t>柳州市蓝带木业有限公司</t>
  </si>
  <si>
    <t>木板</t>
  </si>
  <si>
    <t>仁寿县兴盛镇兴丰砂石场</t>
  </si>
  <si>
    <t>砂石、机砂</t>
  </si>
  <si>
    <t>仁寿县景顺商贸有限责任公司</t>
  </si>
  <si>
    <t>高新区鑫华玉建材经营部</t>
  </si>
  <si>
    <t>大理石</t>
  </si>
  <si>
    <t>专代</t>
  </si>
  <si>
    <t>仁寿县利达建材厂（普通合伙）</t>
  </si>
  <si>
    <t>机砖</t>
  </si>
  <si>
    <t>12月292号</t>
  </si>
  <si>
    <t>国网四川省电力公司仁寿县供电分公司</t>
  </si>
  <si>
    <t>电力</t>
  </si>
  <si>
    <t>油料</t>
  </si>
  <si>
    <t>砂石</t>
  </si>
  <si>
    <t>仁寿县方家镇鑫鑫砂石场</t>
  </si>
  <si>
    <t>机械租赁</t>
  </si>
  <si>
    <t>商品混凝土C20.420立方米*494.53 .c25.54立方米*5000.10.c30.100立方米*512.96.c50.81立方米*576.39</t>
  </si>
  <si>
    <t>有30万结算单、送货单2272立方米</t>
  </si>
  <si>
    <t>退款16458</t>
  </si>
  <si>
    <t>待转材料款</t>
  </si>
  <si>
    <t>河池市宜州区德鑫木业有限责任公司</t>
  </si>
  <si>
    <t>模板</t>
  </si>
  <si>
    <t>碎石</t>
  </si>
  <si>
    <t>仁寿县鑫鑫园林专业合作社</t>
  </si>
  <si>
    <t>苗木</t>
  </si>
  <si>
    <t>胡玉文</t>
  </si>
  <si>
    <t>土地租赁</t>
  </si>
  <si>
    <t>附租赁协议</t>
  </si>
  <si>
    <t>程茂株</t>
  </si>
  <si>
    <t>胶合板</t>
  </si>
  <si>
    <t>乐山市巨力大件运输有限公司</t>
  </si>
  <si>
    <t>吊装运输费</t>
  </si>
  <si>
    <t>衡水腾云橡胶制品有限公司</t>
  </si>
  <si>
    <t>橡胶支座、桥梁伸缩缝</t>
  </si>
  <si>
    <t>仁寿县涛沙建材经营部</t>
  </si>
  <si>
    <t>砂石、砂砾石</t>
  </si>
  <si>
    <t>仁寿县宏富建材有限公司</t>
  </si>
  <si>
    <t>混凝土、树围石</t>
  </si>
  <si>
    <t>四川畅仪能工程测试技术有限责任公司</t>
  </si>
  <si>
    <t>检测费</t>
  </si>
  <si>
    <t>欠票180000</t>
  </si>
  <si>
    <t>代付材料款</t>
  </si>
  <si>
    <t>四川中汇惠东矿业有限公司</t>
  </si>
  <si>
    <t>机砂</t>
  </si>
  <si>
    <t>峨眉山市润佳商贸有限公司</t>
  </si>
  <si>
    <t>收代打材料款</t>
  </si>
  <si>
    <t>碎石138769.22吨</t>
  </si>
  <si>
    <t>碎石4285.7吨 *67.96</t>
  </si>
  <si>
    <t>水泥1623.38吨*413.79</t>
  </si>
  <si>
    <t>碎石113941.14吨*68.9</t>
  </si>
  <si>
    <t>水泥1846.86吨*451.327</t>
  </si>
  <si>
    <t>乐山市和盛建设工程有限公司</t>
  </si>
  <si>
    <t>劳务分包</t>
  </si>
  <si>
    <t>水泥934.7吨</t>
  </si>
  <si>
    <t>有179吨货单</t>
  </si>
  <si>
    <t>工程服务</t>
  </si>
  <si>
    <t>干粉173.22吨*31、机砂10635.42吨、碎石3291.98</t>
  </si>
  <si>
    <t>有；附结算单</t>
  </si>
  <si>
    <t>乐山高远汽车运输有限公司</t>
  </si>
  <si>
    <t>运输费</t>
  </si>
  <si>
    <t>四川乙讯照明科技有限公司</t>
  </si>
  <si>
    <t>分包费</t>
  </si>
  <si>
    <t>仁寿县富加镇勇刚建材经营部</t>
  </si>
  <si>
    <t>水泥652.1吨</t>
  </si>
  <si>
    <t xml:space="preserve"> </t>
  </si>
  <si>
    <t>碎石4666.66吨*72.85</t>
  </si>
  <si>
    <t>路灯端头等</t>
  </si>
  <si>
    <t>四川春吉建筑劳务有限公司</t>
  </si>
  <si>
    <t>劳务</t>
  </si>
  <si>
    <t>款项退回</t>
  </si>
  <si>
    <t>螺纹钢74.5吨</t>
  </si>
  <si>
    <t>建筑服务14956平方</t>
  </si>
  <si>
    <t>公司借款</t>
  </si>
  <si>
    <t>已扣除</t>
  </si>
  <si>
    <t>片石8000立方、碎石13000吨、石粉13000吨、砂砾石7950吨</t>
  </si>
  <si>
    <t>合肥市昱达酒店管理有限公司</t>
  </si>
  <si>
    <t>住宿费</t>
  </si>
  <si>
    <t>退章罗燕周转金</t>
  </si>
  <si>
    <t>退李俊强垫付异地税款</t>
  </si>
  <si>
    <t>第八次</t>
  </si>
  <si>
    <t>扣</t>
  </si>
  <si>
    <r>
      <rPr>
        <sz val="9"/>
        <rFont val="宋体"/>
        <charset val="134"/>
      </rPr>
      <t>税金（20.1月）（</t>
    </r>
    <r>
      <rPr>
        <sz val="9"/>
        <color rgb="FFFF0000"/>
        <rFont val="宋体"/>
        <charset val="134"/>
      </rPr>
      <t>水利基金12606元 ，增值税及附加414810元，由专户转回基本户</t>
    </r>
    <r>
      <rPr>
        <sz val="9"/>
        <rFont val="宋体"/>
        <charset val="134"/>
      </rPr>
      <t>）</t>
    </r>
  </si>
  <si>
    <t>所得税已转至基本户（137400元 2020.11.2）</t>
  </si>
  <si>
    <t>收</t>
  </si>
  <si>
    <t>管理费</t>
  </si>
  <si>
    <t>第五次</t>
  </si>
  <si>
    <t>现金收</t>
  </si>
  <si>
    <t>第四次</t>
  </si>
  <si>
    <t>第三次</t>
  </si>
  <si>
    <t>水利基金</t>
  </si>
  <si>
    <t>第二次</t>
  </si>
  <si>
    <t>企税、水利、管理费</t>
  </si>
  <si>
    <t>水利基金（19年4月）</t>
  </si>
  <si>
    <r>
      <rPr>
        <sz val="10"/>
        <color theme="1"/>
        <rFont val="宋体"/>
        <charset val="134"/>
      </rPr>
      <t>增值税131996+水利5828+管理费53416+</t>
    </r>
    <r>
      <rPr>
        <sz val="10"/>
        <color rgb="FFFF0000"/>
        <rFont val="宋体"/>
        <charset val="134"/>
      </rPr>
      <t>招待费2600+500外经证</t>
    </r>
  </si>
  <si>
    <t>增值税及附加</t>
  </si>
  <si>
    <t>招待费开外经证费用</t>
  </si>
  <si>
    <t>退</t>
  </si>
  <si>
    <t>之前暂扣企税</t>
  </si>
  <si>
    <t>暂扣</t>
  </si>
  <si>
    <t xml:space="preserve">企税 </t>
  </si>
  <si>
    <t>增值税470730+水利基金10450</t>
  </si>
  <si>
    <t>成本票已提供</t>
  </si>
  <si>
    <t>预留</t>
  </si>
  <si>
    <t>成本票提供不足</t>
  </si>
  <si>
    <t>第二次多收2048元</t>
  </si>
  <si>
    <t>剩余未支付金额</t>
  </si>
  <si>
    <t>2020.3.31</t>
  </si>
  <si>
    <t>应提供成本</t>
  </si>
  <si>
    <t>可支付金额</t>
  </si>
  <si>
    <t>尚需提供成本</t>
  </si>
  <si>
    <t>公司代缴税金：</t>
  </si>
  <si>
    <t>税种</t>
  </si>
  <si>
    <t>税额</t>
  </si>
  <si>
    <t>18.12月开票扣税</t>
  </si>
  <si>
    <t>19.1月开票扣税</t>
  </si>
  <si>
    <t>19.4月开票扣税</t>
  </si>
  <si>
    <t>19.5月开票扣税</t>
  </si>
  <si>
    <t>20.1开票扣税</t>
  </si>
  <si>
    <t>企业所得税</t>
  </si>
  <si>
    <t>增值税</t>
  </si>
  <si>
    <t>差额</t>
  </si>
  <si>
    <t>印花税</t>
  </si>
  <si>
    <t>已交</t>
  </si>
  <si>
    <t>城市维护建设税</t>
  </si>
  <si>
    <t>教育费附加</t>
  </si>
  <si>
    <t>地方教育费附加</t>
  </si>
  <si>
    <t>小计</t>
  </si>
  <si>
    <t>手续费</t>
  </si>
  <si>
    <t>印章费</t>
  </si>
  <si>
    <t>补扣</t>
  </si>
  <si>
    <t>企税、增值税及附加</t>
  </si>
  <si>
    <r>
      <rPr>
        <sz val="9"/>
        <rFont val="宋体"/>
        <charset val="134"/>
      </rPr>
      <t>税金（20.1月）（</t>
    </r>
    <r>
      <rPr>
        <sz val="9"/>
        <color rgb="FFFF0000"/>
        <rFont val="宋体"/>
        <charset val="134"/>
      </rPr>
      <t xml:space="preserve"> 由专户转回基本户</t>
    </r>
    <r>
      <rPr>
        <sz val="9"/>
        <rFont val="宋体"/>
        <charset val="134"/>
      </rPr>
      <t>）</t>
    </r>
  </si>
  <si>
    <t>2019-1-</t>
  </si>
  <si>
    <t>2018-12-</t>
  </si>
  <si>
    <t>交来税金及附加</t>
  </si>
  <si>
    <t>应补增值税及附加</t>
  </si>
  <si>
    <t>交来企税</t>
  </si>
  <si>
    <t>应补缴企税</t>
  </si>
  <si>
    <t>合计补缴税金</t>
  </si>
  <si>
    <t>内账2019.4.4#收李俊强原路退回</t>
  </si>
  <si>
    <t>水利基金（2021年7月开票异地未交）</t>
  </si>
  <si>
    <t>2021年7月开票扣税</t>
  </si>
  <si>
    <t>环境保护税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</si>
</sst>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yy/m/d;@"/>
    <numFmt numFmtId="179" formatCode="#,##0_ "/>
  </numFmts>
  <fonts count="3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.5"/>
      <color rgb="FFFF0000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  <scheme val="minor"/>
    </font>
    <font>
      <b/>
      <sz val="9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rgb="FFFF000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8" fillId="29" borderId="12" applyNumberFormat="0" applyAlignment="0" applyProtection="0">
      <alignment vertical="center"/>
    </xf>
    <xf numFmtId="0" fontId="19" fillId="29" borderId="6" applyNumberFormat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2" fillId="0" borderId="0">
      <protection locked="0"/>
    </xf>
  </cellStyleXfs>
  <cellXfs count="174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9" fontId="1" fillId="0" borderId="2" xfId="11" applyFont="1" applyBorder="1" applyAlignment="1">
      <alignment horizontal="center" vertical="center"/>
    </xf>
    <xf numFmtId="177" fontId="1" fillId="0" borderId="2" xfId="0" applyNumberFormat="1" applyFont="1" applyFill="1" applyBorder="1" applyAlignment="1">
      <alignment vertical="center"/>
    </xf>
    <xf numFmtId="177" fontId="2" fillId="3" borderId="2" xfId="0" applyNumberFormat="1" applyFont="1" applyFill="1" applyBorder="1" applyAlignment="1">
      <alignment vertical="center"/>
    </xf>
    <xf numFmtId="9" fontId="1" fillId="0" borderId="2" xfId="11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5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178" fontId="5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6" borderId="2" xfId="1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76" fontId="1" fillId="0" borderId="4" xfId="0" applyNumberFormat="1" applyFont="1" applyBorder="1" applyAlignment="1">
      <alignment horizontal="left" vertical="center"/>
    </xf>
    <xf numFmtId="178" fontId="1" fillId="0" borderId="5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77" fontId="1" fillId="4" borderId="2" xfId="0" applyNumberFormat="1" applyFont="1" applyFill="1" applyBorder="1" applyAlignment="1">
      <alignment vertical="center"/>
    </xf>
    <xf numFmtId="1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vertical="center"/>
    </xf>
    <xf numFmtId="0" fontId="2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0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9" fontId="3" fillId="6" borderId="2" xfId="11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vertical="center"/>
    </xf>
    <xf numFmtId="177" fontId="3" fillId="3" borderId="2" xfId="0" applyNumberFormat="1" applyFont="1" applyFill="1" applyBorder="1" applyAlignment="1">
      <alignment vertical="center"/>
    </xf>
    <xf numFmtId="0" fontId="1" fillId="0" borderId="2" xfId="0" applyFont="1" applyBorder="1" applyAlignment="1" applyProtection="1">
      <alignment horizontal="left" vertical="top" wrapText="1"/>
    </xf>
    <xf numFmtId="0" fontId="7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6" borderId="2" xfId="11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9" fontId="2" fillId="6" borderId="2" xfId="11" applyNumberFormat="1" applyFont="1" applyFill="1" applyBorder="1" applyAlignment="1">
      <alignment horizontal="center" vertical="center"/>
    </xf>
    <xf numFmtId="9" fontId="1" fillId="6" borderId="2" xfId="11" applyNumberFormat="1" applyFont="1" applyFill="1" applyBorder="1" applyAlignment="1">
      <alignment horizontal="center" vertical="center"/>
    </xf>
    <xf numFmtId="178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0" fontId="2" fillId="4" borderId="2" xfId="0" applyNumberFormat="1" applyFont="1" applyFill="1" applyBorder="1" applyAlignment="1">
      <alignment vertical="center"/>
    </xf>
    <xf numFmtId="0" fontId="1" fillId="4" borderId="2" xfId="0" applyFont="1" applyFill="1" applyBorder="1" applyAlignment="1" applyProtection="1">
      <alignment horizontal="left" vertical="top" wrapText="1"/>
    </xf>
    <xf numFmtId="0" fontId="1" fillId="8" borderId="2" xfId="0" applyFont="1" applyFill="1" applyBorder="1" applyAlignment="1">
      <alignment vertical="center"/>
    </xf>
    <xf numFmtId="10" fontId="2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>
      <alignment horizontal="left" vertical="center"/>
    </xf>
    <xf numFmtId="177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Border="1"/>
    <xf numFmtId="10" fontId="3" fillId="0" borderId="2" xfId="0" applyNumberFormat="1" applyFont="1" applyFill="1" applyBorder="1" applyAlignment="1">
      <alignment vertical="center"/>
    </xf>
    <xf numFmtId="10" fontId="2" fillId="0" borderId="0" xfId="0" applyNumberFormat="1" applyFont="1" applyFill="1" applyAlignment="1">
      <alignment vertical="center"/>
    </xf>
    <xf numFmtId="177" fontId="1" fillId="9" borderId="2" xfId="0" applyNumberFormat="1" applyFont="1" applyFill="1" applyBorder="1" applyAlignment="1">
      <alignment vertical="center"/>
    </xf>
    <xf numFmtId="10" fontId="9" fillId="0" borderId="2" xfId="0" applyNumberFormat="1" applyFont="1" applyFill="1" applyBorder="1" applyAlignment="1">
      <alignment vertical="center"/>
    </xf>
    <xf numFmtId="0" fontId="7" fillId="10" borderId="2" xfId="0" applyFont="1" applyFill="1" applyBorder="1" applyAlignment="1">
      <alignment horizontal="left" vertical="center"/>
    </xf>
    <xf numFmtId="177" fontId="1" fillId="11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horizontal="left" vertical="center"/>
    </xf>
    <xf numFmtId="177" fontId="1" fillId="12" borderId="2" xfId="0" applyNumberFormat="1" applyFont="1" applyFill="1" applyBorder="1" applyAlignment="1">
      <alignment vertical="center"/>
    </xf>
    <xf numFmtId="177" fontId="3" fillId="4" borderId="2" xfId="0" applyNumberFormat="1" applyFont="1" applyFill="1" applyBorder="1" applyAlignment="1">
      <alignment vertical="center"/>
    </xf>
    <xf numFmtId="177" fontId="2" fillId="13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2" fillId="4" borderId="2" xfId="0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horizontal="right" vertical="center"/>
    </xf>
    <xf numFmtId="177" fontId="11" fillId="0" borderId="2" xfId="0" applyNumberFormat="1" applyFont="1" applyBorder="1" applyAlignment="1">
      <alignment vertical="center"/>
    </xf>
    <xf numFmtId="0" fontId="11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7" fontId="1" fillId="13" borderId="2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10" fontId="5" fillId="0" borderId="2" xfId="0" applyNumberFormat="1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1" fillId="0" borderId="2" xfId="0" applyNumberFormat="1" applyFont="1" applyFill="1" applyBorder="1" applyAlignment="1">
      <alignment vertical="center"/>
    </xf>
    <xf numFmtId="176" fontId="2" fillId="3" borderId="2" xfId="0" applyNumberFormat="1" applyFont="1" applyFill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5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1" fillId="4" borderId="2" xfId="0" applyNumberFormat="1" applyFont="1" applyFill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3" borderId="2" xfId="0" applyNumberFormat="1" applyFont="1" applyFill="1" applyBorder="1" applyAlignment="1">
      <alignment vertical="center"/>
    </xf>
    <xf numFmtId="176" fontId="1" fillId="3" borderId="2" xfId="0" applyNumberFormat="1" applyFont="1" applyFill="1" applyBorder="1" applyAlignment="1">
      <alignment vertical="center"/>
    </xf>
    <xf numFmtId="178" fontId="1" fillId="8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vertical="center"/>
    </xf>
    <xf numFmtId="0" fontId="1" fillId="8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vertical="center"/>
    </xf>
    <xf numFmtId="0" fontId="8" fillId="0" borderId="0" xfId="0" applyFont="1"/>
    <xf numFmtId="176" fontId="1" fillId="9" borderId="2" xfId="0" applyNumberFormat="1" applyFont="1" applyFill="1" applyBorder="1" applyAlignment="1">
      <alignment vertical="center"/>
    </xf>
    <xf numFmtId="176" fontId="2" fillId="9" borderId="2" xfId="0" applyNumberFormat="1" applyFont="1" applyFill="1" applyBorder="1" applyAlignment="1">
      <alignment vertical="center"/>
    </xf>
    <xf numFmtId="176" fontId="2" fillId="8" borderId="2" xfId="0" applyNumberFormat="1" applyFont="1" applyFill="1" applyBorder="1" applyAlignment="1">
      <alignment vertical="center"/>
    </xf>
    <xf numFmtId="176" fontId="1" fillId="5" borderId="2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0" fontId="2" fillId="14" borderId="0" xfId="0" applyFont="1" applyFill="1" applyAlignment="1">
      <alignment vertical="center"/>
    </xf>
    <xf numFmtId="9" fontId="2" fillId="15" borderId="2" xfId="11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vertical="center"/>
    </xf>
    <xf numFmtId="0" fontId="2" fillId="12" borderId="0" xfId="0" applyFont="1" applyFill="1" applyBorder="1" applyAlignment="1">
      <alignment vertical="center"/>
    </xf>
    <xf numFmtId="10" fontId="2" fillId="8" borderId="2" xfId="0" applyNumberFormat="1" applyFont="1" applyFill="1" applyBorder="1" applyAlignment="1">
      <alignment vertical="center"/>
    </xf>
    <xf numFmtId="9" fontId="3" fillId="15" borderId="2" xfId="11" applyFont="1" applyFill="1" applyBorder="1" applyAlignment="1">
      <alignment horizontal="center" vertical="center"/>
    </xf>
    <xf numFmtId="9" fontId="1" fillId="15" borderId="2" xfId="11" applyFont="1" applyFill="1" applyBorder="1" applyAlignment="1">
      <alignment horizontal="center" vertical="center"/>
    </xf>
    <xf numFmtId="9" fontId="2" fillId="15" borderId="2" xfId="11" applyNumberFormat="1" applyFont="1" applyFill="1" applyBorder="1" applyAlignment="1">
      <alignment horizontal="center" vertical="center"/>
    </xf>
    <xf numFmtId="9" fontId="1" fillId="15" borderId="2" xfId="11" applyNumberFormat="1" applyFont="1" applyFill="1" applyBorder="1" applyAlignment="1">
      <alignment horizontal="center" vertical="center"/>
    </xf>
    <xf numFmtId="178" fontId="2" fillId="14" borderId="2" xfId="0" applyNumberFormat="1" applyFont="1" applyFill="1" applyBorder="1" applyAlignment="1">
      <alignment horizontal="center" vertical="center"/>
    </xf>
    <xf numFmtId="176" fontId="2" fillId="14" borderId="2" xfId="0" applyNumberFormat="1" applyFont="1" applyFill="1" applyBorder="1" applyAlignment="1">
      <alignment vertical="center"/>
    </xf>
    <xf numFmtId="179" fontId="2" fillId="14" borderId="2" xfId="0" applyNumberFormat="1" applyFont="1" applyFill="1" applyBorder="1" applyAlignment="1">
      <alignment horizontal="center" vertical="center"/>
    </xf>
    <xf numFmtId="0" fontId="2" fillId="14" borderId="2" xfId="0" applyNumberFormat="1" applyFont="1" applyFill="1" applyBorder="1" applyAlignment="1">
      <alignment horizontal="center" vertical="center"/>
    </xf>
    <xf numFmtId="9" fontId="2" fillId="14" borderId="2" xfId="11" applyFont="1" applyFill="1" applyBorder="1" applyAlignment="1">
      <alignment horizontal="center" vertical="center"/>
    </xf>
    <xf numFmtId="176" fontId="2" fillId="14" borderId="3" xfId="0" applyNumberFormat="1" applyFont="1" applyFill="1" applyBorder="1" applyAlignment="1">
      <alignment vertical="center"/>
    </xf>
    <xf numFmtId="178" fontId="1" fillId="14" borderId="2" xfId="0" applyNumberFormat="1" applyFont="1" applyFill="1" applyBorder="1" applyAlignment="1">
      <alignment horizontal="center" vertical="center"/>
    </xf>
    <xf numFmtId="0" fontId="10" fillId="16" borderId="2" xfId="0" applyFont="1" applyFill="1" applyBorder="1" applyAlignment="1">
      <alignment horizontal="left" vertical="center"/>
    </xf>
    <xf numFmtId="176" fontId="2" fillId="4" borderId="2" xfId="0" applyNumberFormat="1" applyFont="1" applyFill="1" applyBorder="1" applyAlignment="1">
      <alignment vertical="center"/>
    </xf>
    <xf numFmtId="176" fontId="1" fillId="14" borderId="2" xfId="0" applyNumberFormat="1" applyFont="1" applyFill="1" applyBorder="1" applyAlignment="1">
      <alignment vertical="center"/>
    </xf>
    <xf numFmtId="0" fontId="1" fillId="14" borderId="5" xfId="0" applyFont="1" applyFill="1" applyBorder="1" applyAlignment="1">
      <alignment horizontal="center" vertical="center"/>
    </xf>
    <xf numFmtId="10" fontId="2" fillId="14" borderId="2" xfId="0" applyNumberFormat="1" applyFont="1" applyFill="1" applyBorder="1" applyAlignment="1">
      <alignment vertical="center"/>
    </xf>
    <xf numFmtId="0" fontId="2" fillId="14" borderId="2" xfId="0" applyFont="1" applyFill="1" applyBorder="1" applyAlignment="1">
      <alignment vertical="center"/>
    </xf>
    <xf numFmtId="0" fontId="2" fillId="14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209550</xdr:colOff>
      <xdr:row>222</xdr:row>
      <xdr:rowOff>104775</xdr:rowOff>
    </xdr:from>
    <xdr:to>
      <xdr:col>15</xdr:col>
      <xdr:colOff>530860</xdr:colOff>
      <xdr:row>222</xdr:row>
      <xdr:rowOff>180975</xdr:rowOff>
    </xdr:to>
    <xdr:pic>
      <xdr:nvPicPr>
        <xdr:cNvPr id="2" name="图片 1" descr="30D7A03327AEFDD17F6CC6D4DC9EC7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78200" y="50891440"/>
          <a:ext cx="321310" cy="76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9525</xdr:colOff>
      <xdr:row>227</xdr:row>
      <xdr:rowOff>9525</xdr:rowOff>
    </xdr:from>
    <xdr:to>
      <xdr:col>28</xdr:col>
      <xdr:colOff>609600</xdr:colOff>
      <xdr:row>256</xdr:row>
      <xdr:rowOff>106680</xdr:rowOff>
    </xdr:to>
    <xdr:pic>
      <xdr:nvPicPr>
        <xdr:cNvPr id="2" name="图片 1" descr="30D7A03327AEFDD17F6CC6D4DC9EC7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8485" y="51937920"/>
          <a:ext cx="10056495" cy="67265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9525</xdr:colOff>
      <xdr:row>238</xdr:row>
      <xdr:rowOff>9525</xdr:rowOff>
    </xdr:from>
    <xdr:to>
      <xdr:col>28</xdr:col>
      <xdr:colOff>609600</xdr:colOff>
      <xdr:row>267</xdr:row>
      <xdr:rowOff>106680</xdr:rowOff>
    </xdr:to>
    <xdr:pic>
      <xdr:nvPicPr>
        <xdr:cNvPr id="2" name="图片 1" descr="30D7A03327AEFDD17F6CC6D4DC9EC7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725265" y="54452520"/>
          <a:ext cx="10056495" cy="6726555"/>
        </a:xfrm>
        <a:prstGeom prst="rect">
          <a:avLst/>
        </a:prstGeom>
      </xdr:spPr>
    </xdr:pic>
    <xdr:clientData/>
  </xdr:twoCellAnchor>
  <xdr:twoCellAnchor editAs="oneCell">
    <xdr:from>
      <xdr:col>10</xdr:col>
      <xdr:colOff>485775</xdr:colOff>
      <xdr:row>11</xdr:row>
      <xdr:rowOff>180340</xdr:rowOff>
    </xdr:from>
    <xdr:to>
      <xdr:col>10</xdr:col>
      <xdr:colOff>1563370</xdr:colOff>
      <xdr:row>14</xdr:row>
      <xdr:rowOff>152400</xdr:rowOff>
    </xdr:to>
    <xdr:pic>
      <xdr:nvPicPr>
        <xdr:cNvPr id="3" name="图片 2" descr="e79af2a9b9088fef0a44b3e1b024f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21215" y="2744470"/>
          <a:ext cx="1077595" cy="657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5"/>
  <sheetViews>
    <sheetView topLeftCell="A247" workbookViewId="0">
      <selection activeCell="G257" sqref="G257"/>
    </sheetView>
  </sheetViews>
  <sheetFormatPr defaultColWidth="9" defaultRowHeight="11.25"/>
  <cols>
    <col min="1" max="1" width="10.75" style="8" customWidth="1"/>
    <col min="2" max="2" width="13.125" style="6" customWidth="1"/>
    <col min="3" max="3" width="6" style="7" customWidth="1"/>
    <col min="4" max="4" width="13.375" style="7" customWidth="1"/>
    <col min="5" max="5" width="6" style="7" customWidth="1"/>
    <col min="6" max="6" width="13.125" style="6" customWidth="1"/>
    <col min="7" max="7" width="16.125" style="6" customWidth="1"/>
    <col min="8" max="8" width="15.75" style="7" customWidth="1"/>
    <col min="9" max="9" width="17" style="6" customWidth="1"/>
    <col min="10" max="10" width="6.125" style="9" customWidth="1"/>
    <col min="11" max="11" width="47.625" style="1" customWidth="1"/>
    <col min="12" max="12" width="22" style="1" customWidth="1"/>
    <col min="13" max="13" width="6" style="1" customWidth="1"/>
    <col min="14" max="14" width="5.625" style="1" customWidth="1"/>
    <col min="15" max="15" width="9.625" style="1"/>
    <col min="16" max="16" width="19.875" style="1" customWidth="1"/>
    <col min="17" max="17" width="9" style="1"/>
    <col min="18" max="18" width="5.25" style="1" customWidth="1"/>
    <col min="19" max="16384" width="9" style="1"/>
  </cols>
  <sheetData>
    <row r="1" ht="21.95" customHeight="1" spans="1:12">
      <c r="A1" s="10" t="s">
        <v>0</v>
      </c>
      <c r="B1" s="10"/>
      <c r="C1" s="10"/>
      <c r="D1" s="10"/>
      <c r="E1" s="10"/>
      <c r="F1" s="11"/>
      <c r="G1" s="11"/>
      <c r="H1" s="10"/>
      <c r="I1" s="11"/>
      <c r="J1" s="10"/>
      <c r="K1" s="20"/>
      <c r="L1" s="20"/>
    </row>
    <row r="2" ht="18" customHeight="1" spans="1:12">
      <c r="A2" s="12" t="s">
        <v>1</v>
      </c>
      <c r="B2" s="13" t="s">
        <v>2</v>
      </c>
      <c r="C2" s="14" t="s">
        <v>3</v>
      </c>
      <c r="D2" s="114">
        <v>64372010</v>
      </c>
      <c r="E2" s="15" t="s">
        <v>4</v>
      </c>
      <c r="F2" s="16" t="s">
        <v>5</v>
      </c>
      <c r="G2" s="17" t="s">
        <v>6</v>
      </c>
      <c r="H2" s="18" t="s">
        <v>0</v>
      </c>
      <c r="I2" s="46"/>
      <c r="J2" s="47"/>
      <c r="K2" s="20"/>
      <c r="L2" s="20"/>
    </row>
    <row r="3" ht="18" customHeight="1" spans="1:16">
      <c r="A3" s="12" t="s">
        <v>7</v>
      </c>
      <c r="B3" s="19"/>
      <c r="C3" s="14" t="s">
        <v>8</v>
      </c>
      <c r="D3" s="14">
        <v>69057620</v>
      </c>
      <c r="H3" s="20"/>
      <c r="I3" s="48"/>
      <c r="J3" s="20"/>
      <c r="K3" s="20"/>
      <c r="L3" s="20"/>
      <c r="P3" s="49" t="s">
        <v>9</v>
      </c>
    </row>
    <row r="4" ht="18" customHeight="1" spans="1:12">
      <c r="A4" s="8" t="s">
        <v>10</v>
      </c>
      <c r="H4" s="20"/>
      <c r="I4" s="48"/>
      <c r="J4" s="20"/>
      <c r="K4" s="20"/>
      <c r="L4" s="20"/>
    </row>
    <row r="5" ht="18" customHeight="1" spans="1:13">
      <c r="A5" s="21" t="s">
        <v>11</v>
      </c>
      <c r="B5" s="22" t="s">
        <v>12</v>
      </c>
      <c r="C5" s="21" t="s">
        <v>13</v>
      </c>
      <c r="D5" s="21"/>
      <c r="E5" s="21" t="s">
        <v>14</v>
      </c>
      <c r="F5" s="22"/>
      <c r="G5" s="22" t="s">
        <v>15</v>
      </c>
      <c r="H5" s="23" t="s">
        <v>16</v>
      </c>
      <c r="I5" s="22"/>
      <c r="J5" s="23"/>
      <c r="M5" s="1" t="s">
        <v>17</v>
      </c>
    </row>
    <row r="6" ht="18" customHeight="1" spans="1:10">
      <c r="A6" s="21"/>
      <c r="B6" s="22"/>
      <c r="C6" s="21" t="s">
        <v>18</v>
      </c>
      <c r="D6" s="21" t="s">
        <v>19</v>
      </c>
      <c r="E6" s="21" t="s">
        <v>18</v>
      </c>
      <c r="F6" s="22" t="s">
        <v>19</v>
      </c>
      <c r="G6" s="22"/>
      <c r="H6" s="23" t="s">
        <v>20</v>
      </c>
      <c r="I6" s="22" t="s">
        <v>21</v>
      </c>
      <c r="J6" s="23" t="s">
        <v>22</v>
      </c>
    </row>
    <row r="7" ht="18" customHeight="1" spans="1:10">
      <c r="A7" s="24">
        <v>43437</v>
      </c>
      <c r="B7" s="114">
        <f>G7/(1+C7+E7)</f>
        <v>17415127.2727273</v>
      </c>
      <c r="C7" s="25">
        <v>0.02</v>
      </c>
      <c r="D7" s="130">
        <f>G7/(1+E7+C7)*C7</f>
        <v>348302.545454545</v>
      </c>
      <c r="E7" s="25">
        <v>0.08</v>
      </c>
      <c r="F7" s="114">
        <f>G7/(1+C7+E7)*E7</f>
        <v>1393210.18181818</v>
      </c>
      <c r="G7" s="131">
        <v>19156640</v>
      </c>
      <c r="H7" s="24">
        <v>43453</v>
      </c>
      <c r="I7" s="114">
        <v>8000000</v>
      </c>
      <c r="J7" s="50" t="s">
        <v>23</v>
      </c>
    </row>
    <row r="8" ht="18" customHeight="1" spans="1:10">
      <c r="A8" s="24">
        <v>43468</v>
      </c>
      <c r="B8" s="114">
        <f t="shared" ref="B8:B14" si="0">G8/(1+C8+E8)</f>
        <v>9711841.81818182</v>
      </c>
      <c r="C8" s="25">
        <v>0.02</v>
      </c>
      <c r="D8" s="130">
        <f t="shared" ref="D8:D14" si="1">G8/(1+E8+C8)*C8</f>
        <v>194236.836363636</v>
      </c>
      <c r="E8" s="25">
        <v>0.08</v>
      </c>
      <c r="F8" s="114">
        <f t="shared" ref="F8:F14" si="2">G8/(1+C8+E8)*E8</f>
        <v>776947.345454545</v>
      </c>
      <c r="G8" s="131">
        <v>10683026</v>
      </c>
      <c r="H8" s="24">
        <v>43458</v>
      </c>
      <c r="I8" s="114">
        <v>11156640</v>
      </c>
      <c r="J8" s="50" t="s">
        <v>23</v>
      </c>
    </row>
    <row r="9" ht="18" customHeight="1" spans="1:10">
      <c r="A9" s="24">
        <v>43558</v>
      </c>
      <c r="B9" s="114">
        <f t="shared" si="0"/>
        <v>6347220.18348624</v>
      </c>
      <c r="C9" s="25">
        <v>0.02</v>
      </c>
      <c r="D9" s="130">
        <f t="shared" si="1"/>
        <v>126944.403669725</v>
      </c>
      <c r="E9" s="25">
        <v>0.07</v>
      </c>
      <c r="F9" s="114">
        <f t="shared" si="2"/>
        <v>444305.412844037</v>
      </c>
      <c r="G9" s="131">
        <v>6918470</v>
      </c>
      <c r="H9" s="24">
        <v>43482</v>
      </c>
      <c r="I9" s="114">
        <v>10683026</v>
      </c>
      <c r="J9" s="50" t="s">
        <v>23</v>
      </c>
    </row>
    <row r="10" ht="18" customHeight="1" spans="1:10">
      <c r="A10" s="24">
        <v>43606</v>
      </c>
      <c r="B10" s="114">
        <f t="shared" si="0"/>
        <v>6722720.18348624</v>
      </c>
      <c r="C10" s="25">
        <v>0.02</v>
      </c>
      <c r="D10" s="130">
        <f t="shared" si="1"/>
        <v>134454.403669725</v>
      </c>
      <c r="E10" s="25">
        <v>0.07</v>
      </c>
      <c r="F10" s="114">
        <f t="shared" si="2"/>
        <v>470590.412844037</v>
      </c>
      <c r="G10" s="131">
        <v>7327765</v>
      </c>
      <c r="H10" s="24">
        <v>43590</v>
      </c>
      <c r="I10" s="114">
        <v>6918470</v>
      </c>
      <c r="J10" s="50" t="s">
        <v>23</v>
      </c>
    </row>
    <row r="11" ht="18" customHeight="1" spans="1:10">
      <c r="A11" s="24">
        <v>43832</v>
      </c>
      <c r="B11" s="114">
        <f t="shared" si="0"/>
        <v>21009165.1376147</v>
      </c>
      <c r="C11" s="25">
        <v>0.02</v>
      </c>
      <c r="D11" s="130">
        <f t="shared" si="1"/>
        <v>420183.302752294</v>
      </c>
      <c r="E11" s="28">
        <v>0.07</v>
      </c>
      <c r="F11" s="114">
        <f t="shared" si="2"/>
        <v>1470641.55963303</v>
      </c>
      <c r="G11" s="131">
        <v>22899990</v>
      </c>
      <c r="H11" s="24">
        <v>43657</v>
      </c>
      <c r="I11" s="114">
        <v>3000000</v>
      </c>
      <c r="J11" s="50" t="s">
        <v>23</v>
      </c>
    </row>
    <row r="12" ht="18" customHeight="1" spans="1:10">
      <c r="A12" s="24"/>
      <c r="B12" s="114">
        <f t="shared" si="0"/>
        <v>0</v>
      </c>
      <c r="C12" s="25">
        <v>0.02</v>
      </c>
      <c r="D12" s="130">
        <f t="shared" si="1"/>
        <v>0</v>
      </c>
      <c r="E12" s="28">
        <v>0.07</v>
      </c>
      <c r="F12" s="114">
        <f t="shared" si="2"/>
        <v>0</v>
      </c>
      <c r="G12" s="131"/>
      <c r="H12" s="24">
        <v>43705</v>
      </c>
      <c r="I12" s="114">
        <v>1000000</v>
      </c>
      <c r="J12" s="50" t="s">
        <v>23</v>
      </c>
    </row>
    <row r="13" ht="18" customHeight="1" spans="1:12">
      <c r="A13" s="24"/>
      <c r="B13" s="114">
        <f t="shared" si="0"/>
        <v>0</v>
      </c>
      <c r="C13" s="25">
        <v>0.02</v>
      </c>
      <c r="D13" s="130">
        <f t="shared" si="1"/>
        <v>0</v>
      </c>
      <c r="E13" s="25">
        <v>0.08</v>
      </c>
      <c r="F13" s="114">
        <f t="shared" si="2"/>
        <v>0</v>
      </c>
      <c r="G13" s="131"/>
      <c r="H13" s="24">
        <v>43754</v>
      </c>
      <c r="I13" s="114">
        <v>3327765</v>
      </c>
      <c r="J13" s="50" t="s">
        <v>23</v>
      </c>
      <c r="L13" s="1">
        <f>D3-G15</f>
        <v>2071729</v>
      </c>
    </row>
    <row r="14" ht="18" customHeight="1" spans="1:10">
      <c r="A14" s="24"/>
      <c r="B14" s="114">
        <f t="shared" si="0"/>
        <v>0</v>
      </c>
      <c r="C14" s="25">
        <v>0.02</v>
      </c>
      <c r="D14" s="130">
        <f t="shared" si="1"/>
        <v>0</v>
      </c>
      <c r="E14" s="25">
        <v>0.08</v>
      </c>
      <c r="F14" s="114">
        <f t="shared" si="2"/>
        <v>0</v>
      </c>
      <c r="G14" s="131"/>
      <c r="H14" s="24">
        <v>43852</v>
      </c>
      <c r="I14" s="114">
        <v>22899990</v>
      </c>
      <c r="J14" s="50" t="s">
        <v>23</v>
      </c>
    </row>
    <row r="15" ht="18" customHeight="1" spans="1:10">
      <c r="A15" s="29" t="s">
        <v>24</v>
      </c>
      <c r="B15" s="132">
        <f t="shared" ref="B15:G15" si="3">SUM(B7:B14)</f>
        <v>61206074.5954963</v>
      </c>
      <c r="C15" s="31"/>
      <c r="D15" s="133">
        <f t="shared" si="3"/>
        <v>1224121.49190992</v>
      </c>
      <c r="E15" s="31"/>
      <c r="F15" s="134">
        <f t="shared" si="3"/>
        <v>4555694.91259383</v>
      </c>
      <c r="G15" s="133">
        <f t="shared" si="3"/>
        <v>66985891</v>
      </c>
      <c r="H15" s="33"/>
      <c r="I15" s="133">
        <f>SUM(I7:I14)</f>
        <v>66985891</v>
      </c>
      <c r="J15" s="33"/>
    </row>
    <row r="16" ht="18" customHeight="1" spans="1:12">
      <c r="A16" s="8" t="s">
        <v>25</v>
      </c>
      <c r="J16" s="7"/>
      <c r="K16" s="7"/>
      <c r="L16" s="9"/>
    </row>
    <row r="17" ht="18" customHeight="1" spans="1:15">
      <c r="A17" s="34" t="s">
        <v>26</v>
      </c>
      <c r="B17" s="22" t="s">
        <v>27</v>
      </c>
      <c r="C17" s="21" t="s">
        <v>28</v>
      </c>
      <c r="D17" s="21" t="s">
        <v>29</v>
      </c>
      <c r="E17" s="21" t="s">
        <v>18</v>
      </c>
      <c r="F17" s="22" t="s">
        <v>30</v>
      </c>
      <c r="G17" s="22" t="s">
        <v>15</v>
      </c>
      <c r="H17" s="21" t="s">
        <v>31</v>
      </c>
      <c r="I17" s="22" t="s">
        <v>32</v>
      </c>
      <c r="J17" s="21" t="s">
        <v>22</v>
      </c>
      <c r="K17" s="51" t="s">
        <v>33</v>
      </c>
      <c r="L17" s="23" t="s">
        <v>34</v>
      </c>
      <c r="M17" s="23" t="s">
        <v>35</v>
      </c>
      <c r="N17" s="23" t="s">
        <v>36</v>
      </c>
      <c r="O17" s="23" t="s">
        <v>37</v>
      </c>
    </row>
    <row r="18" s="2" customFormat="1" ht="18" customHeight="1" spans="1:15">
      <c r="A18" s="13" t="s">
        <v>38</v>
      </c>
      <c r="B18" s="19">
        <f>ROUND(G18/(1+E18),2)</f>
        <v>196335.47</v>
      </c>
      <c r="C18" s="36"/>
      <c r="D18" s="37" t="s">
        <v>39</v>
      </c>
      <c r="E18" s="152">
        <v>0.06</v>
      </c>
      <c r="F18" s="19">
        <f t="shared" ref="F18:F81" si="4">ROUND(G18/(1+E18)*E18,2)</f>
        <v>11780.13</v>
      </c>
      <c r="G18" s="131">
        <v>208115.6</v>
      </c>
      <c r="H18" s="24">
        <v>43341</v>
      </c>
      <c r="I18" s="136">
        <v>208115.6</v>
      </c>
      <c r="J18" s="50" t="s">
        <v>40</v>
      </c>
      <c r="K18" s="53" t="s">
        <v>41</v>
      </c>
      <c r="L18" s="54" t="s">
        <v>42</v>
      </c>
      <c r="M18" s="55"/>
      <c r="N18" s="55"/>
      <c r="O18" s="54"/>
    </row>
    <row r="19" s="2" customFormat="1" ht="18" customHeight="1" spans="1:15">
      <c r="A19" s="13"/>
      <c r="B19" s="19">
        <f t="shared" ref="B19:B82" si="5">ROUND(G19/(1+E19),2)</f>
        <v>0</v>
      </c>
      <c r="C19" s="36"/>
      <c r="D19" s="37"/>
      <c r="E19" s="152"/>
      <c r="F19" s="19">
        <f t="shared" si="4"/>
        <v>0</v>
      </c>
      <c r="G19" s="131"/>
      <c r="H19" s="24">
        <v>43341</v>
      </c>
      <c r="I19" s="130">
        <v>-208115.6</v>
      </c>
      <c r="J19" s="50" t="s">
        <v>43</v>
      </c>
      <c r="K19" s="53" t="s">
        <v>44</v>
      </c>
      <c r="L19" s="54"/>
      <c r="M19" s="55"/>
      <c r="N19" s="55"/>
      <c r="O19" s="54"/>
    </row>
    <row r="20" s="3" customFormat="1" ht="18" customHeight="1" spans="1:17">
      <c r="A20" s="39" t="s">
        <v>38</v>
      </c>
      <c r="B20" s="135">
        <f t="shared" si="5"/>
        <v>187395.21</v>
      </c>
      <c r="C20" s="41"/>
      <c r="D20" s="37" t="s">
        <v>45</v>
      </c>
      <c r="E20" s="152"/>
      <c r="F20" s="135">
        <f t="shared" si="4"/>
        <v>0</v>
      </c>
      <c r="G20" s="131">
        <f>100000+87395.21</f>
        <v>187395.21</v>
      </c>
      <c r="H20" s="43"/>
      <c r="I20" s="130"/>
      <c r="J20" s="56"/>
      <c r="K20" s="57" t="s">
        <v>46</v>
      </c>
      <c r="L20" s="57" t="s">
        <v>47</v>
      </c>
      <c r="M20" s="58"/>
      <c r="N20" s="58"/>
      <c r="O20" s="153" t="s">
        <v>48</v>
      </c>
      <c r="P20" s="154"/>
      <c r="Q20" s="154"/>
    </row>
    <row r="21" s="2" customFormat="1" ht="18" customHeight="1" spans="1:15">
      <c r="A21" s="13">
        <v>43397</v>
      </c>
      <c r="B21" s="19">
        <f t="shared" si="5"/>
        <v>95586.21</v>
      </c>
      <c r="C21" s="36">
        <v>2</v>
      </c>
      <c r="D21" s="37" t="s">
        <v>39</v>
      </c>
      <c r="E21" s="152">
        <v>0.16</v>
      </c>
      <c r="F21" s="19">
        <f t="shared" si="4"/>
        <v>15293.79</v>
      </c>
      <c r="G21" s="131">
        <v>110880</v>
      </c>
      <c r="H21" s="24">
        <v>43341</v>
      </c>
      <c r="I21" s="136">
        <v>110880</v>
      </c>
      <c r="J21" s="50" t="s">
        <v>40</v>
      </c>
      <c r="K21" s="53" t="s">
        <v>49</v>
      </c>
      <c r="L21" s="54" t="s">
        <v>50</v>
      </c>
      <c r="M21" s="55"/>
      <c r="N21" s="55"/>
      <c r="O21" s="54"/>
    </row>
    <row r="22" s="2" customFormat="1" ht="18" customHeight="1" spans="1:15">
      <c r="A22" s="13"/>
      <c r="B22" s="19">
        <f t="shared" si="5"/>
        <v>0</v>
      </c>
      <c r="C22" s="36"/>
      <c r="D22" s="37"/>
      <c r="E22" s="152"/>
      <c r="F22" s="19">
        <f t="shared" si="4"/>
        <v>0</v>
      </c>
      <c r="G22" s="131"/>
      <c r="H22" s="24">
        <v>43341</v>
      </c>
      <c r="I22" s="130">
        <v>-110880</v>
      </c>
      <c r="J22" s="50" t="s">
        <v>43</v>
      </c>
      <c r="K22" s="53" t="s">
        <v>44</v>
      </c>
      <c r="L22" s="54"/>
      <c r="M22" s="55"/>
      <c r="N22" s="55"/>
      <c r="O22" s="54"/>
    </row>
    <row r="23" s="2" customFormat="1" ht="18" customHeight="1" spans="1:15">
      <c r="A23" s="13" t="s">
        <v>51</v>
      </c>
      <c r="B23" s="19">
        <f t="shared" si="5"/>
        <v>3650</v>
      </c>
      <c r="C23" s="36"/>
      <c r="D23" s="37" t="s">
        <v>45</v>
      </c>
      <c r="E23" s="152"/>
      <c r="F23" s="19">
        <f t="shared" si="4"/>
        <v>0</v>
      </c>
      <c r="G23" s="147">
        <v>3650</v>
      </c>
      <c r="H23" s="24"/>
      <c r="I23" s="130"/>
      <c r="J23" s="50"/>
      <c r="K23" s="61" t="s">
        <v>52</v>
      </c>
      <c r="L23" s="61" t="s">
        <v>53</v>
      </c>
      <c r="M23" s="55"/>
      <c r="N23" s="55"/>
      <c r="O23" s="54"/>
    </row>
    <row r="24" s="2" customFormat="1" ht="18" customHeight="1" spans="1:15">
      <c r="A24" s="13"/>
      <c r="B24" s="19">
        <f t="shared" si="5"/>
        <v>0</v>
      </c>
      <c r="C24" s="36"/>
      <c r="D24" s="37"/>
      <c r="E24" s="152"/>
      <c r="F24" s="19">
        <f t="shared" si="4"/>
        <v>0</v>
      </c>
      <c r="G24" s="131"/>
      <c r="H24" s="24">
        <v>43350</v>
      </c>
      <c r="I24" s="136">
        <v>200000</v>
      </c>
      <c r="J24" s="50" t="s">
        <v>40</v>
      </c>
      <c r="K24" s="53" t="s">
        <v>54</v>
      </c>
      <c r="L24" s="54" t="s">
        <v>55</v>
      </c>
      <c r="M24" s="55" t="s">
        <v>56</v>
      </c>
      <c r="N24" s="55"/>
      <c r="O24" s="54"/>
    </row>
    <row r="25" s="2" customFormat="1" ht="18" customHeight="1" spans="1:15">
      <c r="A25" s="13"/>
      <c r="B25" s="19">
        <f t="shared" si="5"/>
        <v>0</v>
      </c>
      <c r="C25" s="36"/>
      <c r="D25" s="37"/>
      <c r="E25" s="152"/>
      <c r="F25" s="19">
        <f t="shared" si="4"/>
        <v>0</v>
      </c>
      <c r="G25" s="131"/>
      <c r="H25" s="24">
        <v>43350</v>
      </c>
      <c r="I25" s="130">
        <v>-200000</v>
      </c>
      <c r="J25" s="50" t="s">
        <v>43</v>
      </c>
      <c r="K25" s="53" t="s">
        <v>44</v>
      </c>
      <c r="L25" s="54"/>
      <c r="M25" s="55"/>
      <c r="N25" s="55"/>
      <c r="O25" s="54"/>
    </row>
    <row r="26" s="4" customFormat="1" ht="18" customHeight="1" spans="1:15">
      <c r="A26" s="13"/>
      <c r="B26" s="19">
        <f t="shared" si="5"/>
        <v>0</v>
      </c>
      <c r="C26" s="44"/>
      <c r="D26" s="37"/>
      <c r="E26" s="152"/>
      <c r="F26" s="19">
        <f t="shared" si="4"/>
        <v>0</v>
      </c>
      <c r="G26" s="131"/>
      <c r="H26" s="45">
        <v>43362</v>
      </c>
      <c r="I26" s="136">
        <v>100000</v>
      </c>
      <c r="J26" s="50" t="s">
        <v>40</v>
      </c>
      <c r="K26" s="62" t="s">
        <v>57</v>
      </c>
      <c r="L26" s="63" t="s">
        <v>58</v>
      </c>
      <c r="M26" s="55" t="s">
        <v>56</v>
      </c>
      <c r="N26" s="64"/>
      <c r="O26" s="63"/>
    </row>
    <row r="27" s="4" customFormat="1" ht="18" customHeight="1" spans="1:15">
      <c r="A27" s="13"/>
      <c r="B27" s="19">
        <f t="shared" si="5"/>
        <v>0</v>
      </c>
      <c r="C27" s="44"/>
      <c r="D27" s="37"/>
      <c r="E27" s="152"/>
      <c r="F27" s="19">
        <f t="shared" si="4"/>
        <v>0</v>
      </c>
      <c r="G27" s="131"/>
      <c r="H27" s="45">
        <v>43362</v>
      </c>
      <c r="I27" s="136">
        <v>-100000</v>
      </c>
      <c r="J27" s="50" t="s">
        <v>43</v>
      </c>
      <c r="K27" s="62" t="s">
        <v>44</v>
      </c>
      <c r="L27" s="63"/>
      <c r="M27" s="64"/>
      <c r="N27" s="64"/>
      <c r="O27" s="63"/>
    </row>
    <row r="28" s="2" customFormat="1" ht="18" customHeight="1" spans="1:15">
      <c r="A28" s="13"/>
      <c r="B28" s="19">
        <f t="shared" si="5"/>
        <v>0</v>
      </c>
      <c r="C28" s="36"/>
      <c r="D28" s="37"/>
      <c r="E28" s="152"/>
      <c r="F28" s="19">
        <f t="shared" si="4"/>
        <v>0</v>
      </c>
      <c r="G28" s="131"/>
      <c r="H28" s="45">
        <v>43362</v>
      </c>
      <c r="I28" s="136">
        <v>200000</v>
      </c>
      <c r="J28" s="50" t="s">
        <v>40</v>
      </c>
      <c r="K28" s="53" t="s">
        <v>59</v>
      </c>
      <c r="L28" s="63" t="s">
        <v>60</v>
      </c>
      <c r="M28" s="55" t="s">
        <v>56</v>
      </c>
      <c r="N28" s="55"/>
      <c r="O28" s="54"/>
    </row>
    <row r="29" s="2" customFormat="1" ht="18" customHeight="1" spans="1:15">
      <c r="A29" s="13"/>
      <c r="B29" s="19">
        <f t="shared" si="5"/>
        <v>0</v>
      </c>
      <c r="C29" s="36"/>
      <c r="D29" s="37"/>
      <c r="E29" s="152"/>
      <c r="F29" s="19">
        <f t="shared" si="4"/>
        <v>0</v>
      </c>
      <c r="G29" s="131"/>
      <c r="H29" s="45">
        <v>43362</v>
      </c>
      <c r="I29" s="136">
        <v>-200000</v>
      </c>
      <c r="J29" s="50" t="s">
        <v>43</v>
      </c>
      <c r="K29" s="53" t="s">
        <v>44</v>
      </c>
      <c r="L29" s="63"/>
      <c r="M29" s="55"/>
      <c r="N29" s="55"/>
      <c r="O29" s="54"/>
    </row>
    <row r="30" s="2" customFormat="1" ht="18" customHeight="1" spans="1:15">
      <c r="A30" s="13"/>
      <c r="B30" s="19">
        <f t="shared" si="5"/>
        <v>0</v>
      </c>
      <c r="C30" s="36"/>
      <c r="D30" s="37"/>
      <c r="E30" s="152"/>
      <c r="F30" s="19">
        <f t="shared" si="4"/>
        <v>0</v>
      </c>
      <c r="G30" s="131"/>
      <c r="H30" s="24">
        <v>43369</v>
      </c>
      <c r="I30" s="136">
        <v>100000</v>
      </c>
      <c r="J30" s="50" t="s">
        <v>40</v>
      </c>
      <c r="K30" s="53" t="s">
        <v>57</v>
      </c>
      <c r="L30" s="54" t="s">
        <v>58</v>
      </c>
      <c r="M30" s="55" t="s">
        <v>56</v>
      </c>
      <c r="N30" s="55"/>
      <c r="O30" s="54"/>
    </row>
    <row r="31" s="2" customFormat="1" ht="18" customHeight="1" spans="1:15">
      <c r="A31" s="13"/>
      <c r="B31" s="19">
        <f t="shared" si="5"/>
        <v>0</v>
      </c>
      <c r="C31" s="36"/>
      <c r="D31" s="37"/>
      <c r="E31" s="152"/>
      <c r="F31" s="19">
        <f t="shared" si="4"/>
        <v>0</v>
      </c>
      <c r="G31" s="131"/>
      <c r="H31" s="24">
        <v>43369</v>
      </c>
      <c r="I31" s="136">
        <v>-100000</v>
      </c>
      <c r="J31" s="50" t="s">
        <v>43</v>
      </c>
      <c r="K31" s="53" t="s">
        <v>44</v>
      </c>
      <c r="L31" s="54"/>
      <c r="M31" s="55"/>
      <c r="N31" s="55"/>
      <c r="O31" s="54"/>
    </row>
    <row r="32" s="2" customFormat="1" ht="18" customHeight="1" spans="1:15">
      <c r="A32" s="13"/>
      <c r="B32" s="19">
        <f t="shared" si="5"/>
        <v>0</v>
      </c>
      <c r="C32" s="36"/>
      <c r="D32" s="37"/>
      <c r="E32" s="152"/>
      <c r="F32" s="19">
        <f t="shared" si="4"/>
        <v>0</v>
      </c>
      <c r="G32" s="131"/>
      <c r="H32" s="24">
        <v>43369</v>
      </c>
      <c r="I32" s="136">
        <v>100000</v>
      </c>
      <c r="J32" s="50" t="s">
        <v>40</v>
      </c>
      <c r="K32" s="53" t="s">
        <v>61</v>
      </c>
      <c r="L32" s="54" t="s">
        <v>62</v>
      </c>
      <c r="M32" s="55" t="s">
        <v>56</v>
      </c>
      <c r="N32" s="55"/>
      <c r="O32" s="54"/>
    </row>
    <row r="33" s="2" customFormat="1" ht="18" customHeight="1" spans="1:15">
      <c r="A33" s="13"/>
      <c r="B33" s="19">
        <f t="shared" si="5"/>
        <v>0</v>
      </c>
      <c r="C33" s="36"/>
      <c r="D33" s="37"/>
      <c r="E33" s="152"/>
      <c r="F33" s="19">
        <f t="shared" si="4"/>
        <v>0</v>
      </c>
      <c r="G33" s="131"/>
      <c r="H33" s="24">
        <v>43369</v>
      </c>
      <c r="I33" s="136">
        <v>-100000</v>
      </c>
      <c r="J33" s="50" t="s">
        <v>43</v>
      </c>
      <c r="K33" s="53" t="s">
        <v>44</v>
      </c>
      <c r="L33" s="54"/>
      <c r="M33" s="55"/>
      <c r="N33" s="55"/>
      <c r="O33" s="54"/>
    </row>
    <row r="34" s="2" customFormat="1" ht="18" customHeight="1" spans="1:15">
      <c r="A34" s="13">
        <v>43397</v>
      </c>
      <c r="B34" s="19">
        <f t="shared" si="5"/>
        <v>68109.66</v>
      </c>
      <c r="C34" s="36">
        <v>1</v>
      </c>
      <c r="D34" s="37" t="s">
        <v>39</v>
      </c>
      <c r="E34" s="152">
        <v>0.16</v>
      </c>
      <c r="F34" s="19">
        <f t="shared" si="4"/>
        <v>10897.55</v>
      </c>
      <c r="G34" s="131">
        <v>79007.21</v>
      </c>
      <c r="H34" s="24">
        <v>43369</v>
      </c>
      <c r="I34" s="136">
        <v>55493.35</v>
      </c>
      <c r="J34" s="50" t="s">
        <v>40</v>
      </c>
      <c r="K34" s="53" t="s">
        <v>63</v>
      </c>
      <c r="L34" s="54" t="s">
        <v>64</v>
      </c>
      <c r="M34" s="55" t="s">
        <v>56</v>
      </c>
      <c r="N34" s="55"/>
      <c r="O34" s="54"/>
    </row>
    <row r="35" s="2" customFormat="1" ht="18" customHeight="1" spans="1:15">
      <c r="A35" s="13"/>
      <c r="B35" s="19">
        <f t="shared" si="5"/>
        <v>0</v>
      </c>
      <c r="C35" s="36"/>
      <c r="D35" s="37"/>
      <c r="E35" s="152"/>
      <c r="F35" s="19">
        <f t="shared" si="4"/>
        <v>0</v>
      </c>
      <c r="G35" s="131"/>
      <c r="H35" s="24">
        <v>43369</v>
      </c>
      <c r="I35" s="136">
        <v>-55493.35</v>
      </c>
      <c r="J35" s="50" t="s">
        <v>43</v>
      </c>
      <c r="K35" s="53" t="s">
        <v>44</v>
      </c>
      <c r="L35" s="54"/>
      <c r="M35" s="55"/>
      <c r="N35" s="55"/>
      <c r="O35" s="54"/>
    </row>
    <row r="36" s="2" customFormat="1" ht="18" customHeight="1" spans="1:15">
      <c r="A36" s="13" t="s">
        <v>51</v>
      </c>
      <c r="B36" s="19">
        <f t="shared" si="5"/>
        <v>102254.31</v>
      </c>
      <c r="C36" s="36">
        <v>2</v>
      </c>
      <c r="D36" s="37" t="s">
        <v>39</v>
      </c>
      <c r="E36" s="152">
        <v>0.16</v>
      </c>
      <c r="F36" s="19">
        <f t="shared" si="4"/>
        <v>16360.69</v>
      </c>
      <c r="G36" s="131">
        <v>118615</v>
      </c>
      <c r="H36" s="24">
        <v>43370</v>
      </c>
      <c r="I36" s="136">
        <v>58765</v>
      </c>
      <c r="J36" s="50" t="s">
        <v>40</v>
      </c>
      <c r="K36" s="53" t="s">
        <v>49</v>
      </c>
      <c r="L36" s="54" t="s">
        <v>50</v>
      </c>
      <c r="M36" s="55"/>
      <c r="N36" s="55"/>
      <c r="O36" s="54"/>
    </row>
    <row r="37" s="2" customFormat="1" ht="18" customHeight="1" spans="1:15">
      <c r="A37" s="13"/>
      <c r="B37" s="19">
        <f t="shared" si="5"/>
        <v>0</v>
      </c>
      <c r="C37" s="36"/>
      <c r="D37" s="37"/>
      <c r="E37" s="152"/>
      <c r="F37" s="19">
        <f t="shared" si="4"/>
        <v>0</v>
      </c>
      <c r="G37" s="131"/>
      <c r="H37" s="24">
        <v>43370</v>
      </c>
      <c r="I37" s="136">
        <v>-58765</v>
      </c>
      <c r="J37" s="50" t="s">
        <v>43</v>
      </c>
      <c r="K37" s="53" t="s">
        <v>44</v>
      </c>
      <c r="L37" s="54"/>
      <c r="M37" s="55"/>
      <c r="N37" s="55"/>
      <c r="O37" s="54"/>
    </row>
    <row r="38" s="2" customFormat="1" ht="18" customHeight="1" spans="1:15">
      <c r="A38" s="13" t="s">
        <v>51</v>
      </c>
      <c r="B38" s="19">
        <f t="shared" si="5"/>
        <v>4070</v>
      </c>
      <c r="C38" s="36"/>
      <c r="D38" s="37" t="s">
        <v>45</v>
      </c>
      <c r="E38" s="152"/>
      <c r="F38" s="19">
        <f t="shared" si="4"/>
        <v>0</v>
      </c>
      <c r="G38" s="147">
        <v>4070</v>
      </c>
      <c r="H38" s="24"/>
      <c r="I38" s="136"/>
      <c r="J38" s="50"/>
      <c r="K38" s="155" t="s">
        <v>52</v>
      </c>
      <c r="L38" s="54" t="s">
        <v>53</v>
      </c>
      <c r="M38" s="55"/>
      <c r="N38" s="55"/>
      <c r="O38" s="54"/>
    </row>
    <row r="39" s="2" customFormat="1" ht="18" customHeight="1" spans="1:15">
      <c r="A39" s="13"/>
      <c r="B39" s="19">
        <f t="shared" si="5"/>
        <v>0</v>
      </c>
      <c r="C39" s="36"/>
      <c r="D39" s="37"/>
      <c r="E39" s="152"/>
      <c r="F39" s="19">
        <f t="shared" si="4"/>
        <v>0</v>
      </c>
      <c r="G39" s="131"/>
      <c r="H39" s="24">
        <v>43370</v>
      </c>
      <c r="I39" s="136">
        <v>20000</v>
      </c>
      <c r="J39" s="50" t="s">
        <v>40</v>
      </c>
      <c r="K39" s="53" t="s">
        <v>65</v>
      </c>
      <c r="L39" s="54" t="s">
        <v>60</v>
      </c>
      <c r="M39" s="55" t="s">
        <v>56</v>
      </c>
      <c r="N39" s="55"/>
      <c r="O39" s="54"/>
    </row>
    <row r="40" s="2" customFormat="1" ht="18" customHeight="1" spans="1:15">
      <c r="A40" s="13"/>
      <c r="B40" s="19">
        <f t="shared" si="5"/>
        <v>0</v>
      </c>
      <c r="C40" s="36"/>
      <c r="D40" s="37"/>
      <c r="E40" s="152"/>
      <c r="F40" s="19">
        <f t="shared" si="4"/>
        <v>0</v>
      </c>
      <c r="G40" s="131"/>
      <c r="H40" s="24">
        <v>43370</v>
      </c>
      <c r="I40" s="136">
        <v>-20000</v>
      </c>
      <c r="J40" s="50" t="s">
        <v>43</v>
      </c>
      <c r="K40" s="53" t="s">
        <v>44</v>
      </c>
      <c r="L40" s="54"/>
      <c r="M40" s="55"/>
      <c r="N40" s="55"/>
      <c r="O40" s="54"/>
    </row>
    <row r="41" s="2" customFormat="1" ht="18" customHeight="1" spans="1:15">
      <c r="A41" s="13"/>
      <c r="B41" s="19">
        <f t="shared" si="5"/>
        <v>0</v>
      </c>
      <c r="C41" s="36"/>
      <c r="D41" s="37"/>
      <c r="E41" s="152"/>
      <c r="F41" s="19">
        <f t="shared" si="4"/>
        <v>0</v>
      </c>
      <c r="G41" s="131"/>
      <c r="H41" s="24">
        <v>43370</v>
      </c>
      <c r="I41" s="136">
        <v>50000</v>
      </c>
      <c r="J41" s="50" t="s">
        <v>40</v>
      </c>
      <c r="K41" s="53" t="s">
        <v>66</v>
      </c>
      <c r="L41" s="54" t="s">
        <v>67</v>
      </c>
      <c r="M41" s="55" t="s">
        <v>56</v>
      </c>
      <c r="N41" s="55"/>
      <c r="O41" s="54"/>
    </row>
    <row r="42" s="2" customFormat="1" ht="18" customHeight="1" spans="1:15">
      <c r="A42" s="13"/>
      <c r="B42" s="19">
        <f t="shared" si="5"/>
        <v>0</v>
      </c>
      <c r="C42" s="36"/>
      <c r="D42" s="37"/>
      <c r="E42" s="152"/>
      <c r="F42" s="19">
        <f t="shared" si="4"/>
        <v>0</v>
      </c>
      <c r="G42" s="131"/>
      <c r="H42" s="24">
        <v>43370</v>
      </c>
      <c r="I42" s="136">
        <v>-50000</v>
      </c>
      <c r="J42" s="50" t="s">
        <v>43</v>
      </c>
      <c r="K42" s="53" t="s">
        <v>44</v>
      </c>
      <c r="L42" s="54"/>
      <c r="M42" s="55"/>
      <c r="N42" s="55"/>
      <c r="O42" s="54"/>
    </row>
    <row r="43" s="2" customFormat="1" ht="18" customHeight="1" spans="1:15">
      <c r="A43" s="13"/>
      <c r="B43" s="19">
        <f t="shared" si="5"/>
        <v>0</v>
      </c>
      <c r="C43" s="36"/>
      <c r="D43" s="37"/>
      <c r="E43" s="152"/>
      <c r="F43" s="19">
        <f t="shared" si="4"/>
        <v>0</v>
      </c>
      <c r="G43" s="131"/>
      <c r="H43" s="24">
        <v>43381</v>
      </c>
      <c r="I43" s="136">
        <v>59850</v>
      </c>
      <c r="J43" s="50" t="s">
        <v>40</v>
      </c>
      <c r="K43" s="53" t="s">
        <v>49</v>
      </c>
      <c r="L43" s="54" t="s">
        <v>50</v>
      </c>
      <c r="M43" s="55"/>
      <c r="N43" s="55"/>
      <c r="O43" s="54"/>
    </row>
    <row r="44" s="2" customFormat="1" ht="18" customHeight="1" spans="1:15">
      <c r="A44" s="13"/>
      <c r="B44" s="19">
        <f t="shared" si="5"/>
        <v>0</v>
      </c>
      <c r="C44" s="36"/>
      <c r="D44" s="37"/>
      <c r="E44" s="152"/>
      <c r="F44" s="19">
        <f t="shared" si="4"/>
        <v>0</v>
      </c>
      <c r="G44" s="131"/>
      <c r="H44" s="24">
        <v>43381</v>
      </c>
      <c r="I44" s="136">
        <v>-59850</v>
      </c>
      <c r="J44" s="50" t="s">
        <v>43</v>
      </c>
      <c r="K44" s="53" t="s">
        <v>44</v>
      </c>
      <c r="L44" s="54"/>
      <c r="M44" s="55"/>
      <c r="N44" s="55"/>
      <c r="O44" s="54"/>
    </row>
    <row r="45" s="2" customFormat="1" ht="18" customHeight="1" spans="1:15">
      <c r="A45" s="13"/>
      <c r="B45" s="19">
        <f t="shared" si="5"/>
        <v>0</v>
      </c>
      <c r="C45" s="36"/>
      <c r="D45" s="37"/>
      <c r="E45" s="152"/>
      <c r="F45" s="19">
        <f t="shared" si="4"/>
        <v>0</v>
      </c>
      <c r="G45" s="131"/>
      <c r="H45" s="24">
        <v>43381</v>
      </c>
      <c r="I45" s="136">
        <v>23513.5</v>
      </c>
      <c r="J45" s="50" t="s">
        <v>40</v>
      </c>
      <c r="K45" s="53" t="s">
        <v>63</v>
      </c>
      <c r="L45" s="54" t="s">
        <v>64</v>
      </c>
      <c r="M45" s="55" t="s">
        <v>56</v>
      </c>
      <c r="N45" s="55"/>
      <c r="O45" s="54"/>
    </row>
    <row r="46" s="2" customFormat="1" ht="18" customHeight="1" spans="1:15">
      <c r="A46" s="13"/>
      <c r="B46" s="19">
        <f t="shared" si="5"/>
        <v>0</v>
      </c>
      <c r="C46" s="36"/>
      <c r="D46" s="37"/>
      <c r="E46" s="152"/>
      <c r="F46" s="19">
        <f t="shared" si="4"/>
        <v>0</v>
      </c>
      <c r="G46" s="131"/>
      <c r="H46" s="24">
        <v>43381</v>
      </c>
      <c r="I46" s="136">
        <v>-23513.5</v>
      </c>
      <c r="J46" s="50" t="s">
        <v>43</v>
      </c>
      <c r="K46" s="53" t="s">
        <v>44</v>
      </c>
      <c r="L46" s="54"/>
      <c r="M46" s="55"/>
      <c r="N46" s="55"/>
      <c r="O46" s="54"/>
    </row>
    <row r="47" s="2" customFormat="1" ht="18" customHeight="1" spans="1:15">
      <c r="A47" s="13"/>
      <c r="B47" s="19">
        <f t="shared" si="5"/>
        <v>0</v>
      </c>
      <c r="C47" s="36"/>
      <c r="D47" s="37"/>
      <c r="E47" s="152"/>
      <c r="F47" s="19">
        <f t="shared" si="4"/>
        <v>0</v>
      </c>
      <c r="G47" s="131"/>
      <c r="H47" s="24">
        <v>43381</v>
      </c>
      <c r="I47" s="136">
        <v>200000</v>
      </c>
      <c r="J47" s="50" t="s">
        <v>40</v>
      </c>
      <c r="K47" s="53" t="s">
        <v>57</v>
      </c>
      <c r="L47" s="54" t="s">
        <v>58</v>
      </c>
      <c r="M47" s="55" t="s">
        <v>56</v>
      </c>
      <c r="N47" s="55"/>
      <c r="O47" s="54"/>
    </row>
    <row r="48" s="2" customFormat="1" ht="18" customHeight="1" spans="1:15">
      <c r="A48" s="13"/>
      <c r="B48" s="19">
        <f t="shared" si="5"/>
        <v>0</v>
      </c>
      <c r="C48" s="36"/>
      <c r="D48" s="37"/>
      <c r="E48" s="152"/>
      <c r="F48" s="19">
        <f t="shared" si="4"/>
        <v>0</v>
      </c>
      <c r="G48" s="131"/>
      <c r="H48" s="24">
        <v>43381</v>
      </c>
      <c r="I48" s="136">
        <v>-200000</v>
      </c>
      <c r="J48" s="50" t="s">
        <v>43</v>
      </c>
      <c r="K48" s="53" t="s">
        <v>44</v>
      </c>
      <c r="L48" s="54"/>
      <c r="M48" s="55"/>
      <c r="N48" s="55"/>
      <c r="O48" s="54"/>
    </row>
    <row r="49" s="2" customFormat="1" ht="18" customHeight="1" spans="1:15">
      <c r="A49" s="13">
        <v>43397</v>
      </c>
      <c r="B49" s="19">
        <f t="shared" si="5"/>
        <v>86206.9</v>
      </c>
      <c r="C49" s="36">
        <v>1</v>
      </c>
      <c r="D49" s="37" t="s">
        <v>39</v>
      </c>
      <c r="E49" s="152">
        <v>0.16</v>
      </c>
      <c r="F49" s="19">
        <f t="shared" si="4"/>
        <v>13793.1</v>
      </c>
      <c r="G49" s="131">
        <v>100000</v>
      </c>
      <c r="H49" s="24">
        <v>43385</v>
      </c>
      <c r="I49" s="136">
        <v>100000</v>
      </c>
      <c r="J49" s="50" t="s">
        <v>40</v>
      </c>
      <c r="K49" s="53" t="s">
        <v>61</v>
      </c>
      <c r="L49" s="54" t="s">
        <v>62</v>
      </c>
      <c r="M49" s="55" t="s">
        <v>56</v>
      </c>
      <c r="N49" s="55"/>
      <c r="O49" s="54"/>
    </row>
    <row r="50" s="2" customFormat="1" ht="18" customHeight="1" spans="1:15">
      <c r="A50" s="13"/>
      <c r="B50" s="19">
        <f t="shared" si="5"/>
        <v>0</v>
      </c>
      <c r="C50" s="36"/>
      <c r="D50" s="37"/>
      <c r="E50" s="152"/>
      <c r="F50" s="19">
        <f t="shared" si="4"/>
        <v>0</v>
      </c>
      <c r="G50" s="131"/>
      <c r="H50" s="24">
        <v>43385</v>
      </c>
      <c r="I50" s="136">
        <v>-100000</v>
      </c>
      <c r="J50" s="50" t="s">
        <v>43</v>
      </c>
      <c r="K50" s="53" t="s">
        <v>44</v>
      </c>
      <c r="L50" s="54"/>
      <c r="M50" s="55"/>
      <c r="N50" s="55"/>
      <c r="O50" s="54"/>
    </row>
    <row r="51" s="2" customFormat="1" ht="18" customHeight="1" spans="1:15">
      <c r="A51" s="13"/>
      <c r="B51" s="19">
        <f t="shared" si="5"/>
        <v>0</v>
      </c>
      <c r="C51" s="36"/>
      <c r="D51" s="37"/>
      <c r="E51" s="152"/>
      <c r="F51" s="19">
        <f t="shared" si="4"/>
        <v>0</v>
      </c>
      <c r="G51" s="131"/>
      <c r="H51" s="24">
        <v>43395</v>
      </c>
      <c r="I51" s="136">
        <v>200000</v>
      </c>
      <c r="J51" s="50" t="s">
        <v>40</v>
      </c>
      <c r="K51" s="53" t="s">
        <v>57</v>
      </c>
      <c r="L51" s="54" t="s">
        <v>58</v>
      </c>
      <c r="M51" s="55" t="s">
        <v>56</v>
      </c>
      <c r="N51" s="55"/>
      <c r="O51" s="54"/>
    </row>
    <row r="52" s="2" customFormat="1" ht="18" customHeight="1" spans="1:15">
      <c r="A52" s="13">
        <v>43451</v>
      </c>
      <c r="B52" s="19">
        <f t="shared" si="5"/>
        <v>389622.84</v>
      </c>
      <c r="C52" s="36">
        <v>5</v>
      </c>
      <c r="D52" s="37" t="s">
        <v>39</v>
      </c>
      <c r="E52" s="152">
        <v>0.16</v>
      </c>
      <c r="F52" s="19">
        <f t="shared" si="4"/>
        <v>62339.66</v>
      </c>
      <c r="G52" s="131">
        <v>451962.5</v>
      </c>
      <c r="H52" s="24">
        <v>43395</v>
      </c>
      <c r="I52" s="136">
        <v>200000</v>
      </c>
      <c r="J52" s="50" t="s">
        <v>40</v>
      </c>
      <c r="K52" s="53" t="s">
        <v>59</v>
      </c>
      <c r="L52" s="54" t="s">
        <v>60</v>
      </c>
      <c r="M52" s="55" t="s">
        <v>56</v>
      </c>
      <c r="N52" s="55"/>
      <c r="O52" s="54"/>
    </row>
    <row r="53" s="2" customFormat="1" ht="18" customHeight="1" spans="1:15">
      <c r="A53" s="13"/>
      <c r="B53" s="19">
        <f t="shared" si="5"/>
        <v>0</v>
      </c>
      <c r="C53" s="36"/>
      <c r="D53" s="37"/>
      <c r="E53" s="152"/>
      <c r="F53" s="19">
        <f t="shared" si="4"/>
        <v>0</v>
      </c>
      <c r="G53" s="131"/>
      <c r="H53" s="24">
        <v>43395</v>
      </c>
      <c r="I53" s="136">
        <v>100000</v>
      </c>
      <c r="J53" s="50" t="s">
        <v>40</v>
      </c>
      <c r="K53" s="53" t="s">
        <v>66</v>
      </c>
      <c r="L53" s="54" t="s">
        <v>67</v>
      </c>
      <c r="M53" s="55" t="s">
        <v>56</v>
      </c>
      <c r="N53" s="55"/>
      <c r="O53" s="54"/>
    </row>
    <row r="54" s="2" customFormat="1" ht="18" customHeight="1" spans="1:15">
      <c r="A54" s="13"/>
      <c r="B54" s="19">
        <f t="shared" si="5"/>
        <v>0</v>
      </c>
      <c r="C54" s="36"/>
      <c r="D54" s="37"/>
      <c r="E54" s="152"/>
      <c r="F54" s="19">
        <f t="shared" si="4"/>
        <v>0</v>
      </c>
      <c r="G54" s="131"/>
      <c r="H54" s="24">
        <v>43395</v>
      </c>
      <c r="I54" s="136">
        <v>-500000</v>
      </c>
      <c r="J54" s="50" t="s">
        <v>43</v>
      </c>
      <c r="K54" s="53" t="s">
        <v>44</v>
      </c>
      <c r="L54" s="54"/>
      <c r="M54" s="55"/>
      <c r="N54" s="55"/>
      <c r="O54" s="54"/>
    </row>
    <row r="55" s="2" customFormat="1" ht="18" customHeight="1" spans="1:15">
      <c r="A55" s="13"/>
      <c r="B55" s="19">
        <f t="shared" si="5"/>
        <v>0</v>
      </c>
      <c r="C55" s="36"/>
      <c r="D55" s="37"/>
      <c r="E55" s="152"/>
      <c r="F55" s="19">
        <f t="shared" si="4"/>
        <v>0</v>
      </c>
      <c r="G55" s="131"/>
      <c r="H55" s="24">
        <v>43399</v>
      </c>
      <c r="I55" s="136">
        <v>100000</v>
      </c>
      <c r="J55" s="50" t="s">
        <v>40</v>
      </c>
      <c r="K55" s="53" t="s">
        <v>66</v>
      </c>
      <c r="L55" s="54" t="s">
        <v>67</v>
      </c>
      <c r="M55" s="55" t="s">
        <v>56</v>
      </c>
      <c r="N55" s="55"/>
      <c r="O55" s="54"/>
    </row>
    <row r="56" s="2" customFormat="1" ht="18" customHeight="1" spans="1:15">
      <c r="A56" s="13"/>
      <c r="B56" s="19">
        <f t="shared" si="5"/>
        <v>0</v>
      </c>
      <c r="C56" s="36"/>
      <c r="D56" s="37"/>
      <c r="E56" s="152"/>
      <c r="F56" s="19">
        <f t="shared" si="4"/>
        <v>0</v>
      </c>
      <c r="G56" s="131"/>
      <c r="H56" s="24">
        <v>43399</v>
      </c>
      <c r="I56" s="136">
        <v>-100000</v>
      </c>
      <c r="J56" s="50" t="s">
        <v>43</v>
      </c>
      <c r="K56" s="53" t="s">
        <v>44</v>
      </c>
      <c r="L56" s="54"/>
      <c r="M56" s="55"/>
      <c r="N56" s="55"/>
      <c r="O56" s="54"/>
    </row>
    <row r="57" s="2" customFormat="1" ht="18" customHeight="1" spans="1:15">
      <c r="A57" s="13"/>
      <c r="B57" s="19">
        <f t="shared" si="5"/>
        <v>0</v>
      </c>
      <c r="C57" s="36"/>
      <c r="D57" s="37"/>
      <c r="E57" s="152"/>
      <c r="F57" s="19">
        <f t="shared" si="4"/>
        <v>0</v>
      </c>
      <c r="G57" s="131"/>
      <c r="H57" s="24">
        <v>43402</v>
      </c>
      <c r="I57" s="136">
        <v>100000</v>
      </c>
      <c r="J57" s="50" t="s">
        <v>40</v>
      </c>
      <c r="K57" s="53" t="s">
        <v>61</v>
      </c>
      <c r="L57" s="54" t="s">
        <v>62</v>
      </c>
      <c r="M57" s="55" t="s">
        <v>56</v>
      </c>
      <c r="N57" s="55"/>
      <c r="O57" s="54"/>
    </row>
    <row r="58" s="2" customFormat="1" ht="18" customHeight="1" spans="1:15">
      <c r="A58" s="13"/>
      <c r="B58" s="19">
        <f t="shared" si="5"/>
        <v>0</v>
      </c>
      <c r="C58" s="36"/>
      <c r="D58" s="37"/>
      <c r="E58" s="152"/>
      <c r="F58" s="19">
        <f t="shared" si="4"/>
        <v>0</v>
      </c>
      <c r="G58" s="131"/>
      <c r="H58" s="24">
        <v>43402</v>
      </c>
      <c r="I58" s="136">
        <v>-100000</v>
      </c>
      <c r="J58" s="50" t="s">
        <v>43</v>
      </c>
      <c r="K58" s="53" t="s">
        <v>44</v>
      </c>
      <c r="L58" s="54"/>
      <c r="M58" s="55"/>
      <c r="N58" s="55"/>
      <c r="O58" s="54"/>
    </row>
    <row r="59" s="2" customFormat="1" ht="18" customHeight="1" spans="1:15">
      <c r="A59" s="13"/>
      <c r="B59" s="19">
        <f t="shared" si="5"/>
        <v>0</v>
      </c>
      <c r="C59" s="36"/>
      <c r="D59" s="37"/>
      <c r="E59" s="152"/>
      <c r="F59" s="19">
        <f t="shared" si="4"/>
        <v>0</v>
      </c>
      <c r="G59" s="131"/>
      <c r="H59" s="24">
        <v>43406</v>
      </c>
      <c r="I59" s="136">
        <v>100000</v>
      </c>
      <c r="J59" s="50" t="s">
        <v>40</v>
      </c>
      <c r="K59" s="53" t="s">
        <v>57</v>
      </c>
      <c r="L59" s="54" t="s">
        <v>58</v>
      </c>
      <c r="M59" s="55" t="s">
        <v>56</v>
      </c>
      <c r="N59" s="55"/>
      <c r="O59" s="54"/>
    </row>
    <row r="60" s="2" customFormat="1" ht="18" customHeight="1" spans="1:15">
      <c r="A60" s="13"/>
      <c r="B60" s="19">
        <f t="shared" si="5"/>
        <v>0</v>
      </c>
      <c r="C60" s="36"/>
      <c r="D60" s="37"/>
      <c r="E60" s="152"/>
      <c r="F60" s="19">
        <f t="shared" si="4"/>
        <v>0</v>
      </c>
      <c r="G60" s="131"/>
      <c r="H60" s="24">
        <v>43406</v>
      </c>
      <c r="I60" s="136">
        <v>-100000</v>
      </c>
      <c r="J60" s="50" t="s">
        <v>43</v>
      </c>
      <c r="K60" s="53" t="s">
        <v>44</v>
      </c>
      <c r="L60" s="54" t="s">
        <v>62</v>
      </c>
      <c r="M60" s="55"/>
      <c r="N60" s="55"/>
      <c r="O60" s="54"/>
    </row>
    <row r="61" s="2" customFormat="1" ht="18" customHeight="1" spans="1:15">
      <c r="A61" s="13"/>
      <c r="B61" s="19">
        <f t="shared" si="5"/>
        <v>0</v>
      </c>
      <c r="C61" s="36"/>
      <c r="D61" s="37"/>
      <c r="E61" s="152"/>
      <c r="F61" s="19">
        <f t="shared" si="4"/>
        <v>0</v>
      </c>
      <c r="G61" s="131"/>
      <c r="H61" s="24">
        <v>43406</v>
      </c>
      <c r="I61" s="136">
        <v>100000</v>
      </c>
      <c r="J61" s="50" t="s">
        <v>40</v>
      </c>
      <c r="K61" s="53" t="s">
        <v>61</v>
      </c>
      <c r="L61" s="54" t="s">
        <v>62</v>
      </c>
      <c r="M61" s="55" t="s">
        <v>56</v>
      </c>
      <c r="N61" s="55"/>
      <c r="O61" s="54"/>
    </row>
    <row r="62" s="2" customFormat="1" ht="18" customHeight="1" spans="1:15">
      <c r="A62" s="13"/>
      <c r="B62" s="19">
        <f t="shared" si="5"/>
        <v>0</v>
      </c>
      <c r="C62" s="36"/>
      <c r="D62" s="37"/>
      <c r="E62" s="152"/>
      <c r="F62" s="19">
        <f t="shared" si="4"/>
        <v>0</v>
      </c>
      <c r="G62" s="131"/>
      <c r="H62" s="24">
        <v>43406</v>
      </c>
      <c r="I62" s="136">
        <v>-100000</v>
      </c>
      <c r="J62" s="50" t="s">
        <v>43</v>
      </c>
      <c r="K62" s="53" t="s">
        <v>44</v>
      </c>
      <c r="L62" s="54"/>
      <c r="M62" s="55"/>
      <c r="N62" s="55"/>
      <c r="O62" s="54"/>
    </row>
    <row r="63" s="2" customFormat="1" ht="18" customHeight="1" spans="1:15">
      <c r="A63" s="13"/>
      <c r="B63" s="19">
        <f t="shared" si="5"/>
        <v>0</v>
      </c>
      <c r="C63" s="36"/>
      <c r="D63" s="37"/>
      <c r="E63" s="152"/>
      <c r="F63" s="19">
        <f t="shared" si="4"/>
        <v>0</v>
      </c>
      <c r="G63" s="131"/>
      <c r="H63" s="24">
        <v>43411</v>
      </c>
      <c r="I63" s="136">
        <v>1000000</v>
      </c>
      <c r="J63" s="50" t="s">
        <v>40</v>
      </c>
      <c r="K63" s="53" t="s">
        <v>61</v>
      </c>
      <c r="L63" s="54" t="s">
        <v>62</v>
      </c>
      <c r="M63" s="55" t="s">
        <v>56</v>
      </c>
      <c r="N63" s="55"/>
      <c r="O63" s="54"/>
    </row>
    <row r="64" s="2" customFormat="1" ht="18" customHeight="1" spans="1:15">
      <c r="A64" s="13"/>
      <c r="B64" s="19">
        <f t="shared" si="5"/>
        <v>0</v>
      </c>
      <c r="C64" s="36"/>
      <c r="D64" s="37"/>
      <c r="E64" s="152"/>
      <c r="F64" s="19">
        <f t="shared" si="4"/>
        <v>0</v>
      </c>
      <c r="G64" s="131"/>
      <c r="H64" s="24">
        <v>43411</v>
      </c>
      <c r="I64" s="136">
        <v>-1000000</v>
      </c>
      <c r="J64" s="50" t="s">
        <v>43</v>
      </c>
      <c r="K64" s="53" t="s">
        <v>44</v>
      </c>
      <c r="L64" s="54"/>
      <c r="M64" s="55"/>
      <c r="N64" s="55"/>
      <c r="O64" s="54"/>
    </row>
    <row r="65" s="2" customFormat="1" ht="18" customHeight="1" spans="1:15">
      <c r="A65" s="13"/>
      <c r="B65" s="19">
        <f t="shared" si="5"/>
        <v>0</v>
      </c>
      <c r="C65" s="36"/>
      <c r="D65" s="37"/>
      <c r="E65" s="152"/>
      <c r="F65" s="19">
        <f t="shared" si="4"/>
        <v>0</v>
      </c>
      <c r="G65" s="131"/>
      <c r="H65" s="24">
        <v>43411</v>
      </c>
      <c r="I65" s="136">
        <v>1000000</v>
      </c>
      <c r="J65" s="50" t="s">
        <v>40</v>
      </c>
      <c r="K65" s="53" t="s">
        <v>61</v>
      </c>
      <c r="L65" s="54" t="s">
        <v>62</v>
      </c>
      <c r="M65" s="55" t="s">
        <v>56</v>
      </c>
      <c r="N65" s="55"/>
      <c r="O65" s="54"/>
    </row>
    <row r="66" s="2" customFormat="1" ht="18" customHeight="1" spans="1:15">
      <c r="A66" s="13"/>
      <c r="B66" s="19">
        <f t="shared" si="5"/>
        <v>0</v>
      </c>
      <c r="C66" s="36"/>
      <c r="D66" s="37"/>
      <c r="E66" s="152"/>
      <c r="F66" s="19">
        <f t="shared" si="4"/>
        <v>0</v>
      </c>
      <c r="G66" s="131"/>
      <c r="H66" s="24">
        <v>43411</v>
      </c>
      <c r="I66" s="136">
        <v>-1000000</v>
      </c>
      <c r="J66" s="50" t="s">
        <v>43</v>
      </c>
      <c r="K66" s="53" t="s">
        <v>44</v>
      </c>
      <c r="L66" s="54"/>
      <c r="M66" s="55"/>
      <c r="N66" s="55"/>
      <c r="O66" s="54"/>
    </row>
    <row r="67" s="2" customFormat="1" ht="18" customHeight="1" spans="1:15">
      <c r="A67" s="13">
        <v>43431</v>
      </c>
      <c r="B67" s="19">
        <f t="shared" si="5"/>
        <v>36982.76</v>
      </c>
      <c r="C67" s="36">
        <v>1</v>
      </c>
      <c r="D67" s="37" t="s">
        <v>39</v>
      </c>
      <c r="E67" s="152">
        <v>0.16</v>
      </c>
      <c r="F67" s="19">
        <f t="shared" si="4"/>
        <v>5917.24</v>
      </c>
      <c r="G67" s="131">
        <v>42900</v>
      </c>
      <c r="H67" s="24">
        <v>43411</v>
      </c>
      <c r="I67" s="136">
        <v>42900</v>
      </c>
      <c r="J67" s="50" t="s">
        <v>40</v>
      </c>
      <c r="K67" s="53" t="s">
        <v>68</v>
      </c>
      <c r="L67" s="54" t="s">
        <v>69</v>
      </c>
      <c r="M67" s="55" t="s">
        <v>56</v>
      </c>
      <c r="N67" s="55"/>
      <c r="O67" s="54"/>
    </row>
    <row r="68" s="2" customFormat="1" ht="18" customHeight="1" spans="1:15">
      <c r="A68" s="13"/>
      <c r="B68" s="19">
        <f t="shared" si="5"/>
        <v>0</v>
      </c>
      <c r="C68" s="36"/>
      <c r="D68" s="37"/>
      <c r="E68" s="152"/>
      <c r="F68" s="19">
        <f t="shared" si="4"/>
        <v>0</v>
      </c>
      <c r="G68" s="131"/>
      <c r="H68" s="24">
        <v>43411</v>
      </c>
      <c r="I68" s="136">
        <v>-42900</v>
      </c>
      <c r="J68" s="50" t="s">
        <v>43</v>
      </c>
      <c r="K68" s="53" t="s">
        <v>44</v>
      </c>
      <c r="L68" s="54"/>
      <c r="M68" s="55"/>
      <c r="N68" s="55"/>
      <c r="O68" s="54"/>
    </row>
    <row r="69" s="2" customFormat="1" ht="18" customHeight="1" spans="1:15">
      <c r="A69" s="13"/>
      <c r="B69" s="19">
        <f t="shared" si="5"/>
        <v>0</v>
      </c>
      <c r="C69" s="36"/>
      <c r="D69" s="37"/>
      <c r="E69" s="152"/>
      <c r="F69" s="19">
        <f t="shared" si="4"/>
        <v>0</v>
      </c>
      <c r="G69" s="131"/>
      <c r="H69" s="24">
        <v>43416</v>
      </c>
      <c r="I69" s="136">
        <v>200000</v>
      </c>
      <c r="J69" s="50" t="s">
        <v>40</v>
      </c>
      <c r="K69" s="53" t="s">
        <v>61</v>
      </c>
      <c r="L69" s="54" t="s">
        <v>62</v>
      </c>
      <c r="M69" s="55" t="s">
        <v>56</v>
      </c>
      <c r="N69" s="55"/>
      <c r="O69" s="54"/>
    </row>
    <row r="70" s="2" customFormat="1" ht="18" customHeight="1" spans="1:15">
      <c r="A70" s="13"/>
      <c r="B70" s="19">
        <f t="shared" si="5"/>
        <v>0</v>
      </c>
      <c r="C70" s="36"/>
      <c r="D70" s="37"/>
      <c r="E70" s="152"/>
      <c r="F70" s="19">
        <f t="shared" si="4"/>
        <v>0</v>
      </c>
      <c r="G70" s="131"/>
      <c r="H70" s="24">
        <v>43416</v>
      </c>
      <c r="I70" s="136">
        <v>-200000</v>
      </c>
      <c r="J70" s="50" t="s">
        <v>43</v>
      </c>
      <c r="K70" s="53" t="s">
        <v>44</v>
      </c>
      <c r="L70" s="54"/>
      <c r="M70" s="55"/>
      <c r="N70" s="55"/>
      <c r="O70" s="54"/>
    </row>
    <row r="71" s="2" customFormat="1" ht="18" customHeight="1" spans="1:15">
      <c r="A71" s="13"/>
      <c r="B71" s="19">
        <f t="shared" si="5"/>
        <v>0</v>
      </c>
      <c r="C71" s="36"/>
      <c r="D71" s="37"/>
      <c r="E71" s="152"/>
      <c r="F71" s="19">
        <f t="shared" si="4"/>
        <v>0</v>
      </c>
      <c r="G71" s="131"/>
      <c r="H71" s="24">
        <v>43416</v>
      </c>
      <c r="I71" s="136">
        <v>20000</v>
      </c>
      <c r="J71" s="50" t="s">
        <v>40</v>
      </c>
      <c r="K71" s="53" t="s">
        <v>65</v>
      </c>
      <c r="L71" s="54" t="s">
        <v>60</v>
      </c>
      <c r="M71" s="55" t="s">
        <v>56</v>
      </c>
      <c r="N71" s="55"/>
      <c r="O71" s="54"/>
    </row>
    <row r="72" s="2" customFormat="1" ht="18" customHeight="1" spans="1:15">
      <c r="A72" s="13"/>
      <c r="B72" s="19">
        <f t="shared" si="5"/>
        <v>0</v>
      </c>
      <c r="C72" s="36"/>
      <c r="D72" s="37"/>
      <c r="E72" s="152"/>
      <c r="F72" s="19">
        <f t="shared" si="4"/>
        <v>0</v>
      </c>
      <c r="G72" s="131"/>
      <c r="H72" s="24">
        <v>43416</v>
      </c>
      <c r="I72" s="136">
        <v>-20000</v>
      </c>
      <c r="J72" s="50" t="s">
        <v>43</v>
      </c>
      <c r="K72" s="53" t="s">
        <v>44</v>
      </c>
      <c r="L72" s="54"/>
      <c r="M72" s="55"/>
      <c r="N72" s="55"/>
      <c r="O72" s="54"/>
    </row>
    <row r="73" s="2" customFormat="1" ht="18" customHeight="1" spans="1:15">
      <c r="A73" s="13"/>
      <c r="B73" s="19">
        <f t="shared" si="5"/>
        <v>0</v>
      </c>
      <c r="C73" s="36"/>
      <c r="D73" s="37"/>
      <c r="E73" s="152"/>
      <c r="F73" s="19">
        <f t="shared" si="4"/>
        <v>0</v>
      </c>
      <c r="G73" s="131"/>
      <c r="H73" s="24">
        <v>43416</v>
      </c>
      <c r="I73" s="136">
        <v>100000</v>
      </c>
      <c r="J73" s="50" t="s">
        <v>40</v>
      </c>
      <c r="K73" s="53" t="s">
        <v>57</v>
      </c>
      <c r="L73" s="54" t="s">
        <v>58</v>
      </c>
      <c r="M73" s="55" t="s">
        <v>56</v>
      </c>
      <c r="N73" s="55"/>
      <c r="O73" s="54"/>
    </row>
    <row r="74" s="2" customFormat="1" ht="18" customHeight="1" spans="1:15">
      <c r="A74" s="13"/>
      <c r="B74" s="19">
        <f t="shared" si="5"/>
        <v>0</v>
      </c>
      <c r="C74" s="36"/>
      <c r="D74" s="37"/>
      <c r="E74" s="152"/>
      <c r="F74" s="19">
        <f t="shared" si="4"/>
        <v>0</v>
      </c>
      <c r="G74" s="131"/>
      <c r="H74" s="24">
        <v>43416</v>
      </c>
      <c r="I74" s="136">
        <v>-100000</v>
      </c>
      <c r="J74" s="50" t="s">
        <v>43</v>
      </c>
      <c r="K74" s="53" t="s">
        <v>44</v>
      </c>
      <c r="L74" s="54"/>
      <c r="M74" s="55"/>
      <c r="N74" s="55"/>
      <c r="O74" s="54"/>
    </row>
    <row r="75" s="2" customFormat="1" ht="18" customHeight="1" spans="1:15">
      <c r="A75" s="13">
        <v>43431</v>
      </c>
      <c r="B75" s="19">
        <f t="shared" si="5"/>
        <v>316810.34</v>
      </c>
      <c r="C75" s="36">
        <v>6</v>
      </c>
      <c r="D75" s="37" t="s">
        <v>39</v>
      </c>
      <c r="E75" s="152">
        <v>0.16</v>
      </c>
      <c r="F75" s="19">
        <f t="shared" si="4"/>
        <v>50689.66</v>
      </c>
      <c r="G75" s="131">
        <v>367500</v>
      </c>
      <c r="H75" s="24">
        <v>43423</v>
      </c>
      <c r="I75" s="136">
        <v>367500</v>
      </c>
      <c r="J75" s="50" t="s">
        <v>40</v>
      </c>
      <c r="K75" s="53" t="s">
        <v>70</v>
      </c>
      <c r="L75" s="54" t="s">
        <v>50</v>
      </c>
      <c r="M75" s="55"/>
      <c r="N75" s="55"/>
      <c r="O75" s="54"/>
    </row>
    <row r="76" s="2" customFormat="1" ht="18" customHeight="1" spans="1:15">
      <c r="A76" s="13"/>
      <c r="B76" s="19">
        <f t="shared" si="5"/>
        <v>0</v>
      </c>
      <c r="C76" s="36"/>
      <c r="D76" s="37"/>
      <c r="E76" s="152"/>
      <c r="F76" s="19">
        <f t="shared" si="4"/>
        <v>0</v>
      </c>
      <c r="G76" s="131"/>
      <c r="H76" s="24">
        <v>43423</v>
      </c>
      <c r="I76" s="136">
        <v>-367500</v>
      </c>
      <c r="J76" s="50" t="s">
        <v>43</v>
      </c>
      <c r="K76" s="53" t="s">
        <v>44</v>
      </c>
      <c r="L76" s="54"/>
      <c r="M76" s="55"/>
      <c r="N76" s="55"/>
      <c r="O76" s="54"/>
    </row>
    <row r="77" s="2" customFormat="1" ht="18" customHeight="1" spans="1:15">
      <c r="A77" s="13"/>
      <c r="B77" s="19">
        <f t="shared" si="5"/>
        <v>0</v>
      </c>
      <c r="C77" s="36"/>
      <c r="D77" s="37"/>
      <c r="E77" s="152"/>
      <c r="F77" s="19">
        <f t="shared" si="4"/>
        <v>0</v>
      </c>
      <c r="G77" s="131"/>
      <c r="H77" s="24">
        <v>43423</v>
      </c>
      <c r="I77" s="136">
        <v>1500000</v>
      </c>
      <c r="J77" s="50" t="s">
        <v>40</v>
      </c>
      <c r="K77" s="53" t="s">
        <v>71</v>
      </c>
      <c r="L77" s="54" t="s">
        <v>72</v>
      </c>
      <c r="M77" s="55" t="s">
        <v>56</v>
      </c>
      <c r="N77" s="55"/>
      <c r="O77" s="54"/>
    </row>
    <row r="78" s="2" customFormat="1" ht="18" customHeight="1" spans="1:15">
      <c r="A78" s="13"/>
      <c r="B78" s="19">
        <f t="shared" si="5"/>
        <v>0</v>
      </c>
      <c r="C78" s="36"/>
      <c r="D78" s="37"/>
      <c r="E78" s="152"/>
      <c r="F78" s="19">
        <f t="shared" si="4"/>
        <v>0</v>
      </c>
      <c r="G78" s="131"/>
      <c r="H78" s="24">
        <v>43423</v>
      </c>
      <c r="I78" s="136">
        <v>-1500000</v>
      </c>
      <c r="J78" s="50" t="s">
        <v>43</v>
      </c>
      <c r="K78" s="53" t="s">
        <v>44</v>
      </c>
      <c r="L78" s="54"/>
      <c r="M78" s="55"/>
      <c r="N78" s="55"/>
      <c r="O78" s="54"/>
    </row>
    <row r="79" s="2" customFormat="1" ht="18" customHeight="1" spans="1:15">
      <c r="A79" s="13">
        <v>43431</v>
      </c>
      <c r="B79" s="19">
        <f t="shared" si="5"/>
        <v>223296.12</v>
      </c>
      <c r="C79" s="36">
        <v>3</v>
      </c>
      <c r="D79" s="37" t="s">
        <v>39</v>
      </c>
      <c r="E79" s="152">
        <v>0.03</v>
      </c>
      <c r="F79" s="19">
        <f t="shared" si="4"/>
        <v>6698.88</v>
      </c>
      <c r="G79" s="131">
        <v>229995</v>
      </c>
      <c r="H79" s="24">
        <v>43424</v>
      </c>
      <c r="I79" s="136">
        <v>229995</v>
      </c>
      <c r="J79" s="50" t="s">
        <v>40</v>
      </c>
      <c r="K79" s="53" t="s">
        <v>73</v>
      </c>
      <c r="L79" s="54" t="s">
        <v>67</v>
      </c>
      <c r="M79" s="55" t="s">
        <v>56</v>
      </c>
      <c r="N79" s="55"/>
      <c r="O79" s="54"/>
    </row>
    <row r="80" s="2" customFormat="1" ht="18" customHeight="1" spans="1:15">
      <c r="A80" s="13"/>
      <c r="B80" s="19">
        <f t="shared" si="5"/>
        <v>0</v>
      </c>
      <c r="C80" s="36"/>
      <c r="D80" s="37"/>
      <c r="E80" s="152"/>
      <c r="F80" s="19">
        <f t="shared" si="4"/>
        <v>0</v>
      </c>
      <c r="G80" s="131"/>
      <c r="H80" s="24">
        <v>43424</v>
      </c>
      <c r="I80" s="136">
        <v>-229995</v>
      </c>
      <c r="J80" s="50" t="s">
        <v>43</v>
      </c>
      <c r="K80" s="53" t="s">
        <v>44</v>
      </c>
      <c r="L80" s="54"/>
      <c r="M80" s="55"/>
      <c r="N80" s="55"/>
      <c r="O80" s="54"/>
    </row>
    <row r="81" s="2" customFormat="1" ht="18" customHeight="1" spans="1:15">
      <c r="A81" s="13">
        <v>43431</v>
      </c>
      <c r="B81" s="19">
        <f t="shared" si="5"/>
        <v>190000</v>
      </c>
      <c r="C81" s="36">
        <v>2</v>
      </c>
      <c r="D81" s="37" t="s">
        <v>39</v>
      </c>
      <c r="E81" s="152">
        <v>0.16</v>
      </c>
      <c r="F81" s="19">
        <f t="shared" si="4"/>
        <v>30400</v>
      </c>
      <c r="G81" s="131">
        <v>220400</v>
      </c>
      <c r="H81" s="24">
        <v>43425</v>
      </c>
      <c r="I81" s="136">
        <v>220400</v>
      </c>
      <c r="J81" s="50" t="s">
        <v>40</v>
      </c>
      <c r="K81" s="53" t="s">
        <v>74</v>
      </c>
      <c r="L81" s="54" t="s">
        <v>75</v>
      </c>
      <c r="M81" s="55" t="s">
        <v>56</v>
      </c>
      <c r="N81" s="55"/>
      <c r="O81" s="54"/>
    </row>
    <row r="82" s="2" customFormat="1" ht="18" customHeight="1" spans="1:15">
      <c r="A82" s="13"/>
      <c r="B82" s="19">
        <f t="shared" si="5"/>
        <v>0</v>
      </c>
      <c r="C82" s="36"/>
      <c r="D82" s="37"/>
      <c r="E82" s="152"/>
      <c r="F82" s="19">
        <f t="shared" ref="F82:F145" si="6">ROUND(G82/(1+E82)*E82,2)</f>
        <v>0</v>
      </c>
      <c r="G82" s="131"/>
      <c r="H82" s="24">
        <v>43425</v>
      </c>
      <c r="I82" s="136">
        <v>-220400</v>
      </c>
      <c r="J82" s="50" t="s">
        <v>43</v>
      </c>
      <c r="K82" s="53" t="s">
        <v>44</v>
      </c>
      <c r="L82" s="54"/>
      <c r="M82" s="55"/>
      <c r="N82" s="55"/>
      <c r="O82" s="54"/>
    </row>
    <row r="83" s="2" customFormat="1" ht="18" customHeight="1" spans="1:15">
      <c r="A83" s="13">
        <v>43451</v>
      </c>
      <c r="B83" s="19">
        <f t="shared" ref="B83:B146" si="7">ROUND(G83/(1+E83),2)</f>
        <v>2427184.47</v>
      </c>
      <c r="C83" s="36"/>
      <c r="D83" s="37"/>
      <c r="E83" s="152">
        <v>0.03</v>
      </c>
      <c r="F83" s="19">
        <f t="shared" si="6"/>
        <v>72815.53</v>
      </c>
      <c r="G83" s="131">
        <v>2500000</v>
      </c>
      <c r="H83" s="24">
        <v>43427</v>
      </c>
      <c r="I83" s="136">
        <v>1000000</v>
      </c>
      <c r="J83" s="50" t="s">
        <v>40</v>
      </c>
      <c r="K83" s="53" t="s">
        <v>71</v>
      </c>
      <c r="L83" s="54" t="s">
        <v>72</v>
      </c>
      <c r="M83" s="55" t="s">
        <v>56</v>
      </c>
      <c r="N83" s="55"/>
      <c r="O83" s="54"/>
    </row>
    <row r="84" s="2" customFormat="1" ht="18" customHeight="1" spans="1:15">
      <c r="A84" s="13"/>
      <c r="B84" s="19">
        <f t="shared" si="7"/>
        <v>0</v>
      </c>
      <c r="C84" s="36"/>
      <c r="D84" s="37"/>
      <c r="E84" s="152"/>
      <c r="F84" s="19">
        <f t="shared" si="6"/>
        <v>0</v>
      </c>
      <c r="G84" s="131"/>
      <c r="H84" s="24">
        <v>43427</v>
      </c>
      <c r="I84" s="136">
        <v>-1000000</v>
      </c>
      <c r="J84" s="50" t="s">
        <v>43</v>
      </c>
      <c r="K84" s="53" t="s">
        <v>44</v>
      </c>
      <c r="L84" s="54"/>
      <c r="M84" s="55"/>
      <c r="N84" s="55"/>
      <c r="O84" s="54"/>
    </row>
    <row r="85" s="2" customFormat="1" ht="18" customHeight="1" spans="1:15">
      <c r="A85" s="13">
        <v>43405</v>
      </c>
      <c r="B85" s="19">
        <f t="shared" si="7"/>
        <v>1146881.36</v>
      </c>
      <c r="C85" s="36">
        <v>12</v>
      </c>
      <c r="D85" s="37" t="s">
        <v>39</v>
      </c>
      <c r="E85" s="152">
        <v>0.03</v>
      </c>
      <c r="F85" s="19">
        <f t="shared" si="6"/>
        <v>34406.44</v>
      </c>
      <c r="G85" s="131">
        <f>99900*5+92205+99975*5+89707.8</f>
        <v>1181287.8</v>
      </c>
      <c r="H85" s="24">
        <v>43431</v>
      </c>
      <c r="I85" s="136">
        <v>1181287.8</v>
      </c>
      <c r="J85" s="50" t="s">
        <v>40</v>
      </c>
      <c r="K85" s="53" t="s">
        <v>76</v>
      </c>
      <c r="L85" s="54" t="s">
        <v>77</v>
      </c>
      <c r="M85" s="55"/>
      <c r="N85" s="55"/>
      <c r="O85" s="54"/>
    </row>
    <row r="86" s="2" customFormat="1" ht="18" customHeight="1" spans="1:15">
      <c r="A86" s="13"/>
      <c r="B86" s="19">
        <f t="shared" si="7"/>
        <v>0</v>
      </c>
      <c r="C86" s="36"/>
      <c r="D86" s="37"/>
      <c r="E86" s="152"/>
      <c r="F86" s="19">
        <f t="shared" si="6"/>
        <v>0</v>
      </c>
      <c r="G86" s="131"/>
      <c r="H86" s="24">
        <v>43431</v>
      </c>
      <c r="I86" s="136">
        <v>-1181287.8</v>
      </c>
      <c r="J86" s="50" t="s">
        <v>43</v>
      </c>
      <c r="K86" s="53" t="s">
        <v>44</v>
      </c>
      <c r="L86" s="54"/>
      <c r="M86" s="55"/>
      <c r="N86" s="55"/>
      <c r="O86" s="54"/>
    </row>
    <row r="87" s="2" customFormat="1" ht="18" customHeight="1" spans="1:15">
      <c r="A87" s="13"/>
      <c r="B87" s="19">
        <f t="shared" si="7"/>
        <v>0</v>
      </c>
      <c r="C87" s="36"/>
      <c r="D87" s="37"/>
      <c r="E87" s="152"/>
      <c r="F87" s="19">
        <f t="shared" si="6"/>
        <v>0</v>
      </c>
      <c r="G87" s="131"/>
      <c r="H87" s="24">
        <v>43434</v>
      </c>
      <c r="I87" s="136">
        <v>100000</v>
      </c>
      <c r="J87" s="50" t="s">
        <v>40</v>
      </c>
      <c r="K87" s="53" t="s">
        <v>73</v>
      </c>
      <c r="L87" s="54" t="s">
        <v>67</v>
      </c>
      <c r="M87" s="55" t="s">
        <v>56</v>
      </c>
      <c r="N87" s="55"/>
      <c r="O87" s="54"/>
    </row>
    <row r="88" s="2" customFormat="1" ht="18" customHeight="1" spans="1:15">
      <c r="A88" s="13"/>
      <c r="B88" s="19">
        <f t="shared" si="7"/>
        <v>0</v>
      </c>
      <c r="C88" s="36"/>
      <c r="D88" s="37"/>
      <c r="E88" s="152"/>
      <c r="F88" s="19">
        <f t="shared" si="6"/>
        <v>0</v>
      </c>
      <c r="G88" s="131"/>
      <c r="H88" s="24">
        <v>43434</v>
      </c>
      <c r="I88" s="136">
        <v>-100000</v>
      </c>
      <c r="J88" s="50" t="s">
        <v>43</v>
      </c>
      <c r="K88" s="53" t="s">
        <v>44</v>
      </c>
      <c r="L88" s="54"/>
      <c r="M88" s="55"/>
      <c r="N88" s="55"/>
      <c r="O88" s="54"/>
    </row>
    <row r="89" s="2" customFormat="1" ht="18" customHeight="1" spans="1:15">
      <c r="A89" s="13"/>
      <c r="B89" s="19">
        <f t="shared" si="7"/>
        <v>0</v>
      </c>
      <c r="C89" s="36"/>
      <c r="D89" s="37"/>
      <c r="E89" s="152"/>
      <c r="F89" s="19">
        <f t="shared" si="6"/>
        <v>0</v>
      </c>
      <c r="G89" s="131"/>
      <c r="H89" s="24">
        <v>43437</v>
      </c>
      <c r="I89" s="136">
        <v>200000</v>
      </c>
      <c r="J89" s="50" t="s">
        <v>40</v>
      </c>
      <c r="K89" s="53" t="s">
        <v>61</v>
      </c>
      <c r="L89" s="54" t="s">
        <v>62</v>
      </c>
      <c r="M89" s="55" t="s">
        <v>56</v>
      </c>
      <c r="N89" s="55"/>
      <c r="O89" s="54"/>
    </row>
    <row r="90" s="2" customFormat="1" ht="18" customHeight="1" spans="1:15">
      <c r="A90" s="13"/>
      <c r="B90" s="19">
        <f t="shared" si="7"/>
        <v>0</v>
      </c>
      <c r="C90" s="36"/>
      <c r="D90" s="37"/>
      <c r="E90" s="152"/>
      <c r="F90" s="19">
        <f t="shared" si="6"/>
        <v>0</v>
      </c>
      <c r="G90" s="131"/>
      <c r="H90" s="24">
        <v>43437</v>
      </c>
      <c r="I90" s="136">
        <v>-200000</v>
      </c>
      <c r="J90" s="50" t="s">
        <v>43</v>
      </c>
      <c r="K90" s="53" t="s">
        <v>44</v>
      </c>
      <c r="L90" s="54" t="s">
        <v>60</v>
      </c>
      <c r="M90" s="55"/>
      <c r="N90" s="55"/>
      <c r="O90" s="54"/>
    </row>
    <row r="91" s="2" customFormat="1" ht="18" customHeight="1" spans="1:15">
      <c r="A91" s="13">
        <v>43451</v>
      </c>
      <c r="B91" s="19">
        <f t="shared" si="7"/>
        <v>143256.9</v>
      </c>
      <c r="C91" s="36">
        <v>2</v>
      </c>
      <c r="D91" s="37" t="s">
        <v>39</v>
      </c>
      <c r="E91" s="152">
        <v>0.16</v>
      </c>
      <c r="F91" s="19">
        <f t="shared" si="6"/>
        <v>22921.1</v>
      </c>
      <c r="G91" s="131">
        <v>166178</v>
      </c>
      <c r="H91" s="24">
        <v>43437</v>
      </c>
      <c r="I91" s="136">
        <v>126178</v>
      </c>
      <c r="J91" s="50" t="s">
        <v>40</v>
      </c>
      <c r="K91" s="53" t="s">
        <v>65</v>
      </c>
      <c r="L91" s="54" t="s">
        <v>60</v>
      </c>
      <c r="M91" s="55" t="s">
        <v>56</v>
      </c>
      <c r="N91" s="55"/>
      <c r="O91" s="54"/>
    </row>
    <row r="92" s="2" customFormat="1" ht="18" customHeight="1" spans="1:15">
      <c r="A92" s="13"/>
      <c r="B92" s="19">
        <f t="shared" si="7"/>
        <v>0</v>
      </c>
      <c r="C92" s="36"/>
      <c r="D92" s="37"/>
      <c r="E92" s="152"/>
      <c r="F92" s="19">
        <f t="shared" si="6"/>
        <v>0</v>
      </c>
      <c r="G92" s="131"/>
      <c r="H92" s="24">
        <v>43437</v>
      </c>
      <c r="I92" s="136">
        <v>-126178</v>
      </c>
      <c r="J92" s="50" t="s">
        <v>43</v>
      </c>
      <c r="K92" s="53" t="s">
        <v>44</v>
      </c>
      <c r="L92" s="54" t="s">
        <v>60</v>
      </c>
      <c r="M92" s="55"/>
      <c r="N92" s="55"/>
      <c r="O92" s="54"/>
    </row>
    <row r="93" s="2" customFormat="1" ht="18" customHeight="1" spans="1:15">
      <c r="A93" s="13">
        <v>43451</v>
      </c>
      <c r="B93" s="19">
        <f t="shared" si="7"/>
        <v>291262.14</v>
      </c>
      <c r="C93" s="36">
        <v>3</v>
      </c>
      <c r="D93" s="37" t="s">
        <v>39</v>
      </c>
      <c r="E93" s="152">
        <v>0.03</v>
      </c>
      <c r="F93" s="19">
        <f t="shared" si="6"/>
        <v>8737.86</v>
      </c>
      <c r="G93" s="131">
        <v>300000</v>
      </c>
      <c r="H93" s="24">
        <v>43440</v>
      </c>
      <c r="I93" s="136">
        <v>200000</v>
      </c>
      <c r="J93" s="50" t="s">
        <v>40</v>
      </c>
      <c r="K93" s="53" t="s">
        <v>73</v>
      </c>
      <c r="L93" s="54" t="s">
        <v>67</v>
      </c>
      <c r="M93" s="55" t="s">
        <v>56</v>
      </c>
      <c r="N93" s="55"/>
      <c r="O93" s="54"/>
    </row>
    <row r="94" s="2" customFormat="1" ht="18" customHeight="1" spans="1:15">
      <c r="A94" s="13"/>
      <c r="B94" s="19">
        <f t="shared" si="7"/>
        <v>0</v>
      </c>
      <c r="C94" s="36"/>
      <c r="D94" s="37"/>
      <c r="E94" s="152"/>
      <c r="F94" s="19">
        <f t="shared" si="6"/>
        <v>0</v>
      </c>
      <c r="G94" s="131"/>
      <c r="H94" s="24">
        <v>43440</v>
      </c>
      <c r="I94" s="136">
        <v>-200000</v>
      </c>
      <c r="J94" s="50" t="s">
        <v>43</v>
      </c>
      <c r="K94" s="53" t="s">
        <v>44</v>
      </c>
      <c r="L94" s="54"/>
      <c r="M94" s="55"/>
      <c r="N94" s="55"/>
      <c r="O94" s="54"/>
    </row>
    <row r="95" s="2" customFormat="1" ht="18" customHeight="1" spans="1:15">
      <c r="A95" s="13"/>
      <c r="B95" s="19">
        <f t="shared" si="7"/>
        <v>0</v>
      </c>
      <c r="C95" s="36"/>
      <c r="D95" s="37"/>
      <c r="E95" s="152"/>
      <c r="F95" s="19">
        <f t="shared" si="6"/>
        <v>0</v>
      </c>
      <c r="G95" s="131"/>
      <c r="H95" s="24">
        <v>43441</v>
      </c>
      <c r="I95" s="136">
        <v>100000</v>
      </c>
      <c r="J95" s="50" t="s">
        <v>40</v>
      </c>
      <c r="K95" s="53" t="s">
        <v>78</v>
      </c>
      <c r="L95" s="54" t="s">
        <v>67</v>
      </c>
      <c r="M95" s="55"/>
      <c r="N95" s="55"/>
      <c r="O95" s="54"/>
    </row>
    <row r="96" s="2" customFormat="1" ht="18" customHeight="1" spans="1:15">
      <c r="A96" s="13"/>
      <c r="B96" s="19">
        <f t="shared" si="7"/>
        <v>0</v>
      </c>
      <c r="C96" s="36"/>
      <c r="D96" s="37"/>
      <c r="E96" s="152"/>
      <c r="F96" s="19">
        <f t="shared" si="6"/>
        <v>0</v>
      </c>
      <c r="G96" s="131"/>
      <c r="H96" s="24">
        <v>43441</v>
      </c>
      <c r="I96" s="136">
        <v>-100000</v>
      </c>
      <c r="J96" s="50" t="s">
        <v>43</v>
      </c>
      <c r="K96" s="53" t="s">
        <v>44</v>
      </c>
      <c r="L96" s="54"/>
      <c r="M96" s="55"/>
      <c r="N96" s="55"/>
      <c r="O96" s="54"/>
    </row>
    <row r="97" s="2" customFormat="1" ht="18" customHeight="1" spans="1:15">
      <c r="A97" s="13"/>
      <c r="B97" s="19">
        <f t="shared" si="7"/>
        <v>0</v>
      </c>
      <c r="C97" s="36"/>
      <c r="D97" s="37"/>
      <c r="E97" s="152"/>
      <c r="F97" s="19">
        <f t="shared" si="6"/>
        <v>0</v>
      </c>
      <c r="G97" s="131"/>
      <c r="H97" s="24">
        <v>43444</v>
      </c>
      <c r="I97" s="136">
        <v>100000</v>
      </c>
      <c r="J97" s="50" t="s">
        <v>40</v>
      </c>
      <c r="K97" s="53" t="s">
        <v>78</v>
      </c>
      <c r="L97" s="54" t="s">
        <v>67</v>
      </c>
      <c r="M97" s="55"/>
      <c r="N97" s="55"/>
      <c r="O97" s="54"/>
    </row>
    <row r="98" s="2" customFormat="1" ht="18" customHeight="1" spans="1:15">
      <c r="A98" s="13"/>
      <c r="B98" s="19">
        <f t="shared" si="7"/>
        <v>0</v>
      </c>
      <c r="C98" s="36"/>
      <c r="D98" s="37"/>
      <c r="E98" s="152"/>
      <c r="F98" s="19">
        <f t="shared" si="6"/>
        <v>0</v>
      </c>
      <c r="G98" s="131"/>
      <c r="H98" s="24">
        <v>43444</v>
      </c>
      <c r="I98" s="136">
        <v>-100000</v>
      </c>
      <c r="J98" s="50" t="s">
        <v>43</v>
      </c>
      <c r="K98" s="53" t="s">
        <v>44</v>
      </c>
      <c r="L98" s="54"/>
      <c r="M98" s="55"/>
      <c r="N98" s="55"/>
      <c r="O98" s="54"/>
    </row>
    <row r="99" s="2" customFormat="1" ht="18" customHeight="1" spans="1:15">
      <c r="A99" s="13">
        <v>43458</v>
      </c>
      <c r="B99" s="19">
        <f t="shared" si="7"/>
        <v>388737.86</v>
      </c>
      <c r="C99" s="36">
        <v>5</v>
      </c>
      <c r="D99" s="37" t="s">
        <v>39</v>
      </c>
      <c r="E99" s="152">
        <v>0.03</v>
      </c>
      <c r="F99" s="19">
        <f t="shared" si="6"/>
        <v>11662.14</v>
      </c>
      <c r="G99" s="131">
        <v>400400</v>
      </c>
      <c r="H99" s="24">
        <v>43444</v>
      </c>
      <c r="I99" s="136">
        <v>30000</v>
      </c>
      <c r="J99" s="50" t="s">
        <v>40</v>
      </c>
      <c r="K99" s="53" t="s">
        <v>79</v>
      </c>
      <c r="L99" s="54" t="s">
        <v>80</v>
      </c>
      <c r="M99" s="55"/>
      <c r="N99" s="55"/>
      <c r="O99" s="54"/>
    </row>
    <row r="100" s="2" customFormat="1" ht="18" customHeight="1" spans="1:15">
      <c r="A100" s="13"/>
      <c r="B100" s="19">
        <f t="shared" si="7"/>
        <v>0</v>
      </c>
      <c r="C100" s="36"/>
      <c r="D100" s="37"/>
      <c r="E100" s="152"/>
      <c r="F100" s="19">
        <f t="shared" si="6"/>
        <v>0</v>
      </c>
      <c r="G100" s="131"/>
      <c r="H100" s="24">
        <v>43444</v>
      </c>
      <c r="I100" s="136">
        <v>-30000</v>
      </c>
      <c r="J100" s="50" t="s">
        <v>43</v>
      </c>
      <c r="K100" s="53" t="s">
        <v>44</v>
      </c>
      <c r="L100" s="54"/>
      <c r="M100" s="55"/>
      <c r="N100" s="55"/>
      <c r="O100" s="54"/>
    </row>
    <row r="101" s="2" customFormat="1" ht="18" customHeight="1" spans="1:15">
      <c r="A101" s="13"/>
      <c r="B101" s="19">
        <f t="shared" si="7"/>
        <v>0</v>
      </c>
      <c r="C101" s="36"/>
      <c r="D101" s="37"/>
      <c r="E101" s="152"/>
      <c r="F101" s="19">
        <f t="shared" si="6"/>
        <v>0</v>
      </c>
      <c r="G101" s="131"/>
      <c r="H101" s="24">
        <v>43445</v>
      </c>
      <c r="I101" s="136">
        <v>70000</v>
      </c>
      <c r="J101" s="50" t="s">
        <v>40</v>
      </c>
      <c r="K101" s="53" t="s">
        <v>79</v>
      </c>
      <c r="L101" s="54" t="s">
        <v>80</v>
      </c>
      <c r="M101" s="55"/>
      <c r="N101" s="55"/>
      <c r="O101" s="54"/>
    </row>
    <row r="102" s="2" customFormat="1" ht="18" customHeight="1" spans="1:15">
      <c r="A102" s="13"/>
      <c r="B102" s="19">
        <f t="shared" si="7"/>
        <v>0</v>
      </c>
      <c r="C102" s="36"/>
      <c r="D102" s="37"/>
      <c r="E102" s="152"/>
      <c r="F102" s="19">
        <f t="shared" si="6"/>
        <v>0</v>
      </c>
      <c r="G102" s="131"/>
      <c r="H102" s="24">
        <v>43445</v>
      </c>
      <c r="I102" s="136">
        <v>-70000</v>
      </c>
      <c r="J102" s="50" t="s">
        <v>43</v>
      </c>
      <c r="K102" s="53" t="s">
        <v>44</v>
      </c>
      <c r="L102" s="54"/>
      <c r="M102" s="55"/>
      <c r="N102" s="55"/>
      <c r="O102" s="54"/>
    </row>
    <row r="103" s="2" customFormat="1" ht="18" customHeight="1" spans="1:15">
      <c r="A103" s="13">
        <v>43451</v>
      </c>
      <c r="B103" s="19">
        <f t="shared" si="7"/>
        <v>2155172.41</v>
      </c>
      <c r="C103" s="36">
        <v>3</v>
      </c>
      <c r="D103" s="37" t="s">
        <v>39</v>
      </c>
      <c r="E103" s="152">
        <v>0.16</v>
      </c>
      <c r="F103" s="19">
        <f t="shared" si="6"/>
        <v>344827.59</v>
      </c>
      <c r="G103" s="131">
        <v>2500000</v>
      </c>
      <c r="H103" s="24">
        <v>43448</v>
      </c>
      <c r="I103" s="136">
        <v>400000</v>
      </c>
      <c r="J103" s="50" t="s">
        <v>40</v>
      </c>
      <c r="K103" s="53" t="s">
        <v>61</v>
      </c>
      <c r="L103" s="71" t="s">
        <v>62</v>
      </c>
      <c r="M103" s="55" t="s">
        <v>56</v>
      </c>
      <c r="N103" s="55"/>
      <c r="O103" s="54"/>
    </row>
    <row r="104" s="2" customFormat="1" ht="18" customHeight="1" spans="1:15">
      <c r="A104" s="13"/>
      <c r="B104" s="19">
        <f t="shared" si="7"/>
        <v>0</v>
      </c>
      <c r="C104" s="36"/>
      <c r="D104" s="37"/>
      <c r="E104" s="152"/>
      <c r="F104" s="19">
        <f t="shared" si="6"/>
        <v>0</v>
      </c>
      <c r="G104" s="131"/>
      <c r="H104" s="24">
        <v>43448</v>
      </c>
      <c r="I104" s="136">
        <v>-400000</v>
      </c>
      <c r="J104" s="50" t="s">
        <v>43</v>
      </c>
      <c r="K104" s="53" t="s">
        <v>44</v>
      </c>
      <c r="L104" s="54"/>
      <c r="M104" s="55"/>
      <c r="N104" s="55"/>
      <c r="O104" s="54"/>
    </row>
    <row r="105" s="2" customFormat="1" ht="18" customHeight="1" spans="1:15">
      <c r="A105" s="13">
        <v>43451</v>
      </c>
      <c r="B105" s="19">
        <f t="shared" si="7"/>
        <v>1260517.28</v>
      </c>
      <c r="C105" s="36">
        <v>13</v>
      </c>
      <c r="D105" s="37" t="s">
        <v>39</v>
      </c>
      <c r="E105" s="152">
        <v>0.03</v>
      </c>
      <c r="F105" s="19">
        <f t="shared" si="6"/>
        <v>37815.52</v>
      </c>
      <c r="G105" s="131">
        <v>1298332.8</v>
      </c>
      <c r="H105" s="24"/>
      <c r="I105" s="136"/>
      <c r="J105" s="50"/>
      <c r="K105" s="53" t="s">
        <v>76</v>
      </c>
      <c r="L105" s="54" t="s">
        <v>77</v>
      </c>
      <c r="M105" s="55"/>
      <c r="N105" s="55"/>
      <c r="O105" s="54"/>
    </row>
    <row r="106" s="2" customFormat="1" ht="18" customHeight="1" spans="1:15">
      <c r="A106" s="13">
        <v>43451</v>
      </c>
      <c r="B106" s="19">
        <f t="shared" si="7"/>
        <v>38834.95</v>
      </c>
      <c r="C106" s="36">
        <v>1</v>
      </c>
      <c r="D106" s="37" t="s">
        <v>81</v>
      </c>
      <c r="E106" s="152">
        <v>0.03</v>
      </c>
      <c r="F106" s="19">
        <f t="shared" si="6"/>
        <v>1165.05</v>
      </c>
      <c r="G106" s="131">
        <v>40000</v>
      </c>
      <c r="H106" s="24"/>
      <c r="I106" s="136"/>
      <c r="J106" s="50"/>
      <c r="K106" s="53" t="s">
        <v>82</v>
      </c>
      <c r="L106" s="72" t="s">
        <v>83</v>
      </c>
      <c r="M106" s="55"/>
      <c r="N106" s="55"/>
      <c r="O106" s="54"/>
    </row>
    <row r="107" s="2" customFormat="1" ht="18" customHeight="1" spans="1:15">
      <c r="A107" s="13"/>
      <c r="B107" s="19">
        <f t="shared" si="7"/>
        <v>0</v>
      </c>
      <c r="C107" s="36"/>
      <c r="D107" s="37"/>
      <c r="E107" s="152"/>
      <c r="F107" s="19">
        <f t="shared" si="6"/>
        <v>0</v>
      </c>
      <c r="G107" s="131"/>
      <c r="H107" s="24">
        <v>43454</v>
      </c>
      <c r="I107" s="136">
        <v>100000</v>
      </c>
      <c r="J107" s="50" t="s">
        <v>23</v>
      </c>
      <c r="K107" s="53" t="s">
        <v>78</v>
      </c>
      <c r="L107" s="72" t="s">
        <v>67</v>
      </c>
      <c r="M107" s="55"/>
      <c r="N107" s="55"/>
      <c r="O107" s="54"/>
    </row>
    <row r="108" s="2" customFormat="1" ht="18" customHeight="1" spans="1:15">
      <c r="A108" s="13">
        <v>43458</v>
      </c>
      <c r="B108" s="19">
        <f t="shared" si="7"/>
        <v>5825242.72</v>
      </c>
      <c r="C108" s="36">
        <v>6</v>
      </c>
      <c r="D108" s="37" t="s">
        <v>39</v>
      </c>
      <c r="E108" s="152">
        <v>0.03</v>
      </c>
      <c r="F108" s="19">
        <f t="shared" si="6"/>
        <v>174757.28</v>
      </c>
      <c r="G108" s="131">
        <v>6000000</v>
      </c>
      <c r="H108" s="24">
        <v>43454</v>
      </c>
      <c r="I108" s="136">
        <v>3000000</v>
      </c>
      <c r="J108" s="50" t="s">
        <v>23</v>
      </c>
      <c r="K108" s="53" t="s">
        <v>71</v>
      </c>
      <c r="L108" s="72" t="s">
        <v>72</v>
      </c>
      <c r="M108" s="55" t="s">
        <v>56</v>
      </c>
      <c r="N108" s="55"/>
      <c r="O108" s="54"/>
    </row>
    <row r="109" s="2" customFormat="1" ht="18" customHeight="1" spans="1:15">
      <c r="A109" s="13"/>
      <c r="B109" s="19">
        <f t="shared" si="7"/>
        <v>0</v>
      </c>
      <c r="C109" s="36"/>
      <c r="D109" s="37"/>
      <c r="E109" s="152"/>
      <c r="F109" s="19">
        <f t="shared" si="6"/>
        <v>0</v>
      </c>
      <c r="G109" s="131"/>
      <c r="H109" s="24">
        <v>43454</v>
      </c>
      <c r="I109" s="136">
        <v>3000000</v>
      </c>
      <c r="J109" s="50" t="s">
        <v>23</v>
      </c>
      <c r="K109" s="53" t="s">
        <v>71</v>
      </c>
      <c r="L109" s="72" t="s">
        <v>72</v>
      </c>
      <c r="M109" s="55" t="s">
        <v>56</v>
      </c>
      <c r="N109" s="55"/>
      <c r="O109" s="54"/>
    </row>
    <row r="110" s="2" customFormat="1" ht="17" customHeight="1" spans="1:15">
      <c r="A110" s="13"/>
      <c r="B110" s="19">
        <f t="shared" si="7"/>
        <v>0</v>
      </c>
      <c r="C110" s="36"/>
      <c r="D110" s="37"/>
      <c r="E110" s="152"/>
      <c r="F110" s="19">
        <f t="shared" si="6"/>
        <v>0</v>
      </c>
      <c r="G110" s="131"/>
      <c r="H110" s="24">
        <v>43455</v>
      </c>
      <c r="I110" s="136">
        <v>200000</v>
      </c>
      <c r="J110" s="50" t="s">
        <v>23</v>
      </c>
      <c r="K110" s="53" t="s">
        <v>73</v>
      </c>
      <c r="L110" s="54" t="s">
        <v>67</v>
      </c>
      <c r="M110" s="55" t="s">
        <v>56</v>
      </c>
      <c r="N110" s="55"/>
      <c r="O110" s="54"/>
    </row>
    <row r="111" s="2" customFormat="1" ht="18" customHeight="1" spans="1:15">
      <c r="A111" s="13">
        <v>43458</v>
      </c>
      <c r="B111" s="19">
        <f t="shared" si="7"/>
        <v>719292.23</v>
      </c>
      <c r="C111" s="36">
        <v>1</v>
      </c>
      <c r="D111" s="37" t="s">
        <v>39</v>
      </c>
      <c r="E111" s="152">
        <v>0.03</v>
      </c>
      <c r="F111" s="19">
        <f t="shared" si="6"/>
        <v>21578.77</v>
      </c>
      <c r="G111" s="131">
        <v>740871</v>
      </c>
      <c r="H111" s="24"/>
      <c r="I111" s="136"/>
      <c r="J111" s="50"/>
      <c r="K111" s="53" t="s">
        <v>57</v>
      </c>
      <c r="L111" s="54" t="s">
        <v>58</v>
      </c>
      <c r="M111" s="55" t="s">
        <v>56</v>
      </c>
      <c r="N111" s="55"/>
      <c r="O111" s="54" t="s">
        <v>84</v>
      </c>
    </row>
    <row r="112" s="2" customFormat="1" ht="18" customHeight="1" spans="1:15">
      <c r="A112" s="13">
        <v>43458</v>
      </c>
      <c r="B112" s="19">
        <f t="shared" si="7"/>
        <v>336000</v>
      </c>
      <c r="C112" s="36">
        <v>4</v>
      </c>
      <c r="D112" s="37" t="s">
        <v>39</v>
      </c>
      <c r="E112" s="152">
        <v>0.03</v>
      </c>
      <c r="F112" s="19">
        <f t="shared" si="6"/>
        <v>10080</v>
      </c>
      <c r="G112" s="131">
        <v>346080</v>
      </c>
      <c r="H112" s="24"/>
      <c r="I112" s="136"/>
      <c r="J112" s="50"/>
      <c r="K112" s="53" t="s">
        <v>54</v>
      </c>
      <c r="L112" s="54" t="s">
        <v>55</v>
      </c>
      <c r="M112" s="55" t="s">
        <v>56</v>
      </c>
      <c r="N112" s="55"/>
      <c r="O112" s="54"/>
    </row>
    <row r="113" s="2" customFormat="1" ht="18" customHeight="1" spans="1:15">
      <c r="A113" s="13">
        <v>43458</v>
      </c>
      <c r="B113" s="19">
        <f t="shared" si="7"/>
        <v>2101.22</v>
      </c>
      <c r="C113" s="36">
        <v>2</v>
      </c>
      <c r="D113" s="37" t="s">
        <v>39</v>
      </c>
      <c r="E113" s="152">
        <v>0.16</v>
      </c>
      <c r="F113" s="19">
        <f t="shared" si="6"/>
        <v>336.2</v>
      </c>
      <c r="G113" s="131">
        <v>2437.42</v>
      </c>
      <c r="H113" s="24"/>
      <c r="I113" s="136"/>
      <c r="J113" s="50"/>
      <c r="K113" s="53" t="s">
        <v>85</v>
      </c>
      <c r="L113" s="54" t="s">
        <v>86</v>
      </c>
      <c r="M113" s="55"/>
      <c r="N113" s="55"/>
      <c r="O113" s="54"/>
    </row>
    <row r="114" s="5" customFormat="1" ht="18" customHeight="1" spans="1:15">
      <c r="A114" s="65"/>
      <c r="B114" s="19">
        <f t="shared" si="7"/>
        <v>0</v>
      </c>
      <c r="C114" s="66"/>
      <c r="D114" s="67"/>
      <c r="E114" s="156"/>
      <c r="F114" s="137">
        <f t="shared" si="6"/>
        <v>0</v>
      </c>
      <c r="G114" s="138"/>
      <c r="H114" s="13">
        <v>43458</v>
      </c>
      <c r="I114" s="136">
        <v>400000</v>
      </c>
      <c r="J114" s="55" t="s">
        <v>23</v>
      </c>
      <c r="K114" s="53" t="s">
        <v>61</v>
      </c>
      <c r="L114" s="54" t="s">
        <v>62</v>
      </c>
      <c r="M114" s="55" t="s">
        <v>56</v>
      </c>
      <c r="N114" s="55"/>
      <c r="O114" s="73"/>
    </row>
    <row r="115" s="2" customFormat="1" ht="18" customHeight="1" spans="1:15">
      <c r="A115" s="13">
        <v>43461</v>
      </c>
      <c r="B115" s="19">
        <f t="shared" si="7"/>
        <v>850862.07</v>
      </c>
      <c r="C115" s="36">
        <v>12</v>
      </c>
      <c r="D115" s="37" t="s">
        <v>39</v>
      </c>
      <c r="E115" s="152">
        <v>0.16</v>
      </c>
      <c r="F115" s="19">
        <f t="shared" si="6"/>
        <v>136137.93</v>
      </c>
      <c r="G115" s="131">
        <f>98700*8+49350*4</f>
        <v>987000</v>
      </c>
      <c r="H115" s="24">
        <v>43458</v>
      </c>
      <c r="I115" s="136">
        <v>987000</v>
      </c>
      <c r="J115" s="50" t="s">
        <v>23</v>
      </c>
      <c r="K115" s="53" t="s">
        <v>70</v>
      </c>
      <c r="L115" s="54" t="s">
        <v>87</v>
      </c>
      <c r="M115" s="55"/>
      <c r="N115" s="55"/>
      <c r="O115" s="54"/>
    </row>
    <row r="116" s="2" customFormat="1" ht="18" customHeight="1" spans="1:15">
      <c r="A116" s="13"/>
      <c r="B116" s="19">
        <f t="shared" si="7"/>
        <v>0</v>
      </c>
      <c r="C116" s="36"/>
      <c r="D116" s="37"/>
      <c r="E116" s="152"/>
      <c r="F116" s="19">
        <f t="shared" si="6"/>
        <v>0</v>
      </c>
      <c r="G116" s="131"/>
      <c r="H116" s="24">
        <v>43459</v>
      </c>
      <c r="I116" s="136">
        <v>140000</v>
      </c>
      <c r="J116" s="50" t="s">
        <v>23</v>
      </c>
      <c r="K116" s="53" t="s">
        <v>54</v>
      </c>
      <c r="L116" s="33" t="s">
        <v>55</v>
      </c>
      <c r="M116" s="55" t="s">
        <v>56</v>
      </c>
      <c r="N116" s="55"/>
      <c r="O116" s="54"/>
    </row>
    <row r="117" s="2" customFormat="1" ht="18" customHeight="1" spans="1:15">
      <c r="A117" s="13"/>
      <c r="B117" s="19">
        <f t="shared" si="7"/>
        <v>0</v>
      </c>
      <c r="C117" s="36"/>
      <c r="D117" s="37"/>
      <c r="E117" s="152"/>
      <c r="F117" s="19">
        <f t="shared" si="6"/>
        <v>0</v>
      </c>
      <c r="G117" s="131"/>
      <c r="H117" s="24">
        <v>43459</v>
      </c>
      <c r="I117" s="136">
        <v>1298332.8</v>
      </c>
      <c r="J117" s="50" t="s">
        <v>23</v>
      </c>
      <c r="K117" s="53" t="s">
        <v>76</v>
      </c>
      <c r="L117" s="33" t="s">
        <v>88</v>
      </c>
      <c r="M117" s="55"/>
      <c r="N117" s="55"/>
      <c r="O117" s="54"/>
    </row>
    <row r="118" s="2" customFormat="1" ht="18" customHeight="1" spans="1:15">
      <c r="A118" s="13"/>
      <c r="B118" s="19">
        <f t="shared" si="7"/>
        <v>0</v>
      </c>
      <c r="C118" s="36"/>
      <c r="D118" s="37"/>
      <c r="E118" s="152"/>
      <c r="F118" s="19">
        <f t="shared" si="6"/>
        <v>0</v>
      </c>
      <c r="G118" s="131"/>
      <c r="H118" s="24">
        <v>43459</v>
      </c>
      <c r="I118" s="136">
        <v>100000</v>
      </c>
      <c r="J118" s="50" t="s">
        <v>23</v>
      </c>
      <c r="K118" s="53" t="s">
        <v>79</v>
      </c>
      <c r="L118" s="33" t="s">
        <v>80</v>
      </c>
      <c r="M118" s="55"/>
      <c r="N118" s="55"/>
      <c r="O118" s="54"/>
    </row>
    <row r="119" s="2" customFormat="1" ht="18" customHeight="1" spans="1:15">
      <c r="A119" s="13"/>
      <c r="B119" s="19">
        <f t="shared" si="7"/>
        <v>0</v>
      </c>
      <c r="C119" s="36"/>
      <c r="D119" s="37"/>
      <c r="E119" s="152"/>
      <c r="F119" s="19">
        <f t="shared" si="6"/>
        <v>0</v>
      </c>
      <c r="G119" s="131"/>
      <c r="H119" s="24">
        <v>43459</v>
      </c>
      <c r="I119" s="136">
        <v>40000</v>
      </c>
      <c r="J119" s="50" t="s">
        <v>23</v>
      </c>
      <c r="K119" s="53" t="s">
        <v>82</v>
      </c>
      <c r="L119" s="33" t="s">
        <v>83</v>
      </c>
      <c r="M119" s="55"/>
      <c r="N119" s="55"/>
      <c r="O119" s="54"/>
    </row>
    <row r="120" s="2" customFormat="1" ht="18" customHeight="1" spans="1:15">
      <c r="A120" s="13"/>
      <c r="B120" s="19">
        <f t="shared" si="7"/>
        <v>0</v>
      </c>
      <c r="C120" s="36"/>
      <c r="D120" s="37"/>
      <c r="E120" s="152"/>
      <c r="F120" s="19">
        <f t="shared" si="6"/>
        <v>0</v>
      </c>
      <c r="G120" s="131"/>
      <c r="H120" s="24">
        <v>43460</v>
      </c>
      <c r="I120" s="136">
        <v>200000</v>
      </c>
      <c r="J120" s="50" t="s">
        <v>23</v>
      </c>
      <c r="K120" s="53" t="s">
        <v>61</v>
      </c>
      <c r="L120" s="71" t="s">
        <v>62</v>
      </c>
      <c r="M120" s="55" t="s">
        <v>56</v>
      </c>
      <c r="N120" s="55"/>
      <c r="O120" s="54"/>
    </row>
    <row r="121" s="2" customFormat="1" ht="18" customHeight="1" spans="1:15">
      <c r="A121" s="13"/>
      <c r="B121" s="19">
        <f t="shared" si="7"/>
        <v>0</v>
      </c>
      <c r="C121" s="36"/>
      <c r="D121" s="37"/>
      <c r="E121" s="152"/>
      <c r="F121" s="19">
        <f t="shared" si="6"/>
        <v>0</v>
      </c>
      <c r="G121" s="131"/>
      <c r="H121" s="24">
        <v>43460</v>
      </c>
      <c r="I121" s="136">
        <v>100000</v>
      </c>
      <c r="J121" s="50" t="s">
        <v>23</v>
      </c>
      <c r="K121" s="53" t="s">
        <v>79</v>
      </c>
      <c r="L121" s="71" t="s">
        <v>80</v>
      </c>
      <c r="M121" s="55"/>
      <c r="N121" s="55"/>
      <c r="O121" s="54"/>
    </row>
    <row r="122" s="2" customFormat="1" ht="18" customHeight="1" spans="1:15">
      <c r="A122" s="13"/>
      <c r="B122" s="19">
        <f t="shared" si="7"/>
        <v>0</v>
      </c>
      <c r="C122" s="36"/>
      <c r="D122" s="37"/>
      <c r="E122" s="152"/>
      <c r="F122" s="19">
        <f t="shared" si="6"/>
        <v>0</v>
      </c>
      <c r="G122" s="131"/>
      <c r="H122" s="24">
        <v>43460</v>
      </c>
      <c r="I122" s="136">
        <v>2000000</v>
      </c>
      <c r="J122" s="50" t="s">
        <v>23</v>
      </c>
      <c r="K122" s="53" t="s">
        <v>89</v>
      </c>
      <c r="L122" s="33" t="s">
        <v>90</v>
      </c>
      <c r="M122" s="55"/>
      <c r="N122" s="55"/>
      <c r="O122" s="54"/>
    </row>
    <row r="123" s="2" customFormat="1" ht="18" customHeight="1" spans="1:15">
      <c r="A123" s="13">
        <v>43461</v>
      </c>
      <c r="B123" s="19">
        <f t="shared" si="7"/>
        <v>291266.99</v>
      </c>
      <c r="C123" s="36">
        <v>3</v>
      </c>
      <c r="D123" s="37" t="s">
        <v>39</v>
      </c>
      <c r="E123" s="152">
        <v>0.03</v>
      </c>
      <c r="F123" s="19">
        <f t="shared" si="6"/>
        <v>8738.01</v>
      </c>
      <c r="G123" s="131">
        <f>100050*2+99905</f>
        <v>300005</v>
      </c>
      <c r="H123" s="24"/>
      <c r="I123" s="136"/>
      <c r="J123" s="50"/>
      <c r="K123" s="53" t="s">
        <v>78</v>
      </c>
      <c r="L123" s="72" t="s">
        <v>67</v>
      </c>
      <c r="M123" s="55"/>
      <c r="N123" s="55"/>
      <c r="O123" s="54"/>
    </row>
    <row r="124" s="2" customFormat="1" ht="18" customHeight="1" spans="1:15">
      <c r="A124" s="13">
        <v>43462</v>
      </c>
      <c r="B124" s="19">
        <f t="shared" si="7"/>
        <v>242718.88</v>
      </c>
      <c r="C124" s="36"/>
      <c r="D124" s="37" t="s">
        <v>39</v>
      </c>
      <c r="E124" s="152">
        <v>0.03</v>
      </c>
      <c r="F124" s="19">
        <f t="shared" si="6"/>
        <v>7281.57</v>
      </c>
      <c r="G124" s="131">
        <v>250000.45</v>
      </c>
      <c r="H124" s="24">
        <v>43461</v>
      </c>
      <c r="I124" s="136">
        <v>200000</v>
      </c>
      <c r="J124" s="50" t="s">
        <v>23</v>
      </c>
      <c r="K124" s="53" t="s">
        <v>66</v>
      </c>
      <c r="L124" s="33" t="s">
        <v>67</v>
      </c>
      <c r="M124" s="55" t="s">
        <v>56</v>
      </c>
      <c r="N124" s="55"/>
      <c r="O124" s="54"/>
    </row>
    <row r="125" s="2" customFormat="1" ht="18" customHeight="1" spans="1:15">
      <c r="A125" s="13"/>
      <c r="B125" s="19">
        <f t="shared" si="7"/>
        <v>0</v>
      </c>
      <c r="C125" s="36"/>
      <c r="D125" s="37"/>
      <c r="E125" s="152"/>
      <c r="F125" s="19">
        <f t="shared" si="6"/>
        <v>0</v>
      </c>
      <c r="G125" s="131"/>
      <c r="H125" s="24">
        <v>43461</v>
      </c>
      <c r="I125" s="136">
        <v>100400</v>
      </c>
      <c r="J125" s="50" t="s">
        <v>23</v>
      </c>
      <c r="K125" s="53" t="s">
        <v>79</v>
      </c>
      <c r="L125" s="33" t="s">
        <v>80</v>
      </c>
      <c r="M125" s="55"/>
      <c r="N125" s="55"/>
      <c r="O125" s="54"/>
    </row>
    <row r="126" s="2" customFormat="1" ht="18" customHeight="1" spans="1:15">
      <c r="A126" s="13"/>
      <c r="B126" s="19">
        <f t="shared" si="7"/>
        <v>0</v>
      </c>
      <c r="C126" s="36"/>
      <c r="D126" s="37"/>
      <c r="E126" s="152"/>
      <c r="F126" s="19">
        <f t="shared" si="6"/>
        <v>0</v>
      </c>
      <c r="G126" s="131"/>
      <c r="H126" s="24">
        <v>43463</v>
      </c>
      <c r="I126" s="136">
        <v>300000</v>
      </c>
      <c r="J126" s="50" t="s">
        <v>23</v>
      </c>
      <c r="K126" s="53" t="s">
        <v>57</v>
      </c>
      <c r="L126" s="33" t="s">
        <v>91</v>
      </c>
      <c r="M126" s="55" t="s">
        <v>56</v>
      </c>
      <c r="N126" s="55" t="s">
        <v>92</v>
      </c>
      <c r="O126" s="74" t="s">
        <v>93</v>
      </c>
    </row>
    <row r="127" s="2" customFormat="1" ht="18" customHeight="1" spans="1:15">
      <c r="A127" s="13"/>
      <c r="B127" s="19">
        <f t="shared" si="7"/>
        <v>0</v>
      </c>
      <c r="C127" s="36"/>
      <c r="D127" s="37"/>
      <c r="E127" s="152"/>
      <c r="F127" s="19">
        <f t="shared" si="6"/>
        <v>0</v>
      </c>
      <c r="G127" s="131"/>
      <c r="H127" s="24">
        <v>43467</v>
      </c>
      <c r="I127" s="136">
        <v>51962.5</v>
      </c>
      <c r="J127" s="50" t="s">
        <v>23</v>
      </c>
      <c r="K127" s="53" t="s">
        <v>59</v>
      </c>
      <c r="L127" s="33" t="s">
        <v>60</v>
      </c>
      <c r="M127" s="55" t="s">
        <v>56</v>
      </c>
      <c r="N127" s="55"/>
      <c r="O127" s="54"/>
    </row>
    <row r="128" s="2" customFormat="1" ht="18" customHeight="1" spans="1:15">
      <c r="A128" s="13"/>
      <c r="B128" s="19">
        <f t="shared" si="7"/>
        <v>0</v>
      </c>
      <c r="C128" s="36"/>
      <c r="D128" s="37"/>
      <c r="E128" s="152"/>
      <c r="F128" s="19">
        <f t="shared" si="6"/>
        <v>0</v>
      </c>
      <c r="G128" s="131"/>
      <c r="H128" s="24">
        <v>43468</v>
      </c>
      <c r="I128" s="136">
        <v>6000000</v>
      </c>
      <c r="J128" s="50" t="s">
        <v>23</v>
      </c>
      <c r="K128" s="53" t="s">
        <v>44</v>
      </c>
      <c r="L128" s="33" t="s">
        <v>94</v>
      </c>
      <c r="M128" s="55"/>
      <c r="N128" s="55"/>
      <c r="O128" s="54"/>
    </row>
    <row r="129" s="2" customFormat="1" ht="18" customHeight="1" spans="1:15">
      <c r="A129" s="13"/>
      <c r="B129" s="19">
        <f t="shared" si="7"/>
        <v>0</v>
      </c>
      <c r="C129" s="36"/>
      <c r="D129" s="37"/>
      <c r="E129" s="152"/>
      <c r="F129" s="19">
        <f t="shared" si="6"/>
        <v>0</v>
      </c>
      <c r="G129" s="131"/>
      <c r="H129" s="24">
        <v>43469</v>
      </c>
      <c r="I129" s="136">
        <v>300000</v>
      </c>
      <c r="J129" s="50" t="s">
        <v>23</v>
      </c>
      <c r="K129" s="53" t="s">
        <v>95</v>
      </c>
      <c r="L129" s="33" t="s">
        <v>96</v>
      </c>
      <c r="M129" s="55"/>
      <c r="N129" s="55"/>
      <c r="O129" s="54"/>
    </row>
    <row r="130" s="2" customFormat="1" ht="18" customHeight="1" spans="1:15">
      <c r="A130" s="13"/>
      <c r="B130" s="19">
        <f t="shared" si="7"/>
        <v>0</v>
      </c>
      <c r="C130" s="36"/>
      <c r="D130" s="37"/>
      <c r="E130" s="152"/>
      <c r="F130" s="19">
        <f t="shared" si="6"/>
        <v>0</v>
      </c>
      <c r="G130" s="131"/>
      <c r="H130" s="24">
        <v>43469</v>
      </c>
      <c r="I130" s="136">
        <v>105000</v>
      </c>
      <c r="J130" s="50" t="s">
        <v>23</v>
      </c>
      <c r="K130" s="53" t="s">
        <v>66</v>
      </c>
      <c r="L130" s="33" t="s">
        <v>67</v>
      </c>
      <c r="M130" s="55" t="s">
        <v>56</v>
      </c>
      <c r="N130" s="55"/>
      <c r="O130" s="54"/>
    </row>
    <row r="131" s="2" customFormat="1" ht="18" customHeight="1" spans="1:15">
      <c r="A131" s="13">
        <v>43479</v>
      </c>
      <c r="B131" s="19">
        <f t="shared" si="7"/>
        <v>1034482.76</v>
      </c>
      <c r="C131" s="36"/>
      <c r="D131" s="37" t="s">
        <v>39</v>
      </c>
      <c r="E131" s="152">
        <v>0.16</v>
      </c>
      <c r="F131" s="19">
        <f t="shared" si="6"/>
        <v>165517.24</v>
      </c>
      <c r="G131" s="131">
        <f>280000+920000</f>
        <v>1200000</v>
      </c>
      <c r="H131" s="24"/>
      <c r="I131" s="136"/>
      <c r="J131" s="50"/>
      <c r="K131" s="53" t="s">
        <v>61</v>
      </c>
      <c r="L131" s="33" t="s">
        <v>62</v>
      </c>
      <c r="M131" s="55" t="s">
        <v>56</v>
      </c>
      <c r="N131" s="55"/>
      <c r="O131" s="54"/>
    </row>
    <row r="132" s="2" customFormat="1" ht="18" customHeight="1" spans="1:15">
      <c r="A132" s="13">
        <v>43479</v>
      </c>
      <c r="B132" s="19">
        <f t="shared" si="7"/>
        <v>749882.91</v>
      </c>
      <c r="C132" s="36"/>
      <c r="D132" s="37" t="s">
        <v>39</v>
      </c>
      <c r="E132" s="152">
        <v>0.03</v>
      </c>
      <c r="F132" s="19">
        <f t="shared" si="6"/>
        <v>22496.49</v>
      </c>
      <c r="G132" s="131">
        <f>99900*4+99975+99975+99975+72854.4</f>
        <v>772379.4</v>
      </c>
      <c r="H132" s="24"/>
      <c r="I132" s="136"/>
      <c r="J132" s="50"/>
      <c r="K132" s="53" t="s">
        <v>76</v>
      </c>
      <c r="L132" s="33" t="s">
        <v>97</v>
      </c>
      <c r="M132" s="55"/>
      <c r="N132" s="55"/>
      <c r="O132" s="54"/>
    </row>
    <row r="133" s="2" customFormat="1" ht="18" customHeight="1" spans="1:15">
      <c r="A133" s="13">
        <v>43479</v>
      </c>
      <c r="B133" s="19">
        <f t="shared" si="7"/>
        <v>194174.76</v>
      </c>
      <c r="C133" s="36"/>
      <c r="D133" s="37" t="s">
        <v>39</v>
      </c>
      <c r="E133" s="152">
        <v>0.03</v>
      </c>
      <c r="F133" s="19">
        <f t="shared" si="6"/>
        <v>5825.24</v>
      </c>
      <c r="G133" s="131">
        <f>100000*2</f>
        <v>200000</v>
      </c>
      <c r="H133" s="24"/>
      <c r="I133" s="136"/>
      <c r="J133" s="50"/>
      <c r="K133" s="53" t="s">
        <v>73</v>
      </c>
      <c r="L133" s="33" t="s">
        <v>88</v>
      </c>
      <c r="M133" s="55" t="s">
        <v>56</v>
      </c>
      <c r="N133" s="55"/>
      <c r="O133" s="54"/>
    </row>
    <row r="134" s="2" customFormat="1" ht="18" customHeight="1" spans="1:15">
      <c r="A134" s="13">
        <v>43479</v>
      </c>
      <c r="B134" s="19">
        <f t="shared" si="7"/>
        <v>2122330.1</v>
      </c>
      <c r="C134" s="36"/>
      <c r="D134" s="37" t="s">
        <v>39</v>
      </c>
      <c r="E134" s="152">
        <v>0.03</v>
      </c>
      <c r="F134" s="19">
        <f t="shared" si="6"/>
        <v>63669.9</v>
      </c>
      <c r="G134" s="131">
        <f>400000+192000+320000+552000+90000+192000+440000</f>
        <v>2186000</v>
      </c>
      <c r="H134" s="24"/>
      <c r="I134" s="136"/>
      <c r="J134" s="50"/>
      <c r="K134" s="53" t="s">
        <v>89</v>
      </c>
      <c r="L134" s="33" t="s">
        <v>90</v>
      </c>
      <c r="M134" s="55"/>
      <c r="N134" s="55"/>
      <c r="O134" s="54"/>
    </row>
    <row r="135" s="2" customFormat="1" ht="18" customHeight="1" spans="1:15">
      <c r="A135" s="13">
        <v>43479</v>
      </c>
      <c r="B135" s="19">
        <f t="shared" si="7"/>
        <v>836154.55</v>
      </c>
      <c r="C135" s="36"/>
      <c r="D135" s="37" t="s">
        <v>45</v>
      </c>
      <c r="E135" s="152">
        <v>0.1</v>
      </c>
      <c r="F135" s="19">
        <f t="shared" si="6"/>
        <v>83615.45</v>
      </c>
      <c r="G135" s="131">
        <f>59985*2+99975*8</f>
        <v>919770</v>
      </c>
      <c r="H135" s="24"/>
      <c r="I135" s="136"/>
      <c r="J135" s="50"/>
      <c r="K135" s="53" t="s">
        <v>98</v>
      </c>
      <c r="L135" s="33" t="s">
        <v>99</v>
      </c>
      <c r="M135" s="55"/>
      <c r="N135" s="55"/>
      <c r="O135" s="54"/>
    </row>
    <row r="136" s="2" customFormat="1" ht="18" customHeight="1" spans="1:15">
      <c r="A136" s="13">
        <v>43479</v>
      </c>
      <c r="B136" s="19">
        <f t="shared" si="7"/>
        <v>5863.3</v>
      </c>
      <c r="C136" s="36"/>
      <c r="D136" s="37" t="s">
        <v>81</v>
      </c>
      <c r="E136" s="152">
        <v>0.03</v>
      </c>
      <c r="F136" s="19">
        <f t="shared" si="6"/>
        <v>175.9</v>
      </c>
      <c r="G136" s="131">
        <v>6039.2</v>
      </c>
      <c r="H136" s="24">
        <v>43479</v>
      </c>
      <c r="I136" s="136">
        <v>6039.2</v>
      </c>
      <c r="J136" s="50" t="s">
        <v>23</v>
      </c>
      <c r="K136" s="53" t="s">
        <v>100</v>
      </c>
      <c r="L136" s="33" t="s">
        <v>101</v>
      </c>
      <c r="M136" s="55"/>
      <c r="N136" s="55"/>
      <c r="O136" s="54" t="s">
        <v>102</v>
      </c>
    </row>
    <row r="137" s="2" customFormat="1" ht="18" customHeight="1" spans="1:15">
      <c r="A137" s="13">
        <v>43479</v>
      </c>
      <c r="B137" s="19">
        <f t="shared" si="7"/>
        <v>38439.61</v>
      </c>
      <c r="C137" s="36"/>
      <c r="D137" s="37" t="s">
        <v>81</v>
      </c>
      <c r="E137" s="152">
        <v>0.03</v>
      </c>
      <c r="F137" s="19">
        <f t="shared" si="6"/>
        <v>1153.19</v>
      </c>
      <c r="G137" s="131">
        <v>39592.8</v>
      </c>
      <c r="H137" s="24">
        <v>43479</v>
      </c>
      <c r="I137" s="136">
        <v>39592.8</v>
      </c>
      <c r="J137" s="50" t="s">
        <v>23</v>
      </c>
      <c r="K137" s="53" t="s">
        <v>103</v>
      </c>
      <c r="L137" s="33" t="s">
        <v>101</v>
      </c>
      <c r="M137" s="55"/>
      <c r="N137" s="55"/>
      <c r="O137" s="54" t="s">
        <v>102</v>
      </c>
    </row>
    <row r="138" s="2" customFormat="1" ht="18" customHeight="1" spans="1:15">
      <c r="A138" s="13">
        <v>43486</v>
      </c>
      <c r="B138" s="19">
        <f t="shared" si="7"/>
        <v>258620.69</v>
      </c>
      <c r="C138" s="36"/>
      <c r="D138" s="37" t="s">
        <v>39</v>
      </c>
      <c r="E138" s="152">
        <v>0.16</v>
      </c>
      <c r="F138" s="19">
        <f t="shared" si="6"/>
        <v>41379.31</v>
      </c>
      <c r="G138" s="131">
        <f>100000*3</f>
        <v>300000</v>
      </c>
      <c r="H138" s="24"/>
      <c r="I138" s="136"/>
      <c r="J138" s="50"/>
      <c r="K138" s="53" t="s">
        <v>95</v>
      </c>
      <c r="L138" s="33" t="s">
        <v>104</v>
      </c>
      <c r="M138" s="55"/>
      <c r="N138" s="55"/>
      <c r="O138" s="54"/>
    </row>
    <row r="139" s="2" customFormat="1" ht="18" customHeight="1" spans="1:15">
      <c r="A139" s="13">
        <v>43486</v>
      </c>
      <c r="B139" s="19">
        <f t="shared" si="7"/>
        <v>76893.2</v>
      </c>
      <c r="C139" s="36"/>
      <c r="D139" s="37" t="s">
        <v>81</v>
      </c>
      <c r="E139" s="152">
        <v>0.03</v>
      </c>
      <c r="F139" s="19">
        <f t="shared" si="6"/>
        <v>2306.8</v>
      </c>
      <c r="G139" s="131">
        <v>79200</v>
      </c>
      <c r="H139" s="24">
        <v>43479</v>
      </c>
      <c r="I139" s="136">
        <v>79200</v>
      </c>
      <c r="J139" s="50" t="s">
        <v>23</v>
      </c>
      <c r="K139" s="53" t="s">
        <v>105</v>
      </c>
      <c r="L139" s="33" t="s">
        <v>106</v>
      </c>
      <c r="M139" s="55"/>
      <c r="N139" s="55"/>
      <c r="O139" s="54"/>
    </row>
    <row r="140" s="2" customFormat="1" ht="18" customHeight="1" spans="1:15">
      <c r="A140" s="13">
        <v>43486</v>
      </c>
      <c r="B140" s="19">
        <f t="shared" si="7"/>
        <v>17448.28</v>
      </c>
      <c r="C140" s="36"/>
      <c r="D140" s="37" t="s">
        <v>39</v>
      </c>
      <c r="E140" s="152">
        <v>0.16</v>
      </c>
      <c r="F140" s="19">
        <f t="shared" si="6"/>
        <v>2791.72</v>
      </c>
      <c r="G140" s="131">
        <v>20240</v>
      </c>
      <c r="H140" s="24">
        <v>43479</v>
      </c>
      <c r="I140" s="136">
        <v>20240</v>
      </c>
      <c r="J140" s="50" t="s">
        <v>23</v>
      </c>
      <c r="K140" s="53" t="s">
        <v>107</v>
      </c>
      <c r="L140" s="33" t="s">
        <v>108</v>
      </c>
      <c r="M140" s="55"/>
      <c r="N140" s="55"/>
      <c r="O140" s="54"/>
    </row>
    <row r="141" s="2" customFormat="1" ht="18" customHeight="1" spans="1:15">
      <c r="A141" s="13">
        <v>43486</v>
      </c>
      <c r="B141" s="19">
        <f t="shared" si="7"/>
        <v>3764660.19</v>
      </c>
      <c r="C141" s="36"/>
      <c r="D141" s="37" t="s">
        <v>81</v>
      </c>
      <c r="E141" s="152">
        <v>0.03</v>
      </c>
      <c r="F141" s="19">
        <f t="shared" si="6"/>
        <v>112939.81</v>
      </c>
      <c r="G141" s="131">
        <f>969400+969400+969400+969400</f>
        <v>3877600</v>
      </c>
      <c r="H141" s="24"/>
      <c r="I141" s="136"/>
      <c r="J141" s="50" t="s">
        <v>23</v>
      </c>
      <c r="K141" s="53" t="s">
        <v>109</v>
      </c>
      <c r="L141" s="33" t="s">
        <v>110</v>
      </c>
      <c r="M141" s="55" t="s">
        <v>56</v>
      </c>
      <c r="N141" s="55"/>
      <c r="O141" s="54"/>
    </row>
    <row r="142" s="2" customFormat="1" ht="18" customHeight="1" spans="1:15">
      <c r="A142" s="13"/>
      <c r="B142" s="19">
        <f t="shared" si="7"/>
        <v>0</v>
      </c>
      <c r="C142" s="36"/>
      <c r="D142" s="37"/>
      <c r="E142" s="152"/>
      <c r="F142" s="19">
        <f t="shared" si="6"/>
        <v>0</v>
      </c>
      <c r="G142" s="131"/>
      <c r="H142" s="24">
        <v>43481</v>
      </c>
      <c r="I142" s="136">
        <v>100000</v>
      </c>
      <c r="J142" s="50" t="s">
        <v>23</v>
      </c>
      <c r="K142" s="53" t="s">
        <v>66</v>
      </c>
      <c r="L142" s="33"/>
      <c r="M142" s="55"/>
      <c r="N142" s="55"/>
      <c r="O142" s="54"/>
    </row>
    <row r="143" s="5" customFormat="1" ht="18" customHeight="1" spans="1:15">
      <c r="A143" s="65">
        <v>43486</v>
      </c>
      <c r="B143" s="19">
        <f t="shared" si="7"/>
        <v>97417.48</v>
      </c>
      <c r="C143" s="66"/>
      <c r="D143" s="67" t="s">
        <v>81</v>
      </c>
      <c r="E143" s="156">
        <v>0.03</v>
      </c>
      <c r="F143" s="137">
        <f t="shared" si="6"/>
        <v>2922.52</v>
      </c>
      <c r="G143" s="138">
        <v>100340</v>
      </c>
      <c r="H143" s="65">
        <v>43481</v>
      </c>
      <c r="I143" s="136">
        <v>100340</v>
      </c>
      <c r="J143" s="79" t="s">
        <v>23</v>
      </c>
      <c r="K143" s="53" t="s">
        <v>111</v>
      </c>
      <c r="L143" s="73" t="s">
        <v>112</v>
      </c>
      <c r="M143" s="79" t="s">
        <v>56</v>
      </c>
      <c r="N143" s="79"/>
      <c r="O143" s="73"/>
    </row>
    <row r="144" s="2" customFormat="1" ht="18" customHeight="1" spans="1:15">
      <c r="A144" s="13"/>
      <c r="B144" s="19">
        <f t="shared" si="7"/>
        <v>0</v>
      </c>
      <c r="C144" s="36"/>
      <c r="D144" s="37"/>
      <c r="E144" s="152"/>
      <c r="F144" s="19">
        <f t="shared" si="6"/>
        <v>0</v>
      </c>
      <c r="G144" s="131"/>
      <c r="H144" s="24">
        <v>43481</v>
      </c>
      <c r="I144" s="136">
        <v>180000</v>
      </c>
      <c r="J144" s="50" t="s">
        <v>23</v>
      </c>
      <c r="K144" s="53" t="s">
        <v>113</v>
      </c>
      <c r="L144" s="33" t="s">
        <v>114</v>
      </c>
      <c r="M144" s="55" t="s">
        <v>56</v>
      </c>
      <c r="N144" s="55"/>
      <c r="O144" s="74" t="s">
        <v>115</v>
      </c>
    </row>
    <row r="145" s="2" customFormat="1" ht="18" customHeight="1" spans="1:15">
      <c r="A145" s="13">
        <v>43486</v>
      </c>
      <c r="B145" s="19">
        <f t="shared" si="7"/>
        <v>296117.48</v>
      </c>
      <c r="C145" s="36"/>
      <c r="D145" s="37" t="s">
        <v>39</v>
      </c>
      <c r="E145" s="152">
        <v>0.03</v>
      </c>
      <c r="F145" s="19">
        <f t="shared" ref="F145:F221" si="8">ROUND(G145/(1+E145)*E145,2)</f>
        <v>8883.52</v>
      </c>
      <c r="G145" s="131">
        <v>305001</v>
      </c>
      <c r="H145" s="24">
        <v>43486</v>
      </c>
      <c r="I145" s="136">
        <v>200000</v>
      </c>
      <c r="J145" s="50" t="s">
        <v>23</v>
      </c>
      <c r="K145" s="53" t="s">
        <v>66</v>
      </c>
      <c r="L145" s="33" t="s">
        <v>67</v>
      </c>
      <c r="M145" s="55" t="s">
        <v>56</v>
      </c>
      <c r="N145" s="55"/>
      <c r="O145" s="54"/>
    </row>
    <row r="146" s="2" customFormat="1" ht="18" customHeight="1" spans="1:15">
      <c r="A146" s="13"/>
      <c r="B146" s="19">
        <f t="shared" si="7"/>
        <v>0</v>
      </c>
      <c r="C146" s="36"/>
      <c r="D146" s="37"/>
      <c r="E146" s="152"/>
      <c r="F146" s="19">
        <f t="shared" si="8"/>
        <v>0</v>
      </c>
      <c r="G146" s="131"/>
      <c r="H146" s="24">
        <v>43486</v>
      </c>
      <c r="I146" s="136">
        <v>919770</v>
      </c>
      <c r="J146" s="50" t="s">
        <v>23</v>
      </c>
      <c r="K146" s="53" t="s">
        <v>98</v>
      </c>
      <c r="L146" s="33" t="s">
        <v>99</v>
      </c>
      <c r="M146" s="55"/>
      <c r="N146" s="55"/>
      <c r="O146" s="54"/>
    </row>
    <row r="147" s="2" customFormat="1" ht="18" customHeight="1" spans="1:15">
      <c r="A147" s="13"/>
      <c r="B147" s="19">
        <f t="shared" ref="B147:B210" si="9">ROUND(G147/(1+E147),2)</f>
        <v>0</v>
      </c>
      <c r="C147" s="36"/>
      <c r="D147" s="37"/>
      <c r="E147" s="152"/>
      <c r="F147" s="19">
        <f t="shared" si="8"/>
        <v>0</v>
      </c>
      <c r="G147" s="131"/>
      <c r="H147" s="24">
        <v>43486</v>
      </c>
      <c r="I147" s="136">
        <v>186000</v>
      </c>
      <c r="J147" s="50" t="s">
        <v>23</v>
      </c>
      <c r="K147" s="53" t="s">
        <v>89</v>
      </c>
      <c r="L147" s="33" t="s">
        <v>90</v>
      </c>
      <c r="M147" s="55"/>
      <c r="N147" s="55"/>
      <c r="O147" s="54"/>
    </row>
    <row r="148" s="2" customFormat="1" ht="18" customHeight="1" spans="1:15">
      <c r="A148" s="13"/>
      <c r="B148" s="19">
        <f t="shared" si="9"/>
        <v>0</v>
      </c>
      <c r="C148" s="36"/>
      <c r="D148" s="37"/>
      <c r="E148" s="152"/>
      <c r="F148" s="19">
        <f t="shared" si="8"/>
        <v>0</v>
      </c>
      <c r="G148" s="131"/>
      <c r="H148" s="24">
        <v>43486</v>
      </c>
      <c r="I148" s="136">
        <v>772379.4</v>
      </c>
      <c r="J148" s="50" t="s">
        <v>23</v>
      </c>
      <c r="K148" s="53" t="s">
        <v>76</v>
      </c>
      <c r="L148" s="33" t="s">
        <v>88</v>
      </c>
      <c r="M148" s="55"/>
      <c r="N148" s="55"/>
      <c r="O148" s="54"/>
    </row>
    <row r="149" s="2" customFormat="1" ht="18" customHeight="1" spans="1:15">
      <c r="A149" s="13"/>
      <c r="B149" s="19">
        <f t="shared" si="9"/>
        <v>0</v>
      </c>
      <c r="C149" s="36"/>
      <c r="D149" s="37"/>
      <c r="E149" s="152"/>
      <c r="F149" s="19">
        <f t="shared" si="8"/>
        <v>0</v>
      </c>
      <c r="G149" s="131"/>
      <c r="H149" s="24">
        <v>43487</v>
      </c>
      <c r="I149" s="136">
        <v>3877600</v>
      </c>
      <c r="J149" s="50" t="s">
        <v>23</v>
      </c>
      <c r="K149" s="53" t="s">
        <v>109</v>
      </c>
      <c r="L149" s="72" t="s">
        <v>110</v>
      </c>
      <c r="M149" s="55" t="s">
        <v>56</v>
      </c>
      <c r="N149" s="55"/>
      <c r="O149" s="54"/>
    </row>
    <row r="150" s="2" customFormat="1" ht="18" customHeight="1" spans="1:15">
      <c r="A150" s="13"/>
      <c r="B150" s="19">
        <f t="shared" si="9"/>
        <v>0</v>
      </c>
      <c r="C150" s="36"/>
      <c r="D150" s="37"/>
      <c r="E150" s="152"/>
      <c r="F150" s="19">
        <f t="shared" si="8"/>
        <v>0</v>
      </c>
      <c r="G150" s="131"/>
      <c r="H150" s="24">
        <v>43488</v>
      </c>
      <c r="I150" s="136">
        <v>3700000</v>
      </c>
      <c r="J150" s="50" t="s">
        <v>23</v>
      </c>
      <c r="K150" s="53" t="s">
        <v>44</v>
      </c>
      <c r="L150" s="72" t="s">
        <v>116</v>
      </c>
      <c r="M150" s="55"/>
      <c r="N150" s="55"/>
      <c r="O150" s="54"/>
    </row>
    <row r="151" s="2" customFormat="1" ht="18" customHeight="1" spans="1:15">
      <c r="A151" s="13"/>
      <c r="B151" s="19">
        <f t="shared" si="9"/>
        <v>0</v>
      </c>
      <c r="C151" s="36"/>
      <c r="D151" s="37"/>
      <c r="E151" s="152"/>
      <c r="F151" s="19">
        <f t="shared" si="8"/>
        <v>0</v>
      </c>
      <c r="G151" s="131"/>
      <c r="H151" s="24">
        <v>43495</v>
      </c>
      <c r="I151" s="136">
        <v>200000</v>
      </c>
      <c r="J151" s="50" t="s">
        <v>23</v>
      </c>
      <c r="K151" s="53" t="s">
        <v>61</v>
      </c>
      <c r="L151" s="72" t="s">
        <v>62</v>
      </c>
      <c r="M151" s="55"/>
      <c r="N151" s="55"/>
      <c r="O151" s="54"/>
    </row>
    <row r="152" s="2" customFormat="1" ht="18" customHeight="1" spans="1:15">
      <c r="A152" s="13">
        <v>43516</v>
      </c>
      <c r="B152" s="19">
        <f t="shared" si="9"/>
        <v>172413.79</v>
      </c>
      <c r="C152" s="36"/>
      <c r="D152" s="37" t="s">
        <v>39</v>
      </c>
      <c r="E152" s="152">
        <v>0.16</v>
      </c>
      <c r="F152" s="19">
        <f t="shared" si="8"/>
        <v>27586.21</v>
      </c>
      <c r="G152" s="131">
        <v>200000</v>
      </c>
      <c r="H152" s="24">
        <v>43528</v>
      </c>
      <c r="I152" s="136">
        <v>200000</v>
      </c>
      <c r="J152" s="50" t="s">
        <v>23</v>
      </c>
      <c r="K152" s="53" t="s">
        <v>61</v>
      </c>
      <c r="L152" s="72" t="s">
        <v>62</v>
      </c>
      <c r="M152" s="55"/>
      <c r="N152" s="55"/>
      <c r="O152" s="54"/>
    </row>
    <row r="153" s="2" customFormat="1" ht="18" customHeight="1" spans="1:15">
      <c r="A153" s="13"/>
      <c r="B153" s="19">
        <f t="shared" si="9"/>
        <v>0</v>
      </c>
      <c r="C153" s="36"/>
      <c r="D153" s="37"/>
      <c r="E153" s="152"/>
      <c r="F153" s="19">
        <f t="shared" si="8"/>
        <v>0</v>
      </c>
      <c r="G153" s="131"/>
      <c r="H153" s="24">
        <v>43528</v>
      </c>
      <c r="I153" s="136">
        <v>200000</v>
      </c>
      <c r="J153" s="50" t="s">
        <v>23</v>
      </c>
      <c r="K153" s="53" t="s">
        <v>66</v>
      </c>
      <c r="L153" s="72" t="s">
        <v>97</v>
      </c>
      <c r="M153" s="55" t="s">
        <v>56</v>
      </c>
      <c r="N153" s="55"/>
      <c r="O153" s="54"/>
    </row>
    <row r="154" s="2" customFormat="1" ht="18" customHeight="1" spans="1:15">
      <c r="A154" s="13"/>
      <c r="B154" s="19">
        <f t="shared" si="9"/>
        <v>0</v>
      </c>
      <c r="C154" s="36"/>
      <c r="D154" s="37"/>
      <c r="E154" s="152"/>
      <c r="F154" s="19">
        <f t="shared" si="8"/>
        <v>0</v>
      </c>
      <c r="G154" s="131"/>
      <c r="H154" s="24">
        <v>43528</v>
      </c>
      <c r="I154" s="136">
        <v>100000</v>
      </c>
      <c r="J154" s="50" t="s">
        <v>23</v>
      </c>
      <c r="K154" s="53" t="s">
        <v>117</v>
      </c>
      <c r="L154" s="72" t="s">
        <v>118</v>
      </c>
      <c r="M154" s="55"/>
      <c r="N154" s="55"/>
      <c r="O154" s="54"/>
    </row>
    <row r="155" s="2" customFormat="1" ht="18" customHeight="1" spans="1:15">
      <c r="A155" s="13"/>
      <c r="B155" s="19">
        <f t="shared" si="9"/>
        <v>0</v>
      </c>
      <c r="C155" s="36"/>
      <c r="D155" s="37"/>
      <c r="E155" s="152"/>
      <c r="F155" s="19">
        <f t="shared" si="8"/>
        <v>0</v>
      </c>
      <c r="G155" s="131"/>
      <c r="H155" s="24">
        <v>43532</v>
      </c>
      <c r="I155" s="136">
        <v>100000</v>
      </c>
      <c r="J155" s="50" t="s">
        <v>23</v>
      </c>
      <c r="K155" s="53" t="s">
        <v>119</v>
      </c>
      <c r="L155" s="71" t="s">
        <v>62</v>
      </c>
      <c r="M155" s="55"/>
      <c r="N155" s="55"/>
      <c r="O155" s="54"/>
    </row>
    <row r="156" s="2" customFormat="1" ht="18" customHeight="1" spans="1:15">
      <c r="A156" s="13"/>
      <c r="B156" s="19">
        <f t="shared" si="9"/>
        <v>0</v>
      </c>
      <c r="C156" s="36"/>
      <c r="D156" s="37"/>
      <c r="E156" s="152"/>
      <c r="F156" s="19">
        <f t="shared" si="8"/>
        <v>0</v>
      </c>
      <c r="G156" s="131"/>
      <c r="H156" s="24">
        <v>43536</v>
      </c>
      <c r="I156" s="136">
        <v>230000</v>
      </c>
      <c r="J156" s="50" t="s">
        <v>23</v>
      </c>
      <c r="K156" s="53" t="s">
        <v>61</v>
      </c>
      <c r="L156" s="71" t="s">
        <v>62</v>
      </c>
      <c r="M156" s="55"/>
      <c r="N156" s="55"/>
      <c r="O156" s="54"/>
    </row>
    <row r="157" s="2" customFormat="1" ht="18" customHeight="1" spans="1:15">
      <c r="A157" s="13"/>
      <c r="B157" s="19">
        <f t="shared" si="9"/>
        <v>0</v>
      </c>
      <c r="C157" s="36"/>
      <c r="D157" s="37"/>
      <c r="E157" s="152"/>
      <c r="F157" s="19">
        <f t="shared" si="8"/>
        <v>0</v>
      </c>
      <c r="G157" s="131"/>
      <c r="H157" s="24">
        <v>43536</v>
      </c>
      <c r="I157" s="136">
        <v>-595000</v>
      </c>
      <c r="J157" s="50" t="s">
        <v>23</v>
      </c>
      <c r="K157" s="53" t="s">
        <v>44</v>
      </c>
      <c r="L157" s="71" t="s">
        <v>120</v>
      </c>
      <c r="M157" s="55"/>
      <c r="N157" s="55"/>
      <c r="O157" s="54"/>
    </row>
    <row r="158" s="2" customFormat="1" ht="18" customHeight="1" spans="1:15">
      <c r="A158" s="13"/>
      <c r="B158" s="19">
        <f t="shared" si="9"/>
        <v>0</v>
      </c>
      <c r="C158" s="36"/>
      <c r="D158" s="37"/>
      <c r="E158" s="152"/>
      <c r="F158" s="19">
        <f t="shared" si="8"/>
        <v>0</v>
      </c>
      <c r="G158" s="131"/>
      <c r="H158" s="24">
        <v>43536</v>
      </c>
      <c r="I158" s="136">
        <v>200000</v>
      </c>
      <c r="J158" s="50" t="s">
        <v>23</v>
      </c>
      <c r="K158" s="53" t="s">
        <v>117</v>
      </c>
      <c r="L158" s="71" t="s">
        <v>118</v>
      </c>
      <c r="M158" s="55"/>
      <c r="N158" s="55"/>
      <c r="O158" s="54"/>
    </row>
    <row r="159" s="2" customFormat="1" ht="18" customHeight="1" spans="1:15">
      <c r="A159" s="13">
        <v>43549</v>
      </c>
      <c r="B159" s="19">
        <f t="shared" si="9"/>
        <v>868931.6</v>
      </c>
      <c r="C159" s="36"/>
      <c r="D159" s="37" t="s">
        <v>39</v>
      </c>
      <c r="E159" s="152">
        <v>0.03</v>
      </c>
      <c r="F159" s="19">
        <f t="shared" si="8"/>
        <v>26067.95</v>
      </c>
      <c r="G159" s="131">
        <v>894999.55</v>
      </c>
      <c r="H159" s="24">
        <v>43536</v>
      </c>
      <c r="I159" s="136">
        <v>395000</v>
      </c>
      <c r="J159" s="50" t="s">
        <v>23</v>
      </c>
      <c r="K159" s="53" t="s">
        <v>66</v>
      </c>
      <c r="L159" s="72" t="s">
        <v>121</v>
      </c>
      <c r="M159" s="55" t="s">
        <v>56</v>
      </c>
      <c r="N159" s="55"/>
      <c r="O159" s="54"/>
    </row>
    <row r="160" s="2" customFormat="1" ht="18" customHeight="1" spans="1:15">
      <c r="A160" s="13"/>
      <c r="B160" s="19">
        <f t="shared" si="9"/>
        <v>0</v>
      </c>
      <c r="C160" s="36"/>
      <c r="D160" s="37"/>
      <c r="E160" s="152"/>
      <c r="F160" s="19">
        <f t="shared" si="8"/>
        <v>0</v>
      </c>
      <c r="G160" s="131"/>
      <c r="H160" s="24">
        <v>43537</v>
      </c>
      <c r="I160" s="136">
        <v>-200000</v>
      </c>
      <c r="J160" s="50" t="s">
        <v>23</v>
      </c>
      <c r="K160" s="53" t="s">
        <v>44</v>
      </c>
      <c r="L160" s="71" t="s">
        <v>120</v>
      </c>
      <c r="M160" s="55"/>
      <c r="N160" s="55"/>
      <c r="O160" s="54"/>
    </row>
    <row r="161" s="2" customFormat="1" ht="18" customHeight="1" spans="1:15">
      <c r="A161" s="13"/>
      <c r="B161" s="19">
        <f t="shared" si="9"/>
        <v>0</v>
      </c>
      <c r="C161" s="36"/>
      <c r="D161" s="37"/>
      <c r="E161" s="152"/>
      <c r="F161" s="19">
        <f t="shared" si="8"/>
        <v>0</v>
      </c>
      <c r="G161" s="131"/>
      <c r="H161" s="24">
        <v>43537</v>
      </c>
      <c r="I161" s="136">
        <v>200000</v>
      </c>
      <c r="J161" s="50" t="s">
        <v>23</v>
      </c>
      <c r="K161" s="53" t="s">
        <v>119</v>
      </c>
      <c r="L161" s="71" t="s">
        <v>62</v>
      </c>
      <c r="M161" s="55"/>
      <c r="N161" s="55"/>
      <c r="O161" s="54"/>
    </row>
    <row r="162" s="2" customFormat="1" ht="18" customHeight="1" spans="1:15">
      <c r="A162" s="13">
        <v>43583</v>
      </c>
      <c r="B162" s="19">
        <f t="shared" si="9"/>
        <v>291261.17</v>
      </c>
      <c r="C162" s="36"/>
      <c r="D162" s="37" t="s">
        <v>39</v>
      </c>
      <c r="E162" s="152">
        <v>0.03</v>
      </c>
      <c r="F162" s="19">
        <f t="shared" si="8"/>
        <v>8737.84</v>
      </c>
      <c r="G162" s="131">
        <v>299999.01</v>
      </c>
      <c r="H162" s="24">
        <v>43546</v>
      </c>
      <c r="I162" s="136">
        <v>300000</v>
      </c>
      <c r="J162" s="50" t="s">
        <v>23</v>
      </c>
      <c r="K162" s="53" t="s">
        <v>66</v>
      </c>
      <c r="L162" s="71" t="s">
        <v>122</v>
      </c>
      <c r="M162" s="55" t="s">
        <v>56</v>
      </c>
      <c r="N162" s="55"/>
      <c r="O162" s="63"/>
    </row>
    <row r="163" s="2" customFormat="1" ht="18" customHeight="1" spans="1:15">
      <c r="A163" s="13"/>
      <c r="B163" s="19">
        <f t="shared" si="9"/>
        <v>0</v>
      </c>
      <c r="C163" s="36"/>
      <c r="D163" s="37"/>
      <c r="E163" s="152"/>
      <c r="F163" s="19">
        <f t="shared" si="8"/>
        <v>0</v>
      </c>
      <c r="G163" s="131"/>
      <c r="H163" s="24">
        <v>43543</v>
      </c>
      <c r="I163" s="130">
        <v>-300000</v>
      </c>
      <c r="J163" s="50" t="s">
        <v>23</v>
      </c>
      <c r="K163" s="53" t="s">
        <v>44</v>
      </c>
      <c r="L163" s="71" t="s">
        <v>120</v>
      </c>
      <c r="M163" s="55"/>
      <c r="N163" s="55"/>
      <c r="O163" s="54"/>
    </row>
    <row r="164" s="2" customFormat="1" ht="18" customHeight="1" spans="1:15">
      <c r="A164" s="13"/>
      <c r="B164" s="19">
        <f t="shared" si="9"/>
        <v>0</v>
      </c>
      <c r="C164" s="36"/>
      <c r="D164" s="37"/>
      <c r="E164" s="152"/>
      <c r="F164" s="19">
        <f t="shared" si="8"/>
        <v>0</v>
      </c>
      <c r="G164" s="131"/>
      <c r="H164" s="24">
        <v>43545</v>
      </c>
      <c r="I164" s="136">
        <v>300000</v>
      </c>
      <c r="J164" s="50" t="s">
        <v>23</v>
      </c>
      <c r="K164" s="53" t="s">
        <v>119</v>
      </c>
      <c r="L164" s="71" t="s">
        <v>62</v>
      </c>
      <c r="M164" s="55"/>
      <c r="N164" s="55"/>
      <c r="O164" s="54"/>
    </row>
    <row r="165" s="2" customFormat="1" ht="18" customHeight="1" spans="1:15">
      <c r="A165" s="13"/>
      <c r="B165" s="19">
        <f t="shared" si="9"/>
        <v>0</v>
      </c>
      <c r="C165" s="36"/>
      <c r="D165" s="37"/>
      <c r="E165" s="152"/>
      <c r="F165" s="19">
        <f t="shared" si="8"/>
        <v>0</v>
      </c>
      <c r="G165" s="131"/>
      <c r="H165" s="24">
        <v>43545</v>
      </c>
      <c r="I165" s="130">
        <v>-300000</v>
      </c>
      <c r="J165" s="50" t="s">
        <v>23</v>
      </c>
      <c r="K165" s="53" t="s">
        <v>44</v>
      </c>
      <c r="L165" s="71" t="s">
        <v>120</v>
      </c>
      <c r="M165" s="55"/>
      <c r="N165" s="55"/>
      <c r="O165" s="54"/>
    </row>
    <row r="166" s="2" customFormat="1" ht="18" customHeight="1" spans="1:15">
      <c r="A166" s="13">
        <v>43577</v>
      </c>
      <c r="B166" s="19">
        <f t="shared" si="9"/>
        <v>671763.62</v>
      </c>
      <c r="C166" s="36"/>
      <c r="D166" s="37" t="s">
        <v>39</v>
      </c>
      <c r="E166" s="152">
        <v>0.16</v>
      </c>
      <c r="F166" s="19">
        <f t="shared" si="8"/>
        <v>107482.18</v>
      </c>
      <c r="G166" s="131">
        <f>111325.8+111320*6</f>
        <v>779245.8</v>
      </c>
      <c r="H166" s="24">
        <v>43552</v>
      </c>
      <c r="I166" s="136">
        <v>300000</v>
      </c>
      <c r="J166" s="50" t="s">
        <v>23</v>
      </c>
      <c r="K166" s="53" t="s">
        <v>119</v>
      </c>
      <c r="L166" s="71" t="s">
        <v>123</v>
      </c>
      <c r="M166" s="55"/>
      <c r="N166" s="55"/>
      <c r="O166" s="54"/>
    </row>
    <row r="167" s="2" customFormat="1" ht="18" customHeight="1" spans="1:15">
      <c r="A167" s="13">
        <v>43525</v>
      </c>
      <c r="B167" s="19">
        <f t="shared" si="9"/>
        <v>299130.58</v>
      </c>
      <c r="C167" s="36"/>
      <c r="D167" s="37" t="s">
        <v>39</v>
      </c>
      <c r="E167" s="152">
        <v>0.03</v>
      </c>
      <c r="F167" s="19">
        <f t="shared" si="8"/>
        <v>8973.92</v>
      </c>
      <c r="G167" s="131">
        <f>102680+102439.02+102985.48</f>
        <v>308104.5</v>
      </c>
      <c r="H167" s="24">
        <v>43552</v>
      </c>
      <c r="I167" s="136">
        <v>300000</v>
      </c>
      <c r="J167" s="50" t="s">
        <v>23</v>
      </c>
      <c r="K167" s="53" t="s">
        <v>117</v>
      </c>
      <c r="L167" s="71" t="s">
        <v>118</v>
      </c>
      <c r="M167" s="55" t="s">
        <v>56</v>
      </c>
      <c r="N167" s="55" t="s">
        <v>56</v>
      </c>
      <c r="O167" s="54"/>
    </row>
    <row r="168" s="2" customFormat="1" ht="18" customHeight="1" spans="1:15">
      <c r="A168" s="13"/>
      <c r="B168" s="19">
        <f t="shared" si="9"/>
        <v>0</v>
      </c>
      <c r="C168" s="36"/>
      <c r="D168" s="37"/>
      <c r="E168" s="152"/>
      <c r="F168" s="19">
        <f t="shared" si="8"/>
        <v>0</v>
      </c>
      <c r="G168" s="131"/>
      <c r="H168" s="24">
        <v>43552</v>
      </c>
      <c r="I168" s="136">
        <v>-600000</v>
      </c>
      <c r="J168" s="50" t="s">
        <v>23</v>
      </c>
      <c r="K168" s="53" t="s">
        <v>44</v>
      </c>
      <c r="L168" s="71"/>
      <c r="M168" s="55"/>
      <c r="N168" s="55"/>
      <c r="O168" s="54"/>
    </row>
    <row r="169" s="2" customFormat="1" ht="18" customHeight="1" spans="1:15">
      <c r="A169" s="13">
        <v>43570</v>
      </c>
      <c r="B169" s="19">
        <f t="shared" si="9"/>
        <v>730601.34</v>
      </c>
      <c r="C169" s="36"/>
      <c r="D169" s="37" t="s">
        <v>39</v>
      </c>
      <c r="E169" s="152">
        <v>0.03</v>
      </c>
      <c r="F169" s="19">
        <f t="shared" si="8"/>
        <v>21918.04</v>
      </c>
      <c r="G169" s="131">
        <f>102950*3+99226.42+100800+60543.96+102600+80499</f>
        <v>752519.38</v>
      </c>
      <c r="H169" s="24">
        <v>43558</v>
      </c>
      <c r="I169" s="136">
        <v>300000</v>
      </c>
      <c r="J169" s="50" t="s">
        <v>23</v>
      </c>
      <c r="K169" s="53" t="s">
        <v>117</v>
      </c>
      <c r="L169" s="72" t="s">
        <v>124</v>
      </c>
      <c r="M169" s="55" t="s">
        <v>56</v>
      </c>
      <c r="N169" s="55" t="s">
        <v>56</v>
      </c>
      <c r="O169" s="54"/>
    </row>
    <row r="170" s="2" customFormat="1" ht="18" customHeight="1" spans="1:15">
      <c r="A170" s="13"/>
      <c r="B170" s="19">
        <f t="shared" si="9"/>
        <v>0</v>
      </c>
      <c r="C170" s="36"/>
      <c r="D170" s="37"/>
      <c r="E170" s="152"/>
      <c r="F170" s="19">
        <f t="shared" si="8"/>
        <v>0</v>
      </c>
      <c r="G170" s="131"/>
      <c r="H170" s="24">
        <v>43558</v>
      </c>
      <c r="I170" s="136">
        <v>-300000</v>
      </c>
      <c r="J170" s="50" t="s">
        <v>23</v>
      </c>
      <c r="K170" s="53" t="s">
        <v>44</v>
      </c>
      <c r="L170" s="71"/>
      <c r="M170" s="55"/>
      <c r="N170" s="55"/>
      <c r="O170" s="54"/>
    </row>
    <row r="171" s="2" customFormat="1" ht="18" customHeight="1" spans="1:15">
      <c r="A171" s="13">
        <v>43592</v>
      </c>
      <c r="B171" s="19">
        <f t="shared" si="9"/>
        <v>833538.05</v>
      </c>
      <c r="C171" s="36"/>
      <c r="D171" s="37" t="s">
        <v>39</v>
      </c>
      <c r="E171" s="152">
        <v>0.13</v>
      </c>
      <c r="F171" s="19">
        <f t="shared" si="8"/>
        <v>108359.95</v>
      </c>
      <c r="G171" s="131">
        <f>104655*8+104658</f>
        <v>941898</v>
      </c>
      <c r="H171" s="24">
        <v>43566</v>
      </c>
      <c r="I171" s="136">
        <v>500000</v>
      </c>
      <c r="J171" s="50" t="s">
        <v>23</v>
      </c>
      <c r="K171" s="53" t="s">
        <v>119</v>
      </c>
      <c r="L171" s="71" t="s">
        <v>125</v>
      </c>
      <c r="M171" s="55"/>
      <c r="N171" s="55"/>
      <c r="O171" s="54"/>
    </row>
    <row r="172" s="2" customFormat="1" ht="18" customHeight="1" spans="1:15">
      <c r="A172" s="13"/>
      <c r="B172" s="19">
        <f t="shared" si="9"/>
        <v>0</v>
      </c>
      <c r="C172" s="36"/>
      <c r="D172" s="37"/>
      <c r="E172" s="152"/>
      <c r="F172" s="19">
        <f t="shared" si="8"/>
        <v>0</v>
      </c>
      <c r="G172" s="131"/>
      <c r="H172" s="24">
        <v>43566</v>
      </c>
      <c r="I172" s="136">
        <v>-500000</v>
      </c>
      <c r="J172" s="50" t="s">
        <v>23</v>
      </c>
      <c r="K172" s="53" t="s">
        <v>44</v>
      </c>
      <c r="L172" s="71"/>
      <c r="M172" s="55"/>
      <c r="N172" s="55"/>
      <c r="O172" s="54"/>
    </row>
    <row r="173" s="2" customFormat="1" ht="18" customHeight="1" spans="1:15">
      <c r="A173" s="13"/>
      <c r="B173" s="19">
        <f t="shared" si="9"/>
        <v>0</v>
      </c>
      <c r="C173" s="36"/>
      <c r="D173" s="37"/>
      <c r="E173" s="152"/>
      <c r="F173" s="19">
        <f t="shared" si="8"/>
        <v>0</v>
      </c>
      <c r="G173" s="131"/>
      <c r="H173" s="24">
        <v>43566</v>
      </c>
      <c r="I173" s="136">
        <v>300000</v>
      </c>
      <c r="J173" s="50" t="s">
        <v>23</v>
      </c>
      <c r="K173" s="53" t="s">
        <v>126</v>
      </c>
      <c r="L173" s="71" t="s">
        <v>127</v>
      </c>
      <c r="M173" s="55"/>
      <c r="N173" s="55"/>
      <c r="O173" s="54"/>
    </row>
    <row r="174" s="2" customFormat="1" ht="18" customHeight="1" spans="1:15">
      <c r="A174" s="13"/>
      <c r="B174" s="19">
        <f t="shared" si="9"/>
        <v>0</v>
      </c>
      <c r="C174" s="36"/>
      <c r="D174" s="37"/>
      <c r="E174" s="152"/>
      <c r="F174" s="19">
        <f t="shared" si="8"/>
        <v>0</v>
      </c>
      <c r="G174" s="131"/>
      <c r="H174" s="24">
        <v>43566</v>
      </c>
      <c r="I174" s="136">
        <v>-300000</v>
      </c>
      <c r="J174" s="50" t="s">
        <v>23</v>
      </c>
      <c r="K174" s="53" t="s">
        <v>44</v>
      </c>
      <c r="L174" s="72"/>
      <c r="M174" s="55"/>
      <c r="N174" s="55"/>
      <c r="O174" s="54"/>
    </row>
    <row r="175" s="2" customFormat="1" ht="18" customHeight="1" spans="1:15">
      <c r="A175" s="13">
        <v>43570</v>
      </c>
      <c r="B175" s="19">
        <f t="shared" si="9"/>
        <v>380530.97</v>
      </c>
      <c r="C175" s="36"/>
      <c r="D175" s="37" t="s">
        <v>39</v>
      </c>
      <c r="E175" s="152">
        <v>0.13</v>
      </c>
      <c r="F175" s="19">
        <f t="shared" si="8"/>
        <v>49469.03</v>
      </c>
      <c r="G175" s="131">
        <v>430000</v>
      </c>
      <c r="H175" s="24"/>
      <c r="I175" s="136"/>
      <c r="J175" s="50"/>
      <c r="K175" s="53" t="s">
        <v>61</v>
      </c>
      <c r="L175" s="72" t="s">
        <v>128</v>
      </c>
      <c r="M175" s="50" t="s">
        <v>56</v>
      </c>
      <c r="N175" s="50" t="s">
        <v>129</v>
      </c>
      <c r="O175" s="54"/>
    </row>
    <row r="176" ht="18" customHeight="1" spans="1:15">
      <c r="A176" s="24">
        <v>43556</v>
      </c>
      <c r="B176" s="19">
        <f t="shared" si="9"/>
        <v>2774311.93</v>
      </c>
      <c r="C176" s="75"/>
      <c r="D176" s="76" t="s">
        <v>39</v>
      </c>
      <c r="E176" s="157">
        <v>0.09</v>
      </c>
      <c r="F176" s="19">
        <f t="shared" si="8"/>
        <v>249688.07</v>
      </c>
      <c r="G176" s="139">
        <f>1008000*3</f>
        <v>3024000</v>
      </c>
      <c r="H176" s="24">
        <v>43591</v>
      </c>
      <c r="I176" s="136">
        <v>2500000</v>
      </c>
      <c r="J176" s="50" t="s">
        <v>23</v>
      </c>
      <c r="K176" s="53" t="s">
        <v>126</v>
      </c>
      <c r="L176" s="72" t="s">
        <v>130</v>
      </c>
      <c r="M176" s="50" t="s">
        <v>56</v>
      </c>
      <c r="N176" s="50"/>
      <c r="O176" s="33"/>
    </row>
    <row r="177" s="2" customFormat="1" ht="18" customHeight="1" spans="1:15">
      <c r="A177" s="13">
        <v>43583</v>
      </c>
      <c r="B177" s="19">
        <f t="shared" si="9"/>
        <v>332690.29</v>
      </c>
      <c r="C177" s="36"/>
      <c r="D177" s="37" t="s">
        <v>39</v>
      </c>
      <c r="E177" s="152">
        <v>0.03</v>
      </c>
      <c r="F177" s="19">
        <f t="shared" si="8"/>
        <v>9980.71</v>
      </c>
      <c r="G177" s="131">
        <v>342671</v>
      </c>
      <c r="H177" s="24"/>
      <c r="I177" s="136"/>
      <c r="J177" s="50"/>
      <c r="K177" s="53" t="s">
        <v>57</v>
      </c>
      <c r="L177" s="72" t="s">
        <v>91</v>
      </c>
      <c r="M177" s="55" t="s">
        <v>56</v>
      </c>
      <c r="N177" s="55" t="s">
        <v>92</v>
      </c>
      <c r="O177" s="54" t="s">
        <v>93</v>
      </c>
    </row>
    <row r="178" s="2" customFormat="1" ht="18" customHeight="1" spans="1:15">
      <c r="A178" s="13">
        <v>43595</v>
      </c>
      <c r="B178" s="19">
        <f t="shared" si="9"/>
        <v>790026.18</v>
      </c>
      <c r="C178" s="36"/>
      <c r="D178" s="76" t="s">
        <v>39</v>
      </c>
      <c r="E178" s="152">
        <v>0.03</v>
      </c>
      <c r="F178" s="19">
        <f t="shared" si="8"/>
        <v>23700.79</v>
      </c>
      <c r="G178" s="131">
        <f>102960+102960+102960+102960+102987.8+92947.97+102960+102991.2</f>
        <v>813726.97</v>
      </c>
      <c r="H178" s="24">
        <v>43591</v>
      </c>
      <c r="I178" s="136">
        <v>500000</v>
      </c>
      <c r="J178" s="50" t="s">
        <v>23</v>
      </c>
      <c r="K178" s="53" t="s">
        <v>117</v>
      </c>
      <c r="L178" s="72" t="s">
        <v>131</v>
      </c>
      <c r="M178" s="55" t="s">
        <v>56</v>
      </c>
      <c r="N178" s="55" t="s">
        <v>132</v>
      </c>
      <c r="O178" s="54"/>
    </row>
    <row r="179" s="2" customFormat="1" ht="18" customHeight="1" spans="1:15">
      <c r="A179" s="13">
        <v>43595</v>
      </c>
      <c r="B179" s="19">
        <f t="shared" si="9"/>
        <v>376313.27</v>
      </c>
      <c r="C179" s="36"/>
      <c r="D179" s="37" t="s">
        <v>39</v>
      </c>
      <c r="E179" s="152">
        <v>0.09</v>
      </c>
      <c r="F179" s="19">
        <f t="shared" si="8"/>
        <v>33868.19</v>
      </c>
      <c r="G179" s="131">
        <f>102983.73+98325.25+100256.63+108615.85</f>
        <v>410181.46</v>
      </c>
      <c r="H179" s="24">
        <v>43592</v>
      </c>
      <c r="I179" s="136">
        <v>410181.46</v>
      </c>
      <c r="J179" s="50" t="s">
        <v>23</v>
      </c>
      <c r="K179" s="53" t="s">
        <v>133</v>
      </c>
      <c r="L179" s="71" t="s">
        <v>134</v>
      </c>
      <c r="M179" s="55" t="s">
        <v>56</v>
      </c>
      <c r="N179" s="55" t="s">
        <v>56</v>
      </c>
      <c r="O179" s="54"/>
    </row>
    <row r="180" s="2" customFormat="1" ht="18" customHeight="1" spans="1:15">
      <c r="A180" s="13"/>
      <c r="B180" s="19">
        <f t="shared" si="9"/>
        <v>0</v>
      </c>
      <c r="C180" s="36"/>
      <c r="D180" s="37"/>
      <c r="E180" s="152"/>
      <c r="F180" s="19">
        <f t="shared" si="8"/>
        <v>0</v>
      </c>
      <c r="G180" s="131"/>
      <c r="H180" s="24">
        <v>43592</v>
      </c>
      <c r="I180" s="136">
        <v>321143.8</v>
      </c>
      <c r="J180" s="50" t="s">
        <v>23</v>
      </c>
      <c r="K180" s="53" t="s">
        <v>119</v>
      </c>
      <c r="L180" s="71" t="s">
        <v>62</v>
      </c>
      <c r="M180" s="55"/>
      <c r="N180" s="55"/>
      <c r="O180" s="54"/>
    </row>
    <row r="181" s="2" customFormat="1" ht="18" customHeight="1" spans="1:15">
      <c r="A181" s="13"/>
      <c r="B181" s="19">
        <f t="shared" si="9"/>
        <v>0</v>
      </c>
      <c r="C181" s="36"/>
      <c r="D181" s="37"/>
      <c r="E181" s="152"/>
      <c r="F181" s="19">
        <f t="shared" si="8"/>
        <v>0</v>
      </c>
      <c r="G181" s="131"/>
      <c r="H181" s="24">
        <v>43592</v>
      </c>
      <c r="I181" s="136">
        <v>500000</v>
      </c>
      <c r="J181" s="50" t="s">
        <v>23</v>
      </c>
      <c r="K181" s="53" t="s">
        <v>135</v>
      </c>
      <c r="L181" s="71" t="s">
        <v>136</v>
      </c>
      <c r="M181" s="55"/>
      <c r="N181" s="55"/>
      <c r="O181" s="54"/>
    </row>
    <row r="182" s="2" customFormat="1" ht="18" customHeight="1" spans="1:15">
      <c r="A182" s="13">
        <v>43598</v>
      </c>
      <c r="B182" s="19">
        <f t="shared" si="9"/>
        <v>2180582.52</v>
      </c>
      <c r="C182" s="36"/>
      <c r="D182" s="37" t="s">
        <v>39</v>
      </c>
      <c r="E182" s="152">
        <v>0.03</v>
      </c>
      <c r="F182" s="19">
        <f t="shared" si="8"/>
        <v>65417.48</v>
      </c>
      <c r="G182" s="131">
        <f>90000*6+96000*10+100000*4+96000+72000+98000+80000</f>
        <v>2246000</v>
      </c>
      <c r="H182" s="24">
        <v>43593</v>
      </c>
      <c r="I182" s="136">
        <v>1000000</v>
      </c>
      <c r="J182" s="50" t="s">
        <v>23</v>
      </c>
      <c r="K182" s="53" t="s">
        <v>137</v>
      </c>
      <c r="L182" s="72" t="s">
        <v>90</v>
      </c>
      <c r="M182" s="55" t="s">
        <v>56</v>
      </c>
      <c r="N182" s="55" t="s">
        <v>56</v>
      </c>
      <c r="O182" s="54"/>
    </row>
    <row r="183" s="2" customFormat="1" ht="18" customHeight="1" spans="1:15">
      <c r="A183" s="13"/>
      <c r="B183" s="19">
        <f t="shared" si="9"/>
        <v>0</v>
      </c>
      <c r="C183" s="36"/>
      <c r="D183" s="37"/>
      <c r="E183" s="152"/>
      <c r="F183" s="19">
        <f t="shared" si="8"/>
        <v>0</v>
      </c>
      <c r="G183" s="131"/>
      <c r="H183" s="24">
        <v>43595</v>
      </c>
      <c r="I183" s="136">
        <v>300000</v>
      </c>
      <c r="J183" s="50" t="s">
        <v>23</v>
      </c>
      <c r="K183" s="53" t="s">
        <v>61</v>
      </c>
      <c r="L183" s="72" t="s">
        <v>138</v>
      </c>
      <c r="M183" s="50" t="s">
        <v>56</v>
      </c>
      <c r="N183" s="55"/>
      <c r="O183" s="54"/>
    </row>
    <row r="184" s="2" customFormat="1" ht="18" customHeight="1" spans="1:19">
      <c r="A184" s="13">
        <v>43598</v>
      </c>
      <c r="B184" s="19">
        <f t="shared" si="9"/>
        <v>538287.38</v>
      </c>
      <c r="C184" s="36"/>
      <c r="D184" s="37" t="s">
        <v>39</v>
      </c>
      <c r="E184" s="152">
        <v>0.03</v>
      </c>
      <c r="F184" s="19">
        <f t="shared" si="8"/>
        <v>16148.62</v>
      </c>
      <c r="G184" s="131">
        <v>554436</v>
      </c>
      <c r="H184" s="24">
        <v>43595</v>
      </c>
      <c r="I184" s="136">
        <v>554436</v>
      </c>
      <c r="J184" s="50" t="s">
        <v>23</v>
      </c>
      <c r="K184" s="53" t="s">
        <v>126</v>
      </c>
      <c r="L184" s="72" t="s">
        <v>130</v>
      </c>
      <c r="M184" s="55" t="s">
        <v>56</v>
      </c>
      <c r="N184" s="55" t="s">
        <v>56</v>
      </c>
      <c r="O184" s="54"/>
      <c r="S184" s="2" t="s">
        <v>139</v>
      </c>
    </row>
    <row r="185" s="2" customFormat="1" ht="18" customHeight="1" spans="1:15">
      <c r="A185" s="13">
        <v>43598</v>
      </c>
      <c r="B185" s="19">
        <f t="shared" si="9"/>
        <v>283018.87</v>
      </c>
      <c r="C185" s="36"/>
      <c r="D185" s="37" t="s">
        <v>39</v>
      </c>
      <c r="E185" s="152">
        <v>0.06</v>
      </c>
      <c r="F185" s="19">
        <f t="shared" si="8"/>
        <v>16981.13</v>
      </c>
      <c r="G185" s="131">
        <f>20000+100000+80000+100000</f>
        <v>300000</v>
      </c>
      <c r="H185" s="24"/>
      <c r="I185" s="136"/>
      <c r="J185" s="50"/>
      <c r="K185" s="53" t="s">
        <v>113</v>
      </c>
      <c r="L185" s="72" t="s">
        <v>114</v>
      </c>
      <c r="M185" s="55" t="s">
        <v>56</v>
      </c>
      <c r="N185" s="55"/>
      <c r="O185" s="54"/>
    </row>
    <row r="186" s="2" customFormat="1" ht="18" customHeight="1" spans="1:15">
      <c r="A186" s="13">
        <v>43598</v>
      </c>
      <c r="B186" s="19">
        <f t="shared" si="9"/>
        <v>1856880.73</v>
      </c>
      <c r="C186" s="36"/>
      <c r="D186" s="37" t="s">
        <v>39</v>
      </c>
      <c r="E186" s="152">
        <v>0.09</v>
      </c>
      <c r="F186" s="19">
        <f t="shared" si="8"/>
        <v>167119.27</v>
      </c>
      <c r="G186" s="131">
        <f>1012000*2</f>
        <v>2024000</v>
      </c>
      <c r="H186" s="24"/>
      <c r="I186" s="136"/>
      <c r="J186" s="50"/>
      <c r="K186" s="53" t="s">
        <v>126</v>
      </c>
      <c r="L186" s="72" t="s">
        <v>130</v>
      </c>
      <c r="M186" s="55" t="s">
        <v>56</v>
      </c>
      <c r="N186" s="55" t="s">
        <v>56</v>
      </c>
      <c r="O186" s="54"/>
    </row>
    <row r="187" s="2" customFormat="1" ht="18" customHeight="1" spans="1:15">
      <c r="A187" s="13"/>
      <c r="B187" s="19">
        <f t="shared" si="9"/>
        <v>0</v>
      </c>
      <c r="C187" s="36"/>
      <c r="D187" s="37"/>
      <c r="E187" s="152"/>
      <c r="F187" s="19">
        <f t="shared" si="8"/>
        <v>0</v>
      </c>
      <c r="G187" s="131"/>
      <c r="H187" s="24">
        <v>43598</v>
      </c>
      <c r="I187" s="136">
        <v>474350.85</v>
      </c>
      <c r="J187" s="50" t="s">
        <v>23</v>
      </c>
      <c r="K187" s="53" t="s">
        <v>117</v>
      </c>
      <c r="L187" s="72"/>
      <c r="M187" s="55"/>
      <c r="N187" s="55"/>
      <c r="O187" s="54"/>
    </row>
    <row r="188" s="2" customFormat="1" ht="18" customHeight="1" spans="1:15">
      <c r="A188" s="13">
        <v>43607</v>
      </c>
      <c r="B188" s="19">
        <f t="shared" si="9"/>
        <v>339805.83</v>
      </c>
      <c r="C188" s="36"/>
      <c r="D188" s="37" t="s">
        <v>39</v>
      </c>
      <c r="E188" s="152">
        <v>0.03</v>
      </c>
      <c r="F188" s="19">
        <f t="shared" si="8"/>
        <v>10194.17</v>
      </c>
      <c r="G188" s="131">
        <f>50000+100000*3</f>
        <v>350000</v>
      </c>
      <c r="H188" s="24"/>
      <c r="I188" s="130"/>
      <c r="J188" s="50"/>
      <c r="K188" s="53" t="s">
        <v>73</v>
      </c>
      <c r="L188" s="33" t="s">
        <v>140</v>
      </c>
      <c r="M188" s="55" t="s">
        <v>56</v>
      </c>
      <c r="N188" s="55" t="s">
        <v>56</v>
      </c>
      <c r="O188" s="54"/>
    </row>
    <row r="189" s="2" customFormat="1" ht="18" customHeight="1" spans="1:15">
      <c r="A189" s="13">
        <v>43607</v>
      </c>
      <c r="B189" s="19">
        <f t="shared" si="9"/>
        <v>883495.15</v>
      </c>
      <c r="C189" s="36"/>
      <c r="D189" s="37" t="s">
        <v>39</v>
      </c>
      <c r="E189" s="152">
        <v>0.03</v>
      </c>
      <c r="F189" s="19">
        <f t="shared" si="8"/>
        <v>26504.85</v>
      </c>
      <c r="G189" s="131">
        <v>910000</v>
      </c>
      <c r="H189" s="24"/>
      <c r="I189" s="130"/>
      <c r="J189" s="50"/>
      <c r="K189" s="53" t="s">
        <v>71</v>
      </c>
      <c r="L189" s="72" t="s">
        <v>130</v>
      </c>
      <c r="M189" s="55"/>
      <c r="N189" s="55"/>
      <c r="O189" s="54"/>
    </row>
    <row r="190" s="2" customFormat="1" ht="18" customHeight="1" spans="1:15">
      <c r="A190" s="13">
        <v>43607</v>
      </c>
      <c r="B190" s="19">
        <f t="shared" si="9"/>
        <v>1217911.5</v>
      </c>
      <c r="C190" s="36"/>
      <c r="D190" s="37" t="s">
        <v>39</v>
      </c>
      <c r="E190" s="152">
        <v>0.13</v>
      </c>
      <c r="F190" s="19">
        <f t="shared" si="8"/>
        <v>158328.5</v>
      </c>
      <c r="G190" s="131">
        <f>333040+1043200</f>
        <v>1376240</v>
      </c>
      <c r="H190" s="24"/>
      <c r="I190" s="130"/>
      <c r="J190" s="50"/>
      <c r="K190" s="53" t="s">
        <v>135</v>
      </c>
      <c r="L190" s="72" t="s">
        <v>141</v>
      </c>
      <c r="M190" s="55"/>
      <c r="N190" s="55"/>
      <c r="O190" s="54"/>
    </row>
    <row r="191" s="2" customFormat="1" ht="18" customHeight="1" spans="1:15">
      <c r="A191" s="13">
        <v>43612</v>
      </c>
      <c r="B191" s="19">
        <f t="shared" si="9"/>
        <v>1680433.03</v>
      </c>
      <c r="C191" s="36"/>
      <c r="D191" s="37" t="s">
        <v>39</v>
      </c>
      <c r="E191" s="152">
        <v>0.09</v>
      </c>
      <c r="F191" s="19">
        <f t="shared" si="8"/>
        <v>151238.97</v>
      </c>
      <c r="G191" s="131">
        <f>805024+1026648</f>
        <v>1831672</v>
      </c>
      <c r="H191" s="24"/>
      <c r="I191" s="130"/>
      <c r="J191" s="50"/>
      <c r="K191" s="53" t="s">
        <v>126</v>
      </c>
      <c r="L191" s="72" t="s">
        <v>130</v>
      </c>
      <c r="M191" s="55" t="s">
        <v>56</v>
      </c>
      <c r="N191" s="55" t="s">
        <v>56</v>
      </c>
      <c r="O191" s="54"/>
    </row>
    <row r="192" s="2" customFormat="1" ht="18" customHeight="1" spans="1:15">
      <c r="A192" s="13">
        <v>43633</v>
      </c>
      <c r="B192" s="19">
        <f t="shared" si="9"/>
        <v>265486.73</v>
      </c>
      <c r="C192" s="36"/>
      <c r="D192" s="37" t="s">
        <v>39</v>
      </c>
      <c r="E192" s="152">
        <v>0.13</v>
      </c>
      <c r="F192" s="19">
        <f t="shared" si="8"/>
        <v>34513.27</v>
      </c>
      <c r="G192" s="131">
        <v>300000</v>
      </c>
      <c r="H192" s="24"/>
      <c r="I192" s="130"/>
      <c r="J192" s="50"/>
      <c r="K192" s="53" t="s">
        <v>61</v>
      </c>
      <c r="L192" s="72" t="s">
        <v>138</v>
      </c>
      <c r="M192" s="50" t="s">
        <v>56</v>
      </c>
      <c r="N192" s="55"/>
      <c r="O192" s="54"/>
    </row>
    <row r="193" s="2" customFormat="1" ht="18" customHeight="1" spans="1:15">
      <c r="A193" s="13">
        <v>43633</v>
      </c>
      <c r="B193" s="19">
        <f t="shared" si="9"/>
        <v>5238.48</v>
      </c>
      <c r="C193" s="36"/>
      <c r="D193" s="37" t="s">
        <v>39</v>
      </c>
      <c r="E193" s="152">
        <v>0.13</v>
      </c>
      <c r="F193" s="19">
        <f t="shared" si="8"/>
        <v>681</v>
      </c>
      <c r="G193" s="131">
        <v>5919.48</v>
      </c>
      <c r="H193" s="24"/>
      <c r="I193" s="130"/>
      <c r="J193" s="50"/>
      <c r="K193" s="155" t="s">
        <v>85</v>
      </c>
      <c r="L193" s="72" t="s">
        <v>86</v>
      </c>
      <c r="M193" s="50"/>
      <c r="N193" s="55"/>
      <c r="O193" s="54"/>
    </row>
    <row r="194" s="2" customFormat="1" ht="18" customHeight="1" spans="1:15">
      <c r="A194" s="13">
        <v>43643</v>
      </c>
      <c r="B194" s="19">
        <f t="shared" si="9"/>
        <v>1002912.62</v>
      </c>
      <c r="C194" s="36"/>
      <c r="D194" s="37" t="s">
        <v>39</v>
      </c>
      <c r="E194" s="152">
        <v>0.03</v>
      </c>
      <c r="F194" s="19">
        <f t="shared" si="8"/>
        <v>30087.38</v>
      </c>
      <c r="G194" s="131">
        <v>1033000</v>
      </c>
      <c r="H194" s="24"/>
      <c r="I194" s="130"/>
      <c r="J194" s="50"/>
      <c r="K194" s="53" t="s">
        <v>71</v>
      </c>
      <c r="L194" s="72" t="s">
        <v>130</v>
      </c>
      <c r="M194" s="55" t="s">
        <v>56</v>
      </c>
      <c r="N194" s="55"/>
      <c r="O194" s="54"/>
    </row>
    <row r="195" s="2" customFormat="1" ht="18" customHeight="1" spans="1:15">
      <c r="A195" s="13"/>
      <c r="B195" s="19">
        <f t="shared" si="9"/>
        <v>0</v>
      </c>
      <c r="C195" s="36"/>
      <c r="D195" s="37"/>
      <c r="E195" s="152"/>
      <c r="F195" s="19">
        <f t="shared" si="8"/>
        <v>0</v>
      </c>
      <c r="G195" s="131"/>
      <c r="H195" s="24">
        <v>43606</v>
      </c>
      <c r="I195" s="136">
        <v>6080</v>
      </c>
      <c r="J195" s="50" t="s">
        <v>23</v>
      </c>
      <c r="K195" s="53" t="s">
        <v>54</v>
      </c>
      <c r="L195" s="72" t="s">
        <v>55</v>
      </c>
      <c r="M195" s="50"/>
      <c r="N195" s="55"/>
      <c r="O195" s="54"/>
    </row>
    <row r="196" s="2" customFormat="1" ht="18" customHeight="1" spans="1:15">
      <c r="A196" s="13"/>
      <c r="B196" s="19">
        <f t="shared" si="9"/>
        <v>0</v>
      </c>
      <c r="C196" s="36"/>
      <c r="D196" s="37"/>
      <c r="E196" s="152"/>
      <c r="F196" s="19">
        <f t="shared" si="8"/>
        <v>0</v>
      </c>
      <c r="G196" s="131"/>
      <c r="H196" s="24">
        <v>43607</v>
      </c>
      <c r="I196" s="136">
        <v>350000</v>
      </c>
      <c r="J196" s="50" t="s">
        <v>23</v>
      </c>
      <c r="K196" s="53" t="s">
        <v>73</v>
      </c>
      <c r="L196" s="72" t="s">
        <v>140</v>
      </c>
      <c r="M196" s="50"/>
      <c r="N196" s="55"/>
      <c r="O196" s="54"/>
    </row>
    <row r="197" s="2" customFormat="1" ht="18" customHeight="1" spans="1:15">
      <c r="A197" s="13"/>
      <c r="B197" s="19">
        <f t="shared" si="9"/>
        <v>0</v>
      </c>
      <c r="C197" s="36"/>
      <c r="D197" s="37"/>
      <c r="E197" s="152"/>
      <c r="F197" s="19">
        <f t="shared" si="8"/>
        <v>0</v>
      </c>
      <c r="G197" s="131"/>
      <c r="H197" s="24">
        <v>43658</v>
      </c>
      <c r="I197" s="136">
        <v>1000000</v>
      </c>
      <c r="J197" s="50" t="s">
        <v>23</v>
      </c>
      <c r="K197" s="53" t="s">
        <v>126</v>
      </c>
      <c r="L197" s="72" t="s">
        <v>130</v>
      </c>
      <c r="M197" s="50"/>
      <c r="N197" s="55"/>
      <c r="O197" s="54"/>
    </row>
    <row r="198" s="2" customFormat="1" ht="18" customHeight="1" spans="1:15">
      <c r="A198" s="13"/>
      <c r="B198" s="19">
        <f t="shared" si="9"/>
        <v>0</v>
      </c>
      <c r="C198" s="36"/>
      <c r="D198" s="37"/>
      <c r="E198" s="152"/>
      <c r="F198" s="19">
        <f t="shared" si="8"/>
        <v>0</v>
      </c>
      <c r="G198" s="131"/>
      <c r="H198" s="24">
        <v>43658</v>
      </c>
      <c r="I198" s="136">
        <v>876240</v>
      </c>
      <c r="J198" s="50" t="s">
        <v>23</v>
      </c>
      <c r="K198" s="53" t="s">
        <v>135</v>
      </c>
      <c r="L198" s="72" t="s">
        <v>141</v>
      </c>
      <c r="M198" s="50"/>
      <c r="N198" s="55"/>
      <c r="O198" s="54"/>
    </row>
    <row r="199" s="2" customFormat="1" ht="18" customHeight="1" spans="1:15">
      <c r="A199" s="13">
        <v>43661</v>
      </c>
      <c r="B199" s="19">
        <f t="shared" si="9"/>
        <v>1114563.11</v>
      </c>
      <c r="C199" s="36"/>
      <c r="D199" s="37" t="s">
        <v>39</v>
      </c>
      <c r="E199" s="152">
        <v>0.03</v>
      </c>
      <c r="F199" s="19">
        <f t="shared" si="8"/>
        <v>33436.89</v>
      </c>
      <c r="G199" s="131">
        <f>1000000+148000</f>
        <v>1148000</v>
      </c>
      <c r="H199" s="24">
        <v>43658</v>
      </c>
      <c r="I199" s="136">
        <v>1148000</v>
      </c>
      <c r="J199" s="50" t="s">
        <v>23</v>
      </c>
      <c r="K199" s="53" t="s">
        <v>142</v>
      </c>
      <c r="L199" s="72" t="s">
        <v>143</v>
      </c>
      <c r="M199" s="50" t="s">
        <v>56</v>
      </c>
      <c r="N199" s="55"/>
      <c r="O199" s="54"/>
    </row>
    <row r="200" s="2" customFormat="1" ht="18" customHeight="1" spans="1:15">
      <c r="A200" s="13"/>
      <c r="B200" s="19">
        <f t="shared" si="9"/>
        <v>0</v>
      </c>
      <c r="C200" s="36"/>
      <c r="D200" s="37"/>
      <c r="E200" s="152"/>
      <c r="F200" s="19">
        <f t="shared" si="8"/>
        <v>0</v>
      </c>
      <c r="G200" s="131"/>
      <c r="H200" s="24">
        <v>43607</v>
      </c>
      <c r="I200" s="136">
        <v>-16458</v>
      </c>
      <c r="J200" s="50" t="s">
        <v>23</v>
      </c>
      <c r="K200" s="53" t="s">
        <v>57</v>
      </c>
      <c r="L200" s="72" t="s">
        <v>144</v>
      </c>
      <c r="M200" s="50"/>
      <c r="N200" s="55"/>
      <c r="O200" s="54"/>
    </row>
    <row r="201" s="2" customFormat="1" ht="18" customHeight="1" spans="1:15">
      <c r="A201" s="13"/>
      <c r="B201" s="19">
        <f t="shared" si="9"/>
        <v>0</v>
      </c>
      <c r="C201" s="36"/>
      <c r="D201" s="37"/>
      <c r="E201" s="152"/>
      <c r="F201" s="19">
        <f t="shared" si="8"/>
        <v>0</v>
      </c>
      <c r="G201" s="131"/>
      <c r="H201" s="24">
        <v>43707</v>
      </c>
      <c r="I201" s="136">
        <v>1000000</v>
      </c>
      <c r="J201" s="50" t="s">
        <v>23</v>
      </c>
      <c r="K201" s="53" t="s">
        <v>126</v>
      </c>
      <c r="L201" s="72" t="s">
        <v>130</v>
      </c>
      <c r="M201" s="50"/>
      <c r="N201" s="55"/>
      <c r="O201" s="54"/>
    </row>
    <row r="202" s="2" customFormat="1" ht="18" customHeight="1" spans="1:15">
      <c r="A202" s="13">
        <v>43770</v>
      </c>
      <c r="B202" s="19">
        <f t="shared" si="9"/>
        <v>1221238.94</v>
      </c>
      <c r="C202" s="36"/>
      <c r="D202" s="37" t="s">
        <v>39</v>
      </c>
      <c r="E202" s="158">
        <v>0.13</v>
      </c>
      <c r="F202" s="19">
        <f t="shared" si="8"/>
        <v>158761.06</v>
      </c>
      <c r="G202" s="131">
        <v>1380000</v>
      </c>
      <c r="H202" s="24">
        <v>43756</v>
      </c>
      <c r="I202" s="136">
        <v>1380000</v>
      </c>
      <c r="J202" s="50" t="s">
        <v>23</v>
      </c>
      <c r="K202" s="53" t="s">
        <v>61</v>
      </c>
      <c r="L202" s="71" t="s">
        <v>62</v>
      </c>
      <c r="M202" s="50"/>
      <c r="N202" s="55"/>
      <c r="O202" s="54"/>
    </row>
    <row r="203" s="2" customFormat="1" ht="18" customHeight="1" spans="1:15">
      <c r="A203" s="13"/>
      <c r="B203" s="19">
        <f t="shared" si="9"/>
        <v>0</v>
      </c>
      <c r="C203" s="36"/>
      <c r="D203" s="37"/>
      <c r="E203" s="152"/>
      <c r="F203" s="19">
        <f t="shared" si="8"/>
        <v>0</v>
      </c>
      <c r="G203" s="131"/>
      <c r="H203" s="24">
        <v>43756</v>
      </c>
      <c r="I203" s="136">
        <v>1943000</v>
      </c>
      <c r="J203" s="50" t="s">
        <v>23</v>
      </c>
      <c r="K203" s="53" t="s">
        <v>71</v>
      </c>
      <c r="L203" s="71" t="s">
        <v>72</v>
      </c>
      <c r="M203" s="50"/>
      <c r="N203" s="55"/>
      <c r="O203" s="54"/>
    </row>
    <row r="204" s="2" customFormat="1" ht="18" customHeight="1" spans="1:15">
      <c r="A204" s="13">
        <v>43844</v>
      </c>
      <c r="B204" s="19">
        <f t="shared" si="9"/>
        <v>8860471.84</v>
      </c>
      <c r="C204" s="75"/>
      <c r="D204" s="76" t="s">
        <v>39</v>
      </c>
      <c r="E204" s="159">
        <v>0.03</v>
      </c>
      <c r="F204" s="19">
        <f t="shared" si="8"/>
        <v>265814.16</v>
      </c>
      <c r="G204" s="139">
        <f>626286+500000*7+1000000*5</f>
        <v>9126286</v>
      </c>
      <c r="H204" s="24"/>
      <c r="I204" s="136"/>
      <c r="J204" s="50"/>
      <c r="K204" s="53" t="s">
        <v>142</v>
      </c>
      <c r="L204" s="72" t="s">
        <v>143</v>
      </c>
      <c r="M204" s="50" t="s">
        <v>56</v>
      </c>
      <c r="N204" s="55"/>
      <c r="O204" s="54"/>
    </row>
    <row r="205" s="1" customFormat="1" ht="18" customHeight="1" spans="1:15">
      <c r="A205" s="24">
        <v>43839</v>
      </c>
      <c r="B205" s="19">
        <f t="shared" si="9"/>
        <v>266017.7</v>
      </c>
      <c r="C205" s="75"/>
      <c r="D205" s="76" t="s">
        <v>39</v>
      </c>
      <c r="E205" s="159">
        <v>0.13</v>
      </c>
      <c r="F205" s="19">
        <f t="shared" si="8"/>
        <v>34582.3</v>
      </c>
      <c r="G205" s="139">
        <v>300600</v>
      </c>
      <c r="H205" s="24"/>
      <c r="I205" s="136"/>
      <c r="J205" s="50"/>
      <c r="K205" s="53" t="s">
        <v>63</v>
      </c>
      <c r="L205" s="71" t="s">
        <v>145</v>
      </c>
      <c r="M205" s="50" t="s">
        <v>56</v>
      </c>
      <c r="N205" s="50"/>
      <c r="O205" s="33"/>
    </row>
    <row r="206" s="1" customFormat="1" ht="18" customHeight="1" spans="1:16">
      <c r="A206" s="24">
        <v>43846</v>
      </c>
      <c r="B206" s="19">
        <f t="shared" si="9"/>
        <v>734078.9</v>
      </c>
      <c r="C206" s="75"/>
      <c r="D206" s="76" t="s">
        <v>39</v>
      </c>
      <c r="E206" s="159">
        <v>0.09</v>
      </c>
      <c r="F206" s="19">
        <f t="shared" si="8"/>
        <v>66067.1</v>
      </c>
      <c r="G206" s="139">
        <v>800146</v>
      </c>
      <c r="H206" s="140">
        <v>43851</v>
      </c>
      <c r="I206" s="136">
        <v>2000000</v>
      </c>
      <c r="J206" s="142" t="s">
        <v>40</v>
      </c>
      <c r="K206" s="53" t="s">
        <v>126</v>
      </c>
      <c r="L206" s="71" t="s">
        <v>146</v>
      </c>
      <c r="M206" s="50" t="s">
        <v>56</v>
      </c>
      <c r="N206" s="50"/>
      <c r="O206" s="86" t="s">
        <v>147</v>
      </c>
      <c r="P206" s="1" t="s">
        <v>148</v>
      </c>
    </row>
    <row r="207" s="2" customFormat="1" ht="18" customHeight="1" spans="1:15">
      <c r="A207" s="13">
        <v>43840</v>
      </c>
      <c r="B207" s="19">
        <f t="shared" si="9"/>
        <v>2928155.34</v>
      </c>
      <c r="C207" s="36"/>
      <c r="D207" s="76" t="s">
        <v>39</v>
      </c>
      <c r="E207" s="158">
        <v>0.03</v>
      </c>
      <c r="F207" s="19">
        <f t="shared" si="8"/>
        <v>87844.66</v>
      </c>
      <c r="G207" s="131">
        <v>3016000</v>
      </c>
      <c r="H207" s="24"/>
      <c r="I207" s="136"/>
      <c r="J207" s="50"/>
      <c r="K207" s="53" t="s">
        <v>73</v>
      </c>
      <c r="L207" s="71" t="s">
        <v>149</v>
      </c>
      <c r="M207" s="50" t="s">
        <v>56</v>
      </c>
      <c r="N207" s="50" t="s">
        <v>56</v>
      </c>
      <c r="O207" s="54"/>
    </row>
    <row r="208" s="2" customFormat="1" ht="18" customHeight="1" spans="1:15">
      <c r="A208" s="13"/>
      <c r="B208" s="19">
        <f t="shared" si="9"/>
        <v>0</v>
      </c>
      <c r="C208" s="36"/>
      <c r="D208" s="37"/>
      <c r="E208" s="152"/>
      <c r="F208" s="19">
        <f t="shared" si="8"/>
        <v>0</v>
      </c>
      <c r="G208" s="131"/>
      <c r="H208" s="24">
        <v>43853</v>
      </c>
      <c r="I208" s="136">
        <v>120000</v>
      </c>
      <c r="J208" s="56" t="s">
        <v>23</v>
      </c>
      <c r="K208" s="53" t="s">
        <v>113</v>
      </c>
      <c r="L208" s="71" t="s">
        <v>114</v>
      </c>
      <c r="M208" s="50"/>
      <c r="N208" s="55"/>
      <c r="O208" s="54"/>
    </row>
    <row r="209" s="2" customFormat="1" ht="18" customHeight="1" spans="1:15">
      <c r="A209" s="13"/>
      <c r="B209" s="19">
        <f t="shared" si="9"/>
        <v>0</v>
      </c>
      <c r="C209" s="36"/>
      <c r="D209" s="37"/>
      <c r="E209" s="152"/>
      <c r="F209" s="19">
        <f>ROUND(G209/(1+E209)*E209,2)</f>
        <v>0</v>
      </c>
      <c r="G209" s="131"/>
      <c r="H209" s="24">
        <v>43853</v>
      </c>
      <c r="I209" s="136">
        <v>300600</v>
      </c>
      <c r="J209" s="56" t="s">
        <v>23</v>
      </c>
      <c r="K209" s="53" t="s">
        <v>63</v>
      </c>
      <c r="L209" s="71" t="s">
        <v>90</v>
      </c>
      <c r="M209" s="50"/>
      <c r="N209" s="55"/>
      <c r="O209" s="54"/>
    </row>
    <row r="210" s="2" customFormat="1" ht="18" customHeight="1" spans="1:15">
      <c r="A210" s="13"/>
      <c r="B210" s="19">
        <f t="shared" si="9"/>
        <v>0</v>
      </c>
      <c r="C210" s="36"/>
      <c r="D210" s="37"/>
      <c r="E210" s="152"/>
      <c r="F210" s="19">
        <f t="shared" ref="F210:F223" si="10">ROUND(G210/(1+E210)*E210,2)</f>
        <v>0</v>
      </c>
      <c r="G210" s="131"/>
      <c r="H210" s="24">
        <v>43853</v>
      </c>
      <c r="I210" s="136">
        <v>1246000</v>
      </c>
      <c r="J210" s="56" t="s">
        <v>23</v>
      </c>
      <c r="K210" s="53" t="s">
        <v>137</v>
      </c>
      <c r="L210" s="71" t="s">
        <v>90</v>
      </c>
      <c r="M210" s="50"/>
      <c r="N210" s="55"/>
      <c r="O210" s="54"/>
    </row>
    <row r="211" s="2" customFormat="1" ht="18" customHeight="1" spans="1:15">
      <c r="A211" s="13"/>
      <c r="B211" s="19">
        <f t="shared" ref="B211:B218" si="11">ROUND(G211/(1+E211),2)</f>
        <v>0</v>
      </c>
      <c r="C211" s="36"/>
      <c r="D211" s="37"/>
      <c r="E211" s="152"/>
      <c r="F211" s="19">
        <f t="shared" si="10"/>
        <v>0</v>
      </c>
      <c r="G211" s="131"/>
      <c r="H211" s="24">
        <v>43853</v>
      </c>
      <c r="I211" s="136">
        <v>879818</v>
      </c>
      <c r="J211" s="56" t="s">
        <v>23</v>
      </c>
      <c r="K211" s="53" t="s">
        <v>126</v>
      </c>
      <c r="L211" s="71" t="s">
        <v>130</v>
      </c>
      <c r="M211" s="50"/>
      <c r="N211" s="55"/>
      <c r="O211" s="54"/>
    </row>
    <row r="212" s="2" customFormat="1" ht="18" customHeight="1" spans="1:15">
      <c r="A212" s="13"/>
      <c r="B212" s="19">
        <f t="shared" si="11"/>
        <v>0</v>
      </c>
      <c r="C212" s="36"/>
      <c r="D212" s="37"/>
      <c r="E212" s="152"/>
      <c r="F212" s="19">
        <f t="shared" si="10"/>
        <v>0</v>
      </c>
      <c r="G212" s="131"/>
      <c r="H212" s="24">
        <v>43853</v>
      </c>
      <c r="I212" s="136">
        <v>301600</v>
      </c>
      <c r="J212" s="56" t="s">
        <v>23</v>
      </c>
      <c r="K212" s="53" t="s">
        <v>73</v>
      </c>
      <c r="L212" s="71" t="s">
        <v>149</v>
      </c>
      <c r="M212" s="50"/>
      <c r="N212" s="55"/>
      <c r="O212" s="54"/>
    </row>
    <row r="213" s="2" customFormat="1" ht="18" customHeight="1" spans="1:15">
      <c r="A213" s="13"/>
      <c r="B213" s="19">
        <f t="shared" si="11"/>
        <v>0</v>
      </c>
      <c r="C213" s="36"/>
      <c r="D213" s="37"/>
      <c r="E213" s="152"/>
      <c r="F213" s="19">
        <f t="shared" si="10"/>
        <v>0</v>
      </c>
      <c r="G213" s="131"/>
      <c r="H213" s="24">
        <v>43853</v>
      </c>
      <c r="I213" s="136">
        <v>9126286</v>
      </c>
      <c r="J213" s="56" t="s">
        <v>23</v>
      </c>
      <c r="K213" s="87" t="s">
        <v>142</v>
      </c>
      <c r="L213" s="88" t="s">
        <v>143</v>
      </c>
      <c r="M213" s="50"/>
      <c r="N213" s="55"/>
      <c r="O213" s="54"/>
    </row>
    <row r="214" s="2" customFormat="1" ht="18" customHeight="1" spans="1:15">
      <c r="A214" s="13">
        <v>43899</v>
      </c>
      <c r="B214" s="19">
        <f t="shared" si="11"/>
        <v>146</v>
      </c>
      <c r="C214" s="36"/>
      <c r="D214" s="37" t="s">
        <v>45</v>
      </c>
      <c r="E214" s="152"/>
      <c r="F214" s="19">
        <f t="shared" si="10"/>
        <v>0</v>
      </c>
      <c r="G214" s="131">
        <v>146</v>
      </c>
      <c r="H214" s="24"/>
      <c r="I214" s="136"/>
      <c r="J214" s="56"/>
      <c r="K214" s="87" t="s">
        <v>150</v>
      </c>
      <c r="L214" s="88" t="s">
        <v>151</v>
      </c>
      <c r="M214" s="50"/>
      <c r="N214" s="55"/>
      <c r="O214" s="54"/>
    </row>
    <row r="215" s="2" customFormat="1" ht="18" customHeight="1" spans="1:15">
      <c r="A215" s="13"/>
      <c r="B215" s="19">
        <f t="shared" si="11"/>
        <v>0</v>
      </c>
      <c r="C215" s="36"/>
      <c r="D215" s="37"/>
      <c r="E215" s="152"/>
      <c r="F215" s="19">
        <f t="shared" si="10"/>
        <v>0</v>
      </c>
      <c r="G215" s="131"/>
      <c r="H215" s="24">
        <v>43901</v>
      </c>
      <c r="I215" s="136">
        <v>2714400</v>
      </c>
      <c r="J215" s="56" t="s">
        <v>23</v>
      </c>
      <c r="K215" s="87" t="s">
        <v>73</v>
      </c>
      <c r="L215" s="88" t="s">
        <v>149</v>
      </c>
      <c r="M215" s="50"/>
      <c r="N215" s="55"/>
      <c r="O215" s="54"/>
    </row>
    <row r="216" s="2" customFormat="1" ht="18" customHeight="1" spans="1:15">
      <c r="A216" s="13"/>
      <c r="B216" s="19">
        <f t="shared" si="11"/>
        <v>0</v>
      </c>
      <c r="C216" s="36"/>
      <c r="D216" s="37"/>
      <c r="E216" s="152"/>
      <c r="F216" s="19">
        <f t="shared" si="10"/>
        <v>0</v>
      </c>
      <c r="G216" s="131"/>
      <c r="H216" s="24">
        <v>43907</v>
      </c>
      <c r="I216" s="130">
        <v>4069878.25</v>
      </c>
      <c r="J216" s="56" t="s">
        <v>23</v>
      </c>
      <c r="K216" s="87" t="s">
        <v>44</v>
      </c>
      <c r="L216" s="89" t="s">
        <v>152</v>
      </c>
      <c r="M216" s="50"/>
      <c r="N216" s="55"/>
      <c r="O216" s="54"/>
    </row>
    <row r="217" s="2" customFormat="1" ht="18" customHeight="1" spans="1:15">
      <c r="A217" s="13"/>
      <c r="B217" s="19">
        <f t="shared" si="11"/>
        <v>0</v>
      </c>
      <c r="C217" s="36"/>
      <c r="D217" s="37"/>
      <c r="E217" s="152"/>
      <c r="F217" s="19">
        <f t="shared" si="10"/>
        <v>0</v>
      </c>
      <c r="G217" s="131"/>
      <c r="H217" s="24">
        <v>43923</v>
      </c>
      <c r="I217" s="130">
        <v>1485666.08</v>
      </c>
      <c r="J217" s="56" t="s">
        <v>23</v>
      </c>
      <c r="K217" s="87" t="s">
        <v>5</v>
      </c>
      <c r="L217" s="89" t="s">
        <v>153</v>
      </c>
      <c r="M217" s="50"/>
      <c r="N217" s="55"/>
      <c r="O217" s="54"/>
    </row>
    <row r="218" s="2" customFormat="1" ht="18" customHeight="1" spans="1:16">
      <c r="A218" s="13"/>
      <c r="B218" s="19">
        <f t="shared" si="11"/>
        <v>0</v>
      </c>
      <c r="C218" s="36"/>
      <c r="D218" s="37"/>
      <c r="E218" s="152"/>
      <c r="F218" s="19">
        <f t="shared" si="10"/>
        <v>0</v>
      </c>
      <c r="G218" s="131"/>
      <c r="H218" s="24" t="s">
        <v>154</v>
      </c>
      <c r="I218" s="130">
        <v>564816</v>
      </c>
      <c r="J218" s="56" t="s">
        <v>155</v>
      </c>
      <c r="K218" s="96" t="s">
        <v>156</v>
      </c>
      <c r="L218" s="167" t="s">
        <v>157</v>
      </c>
      <c r="M218" s="50"/>
      <c r="N218" s="55"/>
      <c r="O218" s="54"/>
      <c r="P218" s="2">
        <v>12606</v>
      </c>
    </row>
    <row r="219" s="2" customFormat="1" ht="18" customHeight="1" spans="1:16">
      <c r="A219" s="13"/>
      <c r="B219" s="19">
        <f t="shared" ref="B218:B225" si="12">ROUND(G219/(1+E219),2)</f>
        <v>0</v>
      </c>
      <c r="C219" s="36"/>
      <c r="D219" s="37"/>
      <c r="E219" s="152"/>
      <c r="F219" s="19">
        <f t="shared" si="10"/>
        <v>0</v>
      </c>
      <c r="G219" s="131"/>
      <c r="H219" s="24" t="s">
        <v>154</v>
      </c>
      <c r="I219" s="130">
        <v>-114500</v>
      </c>
      <c r="J219" s="56" t="s">
        <v>158</v>
      </c>
      <c r="K219" s="87" t="s">
        <v>159</v>
      </c>
      <c r="L219" s="89"/>
      <c r="M219" s="50"/>
      <c r="N219" s="55"/>
      <c r="O219" s="54"/>
      <c r="P219" s="2">
        <v>414810</v>
      </c>
    </row>
    <row r="220" s="2" customFormat="1" ht="18" customHeight="1" spans="1:16">
      <c r="A220" s="13"/>
      <c r="B220" s="19">
        <f t="shared" si="12"/>
        <v>114500</v>
      </c>
      <c r="C220" s="36"/>
      <c r="D220" s="37"/>
      <c r="E220" s="152"/>
      <c r="F220" s="19">
        <f t="shared" si="10"/>
        <v>0</v>
      </c>
      <c r="G220" s="131">
        <v>114500</v>
      </c>
      <c r="H220" s="24" t="s">
        <v>154</v>
      </c>
      <c r="I220" s="130">
        <v>114500</v>
      </c>
      <c r="J220" s="56" t="s">
        <v>155</v>
      </c>
      <c r="K220" s="87" t="s">
        <v>159</v>
      </c>
      <c r="L220" s="89"/>
      <c r="M220" s="50"/>
      <c r="N220" s="55"/>
      <c r="O220" s="54"/>
      <c r="P220" s="2">
        <v>137400</v>
      </c>
    </row>
    <row r="221" s="2" customFormat="1" ht="18" customHeight="1" spans="1:15">
      <c r="A221" s="13"/>
      <c r="B221" s="19">
        <f t="shared" si="12"/>
        <v>0</v>
      </c>
      <c r="C221" s="36"/>
      <c r="D221" s="37"/>
      <c r="E221" s="152"/>
      <c r="F221" s="19">
        <f t="shared" si="10"/>
        <v>0</v>
      </c>
      <c r="G221" s="131"/>
      <c r="H221" s="24" t="s">
        <v>160</v>
      </c>
      <c r="I221" s="130">
        <v>-16639</v>
      </c>
      <c r="J221" s="56" t="s">
        <v>158</v>
      </c>
      <c r="K221" s="87" t="s">
        <v>161</v>
      </c>
      <c r="L221" s="89"/>
      <c r="M221" s="50"/>
      <c r="N221" s="55"/>
      <c r="O221" s="54"/>
    </row>
    <row r="222" s="2" customFormat="1" ht="18" customHeight="1" spans="1:15">
      <c r="A222" s="13"/>
      <c r="B222" s="19">
        <f t="shared" si="12"/>
        <v>16639</v>
      </c>
      <c r="C222" s="36"/>
      <c r="D222" s="37"/>
      <c r="E222" s="152"/>
      <c r="F222" s="19">
        <f t="shared" si="10"/>
        <v>0</v>
      </c>
      <c r="G222" s="131">
        <v>16639</v>
      </c>
      <c r="H222" s="24" t="s">
        <v>160</v>
      </c>
      <c r="I222" s="130">
        <v>16639</v>
      </c>
      <c r="J222" s="56" t="s">
        <v>155</v>
      </c>
      <c r="K222" s="87" t="s">
        <v>159</v>
      </c>
      <c r="L222" s="89"/>
      <c r="M222" s="50"/>
      <c r="N222" s="55"/>
      <c r="O222" s="54"/>
    </row>
    <row r="223" s="2" customFormat="1" ht="18" customHeight="1" spans="1:15">
      <c r="A223" s="13"/>
      <c r="B223" s="19">
        <f t="shared" si="12"/>
        <v>0</v>
      </c>
      <c r="C223" s="36"/>
      <c r="D223" s="37"/>
      <c r="E223" s="152"/>
      <c r="F223" s="19">
        <f t="shared" si="10"/>
        <v>0</v>
      </c>
      <c r="G223" s="131"/>
      <c r="H223" s="24" t="s">
        <v>162</v>
      </c>
      <c r="I223" s="130">
        <v>-5000</v>
      </c>
      <c r="J223" s="56" t="s">
        <v>158</v>
      </c>
      <c r="K223" s="87" t="s">
        <v>159</v>
      </c>
      <c r="L223" s="89"/>
      <c r="M223" s="50"/>
      <c r="N223" s="55"/>
      <c r="O223" s="54"/>
    </row>
    <row r="224" s="2" customFormat="1" ht="18" customHeight="1" spans="1:15">
      <c r="A224" s="13"/>
      <c r="B224" s="19">
        <f t="shared" si="12"/>
        <v>5000</v>
      </c>
      <c r="C224" s="36"/>
      <c r="D224" s="37"/>
      <c r="E224" s="152"/>
      <c r="F224" s="19">
        <f t="shared" ref="F222:F244" si="13">ROUND(G224/(1+E224)*E224,2)</f>
        <v>0</v>
      </c>
      <c r="G224" s="131">
        <v>5000</v>
      </c>
      <c r="H224" s="24" t="s">
        <v>162</v>
      </c>
      <c r="I224" s="130">
        <v>5000</v>
      </c>
      <c r="J224" s="56" t="s">
        <v>155</v>
      </c>
      <c r="K224" s="87" t="s">
        <v>159</v>
      </c>
      <c r="L224" s="89"/>
      <c r="M224" s="50"/>
      <c r="N224" s="55"/>
      <c r="O224" s="54"/>
    </row>
    <row r="225" s="2" customFormat="1" ht="18" customHeight="1" spans="1:16">
      <c r="A225" s="13"/>
      <c r="B225" s="19">
        <f t="shared" si="12"/>
        <v>0</v>
      </c>
      <c r="C225" s="36"/>
      <c r="D225" s="37"/>
      <c r="E225" s="152"/>
      <c r="F225" s="19">
        <f t="shared" si="13"/>
        <v>0</v>
      </c>
      <c r="G225" s="131"/>
      <c r="H225" s="24" t="s">
        <v>163</v>
      </c>
      <c r="I225" s="130">
        <v>-59371</v>
      </c>
      <c r="J225" s="56"/>
      <c r="K225" s="87" t="s">
        <v>161</v>
      </c>
      <c r="L225" s="89"/>
      <c r="M225" s="50"/>
      <c r="N225" s="55"/>
      <c r="O225" s="54"/>
      <c r="P225" s="2">
        <v>238587.18</v>
      </c>
    </row>
    <row r="226" s="2" customFormat="1" ht="18" customHeight="1" spans="1:16">
      <c r="A226" s="13"/>
      <c r="B226" s="19">
        <f t="shared" ref="B222:B250" si="14">ROUND(G226/(1+E226),2)</f>
        <v>0</v>
      </c>
      <c r="C226" s="36"/>
      <c r="D226" s="37"/>
      <c r="E226" s="152"/>
      <c r="F226" s="19">
        <f t="shared" si="13"/>
        <v>0</v>
      </c>
      <c r="G226" s="131"/>
      <c r="H226" s="24" t="s">
        <v>163</v>
      </c>
      <c r="I226" s="130">
        <v>40337</v>
      </c>
      <c r="J226" s="56" t="s">
        <v>155</v>
      </c>
      <c r="K226" s="87" t="s">
        <v>9</v>
      </c>
      <c r="L226" s="89"/>
      <c r="M226" s="50"/>
      <c r="N226" s="55"/>
      <c r="O226" s="54"/>
      <c r="P226" s="2">
        <v>-137400</v>
      </c>
    </row>
    <row r="227" s="2" customFormat="1" ht="18" customHeight="1" spans="1:15">
      <c r="A227" s="13"/>
      <c r="B227" s="19">
        <f t="shared" si="14"/>
        <v>0</v>
      </c>
      <c r="C227" s="36"/>
      <c r="D227" s="37"/>
      <c r="E227" s="152"/>
      <c r="F227" s="19">
        <f t="shared" si="13"/>
        <v>0</v>
      </c>
      <c r="G227" s="131"/>
      <c r="H227" s="24" t="s">
        <v>163</v>
      </c>
      <c r="I227" s="130">
        <v>4034</v>
      </c>
      <c r="J227" s="56" t="s">
        <v>155</v>
      </c>
      <c r="K227" s="87" t="s">
        <v>164</v>
      </c>
      <c r="L227" s="89"/>
      <c r="M227" s="50"/>
      <c r="N227" s="55"/>
      <c r="O227" s="54"/>
    </row>
    <row r="228" s="2" customFormat="1" ht="18" customHeight="1" spans="1:16">
      <c r="A228" s="13"/>
      <c r="B228" s="19">
        <f t="shared" si="14"/>
        <v>15000</v>
      </c>
      <c r="C228" s="36"/>
      <c r="D228" s="37"/>
      <c r="E228" s="152"/>
      <c r="F228" s="19">
        <f t="shared" si="13"/>
        <v>0</v>
      </c>
      <c r="G228" s="131">
        <f>15000</f>
        <v>15000</v>
      </c>
      <c r="H228" s="24" t="s">
        <v>163</v>
      </c>
      <c r="I228" s="130">
        <f>G228</f>
        <v>15000</v>
      </c>
      <c r="J228" s="56" t="s">
        <v>155</v>
      </c>
      <c r="K228" s="87" t="s">
        <v>159</v>
      </c>
      <c r="L228" s="89"/>
      <c r="M228" s="55"/>
      <c r="N228" s="55"/>
      <c r="O228" s="54"/>
      <c r="P228" s="2">
        <f>P225+P226</f>
        <v>101187.18</v>
      </c>
    </row>
    <row r="229" s="2" customFormat="1" ht="18" customHeight="1" spans="1:15">
      <c r="A229" s="13"/>
      <c r="B229" s="19">
        <f t="shared" si="14"/>
        <v>0</v>
      </c>
      <c r="C229" s="36"/>
      <c r="D229" s="37"/>
      <c r="E229" s="152"/>
      <c r="F229" s="19">
        <f t="shared" si="13"/>
        <v>0</v>
      </c>
      <c r="G229" s="131"/>
      <c r="H229" s="24" t="s">
        <v>165</v>
      </c>
      <c r="I229" s="143">
        <v>-76486</v>
      </c>
      <c r="J229" s="56" t="s">
        <v>158</v>
      </c>
      <c r="K229" s="87" t="s">
        <v>166</v>
      </c>
      <c r="L229" s="89"/>
      <c r="M229" s="55"/>
      <c r="N229" s="55"/>
      <c r="O229" s="54" t="s">
        <v>139</v>
      </c>
    </row>
    <row r="230" s="2" customFormat="1" ht="18" customHeight="1" spans="1:16">
      <c r="A230" s="13"/>
      <c r="B230" s="19">
        <f t="shared" si="14"/>
        <v>0</v>
      </c>
      <c r="C230" s="36"/>
      <c r="D230" s="37"/>
      <c r="E230" s="152"/>
      <c r="F230" s="19">
        <f t="shared" si="13"/>
        <v>0</v>
      </c>
      <c r="G230" s="131"/>
      <c r="H230" s="24" t="s">
        <v>165</v>
      </c>
      <c r="I230" s="143">
        <v>38084</v>
      </c>
      <c r="J230" s="56" t="s">
        <v>155</v>
      </c>
      <c r="K230" s="87" t="s">
        <v>9</v>
      </c>
      <c r="L230" s="89"/>
      <c r="M230" s="55"/>
      <c r="N230" s="55"/>
      <c r="O230" s="54"/>
      <c r="P230" s="2">
        <v>101187.18</v>
      </c>
    </row>
    <row r="231" s="2" customFormat="1" ht="18" customHeight="1" spans="1:15">
      <c r="A231" s="13"/>
      <c r="B231" s="19">
        <f t="shared" si="14"/>
        <v>0</v>
      </c>
      <c r="C231" s="36"/>
      <c r="D231" s="37"/>
      <c r="E231" s="152"/>
      <c r="F231" s="19">
        <f t="shared" si="13"/>
        <v>0</v>
      </c>
      <c r="G231" s="131"/>
      <c r="H231" s="24" t="s">
        <v>165</v>
      </c>
      <c r="I231" s="143">
        <v>3809</v>
      </c>
      <c r="J231" s="56" t="s">
        <v>155</v>
      </c>
      <c r="K231" s="87" t="s">
        <v>167</v>
      </c>
      <c r="L231" s="89"/>
      <c r="M231" s="55"/>
      <c r="N231" s="55"/>
      <c r="O231" s="54"/>
    </row>
    <row r="232" s="2" customFormat="1" ht="18" customHeight="1" spans="1:15">
      <c r="A232" s="13"/>
      <c r="B232" s="19">
        <f t="shared" si="14"/>
        <v>34593</v>
      </c>
      <c r="C232" s="36"/>
      <c r="D232" s="37"/>
      <c r="E232" s="152"/>
      <c r="F232" s="19">
        <f t="shared" si="13"/>
        <v>0</v>
      </c>
      <c r="G232" s="131">
        <v>34593</v>
      </c>
      <c r="H232" s="24" t="s">
        <v>165</v>
      </c>
      <c r="I232" s="143">
        <v>34593</v>
      </c>
      <c r="J232" s="56" t="s">
        <v>155</v>
      </c>
      <c r="K232" s="87" t="s">
        <v>159</v>
      </c>
      <c r="L232" s="89"/>
      <c r="M232" s="55"/>
      <c r="N232" s="55"/>
      <c r="O232" s="54"/>
    </row>
    <row r="233" s="2" customFormat="1" ht="18" customHeight="1" spans="1:15">
      <c r="A233" s="13"/>
      <c r="B233" s="19">
        <f t="shared" si="14"/>
        <v>0</v>
      </c>
      <c r="C233" s="36"/>
      <c r="D233" s="37"/>
      <c r="E233" s="152"/>
      <c r="F233" s="19">
        <f t="shared" si="13"/>
        <v>0</v>
      </c>
      <c r="G233" s="131"/>
      <c r="H233" s="24">
        <v>43486</v>
      </c>
      <c r="I233" s="168">
        <v>-252612</v>
      </c>
      <c r="J233" s="83" t="s">
        <v>158</v>
      </c>
      <c r="K233" s="84" t="s">
        <v>168</v>
      </c>
      <c r="L233" s="103"/>
      <c r="M233" s="55"/>
      <c r="N233" s="55"/>
      <c r="O233" s="54"/>
    </row>
    <row r="234" s="2" customFormat="1" ht="18" customHeight="1" spans="1:15">
      <c r="A234" s="13"/>
      <c r="B234" s="19">
        <f t="shared" si="14"/>
        <v>0</v>
      </c>
      <c r="C234" s="36"/>
      <c r="D234" s="37"/>
      <c r="E234" s="152"/>
      <c r="F234" s="19">
        <f t="shared" si="13"/>
        <v>0</v>
      </c>
      <c r="G234" s="131"/>
      <c r="H234" s="24"/>
      <c r="I234" s="168">
        <v>5828</v>
      </c>
      <c r="J234" s="83" t="s">
        <v>155</v>
      </c>
      <c r="K234" s="84" t="s">
        <v>164</v>
      </c>
      <c r="L234" s="89"/>
      <c r="M234" s="55"/>
      <c r="N234" s="55"/>
      <c r="O234" s="54"/>
    </row>
    <row r="235" s="2" customFormat="1" ht="18" customHeight="1" spans="1:15">
      <c r="A235" s="13"/>
      <c r="B235" s="19">
        <f t="shared" si="14"/>
        <v>0</v>
      </c>
      <c r="C235" s="36"/>
      <c r="D235" s="37"/>
      <c r="E235" s="152"/>
      <c r="F235" s="19">
        <f t="shared" si="13"/>
        <v>0</v>
      </c>
      <c r="G235" s="131"/>
      <c r="H235" s="24"/>
      <c r="I235" s="168">
        <v>58272</v>
      </c>
      <c r="J235" s="83" t="s">
        <v>155</v>
      </c>
      <c r="K235" s="84" t="s">
        <v>9</v>
      </c>
      <c r="L235" s="89"/>
      <c r="M235" s="55"/>
      <c r="N235" s="55"/>
      <c r="O235" s="54"/>
    </row>
    <row r="236" s="2" customFormat="1" ht="18" customHeight="1" spans="1:15">
      <c r="A236" s="13"/>
      <c r="B236" s="19">
        <f t="shared" si="14"/>
        <v>0</v>
      </c>
      <c r="C236" s="36"/>
      <c r="D236" s="37"/>
      <c r="E236" s="152"/>
      <c r="F236" s="19">
        <f t="shared" si="13"/>
        <v>0</v>
      </c>
      <c r="G236" s="131"/>
      <c r="H236" s="24"/>
      <c r="I236" s="168">
        <v>131996</v>
      </c>
      <c r="J236" s="83" t="s">
        <v>155</v>
      </c>
      <c r="K236" s="84" t="s">
        <v>169</v>
      </c>
      <c r="L236" s="104"/>
      <c r="M236" s="55"/>
      <c r="N236" s="55"/>
      <c r="O236" s="54"/>
    </row>
    <row r="237" s="2" customFormat="1" ht="18" customHeight="1" spans="1:15">
      <c r="A237" s="13"/>
      <c r="B237" s="19">
        <f t="shared" si="14"/>
        <v>0</v>
      </c>
      <c r="C237" s="36"/>
      <c r="D237" s="37"/>
      <c r="E237" s="152"/>
      <c r="F237" s="19">
        <f t="shared" si="13"/>
        <v>0</v>
      </c>
      <c r="G237" s="131"/>
      <c r="H237" s="24"/>
      <c r="I237" s="168">
        <v>3100</v>
      </c>
      <c r="J237" s="83" t="s">
        <v>155</v>
      </c>
      <c r="K237" s="84" t="s">
        <v>170</v>
      </c>
      <c r="L237" s="105"/>
      <c r="M237" s="55"/>
      <c r="N237" s="55"/>
      <c r="O237" s="54"/>
    </row>
    <row r="238" s="2" customFormat="1" ht="18" customHeight="1" spans="1:15">
      <c r="A238" s="13"/>
      <c r="B238" s="19">
        <f t="shared" si="14"/>
        <v>0</v>
      </c>
      <c r="C238" s="36"/>
      <c r="D238" s="37"/>
      <c r="E238" s="152"/>
      <c r="F238" s="19">
        <f t="shared" si="13"/>
        <v>0</v>
      </c>
      <c r="G238" s="131"/>
      <c r="H238" s="24"/>
      <c r="I238" s="135">
        <v>-101475</v>
      </c>
      <c r="J238" s="56" t="s">
        <v>171</v>
      </c>
      <c r="K238" s="87" t="s">
        <v>172</v>
      </c>
      <c r="L238" s="105"/>
      <c r="M238" s="55"/>
      <c r="N238" s="55"/>
      <c r="O238" s="54"/>
    </row>
    <row r="239" s="2" customFormat="1" ht="18" customHeight="1" spans="1:15">
      <c r="A239" s="13"/>
      <c r="B239" s="19">
        <f t="shared" si="14"/>
        <v>0</v>
      </c>
      <c r="C239" s="36"/>
      <c r="D239" s="37"/>
      <c r="E239" s="152"/>
      <c r="F239" s="19">
        <f t="shared" si="13"/>
        <v>0</v>
      </c>
      <c r="G239" s="131"/>
      <c r="H239" s="24"/>
      <c r="I239" s="135">
        <v>101475</v>
      </c>
      <c r="J239" s="56" t="s">
        <v>173</v>
      </c>
      <c r="K239" s="87" t="s">
        <v>174</v>
      </c>
      <c r="L239" s="105"/>
      <c r="M239" s="55"/>
      <c r="N239" s="55"/>
      <c r="O239" s="54"/>
    </row>
    <row r="240" s="2" customFormat="1" ht="18" customHeight="1" spans="1:15">
      <c r="A240" s="13"/>
      <c r="B240" s="19">
        <f t="shared" si="14"/>
        <v>0</v>
      </c>
      <c r="C240" s="36"/>
      <c r="D240" s="37"/>
      <c r="E240" s="152"/>
      <c r="F240" s="19">
        <f t="shared" si="13"/>
        <v>0</v>
      </c>
      <c r="G240" s="131"/>
      <c r="H240" s="24">
        <v>43473</v>
      </c>
      <c r="I240" s="135">
        <v>-104491</v>
      </c>
      <c r="J240" s="58" t="s">
        <v>158</v>
      </c>
      <c r="K240" s="87" t="s">
        <v>9</v>
      </c>
      <c r="L240" s="105"/>
      <c r="M240" s="55"/>
      <c r="N240" s="55"/>
      <c r="O240" s="54"/>
    </row>
    <row r="241" s="2" customFormat="1" ht="18" customHeight="1" spans="1:15">
      <c r="A241" s="13"/>
      <c r="B241" s="19">
        <f t="shared" si="14"/>
        <v>0</v>
      </c>
      <c r="C241" s="36"/>
      <c r="D241" s="37"/>
      <c r="E241" s="152"/>
      <c r="F241" s="19">
        <f t="shared" si="13"/>
        <v>0</v>
      </c>
      <c r="G241" s="131"/>
      <c r="H241" s="24">
        <v>43827</v>
      </c>
      <c r="I241" s="147">
        <v>-481180</v>
      </c>
      <c r="J241" s="142" t="s">
        <v>158</v>
      </c>
      <c r="K241" s="155" t="s">
        <v>175</v>
      </c>
      <c r="L241" s="105"/>
      <c r="M241" s="55"/>
      <c r="N241" s="55"/>
      <c r="O241" s="54"/>
    </row>
    <row r="242" s="2" customFormat="1" ht="18" customHeight="1" spans="1:15">
      <c r="A242" s="13"/>
      <c r="B242" s="19">
        <f t="shared" si="14"/>
        <v>0</v>
      </c>
      <c r="C242" s="36"/>
      <c r="D242" s="37"/>
      <c r="E242" s="152"/>
      <c r="F242" s="19">
        <f t="shared" si="13"/>
        <v>0</v>
      </c>
      <c r="G242" s="131"/>
      <c r="H242" s="24"/>
      <c r="I242" s="147">
        <v>10450</v>
      </c>
      <c r="J242" s="142" t="s">
        <v>155</v>
      </c>
      <c r="K242" s="155" t="s">
        <v>164</v>
      </c>
      <c r="L242" s="105"/>
      <c r="M242" s="55"/>
      <c r="N242" s="55"/>
      <c r="O242" s="54"/>
    </row>
    <row r="243" s="2" customFormat="1" ht="18" customHeight="1" spans="1:15">
      <c r="A243" s="13"/>
      <c r="B243" s="19">
        <f t="shared" si="14"/>
        <v>0</v>
      </c>
      <c r="C243" s="36"/>
      <c r="D243" s="37"/>
      <c r="E243" s="152"/>
      <c r="F243" s="19">
        <f t="shared" si="13"/>
        <v>0</v>
      </c>
      <c r="G243" s="131"/>
      <c r="H243" s="24"/>
      <c r="I243" s="147">
        <v>470730</v>
      </c>
      <c r="J243" s="142" t="s">
        <v>155</v>
      </c>
      <c r="K243" s="155" t="s">
        <v>169</v>
      </c>
      <c r="L243" s="105"/>
      <c r="M243" s="55"/>
      <c r="N243" s="55"/>
      <c r="O243" s="54"/>
    </row>
    <row r="244" s="2" customFormat="1" ht="18" customHeight="1" spans="1:15">
      <c r="A244" s="13"/>
      <c r="B244" s="19">
        <f t="shared" si="14"/>
        <v>0</v>
      </c>
      <c r="C244" s="36"/>
      <c r="D244" s="37"/>
      <c r="E244" s="152"/>
      <c r="F244" s="19">
        <f t="shared" si="13"/>
        <v>0</v>
      </c>
      <c r="G244" s="131"/>
      <c r="H244" s="24"/>
      <c r="I244" s="135">
        <v>104491</v>
      </c>
      <c r="J244" s="56" t="s">
        <v>155</v>
      </c>
      <c r="K244" s="87" t="s">
        <v>9</v>
      </c>
      <c r="L244" s="105"/>
      <c r="M244" s="55"/>
      <c r="N244" s="55"/>
      <c r="O244" s="54"/>
    </row>
    <row r="245" s="2" customFormat="1" ht="18" customHeight="1" spans="1:16">
      <c r="A245" s="13"/>
      <c r="B245" s="19">
        <f t="shared" si="14"/>
        <v>0</v>
      </c>
      <c r="C245" s="36"/>
      <c r="D245" s="37"/>
      <c r="E245" s="152"/>
      <c r="F245" s="19">
        <f t="shared" ref="F245:F250" si="15">ROUND(G245/(1+E245)*E245,2)</f>
        <v>0</v>
      </c>
      <c r="G245" s="131"/>
      <c r="H245" s="24"/>
      <c r="I245" s="135">
        <v>-1700000</v>
      </c>
      <c r="J245" s="56" t="s">
        <v>171</v>
      </c>
      <c r="K245" s="87" t="s">
        <v>176</v>
      </c>
      <c r="L245" s="105"/>
      <c r="M245" s="55"/>
      <c r="N245" s="55"/>
      <c r="O245" s="54"/>
      <c r="P245" s="122"/>
    </row>
    <row r="246" s="2" customFormat="1" ht="18" customHeight="1" spans="1:15">
      <c r="A246" s="13"/>
      <c r="B246" s="19">
        <f t="shared" si="14"/>
        <v>0</v>
      </c>
      <c r="C246" s="36"/>
      <c r="D246" s="37"/>
      <c r="E246" s="152"/>
      <c r="F246" s="19">
        <f t="shared" si="15"/>
        <v>0</v>
      </c>
      <c r="G246" s="131"/>
      <c r="H246" s="24"/>
      <c r="I246" s="130">
        <v>1700000</v>
      </c>
      <c r="J246" s="56" t="s">
        <v>177</v>
      </c>
      <c r="K246" s="87" t="s">
        <v>178</v>
      </c>
      <c r="L246" s="105"/>
      <c r="M246" s="55"/>
      <c r="N246" s="55"/>
      <c r="O246" s="54"/>
    </row>
    <row r="247" s="2" customFormat="1" ht="18" customHeight="1" spans="1:15">
      <c r="A247" s="13"/>
      <c r="B247" s="19">
        <f t="shared" si="14"/>
        <v>0</v>
      </c>
      <c r="C247" s="36"/>
      <c r="D247" s="37"/>
      <c r="E247" s="152"/>
      <c r="F247" s="19">
        <f t="shared" si="15"/>
        <v>0</v>
      </c>
      <c r="G247" s="131"/>
      <c r="H247" s="24">
        <v>43823</v>
      </c>
      <c r="I247" s="135">
        <v>-57832</v>
      </c>
      <c r="J247" s="56" t="s">
        <v>158</v>
      </c>
      <c r="K247" s="87" t="s">
        <v>159</v>
      </c>
      <c r="L247" s="87" t="s">
        <v>179</v>
      </c>
      <c r="M247" s="55"/>
      <c r="N247" s="55"/>
      <c r="O247" s="54"/>
    </row>
    <row r="248" s="2" customFormat="1" ht="18" customHeight="1" spans="1:15">
      <c r="A248" s="13"/>
      <c r="B248" s="19">
        <f t="shared" si="14"/>
        <v>0</v>
      </c>
      <c r="C248" s="36"/>
      <c r="D248" s="37"/>
      <c r="E248" s="152"/>
      <c r="F248" s="19">
        <f t="shared" si="15"/>
        <v>0</v>
      </c>
      <c r="G248" s="131"/>
      <c r="H248" s="24"/>
      <c r="I248" s="147">
        <v>2048</v>
      </c>
      <c r="J248" s="50"/>
      <c r="K248" s="53" t="s">
        <v>179</v>
      </c>
      <c r="L248" s="53"/>
      <c r="M248" s="55"/>
      <c r="N248" s="55"/>
      <c r="O248" s="54"/>
    </row>
    <row r="249" s="2" customFormat="1" ht="18" customHeight="1" spans="1:15">
      <c r="A249" s="13"/>
      <c r="B249" s="19">
        <f t="shared" si="14"/>
        <v>0</v>
      </c>
      <c r="C249" s="36"/>
      <c r="D249" s="37"/>
      <c r="E249" s="152"/>
      <c r="F249" s="19">
        <f t="shared" si="15"/>
        <v>0</v>
      </c>
      <c r="G249" s="131"/>
      <c r="H249" s="24">
        <v>43819</v>
      </c>
      <c r="I249" s="130">
        <v>-40000</v>
      </c>
      <c r="J249" s="56" t="s">
        <v>158</v>
      </c>
      <c r="K249" s="87" t="s">
        <v>159</v>
      </c>
      <c r="L249" s="54"/>
      <c r="M249" s="55"/>
      <c r="N249" s="55"/>
      <c r="O249" s="54"/>
    </row>
    <row r="250" s="2" customFormat="1" ht="18" customHeight="1" spans="1:15">
      <c r="A250" s="13"/>
      <c r="B250" s="19">
        <f t="shared" si="14"/>
        <v>149200</v>
      </c>
      <c r="C250" s="36"/>
      <c r="D250" s="37"/>
      <c r="E250" s="152"/>
      <c r="F250" s="19">
        <f t="shared" si="15"/>
        <v>0</v>
      </c>
      <c r="G250" s="131">
        <f>40000+55784+53416</f>
        <v>149200</v>
      </c>
      <c r="H250" s="24"/>
      <c r="I250" s="130">
        <f>G250</f>
        <v>149200</v>
      </c>
      <c r="J250" s="56" t="s">
        <v>155</v>
      </c>
      <c r="K250" s="87" t="s">
        <v>159</v>
      </c>
      <c r="L250" s="54"/>
      <c r="M250" s="55"/>
      <c r="N250" s="55"/>
      <c r="O250" s="54"/>
    </row>
    <row r="251" s="151" customFormat="1" ht="18" customHeight="1" spans="1:15">
      <c r="A251" s="160"/>
      <c r="B251" s="161"/>
      <c r="C251" s="162"/>
      <c r="D251" s="163"/>
      <c r="E251" s="164"/>
      <c r="F251" s="161"/>
      <c r="G251" s="165"/>
      <c r="H251" s="166"/>
      <c r="I251" s="169">
        <f>5651540.19-4069878.25-1485666.08</f>
        <v>95995.8600000003</v>
      </c>
      <c r="J251" s="170"/>
      <c r="K251" s="171" t="s">
        <v>180</v>
      </c>
      <c r="L251" s="172" t="s">
        <v>181</v>
      </c>
      <c r="M251" s="173"/>
      <c r="N251" s="173"/>
      <c r="O251" s="172"/>
    </row>
    <row r="252" ht="18" customHeight="1" spans="1:15">
      <c r="A252" s="31" t="s">
        <v>24</v>
      </c>
      <c r="B252" s="132">
        <f t="shared" ref="B252:G252" si="16">SUM(B18:B250)</f>
        <v>61747306.07</v>
      </c>
      <c r="C252" s="31"/>
      <c r="D252" s="107"/>
      <c r="E252" s="107"/>
      <c r="F252" s="134">
        <f t="shared" si="16"/>
        <v>3630662.47</v>
      </c>
      <c r="G252" s="141">
        <f t="shared" si="16"/>
        <v>65377968.54</v>
      </c>
      <c r="H252" s="109"/>
      <c r="I252" s="133">
        <f>SUM(I18:I251)</f>
        <v>66985891</v>
      </c>
      <c r="J252" s="124"/>
      <c r="K252" s="125"/>
      <c r="L252" s="33"/>
      <c r="M252" s="50"/>
      <c r="N252" s="50"/>
      <c r="O252" s="33"/>
    </row>
    <row r="253" ht="18" customHeight="1" spans="1:14">
      <c r="A253" s="110" t="s">
        <v>182</v>
      </c>
      <c r="B253" s="112">
        <f>B15*0.976</f>
        <v>59737128.8052044</v>
      </c>
      <c r="C253" s="110"/>
      <c r="D253" s="111"/>
      <c r="E253" s="111"/>
      <c r="F253" s="112"/>
      <c r="G253" s="112">
        <f>G15-G252</f>
        <v>1607922.46</v>
      </c>
      <c r="H253" s="23" t="s">
        <v>183</v>
      </c>
      <c r="I253" s="133">
        <f>I15-I252</f>
        <v>0</v>
      </c>
      <c r="J253" s="1"/>
      <c r="K253" s="126"/>
      <c r="M253" s="127"/>
      <c r="N253" s="127"/>
    </row>
    <row r="254" ht="18" customHeight="1" spans="1:14">
      <c r="A254" s="110" t="s">
        <v>184</v>
      </c>
      <c r="B254" s="112">
        <f>B253-B252</f>
        <v>-2010177.26479559</v>
      </c>
      <c r="C254" s="110"/>
      <c r="D254" s="111"/>
      <c r="E254" s="111"/>
      <c r="F254" s="112"/>
      <c r="G254" s="112"/>
      <c r="H254" s="113"/>
      <c r="I254" s="112"/>
      <c r="J254" s="1"/>
      <c r="K254" s="126"/>
      <c r="M254" s="127"/>
      <c r="N254" s="127"/>
    </row>
    <row r="255" ht="18" customHeight="1" spans="1:11">
      <c r="A255" s="8" t="s">
        <v>185</v>
      </c>
      <c r="C255" s="8"/>
      <c r="K255" s="6"/>
    </row>
    <row r="256" ht="18" customHeight="1" spans="1:12">
      <c r="A256" s="23" t="s">
        <v>186</v>
      </c>
      <c r="B256" s="22" t="s">
        <v>187</v>
      </c>
      <c r="C256" s="33"/>
      <c r="D256" s="23" t="s">
        <v>186</v>
      </c>
      <c r="E256" s="21" t="s">
        <v>18</v>
      </c>
      <c r="F256" s="22" t="s">
        <v>187</v>
      </c>
      <c r="G256" s="22" t="s">
        <v>188</v>
      </c>
      <c r="H256" s="22" t="s">
        <v>189</v>
      </c>
      <c r="I256" s="22" t="s">
        <v>190</v>
      </c>
      <c r="K256" s="22" t="s">
        <v>191</v>
      </c>
      <c r="L256" s="22" t="s">
        <v>192</v>
      </c>
    </row>
    <row r="257" ht="18" customHeight="1" spans="1:12">
      <c r="A257" s="33" t="s">
        <v>193</v>
      </c>
      <c r="B257" s="19">
        <f>(B253-B252)*0.25</f>
        <v>-502544.316198898</v>
      </c>
      <c r="C257" s="33"/>
      <c r="D257" s="12" t="s">
        <v>194</v>
      </c>
      <c r="E257" s="50" t="s">
        <v>195</v>
      </c>
      <c r="F257" s="148">
        <f>F15-F252</f>
        <v>925032.44259383</v>
      </c>
      <c r="G257" s="148">
        <v>427936.001818182</v>
      </c>
      <c r="H257" s="148">
        <v>119996.265454545</v>
      </c>
      <c r="I257" s="148">
        <v>0</v>
      </c>
      <c r="K257" s="148">
        <v>0</v>
      </c>
      <c r="L257" s="148">
        <v>377100.175321099</v>
      </c>
    </row>
    <row r="258" ht="18" customHeight="1" spans="1:12">
      <c r="A258" s="33" t="s">
        <v>196</v>
      </c>
      <c r="B258" s="114" t="s">
        <v>197</v>
      </c>
      <c r="C258" s="33"/>
      <c r="D258" s="115" t="s">
        <v>198</v>
      </c>
      <c r="E258" s="15">
        <v>0.05</v>
      </c>
      <c r="F258" s="114">
        <f>F257*E258</f>
        <v>46251.6221296915</v>
      </c>
      <c r="G258" s="114">
        <v>21396.8000909091</v>
      </c>
      <c r="H258" s="114">
        <v>5999.81327272727</v>
      </c>
      <c r="I258" s="114">
        <f>I257*E258</f>
        <v>0</v>
      </c>
      <c r="K258" s="114">
        <v>0</v>
      </c>
      <c r="L258" s="114">
        <v>18855.008766055</v>
      </c>
    </row>
    <row r="259" ht="18" customHeight="1" spans="1:12">
      <c r="A259" s="33" t="s">
        <v>164</v>
      </c>
      <c r="B259" s="17"/>
      <c r="C259" s="33"/>
      <c r="D259" s="115" t="s">
        <v>199</v>
      </c>
      <c r="E259" s="15">
        <v>0.03</v>
      </c>
      <c r="F259" s="114">
        <f>F257*E259</f>
        <v>27750.9732778149</v>
      </c>
      <c r="G259" s="114">
        <v>12838.0800545454</v>
      </c>
      <c r="H259" s="114">
        <v>3599.88796363636</v>
      </c>
      <c r="I259" s="114">
        <f>I257*E259</f>
        <v>0</v>
      </c>
      <c r="K259" s="114">
        <v>0</v>
      </c>
      <c r="L259" s="114">
        <v>11313.005259633</v>
      </c>
    </row>
    <row r="260" ht="18" customHeight="1" spans="1:12">
      <c r="A260" s="33"/>
      <c r="B260" s="114"/>
      <c r="C260" s="33"/>
      <c r="D260" s="115" t="s">
        <v>200</v>
      </c>
      <c r="E260" s="15">
        <v>0.02</v>
      </c>
      <c r="F260" s="114">
        <f>F257*E260</f>
        <v>18500.6488518766</v>
      </c>
      <c r="G260" s="114">
        <v>8558.72003636363</v>
      </c>
      <c r="H260" s="114">
        <v>2399.92530909091</v>
      </c>
      <c r="I260" s="114">
        <f>I257*E260</f>
        <v>0</v>
      </c>
      <c r="K260" s="114">
        <v>0</v>
      </c>
      <c r="L260" s="114">
        <v>7542.00350642199</v>
      </c>
    </row>
    <row r="261" ht="18" customHeight="1" spans="1:12">
      <c r="A261" s="29" t="s">
        <v>201</v>
      </c>
      <c r="B261" s="132">
        <f>SUM(B257:B260)</f>
        <v>-502544.316198898</v>
      </c>
      <c r="C261" s="33"/>
      <c r="D261" s="29" t="s">
        <v>201</v>
      </c>
      <c r="E261" s="29"/>
      <c r="F261" s="134">
        <f>SUM(F257:F260)</f>
        <v>1017535.68685321</v>
      </c>
      <c r="G261" s="134">
        <v>470729.602</v>
      </c>
      <c r="H261" s="134">
        <v>131995.892</v>
      </c>
      <c r="I261" s="134">
        <f>SUM(I257:I260)</f>
        <v>0</v>
      </c>
      <c r="K261" s="134">
        <v>0</v>
      </c>
      <c r="L261" s="134">
        <v>414810.192853209</v>
      </c>
    </row>
    <row r="262" ht="18" customHeight="1" spans="3:12">
      <c r="C262" s="8"/>
      <c r="D262" s="118" t="s">
        <v>193</v>
      </c>
      <c r="E262" s="149"/>
      <c r="F262" s="150"/>
      <c r="G262" s="150"/>
      <c r="H262" s="150"/>
      <c r="I262" s="150"/>
      <c r="K262" s="150"/>
      <c r="L262" s="150"/>
    </row>
    <row r="263" ht="18" customHeight="1" spans="3:12">
      <c r="C263" s="8"/>
      <c r="D263" s="118" t="s">
        <v>193</v>
      </c>
      <c r="E263" s="149">
        <v>0.006</v>
      </c>
      <c r="F263" s="150">
        <f>B15*E263</f>
        <v>367236.447572978</v>
      </c>
      <c r="G263" s="150">
        <v>104490.763636364</v>
      </c>
      <c r="H263" s="150">
        <v>58271.0509090909</v>
      </c>
      <c r="I263" s="150">
        <f>B9*E263</f>
        <v>38083.3211009174</v>
      </c>
      <c r="K263" s="150">
        <f>B10*E263</f>
        <v>40336.3211009174</v>
      </c>
      <c r="L263" s="150">
        <f>G11*E263</f>
        <v>137399.94</v>
      </c>
    </row>
    <row r="264" ht="18" customHeight="1" spans="3:12">
      <c r="C264" s="8"/>
      <c r="D264" s="14" t="s">
        <v>164</v>
      </c>
      <c r="E264" s="16">
        <v>0.0006</v>
      </c>
      <c r="F264" s="114">
        <f>B15*E264</f>
        <v>36723.6447572978</v>
      </c>
      <c r="G264" s="114">
        <v>10449.0763636364</v>
      </c>
      <c r="H264" s="114">
        <v>5827.10509090909</v>
      </c>
      <c r="I264" s="114">
        <f>B9*E264</f>
        <v>3808.33211009174</v>
      </c>
      <c r="K264" s="114">
        <f>B10*E264</f>
        <v>4033.63211009174</v>
      </c>
      <c r="L264" s="114">
        <f>B11*E264</f>
        <v>12605.4990825688</v>
      </c>
    </row>
    <row r="265" ht="18" customHeight="1" spans="3:12">
      <c r="C265" s="8"/>
      <c r="D265" s="31" t="s">
        <v>24</v>
      </c>
      <c r="E265" s="31"/>
      <c r="F265" s="133">
        <f>F261+F262+F264</f>
        <v>1054259.33161051</v>
      </c>
      <c r="G265" s="133">
        <v>759820.714727273</v>
      </c>
      <c r="H265" s="133">
        <v>196094.048</v>
      </c>
      <c r="I265" s="133">
        <f>I261+I263+I264</f>
        <v>41891.6532110092</v>
      </c>
      <c r="K265" s="133">
        <f>K263+K264</f>
        <v>44369.9532110092</v>
      </c>
      <c r="L265" s="133">
        <f>L261+L263+L264</f>
        <v>564815.631935778</v>
      </c>
    </row>
    <row r="266" ht="18" customHeight="1" spans="3:3">
      <c r="C266" s="8"/>
    </row>
    <row r="267" ht="18" customHeight="1" spans="3:3">
      <c r="C267" s="8"/>
    </row>
    <row r="268" ht="18" customHeight="1" spans="3:12">
      <c r="C268" s="8"/>
      <c r="L268" s="2"/>
    </row>
    <row r="269" ht="18" customHeight="1" spans="3:3">
      <c r="C269" s="8"/>
    </row>
    <row r="270" spans="3:3">
      <c r="C270" s="8"/>
    </row>
    <row r="271" spans="3:3">
      <c r="C271" s="8"/>
    </row>
    <row r="272" spans="3:3">
      <c r="C272" s="8"/>
    </row>
    <row r="273" spans="3:3">
      <c r="C273" s="8"/>
    </row>
    <row r="274" spans="3:11">
      <c r="C274" s="8"/>
      <c r="K274" s="1" t="s">
        <v>17</v>
      </c>
    </row>
    <row r="275" spans="3:3">
      <c r="C275" s="8"/>
    </row>
    <row r="276" spans="3:3">
      <c r="C276" s="8"/>
    </row>
    <row r="277" spans="3:3">
      <c r="C277" s="8"/>
    </row>
    <row r="278" spans="3:3">
      <c r="C278" s="8"/>
    </row>
    <row r="279" spans="3:3">
      <c r="C279" s="8"/>
    </row>
    <row r="280" spans="3:3">
      <c r="C280" s="8"/>
    </row>
    <row r="281" spans="3:3">
      <c r="C281" s="8"/>
    </row>
    <row r="282" spans="3:3">
      <c r="C282" s="8"/>
    </row>
    <row r="283" spans="3:3">
      <c r="C283" s="8"/>
    </row>
    <row r="284" spans="3:3">
      <c r="C284" s="8"/>
    </row>
    <row r="285" spans="3:3">
      <c r="C285" s="8"/>
    </row>
  </sheetData>
  <protectedRanges>
    <protectedRange password="CF54" sqref="K103:L103" name="区域1"/>
    <protectedRange password="CF54" sqref="K120:L121 K122" name="区域1_1"/>
    <protectedRange password="CF54" sqref="I126:I135" name="区域1_2"/>
    <protectedRange password="CF54" sqref="K155:L158 K172:L172 K170:L170 K169 K163:L165 K162 K160:L161 K159 K230 K167:L168 K166 K174:K178 K223 K222 K224 K226:K227 K189:K201 K216:K218 K182:K184 K186:K187" name="区域1_3"/>
    <protectedRange password="CF54" sqref="K173:L173" name="区域1_6"/>
    <protectedRange password="CF54" sqref="K171:L171 L166" name="区域1_7"/>
    <protectedRange password="CF54" sqref="K179:L179" name="区域1_4"/>
    <protectedRange password="CF54" sqref="K180:L181" name="区域1_5"/>
    <protectedRange password="CF54" sqref="I179" name="区域1_8"/>
    <protectedRange sqref="K202:L203" name="区域1_9"/>
    <protectedRange sqref="K220" name="区域1_3_1"/>
    <protectedRange sqref="K219" name="区域1_3_2"/>
  </protectedRanges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scale="11" fitToWidth="0" orientation="landscape" verticalDpi="18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0"/>
  <sheetViews>
    <sheetView topLeftCell="A213" workbookViewId="0">
      <selection activeCell="I222" sqref="I222"/>
    </sheetView>
  </sheetViews>
  <sheetFormatPr defaultColWidth="9" defaultRowHeight="11.25"/>
  <cols>
    <col min="1" max="1" width="10.775" style="8" customWidth="1"/>
    <col min="2" max="2" width="13.1083333333333" style="6" customWidth="1"/>
    <col min="3" max="3" width="6" style="7" customWidth="1"/>
    <col min="4" max="4" width="13.3333333333333" style="7" customWidth="1"/>
    <col min="5" max="5" width="6" style="7" customWidth="1"/>
    <col min="6" max="6" width="13.1083333333333" style="6" customWidth="1"/>
    <col min="7" max="7" width="16.1083333333333" style="6" customWidth="1"/>
    <col min="8" max="8" width="15.775" style="7" customWidth="1"/>
    <col min="9" max="9" width="18.1083333333333" style="6" customWidth="1"/>
    <col min="10" max="10" width="8.88333333333333" style="9" customWidth="1"/>
    <col min="11" max="11" width="28.5583333333333" style="1" customWidth="1"/>
    <col min="12" max="12" width="19" style="1" customWidth="1"/>
    <col min="13" max="13" width="6" style="1" customWidth="1"/>
    <col min="14" max="14" width="5.66666666666667" style="1" customWidth="1"/>
    <col min="15" max="15" width="10.375" style="1"/>
    <col min="16" max="16" width="19.8833333333333" style="1" customWidth="1"/>
    <col min="17" max="17" width="9" style="1"/>
    <col min="18" max="18" width="5.21666666666667" style="1" customWidth="1"/>
    <col min="19" max="16384" width="9" style="8"/>
  </cols>
  <sheetData>
    <row r="1" s="1" customFormat="1" ht="21.9" customHeight="1" spans="1:12">
      <c r="A1" s="10" t="s">
        <v>0</v>
      </c>
      <c r="B1" s="10"/>
      <c r="C1" s="10"/>
      <c r="D1" s="10"/>
      <c r="E1" s="10"/>
      <c r="F1" s="11"/>
      <c r="G1" s="11"/>
      <c r="H1" s="10"/>
      <c r="I1" s="11"/>
      <c r="J1" s="10"/>
      <c r="K1" s="20"/>
      <c r="L1" s="20"/>
    </row>
    <row r="2" s="1" customFormat="1" ht="18" customHeight="1" spans="1:12">
      <c r="A2" s="12" t="s">
        <v>1</v>
      </c>
      <c r="B2" s="13" t="s">
        <v>2</v>
      </c>
      <c r="C2" s="14" t="s">
        <v>3</v>
      </c>
      <c r="D2" s="114">
        <v>64372010</v>
      </c>
      <c r="E2" s="15" t="s">
        <v>4</v>
      </c>
      <c r="F2" s="16" t="s">
        <v>5</v>
      </c>
      <c r="G2" s="17" t="s">
        <v>6</v>
      </c>
      <c r="H2" s="18" t="s">
        <v>0</v>
      </c>
      <c r="I2" s="46"/>
      <c r="J2" s="47"/>
      <c r="K2" s="20"/>
      <c r="L2" s="20"/>
    </row>
    <row r="3" s="1" customFormat="1" ht="18" customHeight="1" spans="1:16">
      <c r="A3" s="12" t="s">
        <v>7</v>
      </c>
      <c r="B3" s="19"/>
      <c r="C3" s="14" t="s">
        <v>8</v>
      </c>
      <c r="D3" s="14">
        <v>69057620</v>
      </c>
      <c r="E3" s="7"/>
      <c r="F3" s="6"/>
      <c r="G3" s="6"/>
      <c r="H3" s="20"/>
      <c r="I3" s="48"/>
      <c r="J3" s="20"/>
      <c r="K3" s="20"/>
      <c r="L3" s="20"/>
      <c r="P3" s="49" t="s">
        <v>9</v>
      </c>
    </row>
    <row r="4" s="1" customFormat="1" ht="18" customHeight="1" spans="1:12">
      <c r="A4" s="8" t="s">
        <v>10</v>
      </c>
      <c r="B4" s="6"/>
      <c r="C4" s="7"/>
      <c r="D4" s="7"/>
      <c r="E4" s="7"/>
      <c r="F4" s="6"/>
      <c r="G4" s="6"/>
      <c r="H4" s="20"/>
      <c r="I4" s="48"/>
      <c r="J4" s="20"/>
      <c r="K4" s="20"/>
      <c r="L4" s="20"/>
    </row>
    <row r="5" s="1" customFormat="1" ht="18" customHeight="1" spans="1:13">
      <c r="A5" s="21" t="s">
        <v>11</v>
      </c>
      <c r="B5" s="22" t="s">
        <v>12</v>
      </c>
      <c r="C5" s="21" t="s">
        <v>13</v>
      </c>
      <c r="D5" s="21"/>
      <c r="E5" s="21" t="s">
        <v>14</v>
      </c>
      <c r="F5" s="22"/>
      <c r="G5" s="22" t="s">
        <v>15</v>
      </c>
      <c r="H5" s="23" t="s">
        <v>16</v>
      </c>
      <c r="I5" s="22"/>
      <c r="J5" s="23"/>
      <c r="M5" s="1" t="s">
        <v>17</v>
      </c>
    </row>
    <row r="6" s="1" customFormat="1" ht="18" customHeight="1" spans="1:10">
      <c r="A6" s="21"/>
      <c r="B6" s="22"/>
      <c r="C6" s="21" t="s">
        <v>18</v>
      </c>
      <c r="D6" s="21" t="s">
        <v>19</v>
      </c>
      <c r="E6" s="21" t="s">
        <v>18</v>
      </c>
      <c r="F6" s="22" t="s">
        <v>19</v>
      </c>
      <c r="G6" s="22"/>
      <c r="H6" s="23" t="s">
        <v>20</v>
      </c>
      <c r="I6" s="22" t="s">
        <v>21</v>
      </c>
      <c r="J6" s="23" t="s">
        <v>22</v>
      </c>
    </row>
    <row r="7" s="1" customFormat="1" ht="18" customHeight="1" spans="1:10">
      <c r="A7" s="24">
        <v>43437</v>
      </c>
      <c r="B7" s="114">
        <f t="shared" ref="B7:B14" si="0">G7/(1+C7+E7)</f>
        <v>17415127.2727273</v>
      </c>
      <c r="C7" s="25">
        <v>0.02</v>
      </c>
      <c r="D7" s="130">
        <f t="shared" ref="D7:D14" si="1">G7/(1+E7+C7)*C7</f>
        <v>348302.545454545</v>
      </c>
      <c r="E7" s="25">
        <v>0.08</v>
      </c>
      <c r="F7" s="114">
        <f t="shared" ref="F7:F14" si="2">G7/(1+C7+E7)*E7</f>
        <v>1393210.18181818</v>
      </c>
      <c r="G7" s="131">
        <v>19156640</v>
      </c>
      <c r="H7" s="24">
        <v>43453</v>
      </c>
      <c r="I7" s="114">
        <v>8000000</v>
      </c>
      <c r="J7" s="50" t="s">
        <v>23</v>
      </c>
    </row>
    <row r="8" s="1" customFormat="1" ht="18" customHeight="1" spans="1:10">
      <c r="A8" s="24">
        <v>43468</v>
      </c>
      <c r="B8" s="114">
        <f t="shared" si="0"/>
        <v>9711841.81818182</v>
      </c>
      <c r="C8" s="25">
        <v>0.02</v>
      </c>
      <c r="D8" s="130">
        <f t="shared" si="1"/>
        <v>194236.836363636</v>
      </c>
      <c r="E8" s="25">
        <v>0.08</v>
      </c>
      <c r="F8" s="114">
        <f t="shared" si="2"/>
        <v>776947.345454545</v>
      </c>
      <c r="G8" s="131">
        <v>10683026</v>
      </c>
      <c r="H8" s="24">
        <v>43458</v>
      </c>
      <c r="I8" s="114">
        <v>11156640</v>
      </c>
      <c r="J8" s="50" t="s">
        <v>23</v>
      </c>
    </row>
    <row r="9" s="1" customFormat="1" ht="18" customHeight="1" spans="1:10">
      <c r="A9" s="24">
        <v>43558</v>
      </c>
      <c r="B9" s="114">
        <f t="shared" si="0"/>
        <v>6347220.18348624</v>
      </c>
      <c r="C9" s="25">
        <v>0.02</v>
      </c>
      <c r="D9" s="130">
        <f t="shared" si="1"/>
        <v>126944.403669725</v>
      </c>
      <c r="E9" s="25">
        <v>0.07</v>
      </c>
      <c r="F9" s="114">
        <f t="shared" si="2"/>
        <v>444305.412844037</v>
      </c>
      <c r="G9" s="131">
        <v>6918470</v>
      </c>
      <c r="H9" s="24">
        <v>43482</v>
      </c>
      <c r="I9" s="114">
        <v>10683026</v>
      </c>
      <c r="J9" s="50" t="s">
        <v>23</v>
      </c>
    </row>
    <row r="10" s="1" customFormat="1" ht="18" customHeight="1" spans="1:10">
      <c r="A10" s="24">
        <v>43606</v>
      </c>
      <c r="B10" s="114">
        <f t="shared" si="0"/>
        <v>6722720.18348624</v>
      </c>
      <c r="C10" s="25">
        <v>0.02</v>
      </c>
      <c r="D10" s="130">
        <f t="shared" si="1"/>
        <v>134454.403669725</v>
      </c>
      <c r="E10" s="25">
        <v>0.07</v>
      </c>
      <c r="F10" s="114">
        <f t="shared" si="2"/>
        <v>470590.412844037</v>
      </c>
      <c r="G10" s="131">
        <v>7327765</v>
      </c>
      <c r="H10" s="24">
        <v>43590</v>
      </c>
      <c r="I10" s="114">
        <v>6918470</v>
      </c>
      <c r="J10" s="50" t="s">
        <v>23</v>
      </c>
    </row>
    <row r="11" s="1" customFormat="1" ht="18" customHeight="1" spans="1:10">
      <c r="A11" s="24">
        <v>43832</v>
      </c>
      <c r="B11" s="114">
        <f t="shared" si="0"/>
        <v>21009165.1376147</v>
      </c>
      <c r="C11" s="25">
        <v>0.02</v>
      </c>
      <c r="D11" s="130">
        <f t="shared" si="1"/>
        <v>420183.302752294</v>
      </c>
      <c r="E11" s="28">
        <v>0.07</v>
      </c>
      <c r="F11" s="114">
        <f t="shared" si="2"/>
        <v>1470641.55963303</v>
      </c>
      <c r="G11" s="131">
        <v>22899990</v>
      </c>
      <c r="H11" s="24">
        <v>43657</v>
      </c>
      <c r="I11" s="114">
        <v>3000000</v>
      </c>
      <c r="J11" s="50" t="s">
        <v>23</v>
      </c>
    </row>
    <row r="12" s="1" customFormat="1" ht="18" customHeight="1" spans="1:10">
      <c r="A12" s="24"/>
      <c r="B12" s="114">
        <f t="shared" si="0"/>
        <v>0</v>
      </c>
      <c r="C12" s="25">
        <v>0.02</v>
      </c>
      <c r="D12" s="130">
        <f t="shared" si="1"/>
        <v>0</v>
      </c>
      <c r="E12" s="25">
        <v>0.08</v>
      </c>
      <c r="F12" s="114">
        <f t="shared" si="2"/>
        <v>0</v>
      </c>
      <c r="G12" s="131"/>
      <c r="H12" s="24">
        <v>43705</v>
      </c>
      <c r="I12" s="114">
        <v>1000000</v>
      </c>
      <c r="J12" s="50" t="s">
        <v>23</v>
      </c>
    </row>
    <row r="13" s="1" customFormat="1" ht="18" customHeight="1" spans="1:10">
      <c r="A13" s="24"/>
      <c r="B13" s="114">
        <f t="shared" si="0"/>
        <v>0</v>
      </c>
      <c r="C13" s="25">
        <v>0.02</v>
      </c>
      <c r="D13" s="130">
        <f t="shared" si="1"/>
        <v>0</v>
      </c>
      <c r="E13" s="25">
        <v>0.08</v>
      </c>
      <c r="F13" s="114">
        <f t="shared" si="2"/>
        <v>0</v>
      </c>
      <c r="G13" s="131"/>
      <c r="H13" s="24">
        <v>43754</v>
      </c>
      <c r="I13" s="114">
        <v>3327765</v>
      </c>
      <c r="J13" s="50" t="s">
        <v>23</v>
      </c>
    </row>
    <row r="14" s="1" customFormat="1" ht="18" customHeight="1" spans="1:10">
      <c r="A14" s="24"/>
      <c r="B14" s="114">
        <f t="shared" si="0"/>
        <v>0</v>
      </c>
      <c r="C14" s="25">
        <v>0.02</v>
      </c>
      <c r="D14" s="130">
        <f t="shared" si="1"/>
        <v>0</v>
      </c>
      <c r="E14" s="25">
        <v>0.08</v>
      </c>
      <c r="F14" s="114">
        <f t="shared" si="2"/>
        <v>0</v>
      </c>
      <c r="G14" s="131"/>
      <c r="H14" s="24">
        <v>43852</v>
      </c>
      <c r="I14" s="114">
        <v>22899990</v>
      </c>
      <c r="J14" s="50" t="s">
        <v>23</v>
      </c>
    </row>
    <row r="15" s="1" customFormat="1" ht="18" customHeight="1" spans="1:10">
      <c r="A15" s="29" t="s">
        <v>24</v>
      </c>
      <c r="B15" s="132">
        <f t="shared" ref="B15:G15" si="3">SUM(B7:B14)</f>
        <v>61206074.5954962</v>
      </c>
      <c r="C15" s="31"/>
      <c r="D15" s="133">
        <f t="shared" si="3"/>
        <v>1224121.49190992</v>
      </c>
      <c r="E15" s="31"/>
      <c r="F15" s="134">
        <f t="shared" si="3"/>
        <v>4555694.91259383</v>
      </c>
      <c r="G15" s="133">
        <f t="shared" si="3"/>
        <v>66985891</v>
      </c>
      <c r="H15" s="33"/>
      <c r="I15" s="133">
        <f>SUM(I7:I14)</f>
        <v>66985891</v>
      </c>
      <c r="J15" s="33"/>
    </row>
    <row r="16" s="1" customFormat="1" ht="18" customHeight="1" spans="1:12">
      <c r="A16" s="8" t="s">
        <v>25</v>
      </c>
      <c r="B16" s="6"/>
      <c r="C16" s="7"/>
      <c r="D16" s="7"/>
      <c r="E16" s="7"/>
      <c r="F16" s="6"/>
      <c r="G16" s="6"/>
      <c r="H16" s="7"/>
      <c r="I16" s="6">
        <f>D3-I15</f>
        <v>2071729</v>
      </c>
      <c r="J16" s="7"/>
      <c r="K16" s="7"/>
      <c r="L16" s="9"/>
    </row>
    <row r="17" s="1" customFormat="1" ht="18" customHeight="1" spans="1:15">
      <c r="A17" s="34" t="s">
        <v>26</v>
      </c>
      <c r="B17" s="22" t="s">
        <v>27</v>
      </c>
      <c r="C17" s="21" t="s">
        <v>28</v>
      </c>
      <c r="D17" s="21" t="s">
        <v>29</v>
      </c>
      <c r="E17" s="21" t="s">
        <v>18</v>
      </c>
      <c r="F17" s="22" t="s">
        <v>30</v>
      </c>
      <c r="G17" s="22" t="s">
        <v>15</v>
      </c>
      <c r="H17" s="21" t="s">
        <v>31</v>
      </c>
      <c r="I17" s="22" t="s">
        <v>32</v>
      </c>
      <c r="J17" s="21" t="s">
        <v>22</v>
      </c>
      <c r="K17" s="51" t="s">
        <v>33</v>
      </c>
      <c r="L17" s="23" t="s">
        <v>34</v>
      </c>
      <c r="M17" s="23" t="s">
        <v>35</v>
      </c>
      <c r="N17" s="23" t="s">
        <v>36</v>
      </c>
      <c r="O17" s="23" t="s">
        <v>37</v>
      </c>
    </row>
    <row r="18" s="2" customFormat="1" ht="18" customHeight="1" spans="1:15">
      <c r="A18" s="13" t="s">
        <v>38</v>
      </c>
      <c r="B18" s="19">
        <f t="shared" ref="B18:B81" si="4">ROUND(G18/(1+E18),2)</f>
        <v>196335.47</v>
      </c>
      <c r="C18" s="36"/>
      <c r="D18" s="37" t="s">
        <v>39</v>
      </c>
      <c r="E18" s="38">
        <v>0.06</v>
      </c>
      <c r="F18" s="19">
        <f t="shared" ref="F18:F81" si="5">ROUND(G18/(1+E18)*E18,2)</f>
        <v>11780.13</v>
      </c>
      <c r="G18" s="131">
        <v>208115.6</v>
      </c>
      <c r="H18" s="24">
        <v>43341</v>
      </c>
      <c r="I18" s="136">
        <v>208115.6</v>
      </c>
      <c r="J18" s="50" t="s">
        <v>40</v>
      </c>
      <c r="K18" s="53" t="s">
        <v>41</v>
      </c>
      <c r="L18" s="54" t="s">
        <v>42</v>
      </c>
      <c r="M18" s="55"/>
      <c r="N18" s="55"/>
      <c r="O18" s="54"/>
    </row>
    <row r="19" s="2" customFormat="1" ht="18" customHeight="1" spans="1:15">
      <c r="A19" s="13"/>
      <c r="B19" s="19">
        <f t="shared" si="4"/>
        <v>0</v>
      </c>
      <c r="C19" s="36"/>
      <c r="D19" s="37"/>
      <c r="E19" s="38"/>
      <c r="F19" s="19">
        <f t="shared" si="5"/>
        <v>0</v>
      </c>
      <c r="G19" s="131"/>
      <c r="H19" s="24">
        <v>43341</v>
      </c>
      <c r="I19" s="130">
        <v>-208115.6</v>
      </c>
      <c r="J19" s="50" t="s">
        <v>43</v>
      </c>
      <c r="K19" s="53" t="s">
        <v>44</v>
      </c>
      <c r="L19" s="54"/>
      <c r="M19" s="55"/>
      <c r="N19" s="55"/>
      <c r="O19" s="54"/>
    </row>
    <row r="20" s="3" customFormat="1" ht="18" customHeight="1" spans="1:17">
      <c r="A20" s="39" t="s">
        <v>38</v>
      </c>
      <c r="B20" s="135">
        <f t="shared" si="4"/>
        <v>187395.21</v>
      </c>
      <c r="C20" s="41"/>
      <c r="D20" s="42"/>
      <c r="E20" s="38"/>
      <c r="F20" s="135">
        <f t="shared" si="5"/>
        <v>0</v>
      </c>
      <c r="G20" s="131">
        <f>100000+87395.21</f>
        <v>187395.21</v>
      </c>
      <c r="H20" s="43"/>
      <c r="I20" s="130"/>
      <c r="J20" s="56"/>
      <c r="K20" s="57" t="s">
        <v>46</v>
      </c>
      <c r="L20" s="57" t="s">
        <v>47</v>
      </c>
      <c r="M20" s="58"/>
      <c r="N20" s="58"/>
      <c r="O20" s="59" t="s">
        <v>48</v>
      </c>
      <c r="P20" s="60"/>
      <c r="Q20" s="60"/>
    </row>
    <row r="21" s="2" customFormat="1" ht="18" customHeight="1" spans="1:15">
      <c r="A21" s="13">
        <v>43397</v>
      </c>
      <c r="B21" s="19">
        <f t="shared" si="4"/>
        <v>95586.21</v>
      </c>
      <c r="C21" s="36">
        <v>2</v>
      </c>
      <c r="D21" s="37" t="s">
        <v>39</v>
      </c>
      <c r="E21" s="38">
        <v>0.16</v>
      </c>
      <c r="F21" s="19">
        <f t="shared" si="5"/>
        <v>15293.79</v>
      </c>
      <c r="G21" s="131">
        <v>110880</v>
      </c>
      <c r="H21" s="24">
        <v>43341</v>
      </c>
      <c r="I21" s="136">
        <v>110880</v>
      </c>
      <c r="J21" s="50" t="s">
        <v>40</v>
      </c>
      <c r="K21" s="53" t="s">
        <v>49</v>
      </c>
      <c r="L21" s="54" t="s">
        <v>50</v>
      </c>
      <c r="M21" s="55"/>
      <c r="N21" s="55"/>
      <c r="O21" s="54"/>
    </row>
    <row r="22" s="2" customFormat="1" ht="18" customHeight="1" spans="1:15">
      <c r="A22" s="13"/>
      <c r="B22" s="19">
        <f t="shared" si="4"/>
        <v>0</v>
      </c>
      <c r="C22" s="36"/>
      <c r="D22" s="37"/>
      <c r="E22" s="38"/>
      <c r="F22" s="19">
        <f t="shared" si="5"/>
        <v>0</v>
      </c>
      <c r="G22" s="131"/>
      <c r="H22" s="24">
        <v>43341</v>
      </c>
      <c r="I22" s="130">
        <v>-110880</v>
      </c>
      <c r="J22" s="50" t="s">
        <v>43</v>
      </c>
      <c r="K22" s="53" t="s">
        <v>44</v>
      </c>
      <c r="L22" s="54"/>
      <c r="M22" s="55"/>
      <c r="N22" s="55"/>
      <c r="O22" s="54"/>
    </row>
    <row r="23" s="2" customFormat="1" ht="18" customHeight="1" spans="1:15">
      <c r="A23" s="13" t="s">
        <v>51</v>
      </c>
      <c r="B23" s="19">
        <f t="shared" si="4"/>
        <v>3650</v>
      </c>
      <c r="C23" s="36"/>
      <c r="D23" s="37" t="s">
        <v>45</v>
      </c>
      <c r="E23" s="38"/>
      <c r="F23" s="19">
        <f t="shared" si="5"/>
        <v>0</v>
      </c>
      <c r="G23" s="131">
        <v>3650</v>
      </c>
      <c r="H23" s="24"/>
      <c r="I23" s="130"/>
      <c r="J23" s="50"/>
      <c r="K23" s="61" t="s">
        <v>52</v>
      </c>
      <c r="L23" s="61" t="s">
        <v>53</v>
      </c>
      <c r="M23" s="55"/>
      <c r="N23" s="55"/>
      <c r="O23" s="54"/>
    </row>
    <row r="24" s="2" customFormat="1" ht="18" customHeight="1" spans="1:15">
      <c r="A24" s="13"/>
      <c r="B24" s="19">
        <f t="shared" si="4"/>
        <v>0</v>
      </c>
      <c r="C24" s="36"/>
      <c r="D24" s="37"/>
      <c r="E24" s="38"/>
      <c r="F24" s="19">
        <f t="shared" si="5"/>
        <v>0</v>
      </c>
      <c r="G24" s="131"/>
      <c r="H24" s="24">
        <v>43350</v>
      </c>
      <c r="I24" s="136">
        <v>200000</v>
      </c>
      <c r="J24" s="50" t="s">
        <v>40</v>
      </c>
      <c r="K24" s="53" t="s">
        <v>54</v>
      </c>
      <c r="L24" s="54" t="s">
        <v>55</v>
      </c>
      <c r="M24" s="55" t="s">
        <v>56</v>
      </c>
      <c r="N24" s="55"/>
      <c r="O24" s="54"/>
    </row>
    <row r="25" s="2" customFormat="1" ht="18" customHeight="1" spans="1:15">
      <c r="A25" s="13"/>
      <c r="B25" s="19">
        <f t="shared" si="4"/>
        <v>0</v>
      </c>
      <c r="C25" s="36"/>
      <c r="D25" s="37"/>
      <c r="E25" s="38"/>
      <c r="F25" s="19">
        <f t="shared" si="5"/>
        <v>0</v>
      </c>
      <c r="G25" s="131"/>
      <c r="H25" s="24">
        <v>43350</v>
      </c>
      <c r="I25" s="130">
        <v>-200000</v>
      </c>
      <c r="J25" s="50" t="s">
        <v>43</v>
      </c>
      <c r="K25" s="53" t="s">
        <v>44</v>
      </c>
      <c r="L25" s="54"/>
      <c r="M25" s="55"/>
      <c r="N25" s="55"/>
      <c r="O25" s="54"/>
    </row>
    <row r="26" s="4" customFormat="1" ht="18" customHeight="1" spans="1:15">
      <c r="A26" s="13"/>
      <c r="B26" s="19">
        <f t="shared" si="4"/>
        <v>0</v>
      </c>
      <c r="C26" s="44"/>
      <c r="D26" s="37"/>
      <c r="E26" s="38"/>
      <c r="F26" s="19">
        <f t="shared" si="5"/>
        <v>0</v>
      </c>
      <c r="G26" s="131"/>
      <c r="H26" s="45">
        <v>43362</v>
      </c>
      <c r="I26" s="136">
        <v>100000</v>
      </c>
      <c r="J26" s="50" t="s">
        <v>40</v>
      </c>
      <c r="K26" s="62" t="s">
        <v>57</v>
      </c>
      <c r="L26" s="63" t="s">
        <v>58</v>
      </c>
      <c r="M26" s="55" t="s">
        <v>56</v>
      </c>
      <c r="N26" s="64"/>
      <c r="O26" s="63"/>
    </row>
    <row r="27" s="4" customFormat="1" ht="18" customHeight="1" spans="1:15">
      <c r="A27" s="13"/>
      <c r="B27" s="19">
        <f t="shared" si="4"/>
        <v>0</v>
      </c>
      <c r="C27" s="44"/>
      <c r="D27" s="37"/>
      <c r="E27" s="38"/>
      <c r="F27" s="19">
        <f t="shared" si="5"/>
        <v>0</v>
      </c>
      <c r="G27" s="131"/>
      <c r="H27" s="45">
        <v>43362</v>
      </c>
      <c r="I27" s="136">
        <v>-100000</v>
      </c>
      <c r="J27" s="50" t="s">
        <v>43</v>
      </c>
      <c r="K27" s="62" t="s">
        <v>44</v>
      </c>
      <c r="L27" s="63"/>
      <c r="M27" s="64"/>
      <c r="N27" s="64"/>
      <c r="O27" s="63"/>
    </row>
    <row r="28" s="2" customFormat="1" ht="18" customHeight="1" spans="1:15">
      <c r="A28" s="13"/>
      <c r="B28" s="19">
        <f t="shared" si="4"/>
        <v>0</v>
      </c>
      <c r="C28" s="36"/>
      <c r="D28" s="37"/>
      <c r="E28" s="38"/>
      <c r="F28" s="19">
        <f t="shared" si="5"/>
        <v>0</v>
      </c>
      <c r="G28" s="131"/>
      <c r="H28" s="45">
        <v>43362</v>
      </c>
      <c r="I28" s="136">
        <v>200000</v>
      </c>
      <c r="J28" s="50" t="s">
        <v>40</v>
      </c>
      <c r="K28" s="53" t="s">
        <v>59</v>
      </c>
      <c r="L28" s="63" t="s">
        <v>60</v>
      </c>
      <c r="M28" s="55" t="s">
        <v>56</v>
      </c>
      <c r="N28" s="55"/>
      <c r="O28" s="54"/>
    </row>
    <row r="29" s="2" customFormat="1" ht="18" customHeight="1" spans="1:15">
      <c r="A29" s="13"/>
      <c r="B29" s="19">
        <f t="shared" si="4"/>
        <v>0</v>
      </c>
      <c r="C29" s="36"/>
      <c r="D29" s="37"/>
      <c r="E29" s="38"/>
      <c r="F29" s="19">
        <f t="shared" si="5"/>
        <v>0</v>
      </c>
      <c r="G29" s="131"/>
      <c r="H29" s="45">
        <v>43362</v>
      </c>
      <c r="I29" s="136">
        <v>-200000</v>
      </c>
      <c r="J29" s="50" t="s">
        <v>43</v>
      </c>
      <c r="K29" s="53" t="s">
        <v>44</v>
      </c>
      <c r="L29" s="63"/>
      <c r="M29" s="55"/>
      <c r="N29" s="55"/>
      <c r="O29" s="54"/>
    </row>
    <row r="30" s="2" customFormat="1" ht="18" customHeight="1" spans="1:15">
      <c r="A30" s="13"/>
      <c r="B30" s="19">
        <f t="shared" si="4"/>
        <v>0</v>
      </c>
      <c r="C30" s="36"/>
      <c r="D30" s="37"/>
      <c r="E30" s="38"/>
      <c r="F30" s="19">
        <f t="shared" si="5"/>
        <v>0</v>
      </c>
      <c r="G30" s="131"/>
      <c r="H30" s="24">
        <v>43369</v>
      </c>
      <c r="I30" s="136">
        <v>100000</v>
      </c>
      <c r="J30" s="50" t="s">
        <v>40</v>
      </c>
      <c r="K30" s="53" t="s">
        <v>57</v>
      </c>
      <c r="L30" s="54" t="s">
        <v>58</v>
      </c>
      <c r="M30" s="55" t="s">
        <v>56</v>
      </c>
      <c r="N30" s="55"/>
      <c r="O30" s="54"/>
    </row>
    <row r="31" s="2" customFormat="1" ht="18" customHeight="1" spans="1:15">
      <c r="A31" s="13"/>
      <c r="B31" s="19">
        <f t="shared" si="4"/>
        <v>0</v>
      </c>
      <c r="C31" s="36"/>
      <c r="D31" s="37"/>
      <c r="E31" s="38"/>
      <c r="F31" s="19">
        <f t="shared" si="5"/>
        <v>0</v>
      </c>
      <c r="G31" s="131"/>
      <c r="H31" s="24">
        <v>43369</v>
      </c>
      <c r="I31" s="136">
        <v>-100000</v>
      </c>
      <c r="J31" s="50" t="s">
        <v>43</v>
      </c>
      <c r="K31" s="53" t="s">
        <v>44</v>
      </c>
      <c r="L31" s="54"/>
      <c r="M31" s="55"/>
      <c r="N31" s="55"/>
      <c r="O31" s="54"/>
    </row>
    <row r="32" s="2" customFormat="1" ht="18" customHeight="1" spans="1:15">
      <c r="A32" s="13"/>
      <c r="B32" s="19">
        <f t="shared" si="4"/>
        <v>0</v>
      </c>
      <c r="C32" s="36"/>
      <c r="D32" s="37"/>
      <c r="E32" s="38"/>
      <c r="F32" s="19">
        <f t="shared" si="5"/>
        <v>0</v>
      </c>
      <c r="G32" s="131"/>
      <c r="H32" s="24">
        <v>43369</v>
      </c>
      <c r="I32" s="136">
        <v>100000</v>
      </c>
      <c r="J32" s="50" t="s">
        <v>40</v>
      </c>
      <c r="K32" s="53" t="s">
        <v>61</v>
      </c>
      <c r="L32" s="54" t="s">
        <v>62</v>
      </c>
      <c r="M32" s="55" t="s">
        <v>56</v>
      </c>
      <c r="N32" s="55"/>
      <c r="O32" s="54"/>
    </row>
    <row r="33" s="2" customFormat="1" ht="18" customHeight="1" spans="1:15">
      <c r="A33" s="13"/>
      <c r="B33" s="19">
        <f t="shared" si="4"/>
        <v>0</v>
      </c>
      <c r="C33" s="36"/>
      <c r="D33" s="37"/>
      <c r="E33" s="38"/>
      <c r="F33" s="19">
        <f t="shared" si="5"/>
        <v>0</v>
      </c>
      <c r="G33" s="131"/>
      <c r="H33" s="24">
        <v>43369</v>
      </c>
      <c r="I33" s="136">
        <v>-100000</v>
      </c>
      <c r="J33" s="50" t="s">
        <v>43</v>
      </c>
      <c r="K33" s="53" t="s">
        <v>44</v>
      </c>
      <c r="L33" s="54"/>
      <c r="M33" s="55"/>
      <c r="N33" s="55"/>
      <c r="O33" s="54"/>
    </row>
    <row r="34" s="2" customFormat="1" ht="18" customHeight="1" spans="1:15">
      <c r="A34" s="13">
        <v>43397</v>
      </c>
      <c r="B34" s="19">
        <f t="shared" si="4"/>
        <v>68109.66</v>
      </c>
      <c r="C34" s="36">
        <v>1</v>
      </c>
      <c r="D34" s="37" t="s">
        <v>39</v>
      </c>
      <c r="E34" s="38">
        <v>0.16</v>
      </c>
      <c r="F34" s="19">
        <f t="shared" si="5"/>
        <v>10897.55</v>
      </c>
      <c r="G34" s="131">
        <v>79007.21</v>
      </c>
      <c r="H34" s="24">
        <v>43369</v>
      </c>
      <c r="I34" s="136">
        <v>55493.35</v>
      </c>
      <c r="J34" s="50" t="s">
        <v>40</v>
      </c>
      <c r="K34" s="53" t="s">
        <v>63</v>
      </c>
      <c r="L34" s="54" t="s">
        <v>64</v>
      </c>
      <c r="M34" s="55" t="s">
        <v>56</v>
      </c>
      <c r="N34" s="55"/>
      <c r="O34" s="54"/>
    </row>
    <row r="35" s="2" customFormat="1" ht="18" customHeight="1" spans="1:15">
      <c r="A35" s="13"/>
      <c r="B35" s="19">
        <f t="shared" si="4"/>
        <v>0</v>
      </c>
      <c r="C35" s="36"/>
      <c r="D35" s="37"/>
      <c r="E35" s="38"/>
      <c r="F35" s="19">
        <f t="shared" si="5"/>
        <v>0</v>
      </c>
      <c r="G35" s="131"/>
      <c r="H35" s="24">
        <v>43369</v>
      </c>
      <c r="I35" s="136">
        <v>-55493.35</v>
      </c>
      <c r="J35" s="50" t="s">
        <v>43</v>
      </c>
      <c r="K35" s="53" t="s">
        <v>44</v>
      </c>
      <c r="L35" s="54"/>
      <c r="M35" s="55"/>
      <c r="N35" s="55"/>
      <c r="O35" s="54"/>
    </row>
    <row r="36" s="2" customFormat="1" ht="18" customHeight="1" spans="1:15">
      <c r="A36" s="13" t="s">
        <v>51</v>
      </c>
      <c r="B36" s="19">
        <f t="shared" si="4"/>
        <v>102254.31</v>
      </c>
      <c r="C36" s="36">
        <v>2</v>
      </c>
      <c r="D36" s="37" t="s">
        <v>39</v>
      </c>
      <c r="E36" s="38">
        <v>0.16</v>
      </c>
      <c r="F36" s="19">
        <f t="shared" si="5"/>
        <v>16360.69</v>
      </c>
      <c r="G36" s="131">
        <v>118615</v>
      </c>
      <c r="H36" s="24">
        <v>43370</v>
      </c>
      <c r="I36" s="136">
        <v>58765</v>
      </c>
      <c r="J36" s="50" t="s">
        <v>40</v>
      </c>
      <c r="K36" s="53" t="s">
        <v>49</v>
      </c>
      <c r="L36" s="54" t="s">
        <v>50</v>
      </c>
      <c r="M36" s="55"/>
      <c r="N36" s="55"/>
      <c r="O36" s="54"/>
    </row>
    <row r="37" s="2" customFormat="1" ht="18" customHeight="1" spans="1:15">
      <c r="A37" s="13"/>
      <c r="B37" s="19">
        <f t="shared" si="4"/>
        <v>0</v>
      </c>
      <c r="C37" s="36"/>
      <c r="D37" s="37"/>
      <c r="E37" s="38"/>
      <c r="F37" s="19">
        <f t="shared" si="5"/>
        <v>0</v>
      </c>
      <c r="G37" s="131"/>
      <c r="H37" s="24">
        <v>43370</v>
      </c>
      <c r="I37" s="136">
        <v>-58765</v>
      </c>
      <c r="J37" s="50" t="s">
        <v>43</v>
      </c>
      <c r="K37" s="53" t="s">
        <v>44</v>
      </c>
      <c r="L37" s="54"/>
      <c r="M37" s="55"/>
      <c r="N37" s="55"/>
      <c r="O37" s="54"/>
    </row>
    <row r="38" s="2" customFormat="1" ht="18" customHeight="1" spans="1:15">
      <c r="A38" s="13" t="s">
        <v>51</v>
      </c>
      <c r="B38" s="19">
        <f t="shared" si="4"/>
        <v>4070</v>
      </c>
      <c r="C38" s="36"/>
      <c r="D38" s="37" t="s">
        <v>45</v>
      </c>
      <c r="E38" s="38"/>
      <c r="F38" s="19">
        <f t="shared" si="5"/>
        <v>0</v>
      </c>
      <c r="G38" s="131">
        <v>4070</v>
      </c>
      <c r="H38" s="24"/>
      <c r="I38" s="136"/>
      <c r="J38" s="50"/>
      <c r="K38" s="53" t="s">
        <v>52</v>
      </c>
      <c r="L38" s="54" t="s">
        <v>53</v>
      </c>
      <c r="M38" s="55"/>
      <c r="N38" s="55"/>
      <c r="O38" s="54"/>
    </row>
    <row r="39" s="2" customFormat="1" ht="18" customHeight="1" spans="1:15">
      <c r="A39" s="13"/>
      <c r="B39" s="19">
        <f t="shared" si="4"/>
        <v>0</v>
      </c>
      <c r="C39" s="36"/>
      <c r="D39" s="37"/>
      <c r="E39" s="38"/>
      <c r="F39" s="19">
        <f t="shared" si="5"/>
        <v>0</v>
      </c>
      <c r="G39" s="131"/>
      <c r="H39" s="24">
        <v>43370</v>
      </c>
      <c r="I39" s="136">
        <v>20000</v>
      </c>
      <c r="J39" s="50" t="s">
        <v>40</v>
      </c>
      <c r="K39" s="53" t="s">
        <v>65</v>
      </c>
      <c r="L39" s="54" t="s">
        <v>60</v>
      </c>
      <c r="M39" s="55" t="s">
        <v>56</v>
      </c>
      <c r="N39" s="55"/>
      <c r="O39" s="54"/>
    </row>
    <row r="40" s="2" customFormat="1" ht="18" customHeight="1" spans="1:15">
      <c r="A40" s="13"/>
      <c r="B40" s="19">
        <f t="shared" si="4"/>
        <v>0</v>
      </c>
      <c r="C40" s="36"/>
      <c r="D40" s="37"/>
      <c r="E40" s="38"/>
      <c r="F40" s="19">
        <f t="shared" si="5"/>
        <v>0</v>
      </c>
      <c r="G40" s="131"/>
      <c r="H40" s="24">
        <v>43370</v>
      </c>
      <c r="I40" s="136">
        <v>-20000</v>
      </c>
      <c r="J40" s="50" t="s">
        <v>43</v>
      </c>
      <c r="K40" s="53" t="s">
        <v>44</v>
      </c>
      <c r="L40" s="54"/>
      <c r="M40" s="55"/>
      <c r="N40" s="55"/>
      <c r="O40" s="54"/>
    </row>
    <row r="41" s="2" customFormat="1" ht="18" customHeight="1" spans="1:15">
      <c r="A41" s="13"/>
      <c r="B41" s="19">
        <f t="shared" si="4"/>
        <v>0</v>
      </c>
      <c r="C41" s="36"/>
      <c r="D41" s="37"/>
      <c r="E41" s="38"/>
      <c r="F41" s="19">
        <f t="shared" si="5"/>
        <v>0</v>
      </c>
      <c r="G41" s="131"/>
      <c r="H41" s="24">
        <v>43370</v>
      </c>
      <c r="I41" s="136">
        <v>50000</v>
      </c>
      <c r="J41" s="50" t="s">
        <v>40</v>
      </c>
      <c r="K41" s="53" t="s">
        <v>66</v>
      </c>
      <c r="L41" s="54" t="s">
        <v>67</v>
      </c>
      <c r="M41" s="55" t="s">
        <v>56</v>
      </c>
      <c r="N41" s="55"/>
      <c r="O41" s="54"/>
    </row>
    <row r="42" s="2" customFormat="1" ht="18" customHeight="1" spans="1:15">
      <c r="A42" s="13"/>
      <c r="B42" s="19">
        <f t="shared" si="4"/>
        <v>0</v>
      </c>
      <c r="C42" s="36"/>
      <c r="D42" s="37"/>
      <c r="E42" s="38"/>
      <c r="F42" s="19">
        <f t="shared" si="5"/>
        <v>0</v>
      </c>
      <c r="G42" s="131"/>
      <c r="H42" s="24">
        <v>43370</v>
      </c>
      <c r="I42" s="136">
        <v>-50000</v>
      </c>
      <c r="J42" s="50" t="s">
        <v>43</v>
      </c>
      <c r="K42" s="53" t="s">
        <v>44</v>
      </c>
      <c r="L42" s="54"/>
      <c r="M42" s="55"/>
      <c r="N42" s="55"/>
      <c r="O42" s="54"/>
    </row>
    <row r="43" s="2" customFormat="1" ht="18" customHeight="1" spans="1:15">
      <c r="A43" s="13"/>
      <c r="B43" s="19">
        <f t="shared" si="4"/>
        <v>0</v>
      </c>
      <c r="C43" s="36"/>
      <c r="D43" s="37"/>
      <c r="E43" s="38"/>
      <c r="F43" s="19">
        <f t="shared" si="5"/>
        <v>0</v>
      </c>
      <c r="G43" s="131"/>
      <c r="H43" s="24">
        <v>43381</v>
      </c>
      <c r="I43" s="136">
        <v>59850</v>
      </c>
      <c r="J43" s="50" t="s">
        <v>40</v>
      </c>
      <c r="K43" s="53" t="s">
        <v>49</v>
      </c>
      <c r="L43" s="54" t="s">
        <v>50</v>
      </c>
      <c r="M43" s="55"/>
      <c r="N43" s="55"/>
      <c r="O43" s="54"/>
    </row>
    <row r="44" s="2" customFormat="1" ht="18" customHeight="1" spans="1:15">
      <c r="A44" s="13"/>
      <c r="B44" s="19">
        <f t="shared" si="4"/>
        <v>0</v>
      </c>
      <c r="C44" s="36"/>
      <c r="D44" s="37"/>
      <c r="E44" s="38"/>
      <c r="F44" s="19">
        <f t="shared" si="5"/>
        <v>0</v>
      </c>
      <c r="G44" s="131"/>
      <c r="H44" s="24">
        <v>43381</v>
      </c>
      <c r="I44" s="136">
        <v>-59850</v>
      </c>
      <c r="J44" s="50" t="s">
        <v>43</v>
      </c>
      <c r="K44" s="53" t="s">
        <v>44</v>
      </c>
      <c r="L44" s="54"/>
      <c r="M44" s="55"/>
      <c r="N44" s="55"/>
      <c r="O44" s="54"/>
    </row>
    <row r="45" s="2" customFormat="1" ht="18" customHeight="1" spans="1:15">
      <c r="A45" s="13"/>
      <c r="B45" s="19">
        <f t="shared" si="4"/>
        <v>0</v>
      </c>
      <c r="C45" s="36"/>
      <c r="D45" s="37"/>
      <c r="E45" s="38"/>
      <c r="F45" s="19">
        <f t="shared" si="5"/>
        <v>0</v>
      </c>
      <c r="G45" s="131"/>
      <c r="H45" s="24">
        <v>43381</v>
      </c>
      <c r="I45" s="136">
        <v>23513.5</v>
      </c>
      <c r="J45" s="50" t="s">
        <v>40</v>
      </c>
      <c r="K45" s="53" t="s">
        <v>63</v>
      </c>
      <c r="L45" s="54" t="s">
        <v>64</v>
      </c>
      <c r="M45" s="55" t="s">
        <v>56</v>
      </c>
      <c r="N45" s="55"/>
      <c r="O45" s="54"/>
    </row>
    <row r="46" s="2" customFormat="1" ht="18" customHeight="1" spans="1:15">
      <c r="A46" s="13"/>
      <c r="B46" s="19">
        <f t="shared" si="4"/>
        <v>0</v>
      </c>
      <c r="C46" s="36"/>
      <c r="D46" s="37"/>
      <c r="E46" s="38"/>
      <c r="F46" s="19">
        <f t="shared" si="5"/>
        <v>0</v>
      </c>
      <c r="G46" s="131"/>
      <c r="H46" s="24">
        <v>43381</v>
      </c>
      <c r="I46" s="136">
        <v>-23513.5</v>
      </c>
      <c r="J46" s="50" t="s">
        <v>43</v>
      </c>
      <c r="K46" s="53" t="s">
        <v>44</v>
      </c>
      <c r="L46" s="54"/>
      <c r="M46" s="55"/>
      <c r="N46" s="55"/>
      <c r="O46" s="54"/>
    </row>
    <row r="47" s="2" customFormat="1" ht="18" customHeight="1" spans="1:15">
      <c r="A47" s="13"/>
      <c r="B47" s="19">
        <f t="shared" si="4"/>
        <v>0</v>
      </c>
      <c r="C47" s="36"/>
      <c r="D47" s="37"/>
      <c r="E47" s="38"/>
      <c r="F47" s="19">
        <f t="shared" si="5"/>
        <v>0</v>
      </c>
      <c r="G47" s="131"/>
      <c r="H47" s="24">
        <v>43381</v>
      </c>
      <c r="I47" s="136">
        <v>200000</v>
      </c>
      <c r="J47" s="50" t="s">
        <v>40</v>
      </c>
      <c r="K47" s="53" t="s">
        <v>57</v>
      </c>
      <c r="L47" s="54" t="s">
        <v>58</v>
      </c>
      <c r="M47" s="55" t="s">
        <v>56</v>
      </c>
      <c r="N47" s="55"/>
      <c r="O47" s="54"/>
    </row>
    <row r="48" s="2" customFormat="1" ht="18" customHeight="1" spans="1:15">
      <c r="A48" s="13"/>
      <c r="B48" s="19">
        <f t="shared" si="4"/>
        <v>0</v>
      </c>
      <c r="C48" s="36"/>
      <c r="D48" s="37"/>
      <c r="E48" s="38"/>
      <c r="F48" s="19">
        <f t="shared" si="5"/>
        <v>0</v>
      </c>
      <c r="G48" s="131"/>
      <c r="H48" s="24">
        <v>43381</v>
      </c>
      <c r="I48" s="136">
        <v>-200000</v>
      </c>
      <c r="J48" s="50" t="s">
        <v>43</v>
      </c>
      <c r="K48" s="53" t="s">
        <v>44</v>
      </c>
      <c r="L48" s="54"/>
      <c r="M48" s="55"/>
      <c r="N48" s="55"/>
      <c r="O48" s="54"/>
    </row>
    <row r="49" s="2" customFormat="1" ht="18" customHeight="1" spans="1:15">
      <c r="A49" s="13">
        <v>43397</v>
      </c>
      <c r="B49" s="19">
        <f t="shared" si="4"/>
        <v>86206.9</v>
      </c>
      <c r="C49" s="36">
        <v>1</v>
      </c>
      <c r="D49" s="37" t="s">
        <v>39</v>
      </c>
      <c r="E49" s="38">
        <v>0.16</v>
      </c>
      <c r="F49" s="19">
        <f t="shared" si="5"/>
        <v>13793.1</v>
      </c>
      <c r="G49" s="131">
        <v>100000</v>
      </c>
      <c r="H49" s="24">
        <v>43385</v>
      </c>
      <c r="I49" s="136">
        <v>100000</v>
      </c>
      <c r="J49" s="50" t="s">
        <v>40</v>
      </c>
      <c r="K49" s="53" t="s">
        <v>61</v>
      </c>
      <c r="L49" s="54" t="s">
        <v>62</v>
      </c>
      <c r="M49" s="55" t="s">
        <v>56</v>
      </c>
      <c r="N49" s="55"/>
      <c r="O49" s="54"/>
    </row>
    <row r="50" s="2" customFormat="1" ht="18" customHeight="1" spans="1:15">
      <c r="A50" s="13"/>
      <c r="B50" s="19">
        <f t="shared" si="4"/>
        <v>0</v>
      </c>
      <c r="C50" s="36"/>
      <c r="D50" s="37"/>
      <c r="E50" s="38"/>
      <c r="F50" s="19">
        <f t="shared" si="5"/>
        <v>0</v>
      </c>
      <c r="G50" s="131"/>
      <c r="H50" s="24">
        <v>43385</v>
      </c>
      <c r="I50" s="136">
        <v>-100000</v>
      </c>
      <c r="J50" s="50" t="s">
        <v>43</v>
      </c>
      <c r="K50" s="53" t="s">
        <v>44</v>
      </c>
      <c r="L50" s="54"/>
      <c r="M50" s="55"/>
      <c r="N50" s="55"/>
      <c r="O50" s="54"/>
    </row>
    <row r="51" s="2" customFormat="1" ht="18" customHeight="1" spans="1:15">
      <c r="A51" s="13"/>
      <c r="B51" s="19">
        <f t="shared" si="4"/>
        <v>0</v>
      </c>
      <c r="C51" s="36"/>
      <c r="D51" s="37"/>
      <c r="E51" s="38"/>
      <c r="F51" s="19">
        <f t="shared" si="5"/>
        <v>0</v>
      </c>
      <c r="G51" s="131"/>
      <c r="H51" s="24">
        <v>43395</v>
      </c>
      <c r="I51" s="136">
        <v>200000</v>
      </c>
      <c r="J51" s="50" t="s">
        <v>40</v>
      </c>
      <c r="K51" s="53" t="s">
        <v>57</v>
      </c>
      <c r="L51" s="54" t="s">
        <v>58</v>
      </c>
      <c r="M51" s="55" t="s">
        <v>56</v>
      </c>
      <c r="N51" s="55"/>
      <c r="O51" s="54"/>
    </row>
    <row r="52" s="2" customFormat="1" ht="18" customHeight="1" spans="1:15">
      <c r="A52" s="13">
        <v>43451</v>
      </c>
      <c r="B52" s="19">
        <f t="shared" si="4"/>
        <v>389622.84</v>
      </c>
      <c r="C52" s="36">
        <v>5</v>
      </c>
      <c r="D52" s="37" t="s">
        <v>39</v>
      </c>
      <c r="E52" s="38">
        <v>0.16</v>
      </c>
      <c r="F52" s="19">
        <f t="shared" si="5"/>
        <v>62339.66</v>
      </c>
      <c r="G52" s="131">
        <v>451962.5</v>
      </c>
      <c r="H52" s="24">
        <v>43395</v>
      </c>
      <c r="I52" s="136">
        <v>200000</v>
      </c>
      <c r="J52" s="50" t="s">
        <v>40</v>
      </c>
      <c r="K52" s="53" t="s">
        <v>59</v>
      </c>
      <c r="L52" s="54" t="s">
        <v>60</v>
      </c>
      <c r="M52" s="55" t="s">
        <v>56</v>
      </c>
      <c r="N52" s="55"/>
      <c r="O52" s="54"/>
    </row>
    <row r="53" s="2" customFormat="1" ht="18" customHeight="1" spans="1:15">
      <c r="A53" s="13"/>
      <c r="B53" s="19">
        <f t="shared" si="4"/>
        <v>0</v>
      </c>
      <c r="C53" s="36"/>
      <c r="D53" s="37"/>
      <c r="E53" s="38"/>
      <c r="F53" s="19">
        <f t="shared" si="5"/>
        <v>0</v>
      </c>
      <c r="G53" s="131"/>
      <c r="H53" s="24">
        <v>43395</v>
      </c>
      <c r="I53" s="136">
        <v>100000</v>
      </c>
      <c r="J53" s="50" t="s">
        <v>40</v>
      </c>
      <c r="K53" s="53" t="s">
        <v>66</v>
      </c>
      <c r="L53" s="54" t="s">
        <v>67</v>
      </c>
      <c r="M53" s="55" t="s">
        <v>56</v>
      </c>
      <c r="N53" s="55"/>
      <c r="O53" s="54"/>
    </row>
    <row r="54" s="2" customFormat="1" ht="18" customHeight="1" spans="1:15">
      <c r="A54" s="13"/>
      <c r="B54" s="19">
        <f t="shared" si="4"/>
        <v>0</v>
      </c>
      <c r="C54" s="36"/>
      <c r="D54" s="37"/>
      <c r="E54" s="38"/>
      <c r="F54" s="19">
        <f t="shared" si="5"/>
        <v>0</v>
      </c>
      <c r="G54" s="131"/>
      <c r="H54" s="24">
        <v>43395</v>
      </c>
      <c r="I54" s="136">
        <v>-500000</v>
      </c>
      <c r="J54" s="50" t="s">
        <v>43</v>
      </c>
      <c r="K54" s="53" t="s">
        <v>44</v>
      </c>
      <c r="L54" s="54"/>
      <c r="M54" s="55"/>
      <c r="N54" s="55"/>
      <c r="O54" s="54"/>
    </row>
    <row r="55" s="2" customFormat="1" ht="18" customHeight="1" spans="1:15">
      <c r="A55" s="13"/>
      <c r="B55" s="19">
        <f t="shared" si="4"/>
        <v>0</v>
      </c>
      <c r="C55" s="36"/>
      <c r="D55" s="37"/>
      <c r="E55" s="38"/>
      <c r="F55" s="19">
        <f t="shared" si="5"/>
        <v>0</v>
      </c>
      <c r="G55" s="131"/>
      <c r="H55" s="24">
        <v>43399</v>
      </c>
      <c r="I55" s="136">
        <v>100000</v>
      </c>
      <c r="J55" s="50" t="s">
        <v>40</v>
      </c>
      <c r="K55" s="53" t="s">
        <v>66</v>
      </c>
      <c r="L55" s="54" t="s">
        <v>67</v>
      </c>
      <c r="M55" s="55" t="s">
        <v>56</v>
      </c>
      <c r="N55" s="55"/>
      <c r="O55" s="54"/>
    </row>
    <row r="56" s="2" customFormat="1" ht="18" customHeight="1" spans="1:15">
      <c r="A56" s="13"/>
      <c r="B56" s="19">
        <f t="shared" si="4"/>
        <v>0</v>
      </c>
      <c r="C56" s="36"/>
      <c r="D56" s="37"/>
      <c r="E56" s="38"/>
      <c r="F56" s="19">
        <f t="shared" si="5"/>
        <v>0</v>
      </c>
      <c r="G56" s="131"/>
      <c r="H56" s="24">
        <v>43399</v>
      </c>
      <c r="I56" s="136">
        <v>-100000</v>
      </c>
      <c r="J56" s="50" t="s">
        <v>43</v>
      </c>
      <c r="K56" s="53" t="s">
        <v>44</v>
      </c>
      <c r="L56" s="54"/>
      <c r="M56" s="55"/>
      <c r="N56" s="55"/>
      <c r="O56" s="54"/>
    </row>
    <row r="57" s="2" customFormat="1" ht="18" customHeight="1" spans="1:15">
      <c r="A57" s="13"/>
      <c r="B57" s="19">
        <f t="shared" si="4"/>
        <v>0</v>
      </c>
      <c r="C57" s="36"/>
      <c r="D57" s="37"/>
      <c r="E57" s="38"/>
      <c r="F57" s="19">
        <f t="shared" si="5"/>
        <v>0</v>
      </c>
      <c r="G57" s="131"/>
      <c r="H57" s="24">
        <v>43402</v>
      </c>
      <c r="I57" s="136">
        <v>100000</v>
      </c>
      <c r="J57" s="50" t="s">
        <v>40</v>
      </c>
      <c r="K57" s="53" t="s">
        <v>61</v>
      </c>
      <c r="L57" s="54" t="s">
        <v>62</v>
      </c>
      <c r="M57" s="55" t="s">
        <v>56</v>
      </c>
      <c r="N57" s="55"/>
      <c r="O57" s="54"/>
    </row>
    <row r="58" s="2" customFormat="1" ht="18" customHeight="1" spans="1:15">
      <c r="A58" s="13"/>
      <c r="B58" s="19">
        <f t="shared" si="4"/>
        <v>0</v>
      </c>
      <c r="C58" s="36"/>
      <c r="D58" s="37"/>
      <c r="E58" s="38"/>
      <c r="F58" s="19">
        <f t="shared" si="5"/>
        <v>0</v>
      </c>
      <c r="G58" s="131"/>
      <c r="H58" s="24">
        <v>43402</v>
      </c>
      <c r="I58" s="136">
        <v>-100000</v>
      </c>
      <c r="J58" s="50" t="s">
        <v>43</v>
      </c>
      <c r="K58" s="53" t="s">
        <v>44</v>
      </c>
      <c r="L58" s="54"/>
      <c r="M58" s="55"/>
      <c r="N58" s="55"/>
      <c r="O58" s="54"/>
    </row>
    <row r="59" s="2" customFormat="1" ht="18" customHeight="1" spans="1:15">
      <c r="A59" s="13"/>
      <c r="B59" s="19">
        <f t="shared" si="4"/>
        <v>0</v>
      </c>
      <c r="C59" s="36"/>
      <c r="D59" s="37"/>
      <c r="E59" s="38"/>
      <c r="F59" s="19">
        <f t="shared" si="5"/>
        <v>0</v>
      </c>
      <c r="G59" s="131"/>
      <c r="H59" s="24">
        <v>43406</v>
      </c>
      <c r="I59" s="136">
        <v>100000</v>
      </c>
      <c r="J59" s="50" t="s">
        <v>40</v>
      </c>
      <c r="K59" s="53" t="s">
        <v>57</v>
      </c>
      <c r="L59" s="54" t="s">
        <v>58</v>
      </c>
      <c r="M59" s="55" t="s">
        <v>56</v>
      </c>
      <c r="N59" s="55"/>
      <c r="O59" s="54"/>
    </row>
    <row r="60" s="2" customFormat="1" ht="18" customHeight="1" spans="1:15">
      <c r="A60" s="13"/>
      <c r="B60" s="19">
        <f t="shared" si="4"/>
        <v>0</v>
      </c>
      <c r="C60" s="36"/>
      <c r="D60" s="37"/>
      <c r="E60" s="38"/>
      <c r="F60" s="19">
        <f t="shared" si="5"/>
        <v>0</v>
      </c>
      <c r="G60" s="131"/>
      <c r="H60" s="24">
        <v>43406</v>
      </c>
      <c r="I60" s="136">
        <v>-100000</v>
      </c>
      <c r="J60" s="50" t="s">
        <v>43</v>
      </c>
      <c r="K60" s="53" t="s">
        <v>44</v>
      </c>
      <c r="L60" s="54" t="s">
        <v>62</v>
      </c>
      <c r="M60" s="55"/>
      <c r="N60" s="55"/>
      <c r="O60" s="54"/>
    </row>
    <row r="61" s="2" customFormat="1" ht="18" customHeight="1" spans="1:15">
      <c r="A61" s="13"/>
      <c r="B61" s="19">
        <f t="shared" si="4"/>
        <v>0</v>
      </c>
      <c r="C61" s="36"/>
      <c r="D61" s="37"/>
      <c r="E61" s="38"/>
      <c r="F61" s="19">
        <f t="shared" si="5"/>
        <v>0</v>
      </c>
      <c r="G61" s="131"/>
      <c r="H61" s="24">
        <v>43406</v>
      </c>
      <c r="I61" s="136">
        <v>100000</v>
      </c>
      <c r="J61" s="50" t="s">
        <v>40</v>
      </c>
      <c r="K61" s="53" t="s">
        <v>61</v>
      </c>
      <c r="L61" s="54" t="s">
        <v>62</v>
      </c>
      <c r="M61" s="55" t="s">
        <v>56</v>
      </c>
      <c r="N61" s="55"/>
      <c r="O61" s="54"/>
    </row>
    <row r="62" s="2" customFormat="1" ht="18" customHeight="1" spans="1:15">
      <c r="A62" s="13"/>
      <c r="B62" s="19">
        <f t="shared" si="4"/>
        <v>0</v>
      </c>
      <c r="C62" s="36"/>
      <c r="D62" s="37"/>
      <c r="E62" s="38"/>
      <c r="F62" s="19">
        <f t="shared" si="5"/>
        <v>0</v>
      </c>
      <c r="G62" s="131"/>
      <c r="H62" s="24">
        <v>43406</v>
      </c>
      <c r="I62" s="136">
        <v>-100000</v>
      </c>
      <c r="J62" s="50" t="s">
        <v>43</v>
      </c>
      <c r="K62" s="53" t="s">
        <v>44</v>
      </c>
      <c r="L62" s="54"/>
      <c r="M62" s="55"/>
      <c r="N62" s="55"/>
      <c r="O62" s="54"/>
    </row>
    <row r="63" s="2" customFormat="1" ht="18" customHeight="1" spans="1:15">
      <c r="A63" s="13"/>
      <c r="B63" s="19">
        <f t="shared" si="4"/>
        <v>0</v>
      </c>
      <c r="C63" s="36"/>
      <c r="D63" s="37"/>
      <c r="E63" s="38"/>
      <c r="F63" s="19">
        <f t="shared" si="5"/>
        <v>0</v>
      </c>
      <c r="G63" s="131"/>
      <c r="H63" s="24">
        <v>43411</v>
      </c>
      <c r="I63" s="136">
        <v>1000000</v>
      </c>
      <c r="J63" s="50" t="s">
        <v>40</v>
      </c>
      <c r="K63" s="53" t="s">
        <v>61</v>
      </c>
      <c r="L63" s="54" t="s">
        <v>62</v>
      </c>
      <c r="M63" s="55" t="s">
        <v>56</v>
      </c>
      <c r="N63" s="55"/>
      <c r="O63" s="54"/>
    </row>
    <row r="64" s="2" customFormat="1" ht="18" customHeight="1" spans="1:15">
      <c r="A64" s="13"/>
      <c r="B64" s="19">
        <f t="shared" si="4"/>
        <v>0</v>
      </c>
      <c r="C64" s="36"/>
      <c r="D64" s="37"/>
      <c r="E64" s="38"/>
      <c r="F64" s="19">
        <f t="shared" si="5"/>
        <v>0</v>
      </c>
      <c r="G64" s="131"/>
      <c r="H64" s="24">
        <v>43411</v>
      </c>
      <c r="I64" s="136">
        <v>-1000000</v>
      </c>
      <c r="J64" s="50" t="s">
        <v>43</v>
      </c>
      <c r="K64" s="53" t="s">
        <v>44</v>
      </c>
      <c r="L64" s="54"/>
      <c r="M64" s="55"/>
      <c r="N64" s="55"/>
      <c r="O64" s="54"/>
    </row>
    <row r="65" s="2" customFormat="1" ht="18" customHeight="1" spans="1:15">
      <c r="A65" s="13"/>
      <c r="B65" s="19">
        <f t="shared" si="4"/>
        <v>0</v>
      </c>
      <c r="C65" s="36"/>
      <c r="D65" s="37"/>
      <c r="E65" s="38"/>
      <c r="F65" s="19">
        <f t="shared" si="5"/>
        <v>0</v>
      </c>
      <c r="G65" s="131"/>
      <c r="H65" s="24">
        <v>43411</v>
      </c>
      <c r="I65" s="136">
        <v>1000000</v>
      </c>
      <c r="J65" s="50" t="s">
        <v>40</v>
      </c>
      <c r="K65" s="53" t="s">
        <v>61</v>
      </c>
      <c r="L65" s="54" t="s">
        <v>62</v>
      </c>
      <c r="M65" s="55" t="s">
        <v>56</v>
      </c>
      <c r="N65" s="55"/>
      <c r="O65" s="54"/>
    </row>
    <row r="66" s="2" customFormat="1" ht="18" customHeight="1" spans="1:15">
      <c r="A66" s="13"/>
      <c r="B66" s="19">
        <f t="shared" si="4"/>
        <v>0</v>
      </c>
      <c r="C66" s="36"/>
      <c r="D66" s="37"/>
      <c r="E66" s="38"/>
      <c r="F66" s="19">
        <f t="shared" si="5"/>
        <v>0</v>
      </c>
      <c r="G66" s="131"/>
      <c r="H66" s="24">
        <v>43411</v>
      </c>
      <c r="I66" s="136">
        <v>-1000000</v>
      </c>
      <c r="J66" s="50" t="s">
        <v>43</v>
      </c>
      <c r="K66" s="53" t="s">
        <v>44</v>
      </c>
      <c r="L66" s="54"/>
      <c r="M66" s="55"/>
      <c r="N66" s="55"/>
      <c r="O66" s="54"/>
    </row>
    <row r="67" s="2" customFormat="1" ht="18" customHeight="1" spans="1:15">
      <c r="A67" s="13">
        <v>43431</v>
      </c>
      <c r="B67" s="19">
        <f t="shared" si="4"/>
        <v>36982.76</v>
      </c>
      <c r="C67" s="36">
        <v>1</v>
      </c>
      <c r="D67" s="37" t="s">
        <v>39</v>
      </c>
      <c r="E67" s="38">
        <v>0.16</v>
      </c>
      <c r="F67" s="19">
        <f t="shared" si="5"/>
        <v>5917.24</v>
      </c>
      <c r="G67" s="131">
        <v>42900</v>
      </c>
      <c r="H67" s="24">
        <v>43411</v>
      </c>
      <c r="I67" s="136">
        <v>42900</v>
      </c>
      <c r="J67" s="50" t="s">
        <v>40</v>
      </c>
      <c r="K67" s="53" t="s">
        <v>68</v>
      </c>
      <c r="L67" s="54" t="s">
        <v>69</v>
      </c>
      <c r="M67" s="55" t="s">
        <v>56</v>
      </c>
      <c r="N67" s="55"/>
      <c r="O67" s="54"/>
    </row>
    <row r="68" s="2" customFormat="1" ht="18" customHeight="1" spans="1:15">
      <c r="A68" s="13"/>
      <c r="B68" s="19">
        <f t="shared" si="4"/>
        <v>0</v>
      </c>
      <c r="C68" s="36"/>
      <c r="D68" s="37"/>
      <c r="E68" s="38"/>
      <c r="F68" s="19">
        <f t="shared" si="5"/>
        <v>0</v>
      </c>
      <c r="G68" s="131"/>
      <c r="H68" s="24">
        <v>43411</v>
      </c>
      <c r="I68" s="136">
        <v>-42900</v>
      </c>
      <c r="J68" s="50" t="s">
        <v>43</v>
      </c>
      <c r="K68" s="53" t="s">
        <v>44</v>
      </c>
      <c r="L68" s="54"/>
      <c r="M68" s="55"/>
      <c r="N68" s="55"/>
      <c r="O68" s="54"/>
    </row>
    <row r="69" s="2" customFormat="1" ht="18" customHeight="1" spans="1:15">
      <c r="A69" s="13"/>
      <c r="B69" s="19">
        <f t="shared" si="4"/>
        <v>0</v>
      </c>
      <c r="C69" s="36"/>
      <c r="D69" s="37"/>
      <c r="E69" s="38"/>
      <c r="F69" s="19">
        <f t="shared" si="5"/>
        <v>0</v>
      </c>
      <c r="G69" s="131"/>
      <c r="H69" s="24">
        <v>43416</v>
      </c>
      <c r="I69" s="136">
        <v>200000</v>
      </c>
      <c r="J69" s="50" t="s">
        <v>40</v>
      </c>
      <c r="K69" s="53" t="s">
        <v>61</v>
      </c>
      <c r="L69" s="54" t="s">
        <v>62</v>
      </c>
      <c r="M69" s="55" t="s">
        <v>56</v>
      </c>
      <c r="N69" s="55"/>
      <c r="O69" s="54"/>
    </row>
    <row r="70" s="2" customFormat="1" ht="18" customHeight="1" spans="1:15">
      <c r="A70" s="13"/>
      <c r="B70" s="19">
        <f t="shared" si="4"/>
        <v>0</v>
      </c>
      <c r="C70" s="36"/>
      <c r="D70" s="37"/>
      <c r="E70" s="38"/>
      <c r="F70" s="19">
        <f t="shared" si="5"/>
        <v>0</v>
      </c>
      <c r="G70" s="131"/>
      <c r="H70" s="24">
        <v>43416</v>
      </c>
      <c r="I70" s="136">
        <v>-200000</v>
      </c>
      <c r="J70" s="50" t="s">
        <v>43</v>
      </c>
      <c r="K70" s="53" t="s">
        <v>44</v>
      </c>
      <c r="L70" s="54"/>
      <c r="M70" s="55"/>
      <c r="N70" s="55"/>
      <c r="O70" s="54"/>
    </row>
    <row r="71" s="2" customFormat="1" ht="18" customHeight="1" spans="1:15">
      <c r="A71" s="13"/>
      <c r="B71" s="19">
        <f t="shared" si="4"/>
        <v>0</v>
      </c>
      <c r="C71" s="36"/>
      <c r="D71" s="37"/>
      <c r="E71" s="38"/>
      <c r="F71" s="19">
        <f t="shared" si="5"/>
        <v>0</v>
      </c>
      <c r="G71" s="131"/>
      <c r="H71" s="24">
        <v>43416</v>
      </c>
      <c r="I71" s="136">
        <v>20000</v>
      </c>
      <c r="J71" s="50" t="s">
        <v>40</v>
      </c>
      <c r="K71" s="53" t="s">
        <v>65</v>
      </c>
      <c r="L71" s="54" t="s">
        <v>60</v>
      </c>
      <c r="M71" s="55" t="s">
        <v>56</v>
      </c>
      <c r="N71" s="55"/>
      <c r="O71" s="54"/>
    </row>
    <row r="72" s="2" customFormat="1" ht="18" customHeight="1" spans="1:15">
      <c r="A72" s="13"/>
      <c r="B72" s="19">
        <f t="shared" si="4"/>
        <v>0</v>
      </c>
      <c r="C72" s="36"/>
      <c r="D72" s="37"/>
      <c r="E72" s="38"/>
      <c r="F72" s="19">
        <f t="shared" si="5"/>
        <v>0</v>
      </c>
      <c r="G72" s="131"/>
      <c r="H72" s="24">
        <v>43416</v>
      </c>
      <c r="I72" s="136">
        <v>-20000</v>
      </c>
      <c r="J72" s="50" t="s">
        <v>43</v>
      </c>
      <c r="K72" s="53" t="s">
        <v>44</v>
      </c>
      <c r="L72" s="54"/>
      <c r="M72" s="55"/>
      <c r="N72" s="55"/>
      <c r="O72" s="54"/>
    </row>
    <row r="73" s="2" customFormat="1" ht="18" customHeight="1" spans="1:15">
      <c r="A73" s="13"/>
      <c r="B73" s="19">
        <f t="shared" si="4"/>
        <v>0</v>
      </c>
      <c r="C73" s="36"/>
      <c r="D73" s="37"/>
      <c r="E73" s="38"/>
      <c r="F73" s="19">
        <f t="shared" si="5"/>
        <v>0</v>
      </c>
      <c r="G73" s="131"/>
      <c r="H73" s="24">
        <v>43416</v>
      </c>
      <c r="I73" s="136">
        <v>100000</v>
      </c>
      <c r="J73" s="50" t="s">
        <v>40</v>
      </c>
      <c r="K73" s="53" t="s">
        <v>57</v>
      </c>
      <c r="L73" s="54" t="s">
        <v>58</v>
      </c>
      <c r="M73" s="55" t="s">
        <v>56</v>
      </c>
      <c r="N73" s="55"/>
      <c r="O73" s="54"/>
    </row>
    <row r="74" s="2" customFormat="1" ht="18" customHeight="1" spans="1:15">
      <c r="A74" s="13"/>
      <c r="B74" s="19">
        <f t="shared" si="4"/>
        <v>0</v>
      </c>
      <c r="C74" s="36"/>
      <c r="D74" s="37"/>
      <c r="E74" s="38"/>
      <c r="F74" s="19">
        <f t="shared" si="5"/>
        <v>0</v>
      </c>
      <c r="G74" s="131"/>
      <c r="H74" s="24">
        <v>43416</v>
      </c>
      <c r="I74" s="136">
        <v>-100000</v>
      </c>
      <c r="J74" s="50" t="s">
        <v>43</v>
      </c>
      <c r="K74" s="53" t="s">
        <v>44</v>
      </c>
      <c r="L74" s="54"/>
      <c r="M74" s="55"/>
      <c r="N74" s="55"/>
      <c r="O74" s="54"/>
    </row>
    <row r="75" s="2" customFormat="1" ht="18" customHeight="1" spans="1:15">
      <c r="A75" s="13">
        <v>43431</v>
      </c>
      <c r="B75" s="19">
        <f t="shared" si="4"/>
        <v>316810.34</v>
      </c>
      <c r="C75" s="36">
        <v>6</v>
      </c>
      <c r="D75" s="37" t="s">
        <v>39</v>
      </c>
      <c r="E75" s="38">
        <v>0.16</v>
      </c>
      <c r="F75" s="19">
        <f t="shared" si="5"/>
        <v>50689.66</v>
      </c>
      <c r="G75" s="131">
        <v>367500</v>
      </c>
      <c r="H75" s="24">
        <v>43423</v>
      </c>
      <c r="I75" s="136">
        <v>367500</v>
      </c>
      <c r="J75" s="50" t="s">
        <v>40</v>
      </c>
      <c r="K75" s="53" t="s">
        <v>70</v>
      </c>
      <c r="L75" s="54" t="s">
        <v>50</v>
      </c>
      <c r="M75" s="55"/>
      <c r="N75" s="55"/>
      <c r="O75" s="54"/>
    </row>
    <row r="76" s="2" customFormat="1" ht="18" customHeight="1" spans="1:15">
      <c r="A76" s="13"/>
      <c r="B76" s="19">
        <f t="shared" si="4"/>
        <v>0</v>
      </c>
      <c r="C76" s="36"/>
      <c r="D76" s="37"/>
      <c r="E76" s="38"/>
      <c r="F76" s="19">
        <f t="shared" si="5"/>
        <v>0</v>
      </c>
      <c r="G76" s="131"/>
      <c r="H76" s="24">
        <v>43423</v>
      </c>
      <c r="I76" s="136">
        <v>-367500</v>
      </c>
      <c r="J76" s="50" t="s">
        <v>43</v>
      </c>
      <c r="K76" s="53" t="s">
        <v>44</v>
      </c>
      <c r="L76" s="54"/>
      <c r="M76" s="55"/>
      <c r="N76" s="55"/>
      <c r="O76" s="54"/>
    </row>
    <row r="77" s="2" customFormat="1" ht="18" customHeight="1" spans="1:15">
      <c r="A77" s="13"/>
      <c r="B77" s="19">
        <f t="shared" si="4"/>
        <v>0</v>
      </c>
      <c r="C77" s="36"/>
      <c r="D77" s="37"/>
      <c r="E77" s="38"/>
      <c r="F77" s="19">
        <f t="shared" si="5"/>
        <v>0</v>
      </c>
      <c r="G77" s="131"/>
      <c r="H77" s="24">
        <v>43423</v>
      </c>
      <c r="I77" s="136">
        <v>1500000</v>
      </c>
      <c r="J77" s="50" t="s">
        <v>40</v>
      </c>
      <c r="K77" s="53" t="s">
        <v>71</v>
      </c>
      <c r="L77" s="54" t="s">
        <v>72</v>
      </c>
      <c r="M77" s="55" t="s">
        <v>56</v>
      </c>
      <c r="N77" s="55"/>
      <c r="O77" s="54"/>
    </row>
    <row r="78" s="2" customFormat="1" ht="18" customHeight="1" spans="1:15">
      <c r="A78" s="13"/>
      <c r="B78" s="19">
        <f t="shared" si="4"/>
        <v>0</v>
      </c>
      <c r="C78" s="36"/>
      <c r="D78" s="37"/>
      <c r="E78" s="38"/>
      <c r="F78" s="19">
        <f t="shared" si="5"/>
        <v>0</v>
      </c>
      <c r="G78" s="131"/>
      <c r="H78" s="24">
        <v>43423</v>
      </c>
      <c r="I78" s="136">
        <v>-1500000</v>
      </c>
      <c r="J78" s="50" t="s">
        <v>43</v>
      </c>
      <c r="K78" s="53" t="s">
        <v>44</v>
      </c>
      <c r="L78" s="54"/>
      <c r="M78" s="55"/>
      <c r="N78" s="55"/>
      <c r="O78" s="54"/>
    </row>
    <row r="79" s="2" customFormat="1" ht="18" customHeight="1" spans="1:15">
      <c r="A79" s="13">
        <v>43431</v>
      </c>
      <c r="B79" s="19">
        <f t="shared" si="4"/>
        <v>223296.12</v>
      </c>
      <c r="C79" s="36">
        <v>3</v>
      </c>
      <c r="D79" s="37" t="s">
        <v>39</v>
      </c>
      <c r="E79" s="38">
        <v>0.03</v>
      </c>
      <c r="F79" s="19">
        <f t="shared" si="5"/>
        <v>6698.88</v>
      </c>
      <c r="G79" s="131">
        <v>229995</v>
      </c>
      <c r="H79" s="24">
        <v>43424</v>
      </c>
      <c r="I79" s="136">
        <v>229995</v>
      </c>
      <c r="J79" s="50" t="s">
        <v>40</v>
      </c>
      <c r="K79" s="53" t="s">
        <v>73</v>
      </c>
      <c r="L79" s="54" t="s">
        <v>67</v>
      </c>
      <c r="M79" s="55" t="s">
        <v>56</v>
      </c>
      <c r="N79" s="55"/>
      <c r="O79" s="54"/>
    </row>
    <row r="80" s="2" customFormat="1" ht="18" customHeight="1" spans="1:15">
      <c r="A80" s="13"/>
      <c r="B80" s="19">
        <f t="shared" si="4"/>
        <v>0</v>
      </c>
      <c r="C80" s="36"/>
      <c r="D80" s="37"/>
      <c r="E80" s="38"/>
      <c r="F80" s="19">
        <f t="shared" si="5"/>
        <v>0</v>
      </c>
      <c r="G80" s="131"/>
      <c r="H80" s="24">
        <v>43424</v>
      </c>
      <c r="I80" s="136">
        <v>-229995</v>
      </c>
      <c r="J80" s="50" t="s">
        <v>43</v>
      </c>
      <c r="K80" s="53" t="s">
        <v>44</v>
      </c>
      <c r="L80" s="54"/>
      <c r="M80" s="55"/>
      <c r="N80" s="55"/>
      <c r="O80" s="54"/>
    </row>
    <row r="81" s="2" customFormat="1" ht="18" customHeight="1" spans="1:15">
      <c r="A81" s="13">
        <v>43431</v>
      </c>
      <c r="B81" s="19">
        <f t="shared" si="4"/>
        <v>190000</v>
      </c>
      <c r="C81" s="36">
        <v>2</v>
      </c>
      <c r="D81" s="37" t="s">
        <v>39</v>
      </c>
      <c r="E81" s="38">
        <v>0.16</v>
      </c>
      <c r="F81" s="19">
        <f t="shared" si="5"/>
        <v>30400</v>
      </c>
      <c r="G81" s="131">
        <v>220400</v>
      </c>
      <c r="H81" s="24">
        <v>43425</v>
      </c>
      <c r="I81" s="136">
        <v>220400</v>
      </c>
      <c r="J81" s="50" t="s">
        <v>40</v>
      </c>
      <c r="K81" s="53" t="s">
        <v>74</v>
      </c>
      <c r="L81" s="54" t="s">
        <v>75</v>
      </c>
      <c r="M81" s="55" t="s">
        <v>56</v>
      </c>
      <c r="N81" s="55"/>
      <c r="O81" s="54"/>
    </row>
    <row r="82" s="2" customFormat="1" ht="18" customHeight="1" spans="1:15">
      <c r="A82" s="13"/>
      <c r="B82" s="19">
        <f t="shared" ref="B82:B145" si="6">ROUND(G82/(1+E82),2)</f>
        <v>0</v>
      </c>
      <c r="C82" s="36"/>
      <c r="D82" s="37"/>
      <c r="E82" s="38"/>
      <c r="F82" s="19">
        <f t="shared" ref="F82:F145" si="7">ROUND(G82/(1+E82)*E82,2)</f>
        <v>0</v>
      </c>
      <c r="G82" s="131"/>
      <c r="H82" s="24">
        <v>43425</v>
      </c>
      <c r="I82" s="136">
        <v>-220400</v>
      </c>
      <c r="J82" s="50" t="s">
        <v>43</v>
      </c>
      <c r="K82" s="53" t="s">
        <v>44</v>
      </c>
      <c r="L82" s="54"/>
      <c r="M82" s="55"/>
      <c r="N82" s="55"/>
      <c r="O82" s="54"/>
    </row>
    <row r="83" s="2" customFormat="1" ht="18" customHeight="1" spans="1:15">
      <c r="A83" s="13">
        <v>43451</v>
      </c>
      <c r="B83" s="19">
        <f t="shared" si="6"/>
        <v>2427184.47</v>
      </c>
      <c r="C83" s="36"/>
      <c r="D83" s="37"/>
      <c r="E83" s="38">
        <v>0.03</v>
      </c>
      <c r="F83" s="19">
        <f t="shared" si="7"/>
        <v>72815.53</v>
      </c>
      <c r="G83" s="131">
        <v>2500000</v>
      </c>
      <c r="H83" s="24">
        <v>43427</v>
      </c>
      <c r="I83" s="136">
        <v>1000000</v>
      </c>
      <c r="J83" s="50" t="s">
        <v>40</v>
      </c>
      <c r="K83" s="53" t="s">
        <v>71</v>
      </c>
      <c r="L83" s="54" t="s">
        <v>72</v>
      </c>
      <c r="M83" s="55" t="s">
        <v>56</v>
      </c>
      <c r="N83" s="55"/>
      <c r="O83" s="54"/>
    </row>
    <row r="84" s="2" customFormat="1" ht="18" customHeight="1" spans="1:15">
      <c r="A84" s="13"/>
      <c r="B84" s="19">
        <f t="shared" si="6"/>
        <v>0</v>
      </c>
      <c r="C84" s="36"/>
      <c r="D84" s="37"/>
      <c r="E84" s="38"/>
      <c r="F84" s="19">
        <f t="shared" si="7"/>
        <v>0</v>
      </c>
      <c r="G84" s="131"/>
      <c r="H84" s="24">
        <v>43427</v>
      </c>
      <c r="I84" s="136">
        <v>-1000000</v>
      </c>
      <c r="J84" s="50" t="s">
        <v>43</v>
      </c>
      <c r="K84" s="53" t="s">
        <v>44</v>
      </c>
      <c r="L84" s="54"/>
      <c r="M84" s="55"/>
      <c r="N84" s="55"/>
      <c r="O84" s="54"/>
    </row>
    <row r="85" s="2" customFormat="1" ht="18" customHeight="1" spans="1:15">
      <c r="A85" s="13">
        <v>43405</v>
      </c>
      <c r="B85" s="19">
        <f t="shared" si="6"/>
        <v>1146881.36</v>
      </c>
      <c r="C85" s="36">
        <v>12</v>
      </c>
      <c r="D85" s="37" t="s">
        <v>39</v>
      </c>
      <c r="E85" s="38">
        <v>0.03</v>
      </c>
      <c r="F85" s="19">
        <f t="shared" si="7"/>
        <v>34406.44</v>
      </c>
      <c r="G85" s="131">
        <f>99900*5+92205+99975*5+89707.8</f>
        <v>1181287.8</v>
      </c>
      <c r="H85" s="24">
        <v>43431</v>
      </c>
      <c r="I85" s="136">
        <v>1181287.8</v>
      </c>
      <c r="J85" s="50" t="s">
        <v>40</v>
      </c>
      <c r="K85" s="53" t="s">
        <v>76</v>
      </c>
      <c r="L85" s="54" t="s">
        <v>77</v>
      </c>
      <c r="M85" s="55"/>
      <c r="N85" s="55"/>
      <c r="O85" s="54"/>
    </row>
    <row r="86" s="2" customFormat="1" ht="18" customHeight="1" spans="1:15">
      <c r="A86" s="13"/>
      <c r="B86" s="19">
        <f t="shared" si="6"/>
        <v>0</v>
      </c>
      <c r="C86" s="36"/>
      <c r="D86" s="37"/>
      <c r="E86" s="38"/>
      <c r="F86" s="19">
        <f t="shared" si="7"/>
        <v>0</v>
      </c>
      <c r="G86" s="131"/>
      <c r="H86" s="24">
        <v>43431</v>
      </c>
      <c r="I86" s="136">
        <v>-1181287.8</v>
      </c>
      <c r="J86" s="50" t="s">
        <v>43</v>
      </c>
      <c r="K86" s="53" t="s">
        <v>44</v>
      </c>
      <c r="L86" s="54"/>
      <c r="M86" s="55"/>
      <c r="N86" s="55"/>
      <c r="O86" s="54"/>
    </row>
    <row r="87" s="2" customFormat="1" ht="18" customHeight="1" spans="1:15">
      <c r="A87" s="13"/>
      <c r="B87" s="19">
        <f t="shared" si="6"/>
        <v>0</v>
      </c>
      <c r="C87" s="36"/>
      <c r="D87" s="37"/>
      <c r="E87" s="38"/>
      <c r="F87" s="19">
        <f t="shared" si="7"/>
        <v>0</v>
      </c>
      <c r="G87" s="131"/>
      <c r="H87" s="24">
        <v>43434</v>
      </c>
      <c r="I87" s="136">
        <v>100000</v>
      </c>
      <c r="J87" s="50" t="s">
        <v>40</v>
      </c>
      <c r="K87" s="53" t="s">
        <v>73</v>
      </c>
      <c r="L87" s="54" t="s">
        <v>67</v>
      </c>
      <c r="M87" s="55" t="s">
        <v>56</v>
      </c>
      <c r="N87" s="55"/>
      <c r="O87" s="54"/>
    </row>
    <row r="88" s="2" customFormat="1" ht="18" customHeight="1" spans="1:15">
      <c r="A88" s="13"/>
      <c r="B88" s="19">
        <f t="shared" si="6"/>
        <v>0</v>
      </c>
      <c r="C88" s="36"/>
      <c r="D88" s="37"/>
      <c r="E88" s="38"/>
      <c r="F88" s="19">
        <f t="shared" si="7"/>
        <v>0</v>
      </c>
      <c r="G88" s="131"/>
      <c r="H88" s="24">
        <v>43434</v>
      </c>
      <c r="I88" s="136">
        <v>-100000</v>
      </c>
      <c r="J88" s="50" t="s">
        <v>43</v>
      </c>
      <c r="K88" s="53" t="s">
        <v>44</v>
      </c>
      <c r="L88" s="54"/>
      <c r="M88" s="55"/>
      <c r="N88" s="55"/>
      <c r="O88" s="54"/>
    </row>
    <row r="89" s="2" customFormat="1" ht="18" customHeight="1" spans="1:15">
      <c r="A89" s="13"/>
      <c r="B89" s="19">
        <f t="shared" si="6"/>
        <v>0</v>
      </c>
      <c r="C89" s="36"/>
      <c r="D89" s="37"/>
      <c r="E89" s="38"/>
      <c r="F89" s="19">
        <f t="shared" si="7"/>
        <v>0</v>
      </c>
      <c r="G89" s="131"/>
      <c r="H89" s="24">
        <v>43437</v>
      </c>
      <c r="I89" s="136">
        <v>200000</v>
      </c>
      <c r="J89" s="50" t="s">
        <v>40</v>
      </c>
      <c r="K89" s="53" t="s">
        <v>61</v>
      </c>
      <c r="L89" s="54" t="s">
        <v>62</v>
      </c>
      <c r="M89" s="55" t="s">
        <v>56</v>
      </c>
      <c r="N89" s="55"/>
      <c r="O89" s="54"/>
    </row>
    <row r="90" s="2" customFormat="1" ht="18" customHeight="1" spans="1:15">
      <c r="A90" s="13"/>
      <c r="B90" s="19">
        <f t="shared" si="6"/>
        <v>0</v>
      </c>
      <c r="C90" s="36"/>
      <c r="D90" s="37"/>
      <c r="E90" s="38"/>
      <c r="F90" s="19">
        <f t="shared" si="7"/>
        <v>0</v>
      </c>
      <c r="G90" s="131"/>
      <c r="H90" s="24">
        <v>43437</v>
      </c>
      <c r="I90" s="136">
        <v>-200000</v>
      </c>
      <c r="J90" s="50" t="s">
        <v>43</v>
      </c>
      <c r="K90" s="53" t="s">
        <v>44</v>
      </c>
      <c r="L90" s="54" t="s">
        <v>60</v>
      </c>
      <c r="M90" s="55"/>
      <c r="N90" s="55"/>
      <c r="O90" s="54"/>
    </row>
    <row r="91" s="2" customFormat="1" ht="18" customHeight="1" spans="1:15">
      <c r="A91" s="13">
        <v>43451</v>
      </c>
      <c r="B91" s="19">
        <f t="shared" si="6"/>
        <v>143256.9</v>
      </c>
      <c r="C91" s="36">
        <v>2</v>
      </c>
      <c r="D91" s="37" t="s">
        <v>39</v>
      </c>
      <c r="E91" s="38">
        <v>0.16</v>
      </c>
      <c r="F91" s="19">
        <f t="shared" si="7"/>
        <v>22921.1</v>
      </c>
      <c r="G91" s="131">
        <v>166178</v>
      </c>
      <c r="H91" s="24">
        <v>43437</v>
      </c>
      <c r="I91" s="136">
        <v>126178</v>
      </c>
      <c r="J91" s="50" t="s">
        <v>40</v>
      </c>
      <c r="K91" s="53" t="s">
        <v>65</v>
      </c>
      <c r="L91" s="54" t="s">
        <v>60</v>
      </c>
      <c r="M91" s="55" t="s">
        <v>56</v>
      </c>
      <c r="N91" s="55"/>
      <c r="O91" s="54"/>
    </row>
    <row r="92" s="2" customFormat="1" ht="18" customHeight="1" spans="1:15">
      <c r="A92" s="13"/>
      <c r="B92" s="19">
        <f t="shared" si="6"/>
        <v>0</v>
      </c>
      <c r="C92" s="36"/>
      <c r="D92" s="37"/>
      <c r="E92" s="38"/>
      <c r="F92" s="19">
        <f t="shared" si="7"/>
        <v>0</v>
      </c>
      <c r="G92" s="131"/>
      <c r="H92" s="24">
        <v>43437</v>
      </c>
      <c r="I92" s="136">
        <v>-126178</v>
      </c>
      <c r="J92" s="50" t="s">
        <v>43</v>
      </c>
      <c r="K92" s="53" t="s">
        <v>44</v>
      </c>
      <c r="L92" s="54" t="s">
        <v>60</v>
      </c>
      <c r="M92" s="55"/>
      <c r="N92" s="55"/>
      <c r="O92" s="54"/>
    </row>
    <row r="93" s="2" customFormat="1" ht="18" customHeight="1" spans="1:15">
      <c r="A93" s="13">
        <v>43451</v>
      </c>
      <c r="B93" s="19">
        <f t="shared" si="6"/>
        <v>291262.14</v>
      </c>
      <c r="C93" s="36">
        <v>3</v>
      </c>
      <c r="D93" s="37" t="s">
        <v>39</v>
      </c>
      <c r="E93" s="38">
        <v>0.03</v>
      </c>
      <c r="F93" s="19">
        <f t="shared" si="7"/>
        <v>8737.86</v>
      </c>
      <c r="G93" s="131">
        <v>300000</v>
      </c>
      <c r="H93" s="24">
        <v>43440</v>
      </c>
      <c r="I93" s="136">
        <v>200000</v>
      </c>
      <c r="J93" s="50" t="s">
        <v>40</v>
      </c>
      <c r="K93" s="53" t="s">
        <v>73</v>
      </c>
      <c r="L93" s="54" t="s">
        <v>67</v>
      </c>
      <c r="M93" s="55" t="s">
        <v>56</v>
      </c>
      <c r="N93" s="55"/>
      <c r="O93" s="54"/>
    </row>
    <row r="94" s="2" customFormat="1" ht="18" customHeight="1" spans="1:15">
      <c r="A94" s="13"/>
      <c r="B94" s="19">
        <f t="shared" si="6"/>
        <v>0</v>
      </c>
      <c r="C94" s="36"/>
      <c r="D94" s="37"/>
      <c r="E94" s="38"/>
      <c r="F94" s="19">
        <f t="shared" si="7"/>
        <v>0</v>
      </c>
      <c r="G94" s="131"/>
      <c r="H94" s="24">
        <v>43440</v>
      </c>
      <c r="I94" s="136">
        <v>-200000</v>
      </c>
      <c r="J94" s="50" t="s">
        <v>43</v>
      </c>
      <c r="K94" s="53" t="s">
        <v>44</v>
      </c>
      <c r="L94" s="54"/>
      <c r="M94" s="55"/>
      <c r="N94" s="55"/>
      <c r="O94" s="54"/>
    </row>
    <row r="95" s="2" customFormat="1" ht="18" customHeight="1" spans="1:15">
      <c r="A95" s="13"/>
      <c r="B95" s="19">
        <f t="shared" si="6"/>
        <v>0</v>
      </c>
      <c r="C95" s="36"/>
      <c r="D95" s="37"/>
      <c r="E95" s="38"/>
      <c r="F95" s="19">
        <f t="shared" si="7"/>
        <v>0</v>
      </c>
      <c r="G95" s="131"/>
      <c r="H95" s="24">
        <v>43441</v>
      </c>
      <c r="I95" s="136">
        <v>100000</v>
      </c>
      <c r="J95" s="50" t="s">
        <v>40</v>
      </c>
      <c r="K95" s="53" t="s">
        <v>78</v>
      </c>
      <c r="L95" s="54" t="s">
        <v>67</v>
      </c>
      <c r="M95" s="55"/>
      <c r="N95" s="55"/>
      <c r="O95" s="54"/>
    </row>
    <row r="96" s="2" customFormat="1" ht="18" customHeight="1" spans="1:15">
      <c r="A96" s="13"/>
      <c r="B96" s="19">
        <f t="shared" si="6"/>
        <v>0</v>
      </c>
      <c r="C96" s="36"/>
      <c r="D96" s="37"/>
      <c r="E96" s="38"/>
      <c r="F96" s="19">
        <f t="shared" si="7"/>
        <v>0</v>
      </c>
      <c r="G96" s="131"/>
      <c r="H96" s="24">
        <v>43441</v>
      </c>
      <c r="I96" s="136">
        <v>-100000</v>
      </c>
      <c r="J96" s="50" t="s">
        <v>43</v>
      </c>
      <c r="K96" s="53" t="s">
        <v>44</v>
      </c>
      <c r="L96" s="54"/>
      <c r="M96" s="55"/>
      <c r="N96" s="55"/>
      <c r="O96" s="54"/>
    </row>
    <row r="97" s="2" customFormat="1" ht="18" customHeight="1" spans="1:15">
      <c r="A97" s="13"/>
      <c r="B97" s="19">
        <f t="shared" si="6"/>
        <v>0</v>
      </c>
      <c r="C97" s="36"/>
      <c r="D97" s="37"/>
      <c r="E97" s="38"/>
      <c r="F97" s="19">
        <f t="shared" si="7"/>
        <v>0</v>
      </c>
      <c r="G97" s="131"/>
      <c r="H97" s="24">
        <v>43444</v>
      </c>
      <c r="I97" s="136">
        <v>100000</v>
      </c>
      <c r="J97" s="50" t="s">
        <v>40</v>
      </c>
      <c r="K97" s="53" t="s">
        <v>78</v>
      </c>
      <c r="L97" s="54" t="s">
        <v>67</v>
      </c>
      <c r="M97" s="55"/>
      <c r="N97" s="55"/>
      <c r="O97" s="54"/>
    </row>
    <row r="98" s="2" customFormat="1" ht="18" customHeight="1" spans="1:15">
      <c r="A98" s="13"/>
      <c r="B98" s="19">
        <f t="shared" si="6"/>
        <v>0</v>
      </c>
      <c r="C98" s="36"/>
      <c r="D98" s="37"/>
      <c r="E98" s="38"/>
      <c r="F98" s="19">
        <f t="shared" si="7"/>
        <v>0</v>
      </c>
      <c r="G98" s="131"/>
      <c r="H98" s="24">
        <v>43444</v>
      </c>
      <c r="I98" s="136">
        <v>-100000</v>
      </c>
      <c r="J98" s="50" t="s">
        <v>43</v>
      </c>
      <c r="K98" s="53" t="s">
        <v>44</v>
      </c>
      <c r="L98" s="54"/>
      <c r="M98" s="55"/>
      <c r="N98" s="55"/>
      <c r="O98" s="54"/>
    </row>
    <row r="99" s="2" customFormat="1" ht="18" customHeight="1" spans="1:15">
      <c r="A99" s="13">
        <v>43458</v>
      </c>
      <c r="B99" s="19">
        <f t="shared" si="6"/>
        <v>388737.86</v>
      </c>
      <c r="C99" s="36">
        <v>5</v>
      </c>
      <c r="D99" s="37" t="s">
        <v>39</v>
      </c>
      <c r="E99" s="38">
        <v>0.03</v>
      </c>
      <c r="F99" s="19">
        <f t="shared" si="7"/>
        <v>11662.14</v>
      </c>
      <c r="G99" s="131">
        <v>400400</v>
      </c>
      <c r="H99" s="24">
        <v>43444</v>
      </c>
      <c r="I99" s="136">
        <v>30000</v>
      </c>
      <c r="J99" s="50" t="s">
        <v>40</v>
      </c>
      <c r="K99" s="53" t="s">
        <v>79</v>
      </c>
      <c r="L99" s="54" t="s">
        <v>80</v>
      </c>
      <c r="M99" s="55"/>
      <c r="N99" s="55"/>
      <c r="O99" s="54"/>
    </row>
    <row r="100" s="2" customFormat="1" ht="18" customHeight="1" spans="1:15">
      <c r="A100" s="13"/>
      <c r="B100" s="19">
        <f t="shared" si="6"/>
        <v>0</v>
      </c>
      <c r="C100" s="36"/>
      <c r="D100" s="37"/>
      <c r="E100" s="38"/>
      <c r="F100" s="19">
        <f t="shared" si="7"/>
        <v>0</v>
      </c>
      <c r="G100" s="131"/>
      <c r="H100" s="24">
        <v>43444</v>
      </c>
      <c r="I100" s="136">
        <v>-30000</v>
      </c>
      <c r="J100" s="50" t="s">
        <v>43</v>
      </c>
      <c r="K100" s="53" t="s">
        <v>44</v>
      </c>
      <c r="L100" s="54"/>
      <c r="M100" s="55"/>
      <c r="N100" s="55"/>
      <c r="O100" s="54"/>
    </row>
    <row r="101" s="2" customFormat="1" ht="18" customHeight="1" spans="1:15">
      <c r="A101" s="13"/>
      <c r="B101" s="19">
        <f t="shared" si="6"/>
        <v>0</v>
      </c>
      <c r="C101" s="36"/>
      <c r="D101" s="37"/>
      <c r="E101" s="38"/>
      <c r="F101" s="19">
        <f t="shared" si="7"/>
        <v>0</v>
      </c>
      <c r="G101" s="131"/>
      <c r="H101" s="24">
        <v>43445</v>
      </c>
      <c r="I101" s="136">
        <v>70000</v>
      </c>
      <c r="J101" s="50" t="s">
        <v>40</v>
      </c>
      <c r="K101" s="53" t="s">
        <v>79</v>
      </c>
      <c r="L101" s="54" t="s">
        <v>80</v>
      </c>
      <c r="M101" s="55"/>
      <c r="N101" s="55"/>
      <c r="O101" s="54"/>
    </row>
    <row r="102" s="2" customFormat="1" ht="18" customHeight="1" spans="1:15">
      <c r="A102" s="13"/>
      <c r="B102" s="19">
        <f t="shared" si="6"/>
        <v>0</v>
      </c>
      <c r="C102" s="36"/>
      <c r="D102" s="37"/>
      <c r="E102" s="38"/>
      <c r="F102" s="19">
        <f t="shared" si="7"/>
        <v>0</v>
      </c>
      <c r="G102" s="131"/>
      <c r="H102" s="24">
        <v>43445</v>
      </c>
      <c r="I102" s="136">
        <v>-70000</v>
      </c>
      <c r="J102" s="50" t="s">
        <v>43</v>
      </c>
      <c r="K102" s="53" t="s">
        <v>44</v>
      </c>
      <c r="L102" s="54"/>
      <c r="M102" s="55"/>
      <c r="N102" s="55"/>
      <c r="O102" s="54"/>
    </row>
    <row r="103" s="2" customFormat="1" ht="18" customHeight="1" spans="1:15">
      <c r="A103" s="13">
        <v>43451</v>
      </c>
      <c r="B103" s="19">
        <f t="shared" si="6"/>
        <v>2155172.41</v>
      </c>
      <c r="C103" s="36">
        <v>3</v>
      </c>
      <c r="D103" s="37" t="s">
        <v>39</v>
      </c>
      <c r="E103" s="38">
        <v>0.16</v>
      </c>
      <c r="F103" s="19">
        <f t="shared" si="7"/>
        <v>344827.59</v>
      </c>
      <c r="G103" s="131">
        <v>2500000</v>
      </c>
      <c r="H103" s="24">
        <v>43448</v>
      </c>
      <c r="I103" s="136">
        <v>400000</v>
      </c>
      <c r="J103" s="50" t="s">
        <v>40</v>
      </c>
      <c r="K103" s="53" t="s">
        <v>61</v>
      </c>
      <c r="L103" s="71" t="s">
        <v>62</v>
      </c>
      <c r="M103" s="55" t="s">
        <v>56</v>
      </c>
      <c r="N103" s="55"/>
      <c r="O103" s="54"/>
    </row>
    <row r="104" s="2" customFormat="1" ht="18" customHeight="1" spans="1:15">
      <c r="A104" s="13"/>
      <c r="B104" s="19">
        <f t="shared" si="6"/>
        <v>0</v>
      </c>
      <c r="C104" s="36"/>
      <c r="D104" s="37"/>
      <c r="E104" s="38"/>
      <c r="F104" s="19">
        <f t="shared" si="7"/>
        <v>0</v>
      </c>
      <c r="G104" s="131"/>
      <c r="H104" s="24">
        <v>43448</v>
      </c>
      <c r="I104" s="136">
        <v>-400000</v>
      </c>
      <c r="J104" s="50" t="s">
        <v>43</v>
      </c>
      <c r="K104" s="53" t="s">
        <v>44</v>
      </c>
      <c r="L104" s="54"/>
      <c r="M104" s="55"/>
      <c r="N104" s="55"/>
      <c r="O104" s="54"/>
    </row>
    <row r="105" s="2" customFormat="1" ht="18" customHeight="1" spans="1:15">
      <c r="A105" s="13">
        <v>43451</v>
      </c>
      <c r="B105" s="19">
        <f t="shared" si="6"/>
        <v>1260517.28</v>
      </c>
      <c r="C105" s="36">
        <v>13</v>
      </c>
      <c r="D105" s="37" t="s">
        <v>39</v>
      </c>
      <c r="E105" s="38">
        <v>0.03</v>
      </c>
      <c r="F105" s="19">
        <f t="shared" si="7"/>
        <v>37815.52</v>
      </c>
      <c r="G105" s="131">
        <v>1298332.8</v>
      </c>
      <c r="H105" s="24"/>
      <c r="I105" s="136"/>
      <c r="J105" s="50"/>
      <c r="K105" s="53" t="s">
        <v>76</v>
      </c>
      <c r="L105" s="54" t="s">
        <v>77</v>
      </c>
      <c r="M105" s="55"/>
      <c r="N105" s="55"/>
      <c r="O105" s="54"/>
    </row>
    <row r="106" s="2" customFormat="1" ht="18" customHeight="1" spans="1:15">
      <c r="A106" s="13">
        <v>43451</v>
      </c>
      <c r="B106" s="19">
        <f t="shared" si="6"/>
        <v>38834.95</v>
      </c>
      <c r="C106" s="36">
        <v>1</v>
      </c>
      <c r="D106" s="37" t="s">
        <v>81</v>
      </c>
      <c r="E106" s="38">
        <v>0.03</v>
      </c>
      <c r="F106" s="19">
        <f t="shared" si="7"/>
        <v>1165.05</v>
      </c>
      <c r="G106" s="131">
        <v>40000</v>
      </c>
      <c r="H106" s="24"/>
      <c r="I106" s="136"/>
      <c r="J106" s="50"/>
      <c r="K106" s="53" t="s">
        <v>82</v>
      </c>
      <c r="L106" s="72" t="s">
        <v>83</v>
      </c>
      <c r="M106" s="55"/>
      <c r="N106" s="55"/>
      <c r="O106" s="54"/>
    </row>
    <row r="107" s="2" customFormat="1" ht="18" customHeight="1" spans="1:15">
      <c r="A107" s="13"/>
      <c r="B107" s="19">
        <f t="shared" si="6"/>
        <v>0</v>
      </c>
      <c r="C107" s="36"/>
      <c r="D107" s="37"/>
      <c r="E107" s="38"/>
      <c r="F107" s="19">
        <f t="shared" si="7"/>
        <v>0</v>
      </c>
      <c r="G107" s="131"/>
      <c r="H107" s="24">
        <v>43454</v>
      </c>
      <c r="I107" s="136">
        <v>100000</v>
      </c>
      <c r="J107" s="50" t="s">
        <v>23</v>
      </c>
      <c r="K107" s="53" t="s">
        <v>78</v>
      </c>
      <c r="L107" s="72" t="s">
        <v>67</v>
      </c>
      <c r="M107" s="55"/>
      <c r="N107" s="55"/>
      <c r="O107" s="54"/>
    </row>
    <row r="108" s="2" customFormat="1" ht="18" customHeight="1" spans="1:15">
      <c r="A108" s="13">
        <v>43458</v>
      </c>
      <c r="B108" s="19">
        <f t="shared" si="6"/>
        <v>5825242.72</v>
      </c>
      <c r="C108" s="36">
        <v>6</v>
      </c>
      <c r="D108" s="37" t="s">
        <v>39</v>
      </c>
      <c r="E108" s="38">
        <v>0.03</v>
      </c>
      <c r="F108" s="19">
        <f t="shared" si="7"/>
        <v>174757.28</v>
      </c>
      <c r="G108" s="131">
        <v>6000000</v>
      </c>
      <c r="H108" s="24">
        <v>43454</v>
      </c>
      <c r="I108" s="136">
        <v>3000000</v>
      </c>
      <c r="J108" s="50" t="s">
        <v>23</v>
      </c>
      <c r="K108" s="53" t="s">
        <v>71</v>
      </c>
      <c r="L108" s="72" t="s">
        <v>72</v>
      </c>
      <c r="M108" s="55" t="s">
        <v>56</v>
      </c>
      <c r="N108" s="55"/>
      <c r="O108" s="54"/>
    </row>
    <row r="109" s="2" customFormat="1" ht="18" customHeight="1" spans="1:15">
      <c r="A109" s="13"/>
      <c r="B109" s="19">
        <f t="shared" si="6"/>
        <v>0</v>
      </c>
      <c r="C109" s="36"/>
      <c r="D109" s="37"/>
      <c r="E109" s="38"/>
      <c r="F109" s="19">
        <f t="shared" si="7"/>
        <v>0</v>
      </c>
      <c r="G109" s="131"/>
      <c r="H109" s="24">
        <v>43454</v>
      </c>
      <c r="I109" s="136">
        <v>3000000</v>
      </c>
      <c r="J109" s="50" t="s">
        <v>23</v>
      </c>
      <c r="K109" s="53" t="s">
        <v>71</v>
      </c>
      <c r="L109" s="72" t="s">
        <v>72</v>
      </c>
      <c r="M109" s="55" t="s">
        <v>56</v>
      </c>
      <c r="N109" s="55"/>
      <c r="O109" s="54"/>
    </row>
    <row r="110" s="2" customFormat="1" ht="16.95" customHeight="1" spans="1:15">
      <c r="A110" s="13"/>
      <c r="B110" s="19">
        <f t="shared" si="6"/>
        <v>0</v>
      </c>
      <c r="C110" s="36"/>
      <c r="D110" s="37"/>
      <c r="E110" s="38"/>
      <c r="F110" s="19">
        <f t="shared" si="7"/>
        <v>0</v>
      </c>
      <c r="G110" s="131"/>
      <c r="H110" s="24">
        <v>43455</v>
      </c>
      <c r="I110" s="136">
        <v>200000</v>
      </c>
      <c r="J110" s="50" t="s">
        <v>23</v>
      </c>
      <c r="K110" s="53" t="s">
        <v>73</v>
      </c>
      <c r="L110" s="54" t="s">
        <v>67</v>
      </c>
      <c r="M110" s="55" t="s">
        <v>56</v>
      </c>
      <c r="N110" s="55"/>
      <c r="O110" s="54"/>
    </row>
    <row r="111" s="2" customFormat="1" ht="18" customHeight="1" spans="1:15">
      <c r="A111" s="13">
        <v>43458</v>
      </c>
      <c r="B111" s="19">
        <f t="shared" si="6"/>
        <v>719292.23</v>
      </c>
      <c r="C111" s="36">
        <v>1</v>
      </c>
      <c r="D111" s="37" t="s">
        <v>39</v>
      </c>
      <c r="E111" s="38">
        <v>0.03</v>
      </c>
      <c r="F111" s="19">
        <f t="shared" si="7"/>
        <v>21578.77</v>
      </c>
      <c r="G111" s="131">
        <v>740871</v>
      </c>
      <c r="H111" s="24"/>
      <c r="I111" s="136"/>
      <c r="J111" s="50"/>
      <c r="K111" s="53" t="s">
        <v>57</v>
      </c>
      <c r="L111" s="54" t="s">
        <v>58</v>
      </c>
      <c r="M111" s="55" t="s">
        <v>56</v>
      </c>
      <c r="N111" s="55"/>
      <c r="O111" s="54" t="s">
        <v>84</v>
      </c>
    </row>
    <row r="112" s="2" customFormat="1" ht="18" customHeight="1" spans="1:15">
      <c r="A112" s="13">
        <v>43458</v>
      </c>
      <c r="B112" s="19">
        <f t="shared" si="6"/>
        <v>336000</v>
      </c>
      <c r="C112" s="36">
        <v>4</v>
      </c>
      <c r="D112" s="37" t="s">
        <v>39</v>
      </c>
      <c r="E112" s="38">
        <v>0.03</v>
      </c>
      <c r="F112" s="19">
        <f t="shared" si="7"/>
        <v>10080</v>
      </c>
      <c r="G112" s="131">
        <v>346080</v>
      </c>
      <c r="H112" s="24"/>
      <c r="I112" s="136"/>
      <c r="J112" s="50"/>
      <c r="K112" s="53" t="s">
        <v>54</v>
      </c>
      <c r="L112" s="54" t="s">
        <v>55</v>
      </c>
      <c r="M112" s="55" t="s">
        <v>56</v>
      </c>
      <c r="N112" s="55"/>
      <c r="O112" s="54"/>
    </row>
    <row r="113" s="2" customFormat="1" ht="18" customHeight="1" spans="1:15">
      <c r="A113" s="13">
        <v>43458</v>
      </c>
      <c r="B113" s="19">
        <f t="shared" si="6"/>
        <v>2101.22</v>
      </c>
      <c r="C113" s="36">
        <v>2</v>
      </c>
      <c r="D113" s="37" t="s">
        <v>39</v>
      </c>
      <c r="E113" s="38">
        <v>0.16</v>
      </c>
      <c r="F113" s="19">
        <f t="shared" si="7"/>
        <v>336.2</v>
      </c>
      <c r="G113" s="131">
        <v>2437.42</v>
      </c>
      <c r="H113" s="24"/>
      <c r="I113" s="136"/>
      <c r="J113" s="50"/>
      <c r="K113" s="53" t="s">
        <v>85</v>
      </c>
      <c r="L113" s="54" t="s">
        <v>86</v>
      </c>
      <c r="M113" s="55"/>
      <c r="N113" s="55"/>
      <c r="O113" s="54"/>
    </row>
    <row r="114" s="5" customFormat="1" ht="18" customHeight="1" spans="1:15">
      <c r="A114" s="65"/>
      <c r="B114" s="19">
        <f t="shared" si="6"/>
        <v>0</v>
      </c>
      <c r="C114" s="66"/>
      <c r="D114" s="67"/>
      <c r="E114" s="68"/>
      <c r="F114" s="137">
        <f t="shared" si="7"/>
        <v>0</v>
      </c>
      <c r="G114" s="138"/>
      <c r="H114" s="13">
        <v>43458</v>
      </c>
      <c r="I114" s="136">
        <v>400000</v>
      </c>
      <c r="J114" s="55" t="s">
        <v>23</v>
      </c>
      <c r="K114" s="53" t="s">
        <v>61</v>
      </c>
      <c r="L114" s="54" t="s">
        <v>62</v>
      </c>
      <c r="M114" s="55" t="s">
        <v>56</v>
      </c>
      <c r="N114" s="55"/>
      <c r="O114" s="73"/>
    </row>
    <row r="115" s="2" customFormat="1" ht="18" customHeight="1" spans="1:15">
      <c r="A115" s="13">
        <v>43461</v>
      </c>
      <c r="B115" s="19">
        <f t="shared" si="6"/>
        <v>850862.07</v>
      </c>
      <c r="C115" s="36">
        <v>12</v>
      </c>
      <c r="D115" s="37" t="s">
        <v>39</v>
      </c>
      <c r="E115" s="38">
        <v>0.16</v>
      </c>
      <c r="F115" s="19">
        <f t="shared" si="7"/>
        <v>136137.93</v>
      </c>
      <c r="G115" s="131">
        <f>98700*8+49350*4</f>
        <v>987000</v>
      </c>
      <c r="H115" s="24">
        <v>43458</v>
      </c>
      <c r="I115" s="136">
        <v>987000</v>
      </c>
      <c r="J115" s="50" t="s">
        <v>23</v>
      </c>
      <c r="K115" s="53" t="s">
        <v>70</v>
      </c>
      <c r="L115" s="54" t="s">
        <v>87</v>
      </c>
      <c r="M115" s="55"/>
      <c r="N115" s="55"/>
      <c r="O115" s="54"/>
    </row>
    <row r="116" s="2" customFormat="1" ht="18" customHeight="1" spans="1:15">
      <c r="A116" s="13"/>
      <c r="B116" s="19">
        <f t="shared" si="6"/>
        <v>0</v>
      </c>
      <c r="C116" s="36"/>
      <c r="D116" s="37"/>
      <c r="E116" s="38"/>
      <c r="F116" s="19">
        <f t="shared" si="7"/>
        <v>0</v>
      </c>
      <c r="G116" s="131"/>
      <c r="H116" s="24">
        <v>43459</v>
      </c>
      <c r="I116" s="136">
        <v>140000</v>
      </c>
      <c r="J116" s="50" t="s">
        <v>23</v>
      </c>
      <c r="K116" s="53" t="s">
        <v>54</v>
      </c>
      <c r="L116" s="33" t="s">
        <v>55</v>
      </c>
      <c r="M116" s="55" t="s">
        <v>56</v>
      </c>
      <c r="N116" s="55"/>
      <c r="O116" s="54"/>
    </row>
    <row r="117" s="2" customFormat="1" ht="18" customHeight="1" spans="1:15">
      <c r="A117" s="13"/>
      <c r="B117" s="19">
        <f t="shared" si="6"/>
        <v>0</v>
      </c>
      <c r="C117" s="36"/>
      <c r="D117" s="37"/>
      <c r="E117" s="38"/>
      <c r="F117" s="19">
        <f t="shared" si="7"/>
        <v>0</v>
      </c>
      <c r="G117" s="131"/>
      <c r="H117" s="24">
        <v>43459</v>
      </c>
      <c r="I117" s="136">
        <v>1298332.8</v>
      </c>
      <c r="J117" s="50" t="s">
        <v>23</v>
      </c>
      <c r="K117" s="53" t="s">
        <v>76</v>
      </c>
      <c r="L117" s="33" t="s">
        <v>88</v>
      </c>
      <c r="M117" s="55"/>
      <c r="N117" s="55"/>
      <c r="O117" s="54"/>
    </row>
    <row r="118" s="2" customFormat="1" ht="18" customHeight="1" spans="1:15">
      <c r="A118" s="13"/>
      <c r="B118" s="19">
        <f t="shared" si="6"/>
        <v>0</v>
      </c>
      <c r="C118" s="36"/>
      <c r="D118" s="37"/>
      <c r="E118" s="38"/>
      <c r="F118" s="19">
        <f t="shared" si="7"/>
        <v>0</v>
      </c>
      <c r="G118" s="131"/>
      <c r="H118" s="24">
        <v>43459</v>
      </c>
      <c r="I118" s="136">
        <v>100000</v>
      </c>
      <c r="J118" s="50" t="s">
        <v>23</v>
      </c>
      <c r="K118" s="53" t="s">
        <v>79</v>
      </c>
      <c r="L118" s="33" t="s">
        <v>80</v>
      </c>
      <c r="M118" s="55"/>
      <c r="N118" s="55"/>
      <c r="O118" s="54"/>
    </row>
    <row r="119" s="2" customFormat="1" ht="18" customHeight="1" spans="1:15">
      <c r="A119" s="13"/>
      <c r="B119" s="19">
        <f t="shared" si="6"/>
        <v>0</v>
      </c>
      <c r="C119" s="36"/>
      <c r="D119" s="37"/>
      <c r="E119" s="38"/>
      <c r="F119" s="19">
        <f t="shared" si="7"/>
        <v>0</v>
      </c>
      <c r="G119" s="131"/>
      <c r="H119" s="24">
        <v>43459</v>
      </c>
      <c r="I119" s="136">
        <v>40000</v>
      </c>
      <c r="J119" s="50" t="s">
        <v>23</v>
      </c>
      <c r="K119" s="53" t="s">
        <v>82</v>
      </c>
      <c r="L119" s="33" t="s">
        <v>83</v>
      </c>
      <c r="M119" s="55"/>
      <c r="N119" s="55"/>
      <c r="O119" s="54"/>
    </row>
    <row r="120" s="2" customFormat="1" ht="18" customHeight="1" spans="1:15">
      <c r="A120" s="13"/>
      <c r="B120" s="19">
        <f t="shared" si="6"/>
        <v>0</v>
      </c>
      <c r="C120" s="36"/>
      <c r="D120" s="37"/>
      <c r="E120" s="38"/>
      <c r="F120" s="19">
        <f t="shared" si="7"/>
        <v>0</v>
      </c>
      <c r="G120" s="131"/>
      <c r="H120" s="24">
        <v>43460</v>
      </c>
      <c r="I120" s="136">
        <v>200000</v>
      </c>
      <c r="J120" s="50" t="s">
        <v>23</v>
      </c>
      <c r="K120" s="53" t="s">
        <v>61</v>
      </c>
      <c r="L120" s="71" t="s">
        <v>62</v>
      </c>
      <c r="M120" s="55" t="s">
        <v>56</v>
      </c>
      <c r="N120" s="55"/>
      <c r="O120" s="54"/>
    </row>
    <row r="121" s="2" customFormat="1" ht="18" customHeight="1" spans="1:15">
      <c r="A121" s="13"/>
      <c r="B121" s="19">
        <f t="shared" si="6"/>
        <v>0</v>
      </c>
      <c r="C121" s="36"/>
      <c r="D121" s="37"/>
      <c r="E121" s="38"/>
      <c r="F121" s="19">
        <f t="shared" si="7"/>
        <v>0</v>
      </c>
      <c r="G121" s="131"/>
      <c r="H121" s="24">
        <v>43460</v>
      </c>
      <c r="I121" s="136">
        <v>100000</v>
      </c>
      <c r="J121" s="50" t="s">
        <v>23</v>
      </c>
      <c r="K121" s="53" t="s">
        <v>79</v>
      </c>
      <c r="L121" s="71" t="s">
        <v>80</v>
      </c>
      <c r="M121" s="55"/>
      <c r="N121" s="55"/>
      <c r="O121" s="54"/>
    </row>
    <row r="122" s="2" customFormat="1" ht="18" customHeight="1" spans="1:15">
      <c r="A122" s="13"/>
      <c r="B122" s="19">
        <f t="shared" si="6"/>
        <v>0</v>
      </c>
      <c r="C122" s="36"/>
      <c r="D122" s="37"/>
      <c r="E122" s="38"/>
      <c r="F122" s="19">
        <f t="shared" si="7"/>
        <v>0</v>
      </c>
      <c r="G122" s="131"/>
      <c r="H122" s="24">
        <v>43460</v>
      </c>
      <c r="I122" s="136">
        <v>2000000</v>
      </c>
      <c r="J122" s="50" t="s">
        <v>23</v>
      </c>
      <c r="K122" s="53" t="s">
        <v>89</v>
      </c>
      <c r="L122" s="33" t="s">
        <v>90</v>
      </c>
      <c r="M122" s="55"/>
      <c r="N122" s="55"/>
      <c r="O122" s="54"/>
    </row>
    <row r="123" s="2" customFormat="1" ht="18" customHeight="1" spans="1:15">
      <c r="A123" s="13">
        <v>43461</v>
      </c>
      <c r="B123" s="19">
        <f t="shared" si="6"/>
        <v>291266.99</v>
      </c>
      <c r="C123" s="36">
        <v>3</v>
      </c>
      <c r="D123" s="37" t="s">
        <v>39</v>
      </c>
      <c r="E123" s="38">
        <v>0.03</v>
      </c>
      <c r="F123" s="19">
        <f t="shared" si="7"/>
        <v>8738.01</v>
      </c>
      <c r="G123" s="131">
        <f>100050*2+99905</f>
        <v>300005</v>
      </c>
      <c r="H123" s="24"/>
      <c r="I123" s="136"/>
      <c r="J123" s="50"/>
      <c r="K123" s="53" t="s">
        <v>78</v>
      </c>
      <c r="L123" s="72" t="s">
        <v>67</v>
      </c>
      <c r="M123" s="55"/>
      <c r="N123" s="55"/>
      <c r="O123" s="54"/>
    </row>
    <row r="124" s="2" customFormat="1" ht="18" customHeight="1" spans="1:15">
      <c r="A124" s="13">
        <v>43462</v>
      </c>
      <c r="B124" s="19">
        <f t="shared" si="6"/>
        <v>242718.88</v>
      </c>
      <c r="C124" s="36"/>
      <c r="D124" s="37" t="s">
        <v>39</v>
      </c>
      <c r="E124" s="38">
        <v>0.03</v>
      </c>
      <c r="F124" s="19">
        <f t="shared" si="7"/>
        <v>7281.57</v>
      </c>
      <c r="G124" s="131">
        <v>250000.45</v>
      </c>
      <c r="H124" s="24">
        <v>43461</v>
      </c>
      <c r="I124" s="136">
        <v>200000</v>
      </c>
      <c r="J124" s="50" t="s">
        <v>23</v>
      </c>
      <c r="K124" s="53" t="s">
        <v>66</v>
      </c>
      <c r="L124" s="33" t="s">
        <v>67</v>
      </c>
      <c r="M124" s="55" t="s">
        <v>56</v>
      </c>
      <c r="N124" s="55"/>
      <c r="O124" s="54"/>
    </row>
    <row r="125" s="2" customFormat="1" ht="18" customHeight="1" spans="1:15">
      <c r="A125" s="13"/>
      <c r="B125" s="19">
        <f t="shared" si="6"/>
        <v>0</v>
      </c>
      <c r="C125" s="36"/>
      <c r="D125" s="37"/>
      <c r="E125" s="38"/>
      <c r="F125" s="19">
        <f t="shared" si="7"/>
        <v>0</v>
      </c>
      <c r="G125" s="131"/>
      <c r="H125" s="24">
        <v>43461</v>
      </c>
      <c r="I125" s="136">
        <v>100400</v>
      </c>
      <c r="J125" s="50" t="s">
        <v>23</v>
      </c>
      <c r="K125" s="53" t="s">
        <v>79</v>
      </c>
      <c r="L125" s="33" t="s">
        <v>80</v>
      </c>
      <c r="M125" s="55"/>
      <c r="N125" s="55"/>
      <c r="O125" s="54"/>
    </row>
    <row r="126" s="2" customFormat="1" ht="18" customHeight="1" spans="1:15">
      <c r="A126" s="13"/>
      <c r="B126" s="19">
        <f t="shared" si="6"/>
        <v>0</v>
      </c>
      <c r="C126" s="36"/>
      <c r="D126" s="37"/>
      <c r="E126" s="38"/>
      <c r="F126" s="19">
        <f t="shared" si="7"/>
        <v>0</v>
      </c>
      <c r="G126" s="131"/>
      <c r="H126" s="24">
        <v>43463</v>
      </c>
      <c r="I126" s="136">
        <v>300000</v>
      </c>
      <c r="J126" s="50" t="s">
        <v>23</v>
      </c>
      <c r="K126" s="53" t="s">
        <v>57</v>
      </c>
      <c r="L126" s="33" t="s">
        <v>91</v>
      </c>
      <c r="M126" s="55" t="s">
        <v>56</v>
      </c>
      <c r="N126" s="55" t="s">
        <v>92</v>
      </c>
      <c r="O126" s="74" t="s">
        <v>93</v>
      </c>
    </row>
    <row r="127" s="2" customFormat="1" ht="18" customHeight="1" spans="1:15">
      <c r="A127" s="13"/>
      <c r="B127" s="19">
        <f t="shared" si="6"/>
        <v>0</v>
      </c>
      <c r="C127" s="36"/>
      <c r="D127" s="37"/>
      <c r="E127" s="38"/>
      <c r="F127" s="19">
        <f t="shared" si="7"/>
        <v>0</v>
      </c>
      <c r="G127" s="131"/>
      <c r="H127" s="24">
        <v>43467</v>
      </c>
      <c r="I127" s="136">
        <v>51962.5</v>
      </c>
      <c r="J127" s="50" t="s">
        <v>23</v>
      </c>
      <c r="K127" s="53" t="s">
        <v>59</v>
      </c>
      <c r="L127" s="33" t="s">
        <v>60</v>
      </c>
      <c r="M127" s="55" t="s">
        <v>56</v>
      </c>
      <c r="N127" s="55"/>
      <c r="O127" s="54"/>
    </row>
    <row r="128" s="2" customFormat="1" ht="18" customHeight="1" spans="1:15">
      <c r="A128" s="13"/>
      <c r="B128" s="19">
        <f t="shared" si="6"/>
        <v>0</v>
      </c>
      <c r="C128" s="36"/>
      <c r="D128" s="37"/>
      <c r="E128" s="38"/>
      <c r="F128" s="19">
        <f t="shared" si="7"/>
        <v>0</v>
      </c>
      <c r="G128" s="131"/>
      <c r="H128" s="24">
        <v>43468</v>
      </c>
      <c r="I128" s="136">
        <v>6000000</v>
      </c>
      <c r="J128" s="50" t="s">
        <v>23</v>
      </c>
      <c r="K128" s="53" t="s">
        <v>44</v>
      </c>
      <c r="L128" s="33" t="s">
        <v>94</v>
      </c>
      <c r="M128" s="55"/>
      <c r="N128" s="55"/>
      <c r="O128" s="54"/>
    </row>
    <row r="129" s="2" customFormat="1" ht="18" customHeight="1" spans="1:15">
      <c r="A129" s="13"/>
      <c r="B129" s="19">
        <f t="shared" si="6"/>
        <v>0</v>
      </c>
      <c r="C129" s="36"/>
      <c r="D129" s="37"/>
      <c r="E129" s="38"/>
      <c r="F129" s="19">
        <f t="shared" si="7"/>
        <v>0</v>
      </c>
      <c r="G129" s="131"/>
      <c r="H129" s="24">
        <v>43469</v>
      </c>
      <c r="I129" s="136">
        <v>300000</v>
      </c>
      <c r="J129" s="50" t="s">
        <v>23</v>
      </c>
      <c r="K129" s="53" t="s">
        <v>95</v>
      </c>
      <c r="L129" s="33" t="s">
        <v>96</v>
      </c>
      <c r="M129" s="55"/>
      <c r="N129" s="55"/>
      <c r="O129" s="54"/>
    </row>
    <row r="130" s="2" customFormat="1" ht="18" customHeight="1" spans="1:15">
      <c r="A130" s="13"/>
      <c r="B130" s="19">
        <f t="shared" si="6"/>
        <v>0</v>
      </c>
      <c r="C130" s="36"/>
      <c r="D130" s="37"/>
      <c r="E130" s="38"/>
      <c r="F130" s="19">
        <f t="shared" si="7"/>
        <v>0</v>
      </c>
      <c r="G130" s="131"/>
      <c r="H130" s="24">
        <v>43469</v>
      </c>
      <c r="I130" s="136">
        <v>105000</v>
      </c>
      <c r="J130" s="50" t="s">
        <v>23</v>
      </c>
      <c r="K130" s="53" t="s">
        <v>66</v>
      </c>
      <c r="L130" s="33" t="s">
        <v>67</v>
      </c>
      <c r="M130" s="55" t="s">
        <v>56</v>
      </c>
      <c r="N130" s="55"/>
      <c r="O130" s="54"/>
    </row>
    <row r="131" s="2" customFormat="1" ht="18" customHeight="1" spans="1:15">
      <c r="A131" s="13">
        <v>43479</v>
      </c>
      <c r="B131" s="19">
        <f t="shared" si="6"/>
        <v>1034482.76</v>
      </c>
      <c r="C131" s="36"/>
      <c r="D131" s="37" t="s">
        <v>39</v>
      </c>
      <c r="E131" s="38">
        <v>0.16</v>
      </c>
      <c r="F131" s="19">
        <f t="shared" si="7"/>
        <v>165517.24</v>
      </c>
      <c r="G131" s="131">
        <f>280000+920000</f>
        <v>1200000</v>
      </c>
      <c r="H131" s="24"/>
      <c r="I131" s="136"/>
      <c r="J131" s="50"/>
      <c r="K131" s="53" t="s">
        <v>61</v>
      </c>
      <c r="L131" s="33" t="s">
        <v>62</v>
      </c>
      <c r="M131" s="55" t="s">
        <v>56</v>
      </c>
      <c r="N131" s="55"/>
      <c r="O131" s="54"/>
    </row>
    <row r="132" s="2" customFormat="1" ht="18" customHeight="1" spans="1:15">
      <c r="A132" s="13">
        <v>43479</v>
      </c>
      <c r="B132" s="19">
        <f t="shared" si="6"/>
        <v>749882.91</v>
      </c>
      <c r="C132" s="36"/>
      <c r="D132" s="37" t="s">
        <v>39</v>
      </c>
      <c r="E132" s="38">
        <v>0.03</v>
      </c>
      <c r="F132" s="19">
        <f t="shared" si="7"/>
        <v>22496.49</v>
      </c>
      <c r="G132" s="131">
        <f>99900*4+99975+99975+99975+72854.4</f>
        <v>772379.4</v>
      </c>
      <c r="H132" s="24"/>
      <c r="I132" s="136"/>
      <c r="J132" s="50"/>
      <c r="K132" s="53" t="s">
        <v>76</v>
      </c>
      <c r="L132" s="33" t="s">
        <v>97</v>
      </c>
      <c r="M132" s="55"/>
      <c r="N132" s="55"/>
      <c r="O132" s="54"/>
    </row>
    <row r="133" s="2" customFormat="1" ht="18" customHeight="1" spans="1:15">
      <c r="A133" s="13">
        <v>43479</v>
      </c>
      <c r="B133" s="19">
        <f t="shared" si="6"/>
        <v>194174.76</v>
      </c>
      <c r="C133" s="36"/>
      <c r="D133" s="37" t="s">
        <v>39</v>
      </c>
      <c r="E133" s="38">
        <v>0.03</v>
      </c>
      <c r="F133" s="19">
        <f t="shared" si="7"/>
        <v>5825.24</v>
      </c>
      <c r="G133" s="131">
        <f>100000*2</f>
        <v>200000</v>
      </c>
      <c r="H133" s="24"/>
      <c r="I133" s="136"/>
      <c r="J133" s="50"/>
      <c r="K133" s="53" t="s">
        <v>73</v>
      </c>
      <c r="L133" s="33" t="s">
        <v>88</v>
      </c>
      <c r="M133" s="55" t="s">
        <v>56</v>
      </c>
      <c r="N133" s="55"/>
      <c r="O133" s="54"/>
    </row>
    <row r="134" s="2" customFormat="1" ht="18" customHeight="1" spans="1:15">
      <c r="A134" s="13">
        <v>43479</v>
      </c>
      <c r="B134" s="19">
        <f t="shared" si="6"/>
        <v>2122330.1</v>
      </c>
      <c r="C134" s="36"/>
      <c r="D134" s="37" t="s">
        <v>39</v>
      </c>
      <c r="E134" s="38">
        <v>0.03</v>
      </c>
      <c r="F134" s="19">
        <f t="shared" si="7"/>
        <v>63669.9</v>
      </c>
      <c r="G134" s="131">
        <f>400000+192000+320000+552000+90000+192000+440000</f>
        <v>2186000</v>
      </c>
      <c r="H134" s="24"/>
      <c r="I134" s="136"/>
      <c r="J134" s="50"/>
      <c r="K134" s="53" t="s">
        <v>89</v>
      </c>
      <c r="L134" s="33" t="s">
        <v>90</v>
      </c>
      <c r="M134" s="55"/>
      <c r="N134" s="55"/>
      <c r="O134" s="54"/>
    </row>
    <row r="135" s="2" customFormat="1" ht="18" customHeight="1" spans="1:15">
      <c r="A135" s="13">
        <v>43479</v>
      </c>
      <c r="B135" s="19">
        <f t="shared" si="6"/>
        <v>836154.55</v>
      </c>
      <c r="C135" s="36"/>
      <c r="D135" s="37" t="s">
        <v>45</v>
      </c>
      <c r="E135" s="38">
        <v>0.1</v>
      </c>
      <c r="F135" s="19">
        <f t="shared" si="7"/>
        <v>83615.45</v>
      </c>
      <c r="G135" s="131">
        <f>59985*2+99975*8</f>
        <v>919770</v>
      </c>
      <c r="H135" s="24"/>
      <c r="I135" s="136"/>
      <c r="J135" s="50"/>
      <c r="K135" s="53" t="s">
        <v>98</v>
      </c>
      <c r="L135" s="33" t="s">
        <v>99</v>
      </c>
      <c r="M135" s="55"/>
      <c r="N135" s="55"/>
      <c r="O135" s="54"/>
    </row>
    <row r="136" s="2" customFormat="1" ht="18" customHeight="1" spans="1:15">
      <c r="A136" s="13">
        <v>43479</v>
      </c>
      <c r="B136" s="19">
        <f t="shared" si="6"/>
        <v>5863.3</v>
      </c>
      <c r="C136" s="36"/>
      <c r="D136" s="37" t="s">
        <v>81</v>
      </c>
      <c r="E136" s="38">
        <v>0.03</v>
      </c>
      <c r="F136" s="19">
        <f t="shared" si="7"/>
        <v>175.9</v>
      </c>
      <c r="G136" s="131">
        <v>6039.2</v>
      </c>
      <c r="H136" s="24">
        <v>43479</v>
      </c>
      <c r="I136" s="136">
        <v>6039.2</v>
      </c>
      <c r="J136" s="50" t="s">
        <v>23</v>
      </c>
      <c r="K136" s="53" t="s">
        <v>100</v>
      </c>
      <c r="L136" s="33" t="s">
        <v>101</v>
      </c>
      <c r="M136" s="55"/>
      <c r="N136" s="55"/>
      <c r="O136" s="54" t="s">
        <v>102</v>
      </c>
    </row>
    <row r="137" s="2" customFormat="1" ht="18" customHeight="1" spans="1:15">
      <c r="A137" s="13">
        <v>43479</v>
      </c>
      <c r="B137" s="19">
        <f t="shared" si="6"/>
        <v>38439.61</v>
      </c>
      <c r="C137" s="36"/>
      <c r="D137" s="37" t="s">
        <v>81</v>
      </c>
      <c r="E137" s="38">
        <v>0.03</v>
      </c>
      <c r="F137" s="19">
        <f t="shared" si="7"/>
        <v>1153.19</v>
      </c>
      <c r="G137" s="131">
        <v>39592.8</v>
      </c>
      <c r="H137" s="24">
        <v>43479</v>
      </c>
      <c r="I137" s="136">
        <v>39592.8</v>
      </c>
      <c r="J137" s="50" t="s">
        <v>23</v>
      </c>
      <c r="K137" s="53" t="s">
        <v>103</v>
      </c>
      <c r="L137" s="33" t="s">
        <v>101</v>
      </c>
      <c r="M137" s="55"/>
      <c r="N137" s="55"/>
      <c r="O137" s="54" t="s">
        <v>102</v>
      </c>
    </row>
    <row r="138" s="2" customFormat="1" ht="18" customHeight="1" spans="1:15">
      <c r="A138" s="13">
        <v>43486</v>
      </c>
      <c r="B138" s="19">
        <f t="shared" si="6"/>
        <v>258620.69</v>
      </c>
      <c r="C138" s="36"/>
      <c r="D138" s="37" t="s">
        <v>39</v>
      </c>
      <c r="E138" s="38">
        <v>0.16</v>
      </c>
      <c r="F138" s="19">
        <f t="shared" si="7"/>
        <v>41379.31</v>
      </c>
      <c r="G138" s="131">
        <f>100000*3</f>
        <v>300000</v>
      </c>
      <c r="H138" s="24"/>
      <c r="I138" s="136"/>
      <c r="J138" s="50"/>
      <c r="K138" s="53" t="s">
        <v>95</v>
      </c>
      <c r="L138" s="33" t="s">
        <v>104</v>
      </c>
      <c r="M138" s="55"/>
      <c r="N138" s="55"/>
      <c r="O138" s="54"/>
    </row>
    <row r="139" s="2" customFormat="1" ht="18" customHeight="1" spans="1:15">
      <c r="A139" s="13">
        <v>43486</v>
      </c>
      <c r="B139" s="19">
        <f t="shared" si="6"/>
        <v>76893.2</v>
      </c>
      <c r="C139" s="36"/>
      <c r="D139" s="37" t="s">
        <v>81</v>
      </c>
      <c r="E139" s="38">
        <v>0.03</v>
      </c>
      <c r="F139" s="19">
        <f t="shared" si="7"/>
        <v>2306.8</v>
      </c>
      <c r="G139" s="131">
        <v>79200</v>
      </c>
      <c r="H139" s="24">
        <v>43479</v>
      </c>
      <c r="I139" s="136">
        <v>79200</v>
      </c>
      <c r="J139" s="50" t="s">
        <v>23</v>
      </c>
      <c r="K139" s="53" t="s">
        <v>105</v>
      </c>
      <c r="L139" s="33" t="s">
        <v>106</v>
      </c>
      <c r="M139" s="55"/>
      <c r="N139" s="55"/>
      <c r="O139" s="54"/>
    </row>
    <row r="140" s="2" customFormat="1" ht="18" customHeight="1" spans="1:15">
      <c r="A140" s="13">
        <v>43486</v>
      </c>
      <c r="B140" s="19">
        <f t="shared" si="6"/>
        <v>17448.28</v>
      </c>
      <c r="C140" s="36"/>
      <c r="D140" s="37" t="s">
        <v>39</v>
      </c>
      <c r="E140" s="38">
        <v>0.16</v>
      </c>
      <c r="F140" s="19">
        <f t="shared" si="7"/>
        <v>2791.72</v>
      </c>
      <c r="G140" s="131">
        <v>20240</v>
      </c>
      <c r="H140" s="24">
        <v>43479</v>
      </c>
      <c r="I140" s="136">
        <v>20240</v>
      </c>
      <c r="J140" s="50" t="s">
        <v>23</v>
      </c>
      <c r="K140" s="53" t="s">
        <v>107</v>
      </c>
      <c r="L140" s="33" t="s">
        <v>108</v>
      </c>
      <c r="M140" s="55"/>
      <c r="N140" s="55"/>
      <c r="O140" s="54"/>
    </row>
    <row r="141" s="2" customFormat="1" ht="18" customHeight="1" spans="1:15">
      <c r="A141" s="13">
        <v>43486</v>
      </c>
      <c r="B141" s="19">
        <f t="shared" si="6"/>
        <v>3764660.19</v>
      </c>
      <c r="C141" s="36"/>
      <c r="D141" s="37" t="s">
        <v>81</v>
      </c>
      <c r="E141" s="38">
        <v>0.03</v>
      </c>
      <c r="F141" s="19">
        <f t="shared" si="7"/>
        <v>112939.81</v>
      </c>
      <c r="G141" s="131">
        <f>969400+969400+969400+969400</f>
        <v>3877600</v>
      </c>
      <c r="H141" s="24"/>
      <c r="I141" s="136"/>
      <c r="J141" s="50" t="s">
        <v>23</v>
      </c>
      <c r="K141" s="53" t="s">
        <v>109</v>
      </c>
      <c r="L141" s="33" t="s">
        <v>110</v>
      </c>
      <c r="M141" s="55" t="s">
        <v>56</v>
      </c>
      <c r="N141" s="55"/>
      <c r="O141" s="54"/>
    </row>
    <row r="142" s="2" customFormat="1" ht="18" customHeight="1" spans="1:15">
      <c r="A142" s="13"/>
      <c r="B142" s="19">
        <f t="shared" si="6"/>
        <v>0</v>
      </c>
      <c r="C142" s="36"/>
      <c r="D142" s="37"/>
      <c r="E142" s="38"/>
      <c r="F142" s="19">
        <f t="shared" si="7"/>
        <v>0</v>
      </c>
      <c r="G142" s="131"/>
      <c r="H142" s="24">
        <v>43481</v>
      </c>
      <c r="I142" s="136">
        <v>100000</v>
      </c>
      <c r="J142" s="50" t="s">
        <v>23</v>
      </c>
      <c r="K142" s="53" t="s">
        <v>66</v>
      </c>
      <c r="L142" s="33"/>
      <c r="M142" s="55"/>
      <c r="N142" s="55"/>
      <c r="O142" s="54"/>
    </row>
    <row r="143" s="5" customFormat="1" ht="18" customHeight="1" spans="1:15">
      <c r="A143" s="65">
        <v>43486</v>
      </c>
      <c r="B143" s="19">
        <f t="shared" si="6"/>
        <v>97417.48</v>
      </c>
      <c r="C143" s="66"/>
      <c r="D143" s="67" t="s">
        <v>81</v>
      </c>
      <c r="E143" s="68">
        <v>0.03</v>
      </c>
      <c r="F143" s="137">
        <f t="shared" si="7"/>
        <v>2922.52</v>
      </c>
      <c r="G143" s="138">
        <v>100340</v>
      </c>
      <c r="H143" s="65">
        <v>43481</v>
      </c>
      <c r="I143" s="136">
        <v>100340</v>
      </c>
      <c r="J143" s="79" t="s">
        <v>23</v>
      </c>
      <c r="K143" s="53" t="s">
        <v>111</v>
      </c>
      <c r="L143" s="73" t="s">
        <v>112</v>
      </c>
      <c r="M143" s="79" t="s">
        <v>56</v>
      </c>
      <c r="N143" s="79"/>
      <c r="O143" s="73"/>
    </row>
    <row r="144" s="2" customFormat="1" ht="18" customHeight="1" spans="1:15">
      <c r="A144" s="13"/>
      <c r="B144" s="19">
        <f t="shared" si="6"/>
        <v>0</v>
      </c>
      <c r="C144" s="36"/>
      <c r="D144" s="37"/>
      <c r="E144" s="38"/>
      <c r="F144" s="19">
        <f t="shared" si="7"/>
        <v>0</v>
      </c>
      <c r="G144" s="131"/>
      <c r="H144" s="24">
        <v>43481</v>
      </c>
      <c r="I144" s="136">
        <v>180000</v>
      </c>
      <c r="J144" s="50" t="s">
        <v>23</v>
      </c>
      <c r="K144" s="53" t="s">
        <v>113</v>
      </c>
      <c r="L144" s="33" t="s">
        <v>114</v>
      </c>
      <c r="M144" s="55" t="s">
        <v>56</v>
      </c>
      <c r="N144" s="55"/>
      <c r="O144" s="74" t="s">
        <v>115</v>
      </c>
    </row>
    <row r="145" s="2" customFormat="1" ht="18" customHeight="1" spans="1:15">
      <c r="A145" s="13">
        <v>43486</v>
      </c>
      <c r="B145" s="19">
        <f t="shared" si="6"/>
        <v>296117.48</v>
      </c>
      <c r="C145" s="36"/>
      <c r="D145" s="37" t="s">
        <v>39</v>
      </c>
      <c r="E145" s="38">
        <v>0.03</v>
      </c>
      <c r="F145" s="19">
        <f t="shared" si="7"/>
        <v>8883.52</v>
      </c>
      <c r="G145" s="131">
        <v>305001</v>
      </c>
      <c r="H145" s="24">
        <v>43486</v>
      </c>
      <c r="I145" s="136">
        <v>200000</v>
      </c>
      <c r="J145" s="50" t="s">
        <v>23</v>
      </c>
      <c r="K145" s="53" t="s">
        <v>66</v>
      </c>
      <c r="L145" s="33" t="s">
        <v>67</v>
      </c>
      <c r="M145" s="55" t="s">
        <v>56</v>
      </c>
      <c r="N145" s="55"/>
      <c r="O145" s="54"/>
    </row>
    <row r="146" s="2" customFormat="1" ht="18" customHeight="1" spans="1:15">
      <c r="A146" s="13"/>
      <c r="B146" s="19">
        <f t="shared" ref="B146:B209" si="8">ROUND(G146/(1+E146),2)</f>
        <v>0</v>
      </c>
      <c r="C146" s="36"/>
      <c r="D146" s="37"/>
      <c r="E146" s="38"/>
      <c r="F146" s="19">
        <f t="shared" ref="F146:F209" si="9">ROUND(G146/(1+E146)*E146,2)</f>
        <v>0</v>
      </c>
      <c r="G146" s="131"/>
      <c r="H146" s="24">
        <v>43486</v>
      </c>
      <c r="I146" s="136">
        <v>919770</v>
      </c>
      <c r="J146" s="50" t="s">
        <v>23</v>
      </c>
      <c r="K146" s="53" t="s">
        <v>98</v>
      </c>
      <c r="L146" s="33" t="s">
        <v>99</v>
      </c>
      <c r="M146" s="55"/>
      <c r="N146" s="55"/>
      <c r="O146" s="54"/>
    </row>
    <row r="147" s="2" customFormat="1" ht="18" customHeight="1" spans="1:15">
      <c r="A147" s="13"/>
      <c r="B147" s="19">
        <f t="shared" si="8"/>
        <v>0</v>
      </c>
      <c r="C147" s="36"/>
      <c r="D147" s="37"/>
      <c r="E147" s="38"/>
      <c r="F147" s="19">
        <f t="shared" si="9"/>
        <v>0</v>
      </c>
      <c r="G147" s="131"/>
      <c r="H147" s="24">
        <v>43486</v>
      </c>
      <c r="I147" s="136">
        <v>186000</v>
      </c>
      <c r="J147" s="50" t="s">
        <v>23</v>
      </c>
      <c r="K147" s="53" t="s">
        <v>89</v>
      </c>
      <c r="L147" s="33" t="s">
        <v>90</v>
      </c>
      <c r="M147" s="55"/>
      <c r="N147" s="55"/>
      <c r="O147" s="54"/>
    </row>
    <row r="148" s="2" customFormat="1" ht="18" customHeight="1" spans="1:15">
      <c r="A148" s="13"/>
      <c r="B148" s="19">
        <f t="shared" si="8"/>
        <v>0</v>
      </c>
      <c r="C148" s="36"/>
      <c r="D148" s="37"/>
      <c r="E148" s="38"/>
      <c r="F148" s="19">
        <f t="shared" si="9"/>
        <v>0</v>
      </c>
      <c r="G148" s="131"/>
      <c r="H148" s="24">
        <v>43486</v>
      </c>
      <c r="I148" s="136">
        <v>772379.4</v>
      </c>
      <c r="J148" s="50" t="s">
        <v>23</v>
      </c>
      <c r="K148" s="53" t="s">
        <v>76</v>
      </c>
      <c r="L148" s="33" t="s">
        <v>88</v>
      </c>
      <c r="M148" s="55"/>
      <c r="N148" s="55"/>
      <c r="O148" s="54"/>
    </row>
    <row r="149" s="2" customFormat="1" ht="18" customHeight="1" spans="1:15">
      <c r="A149" s="13"/>
      <c r="B149" s="19">
        <f t="shared" si="8"/>
        <v>0</v>
      </c>
      <c r="C149" s="36"/>
      <c r="D149" s="37"/>
      <c r="E149" s="38"/>
      <c r="F149" s="19">
        <f t="shared" si="9"/>
        <v>0</v>
      </c>
      <c r="G149" s="131"/>
      <c r="H149" s="24">
        <v>43487</v>
      </c>
      <c r="I149" s="136">
        <v>3877600</v>
      </c>
      <c r="J149" s="50" t="s">
        <v>23</v>
      </c>
      <c r="K149" s="53" t="s">
        <v>109</v>
      </c>
      <c r="L149" s="72" t="s">
        <v>110</v>
      </c>
      <c r="M149" s="55" t="s">
        <v>56</v>
      </c>
      <c r="N149" s="55"/>
      <c r="O149" s="54"/>
    </row>
    <row r="150" s="2" customFormat="1" ht="18" customHeight="1" spans="1:15">
      <c r="A150" s="13"/>
      <c r="B150" s="19">
        <f t="shared" si="8"/>
        <v>0</v>
      </c>
      <c r="C150" s="36"/>
      <c r="D150" s="37"/>
      <c r="E150" s="38"/>
      <c r="F150" s="19">
        <f t="shared" si="9"/>
        <v>0</v>
      </c>
      <c r="G150" s="131"/>
      <c r="H150" s="24">
        <v>43488</v>
      </c>
      <c r="I150" s="136">
        <v>3700000</v>
      </c>
      <c r="J150" s="50" t="s">
        <v>23</v>
      </c>
      <c r="K150" s="53" t="s">
        <v>44</v>
      </c>
      <c r="L150" s="72" t="s">
        <v>116</v>
      </c>
      <c r="M150" s="55"/>
      <c r="N150" s="55"/>
      <c r="O150" s="54"/>
    </row>
    <row r="151" s="2" customFormat="1" ht="18" customHeight="1" spans="1:15">
      <c r="A151" s="13"/>
      <c r="B151" s="19">
        <f t="shared" si="8"/>
        <v>0</v>
      </c>
      <c r="C151" s="36"/>
      <c r="D151" s="37"/>
      <c r="E151" s="38"/>
      <c r="F151" s="19">
        <f t="shared" si="9"/>
        <v>0</v>
      </c>
      <c r="G151" s="131"/>
      <c r="H151" s="24">
        <v>43495</v>
      </c>
      <c r="I151" s="136">
        <v>200000</v>
      </c>
      <c r="J151" s="50" t="s">
        <v>23</v>
      </c>
      <c r="K151" s="53" t="s">
        <v>61</v>
      </c>
      <c r="L151" s="72" t="s">
        <v>62</v>
      </c>
      <c r="M151" s="55"/>
      <c r="N151" s="55"/>
      <c r="O151" s="54"/>
    </row>
    <row r="152" s="2" customFormat="1" ht="18" customHeight="1" spans="1:15">
      <c r="A152" s="13">
        <v>43516</v>
      </c>
      <c r="B152" s="19">
        <f t="shared" si="8"/>
        <v>172413.79</v>
      </c>
      <c r="C152" s="36"/>
      <c r="D152" s="37" t="s">
        <v>39</v>
      </c>
      <c r="E152" s="38">
        <v>0.16</v>
      </c>
      <c r="F152" s="19">
        <f t="shared" si="9"/>
        <v>27586.21</v>
      </c>
      <c r="G152" s="131">
        <v>200000</v>
      </c>
      <c r="H152" s="24">
        <v>43528</v>
      </c>
      <c r="I152" s="136">
        <v>200000</v>
      </c>
      <c r="J152" s="50" t="s">
        <v>23</v>
      </c>
      <c r="K152" s="53" t="s">
        <v>61</v>
      </c>
      <c r="L152" s="72" t="s">
        <v>62</v>
      </c>
      <c r="M152" s="55"/>
      <c r="N152" s="55"/>
      <c r="O152" s="54"/>
    </row>
    <row r="153" s="2" customFormat="1" ht="18" customHeight="1" spans="1:15">
      <c r="A153" s="13"/>
      <c r="B153" s="19">
        <f t="shared" si="8"/>
        <v>0</v>
      </c>
      <c r="C153" s="36"/>
      <c r="D153" s="37"/>
      <c r="E153" s="38"/>
      <c r="F153" s="19">
        <f t="shared" si="9"/>
        <v>0</v>
      </c>
      <c r="G153" s="131"/>
      <c r="H153" s="24">
        <v>43528</v>
      </c>
      <c r="I153" s="136">
        <v>200000</v>
      </c>
      <c r="J153" s="50" t="s">
        <v>23</v>
      </c>
      <c r="K153" s="53" t="s">
        <v>66</v>
      </c>
      <c r="L153" s="72" t="s">
        <v>97</v>
      </c>
      <c r="M153" s="55" t="s">
        <v>56</v>
      </c>
      <c r="N153" s="55"/>
      <c r="O153" s="54"/>
    </row>
    <row r="154" s="2" customFormat="1" ht="18" customHeight="1" spans="1:15">
      <c r="A154" s="13"/>
      <c r="B154" s="19">
        <f t="shared" si="8"/>
        <v>0</v>
      </c>
      <c r="C154" s="36"/>
      <c r="D154" s="37"/>
      <c r="E154" s="38"/>
      <c r="F154" s="19">
        <f t="shared" si="9"/>
        <v>0</v>
      </c>
      <c r="G154" s="131"/>
      <c r="H154" s="24">
        <v>43528</v>
      </c>
      <c r="I154" s="136">
        <v>100000</v>
      </c>
      <c r="J154" s="50" t="s">
        <v>23</v>
      </c>
      <c r="K154" s="53" t="s">
        <v>117</v>
      </c>
      <c r="L154" s="72" t="s">
        <v>118</v>
      </c>
      <c r="M154" s="55"/>
      <c r="N154" s="55"/>
      <c r="O154" s="54"/>
    </row>
    <row r="155" s="2" customFormat="1" ht="18" customHeight="1" spans="1:15">
      <c r="A155" s="13"/>
      <c r="B155" s="19">
        <f t="shared" si="8"/>
        <v>0</v>
      </c>
      <c r="C155" s="36"/>
      <c r="D155" s="37"/>
      <c r="E155" s="38"/>
      <c r="F155" s="19">
        <f t="shared" si="9"/>
        <v>0</v>
      </c>
      <c r="G155" s="131"/>
      <c r="H155" s="24">
        <v>43532</v>
      </c>
      <c r="I155" s="136">
        <v>100000</v>
      </c>
      <c r="J155" s="50" t="s">
        <v>23</v>
      </c>
      <c r="K155" s="53" t="s">
        <v>119</v>
      </c>
      <c r="L155" s="71" t="s">
        <v>62</v>
      </c>
      <c r="M155" s="55"/>
      <c r="N155" s="55"/>
      <c r="O155" s="54"/>
    </row>
    <row r="156" s="2" customFormat="1" ht="18" customHeight="1" spans="1:15">
      <c r="A156" s="13"/>
      <c r="B156" s="19">
        <f t="shared" si="8"/>
        <v>0</v>
      </c>
      <c r="C156" s="36"/>
      <c r="D156" s="37"/>
      <c r="E156" s="38"/>
      <c r="F156" s="19">
        <f t="shared" si="9"/>
        <v>0</v>
      </c>
      <c r="G156" s="131"/>
      <c r="H156" s="24">
        <v>43536</v>
      </c>
      <c r="I156" s="136">
        <v>230000</v>
      </c>
      <c r="J156" s="50" t="s">
        <v>23</v>
      </c>
      <c r="K156" s="53" t="s">
        <v>61</v>
      </c>
      <c r="L156" s="71" t="s">
        <v>62</v>
      </c>
      <c r="M156" s="55"/>
      <c r="N156" s="55"/>
      <c r="O156" s="54"/>
    </row>
    <row r="157" s="2" customFormat="1" ht="18" customHeight="1" spans="1:15">
      <c r="A157" s="13"/>
      <c r="B157" s="19">
        <f t="shared" si="8"/>
        <v>0</v>
      </c>
      <c r="C157" s="36"/>
      <c r="D157" s="37"/>
      <c r="E157" s="38"/>
      <c r="F157" s="19">
        <f t="shared" si="9"/>
        <v>0</v>
      </c>
      <c r="G157" s="131"/>
      <c r="H157" s="24">
        <v>43536</v>
      </c>
      <c r="I157" s="136">
        <v>-595000</v>
      </c>
      <c r="J157" s="50" t="s">
        <v>23</v>
      </c>
      <c r="K157" s="53" t="s">
        <v>44</v>
      </c>
      <c r="L157" s="71" t="s">
        <v>120</v>
      </c>
      <c r="M157" s="55"/>
      <c r="N157" s="55"/>
      <c r="O157" s="54"/>
    </row>
    <row r="158" s="2" customFormat="1" ht="18" customHeight="1" spans="1:15">
      <c r="A158" s="13"/>
      <c r="B158" s="19">
        <f t="shared" si="8"/>
        <v>0</v>
      </c>
      <c r="C158" s="36"/>
      <c r="D158" s="37"/>
      <c r="E158" s="38"/>
      <c r="F158" s="19">
        <f t="shared" si="9"/>
        <v>0</v>
      </c>
      <c r="G158" s="131"/>
      <c r="H158" s="24">
        <v>43536</v>
      </c>
      <c r="I158" s="136">
        <v>200000</v>
      </c>
      <c r="J158" s="50" t="s">
        <v>23</v>
      </c>
      <c r="K158" s="53" t="s">
        <v>117</v>
      </c>
      <c r="L158" s="71" t="s">
        <v>118</v>
      </c>
      <c r="M158" s="55"/>
      <c r="N158" s="55"/>
      <c r="O158" s="54"/>
    </row>
    <row r="159" s="2" customFormat="1" ht="18" customHeight="1" spans="1:15">
      <c r="A159" s="13">
        <v>43549</v>
      </c>
      <c r="B159" s="19">
        <f t="shared" si="8"/>
        <v>868931.6</v>
      </c>
      <c r="C159" s="36"/>
      <c r="D159" s="37" t="s">
        <v>39</v>
      </c>
      <c r="E159" s="38">
        <v>0.03</v>
      </c>
      <c r="F159" s="19">
        <f t="shared" si="9"/>
        <v>26067.95</v>
      </c>
      <c r="G159" s="131">
        <v>894999.55</v>
      </c>
      <c r="H159" s="24">
        <v>43536</v>
      </c>
      <c r="I159" s="136">
        <v>395000</v>
      </c>
      <c r="J159" s="50" t="s">
        <v>23</v>
      </c>
      <c r="K159" s="53" t="s">
        <v>66</v>
      </c>
      <c r="L159" s="72" t="s">
        <v>121</v>
      </c>
      <c r="M159" s="55" t="s">
        <v>56</v>
      </c>
      <c r="N159" s="55"/>
      <c r="O159" s="54"/>
    </row>
    <row r="160" s="2" customFormat="1" ht="18" customHeight="1" spans="1:15">
      <c r="A160" s="13"/>
      <c r="B160" s="19">
        <f t="shared" si="8"/>
        <v>0</v>
      </c>
      <c r="C160" s="36"/>
      <c r="D160" s="37"/>
      <c r="E160" s="38"/>
      <c r="F160" s="19">
        <f t="shared" si="9"/>
        <v>0</v>
      </c>
      <c r="G160" s="131"/>
      <c r="H160" s="24">
        <v>43537</v>
      </c>
      <c r="I160" s="136">
        <v>-200000</v>
      </c>
      <c r="J160" s="50" t="s">
        <v>23</v>
      </c>
      <c r="K160" s="53" t="s">
        <v>44</v>
      </c>
      <c r="L160" s="71" t="s">
        <v>120</v>
      </c>
      <c r="M160" s="55"/>
      <c r="N160" s="55"/>
      <c r="O160" s="54"/>
    </row>
    <row r="161" s="2" customFormat="1" ht="18" customHeight="1" spans="1:15">
      <c r="A161" s="13"/>
      <c r="B161" s="19">
        <f t="shared" si="8"/>
        <v>0</v>
      </c>
      <c r="C161" s="36"/>
      <c r="D161" s="37"/>
      <c r="E161" s="38"/>
      <c r="F161" s="19">
        <f t="shared" si="9"/>
        <v>0</v>
      </c>
      <c r="G161" s="131"/>
      <c r="H161" s="24">
        <v>43537</v>
      </c>
      <c r="I161" s="136">
        <v>200000</v>
      </c>
      <c r="J161" s="50" t="s">
        <v>23</v>
      </c>
      <c r="K161" s="53" t="s">
        <v>119</v>
      </c>
      <c r="L161" s="71" t="s">
        <v>62</v>
      </c>
      <c r="M161" s="55"/>
      <c r="N161" s="55"/>
      <c r="O161" s="54"/>
    </row>
    <row r="162" s="2" customFormat="1" ht="18" customHeight="1" spans="1:15">
      <c r="A162" s="13">
        <v>43583</v>
      </c>
      <c r="B162" s="19">
        <f t="shared" si="8"/>
        <v>291261.17</v>
      </c>
      <c r="C162" s="36"/>
      <c r="D162" s="37" t="s">
        <v>39</v>
      </c>
      <c r="E162" s="38">
        <v>0.03</v>
      </c>
      <c r="F162" s="19">
        <f t="shared" si="9"/>
        <v>8737.84</v>
      </c>
      <c r="G162" s="131">
        <v>299999.01</v>
      </c>
      <c r="H162" s="24">
        <v>43546</v>
      </c>
      <c r="I162" s="136">
        <v>300000</v>
      </c>
      <c r="J162" s="50" t="s">
        <v>23</v>
      </c>
      <c r="K162" s="53" t="s">
        <v>66</v>
      </c>
      <c r="L162" s="71" t="s">
        <v>122</v>
      </c>
      <c r="M162" s="55" t="s">
        <v>56</v>
      </c>
      <c r="N162" s="55"/>
      <c r="O162" s="63"/>
    </row>
    <row r="163" s="2" customFormat="1" ht="18" customHeight="1" spans="1:15">
      <c r="A163" s="13"/>
      <c r="B163" s="19">
        <f t="shared" si="8"/>
        <v>0</v>
      </c>
      <c r="C163" s="36"/>
      <c r="D163" s="37"/>
      <c r="E163" s="38"/>
      <c r="F163" s="19">
        <f t="shared" si="9"/>
        <v>0</v>
      </c>
      <c r="G163" s="131"/>
      <c r="H163" s="24">
        <v>43543</v>
      </c>
      <c r="I163" s="130">
        <v>-300000</v>
      </c>
      <c r="J163" s="50" t="s">
        <v>23</v>
      </c>
      <c r="K163" s="53" t="s">
        <v>44</v>
      </c>
      <c r="L163" s="71" t="s">
        <v>120</v>
      </c>
      <c r="M163" s="55"/>
      <c r="N163" s="55"/>
      <c r="O163" s="54"/>
    </row>
    <row r="164" s="2" customFormat="1" ht="18" customHeight="1" spans="1:15">
      <c r="A164" s="13"/>
      <c r="B164" s="19">
        <f t="shared" si="8"/>
        <v>0</v>
      </c>
      <c r="C164" s="36"/>
      <c r="D164" s="37"/>
      <c r="E164" s="38"/>
      <c r="F164" s="19">
        <f t="shared" si="9"/>
        <v>0</v>
      </c>
      <c r="G164" s="131"/>
      <c r="H164" s="24">
        <v>43545</v>
      </c>
      <c r="I164" s="136">
        <v>300000</v>
      </c>
      <c r="J164" s="50" t="s">
        <v>23</v>
      </c>
      <c r="K164" s="53" t="s">
        <v>119</v>
      </c>
      <c r="L164" s="71" t="s">
        <v>62</v>
      </c>
      <c r="M164" s="55"/>
      <c r="N164" s="55"/>
      <c r="O164" s="54"/>
    </row>
    <row r="165" s="2" customFormat="1" ht="18" customHeight="1" spans="1:15">
      <c r="A165" s="13"/>
      <c r="B165" s="19">
        <f t="shared" si="8"/>
        <v>0</v>
      </c>
      <c r="C165" s="36"/>
      <c r="D165" s="37"/>
      <c r="E165" s="38"/>
      <c r="F165" s="19">
        <f t="shared" si="9"/>
        <v>0</v>
      </c>
      <c r="G165" s="131"/>
      <c r="H165" s="24">
        <v>43545</v>
      </c>
      <c r="I165" s="130">
        <v>-300000</v>
      </c>
      <c r="J165" s="50" t="s">
        <v>23</v>
      </c>
      <c r="K165" s="53" t="s">
        <v>44</v>
      </c>
      <c r="L165" s="71" t="s">
        <v>120</v>
      </c>
      <c r="M165" s="55"/>
      <c r="N165" s="55"/>
      <c r="O165" s="54"/>
    </row>
    <row r="166" s="2" customFormat="1" ht="18" customHeight="1" spans="1:15">
      <c r="A166" s="13">
        <v>43577</v>
      </c>
      <c r="B166" s="19">
        <f t="shared" si="8"/>
        <v>671763.62</v>
      </c>
      <c r="C166" s="36"/>
      <c r="D166" s="37" t="s">
        <v>39</v>
      </c>
      <c r="E166" s="38">
        <v>0.16</v>
      </c>
      <c r="F166" s="19">
        <f t="shared" si="9"/>
        <v>107482.18</v>
      </c>
      <c r="G166" s="131">
        <f>111325.8+111320*6</f>
        <v>779245.8</v>
      </c>
      <c r="H166" s="24">
        <v>43552</v>
      </c>
      <c r="I166" s="136">
        <v>300000</v>
      </c>
      <c r="J166" s="50" t="s">
        <v>23</v>
      </c>
      <c r="K166" s="53" t="s">
        <v>119</v>
      </c>
      <c r="L166" s="71" t="s">
        <v>123</v>
      </c>
      <c r="M166" s="55"/>
      <c r="N166" s="55"/>
      <c r="O166" s="54"/>
    </row>
    <row r="167" s="2" customFormat="1" ht="18" customHeight="1" spans="1:15">
      <c r="A167" s="13">
        <v>43525</v>
      </c>
      <c r="B167" s="19">
        <f t="shared" si="8"/>
        <v>299130.58</v>
      </c>
      <c r="C167" s="36"/>
      <c r="D167" s="37" t="s">
        <v>39</v>
      </c>
      <c r="E167" s="38">
        <v>0.03</v>
      </c>
      <c r="F167" s="19">
        <f t="shared" si="9"/>
        <v>8973.92</v>
      </c>
      <c r="G167" s="131">
        <f>102680+102439.02+102985.48</f>
        <v>308104.5</v>
      </c>
      <c r="H167" s="24">
        <v>43552</v>
      </c>
      <c r="I167" s="136">
        <v>300000</v>
      </c>
      <c r="J167" s="50" t="s">
        <v>23</v>
      </c>
      <c r="K167" s="53" t="s">
        <v>117</v>
      </c>
      <c r="L167" s="71" t="s">
        <v>118</v>
      </c>
      <c r="M167" s="55" t="s">
        <v>56</v>
      </c>
      <c r="N167" s="55" t="s">
        <v>56</v>
      </c>
      <c r="O167" s="54"/>
    </row>
    <row r="168" s="2" customFormat="1" ht="18" customHeight="1" spans="1:15">
      <c r="A168" s="13"/>
      <c r="B168" s="19">
        <f t="shared" si="8"/>
        <v>0</v>
      </c>
      <c r="C168" s="36"/>
      <c r="D168" s="37"/>
      <c r="E168" s="38"/>
      <c r="F168" s="19">
        <f t="shared" si="9"/>
        <v>0</v>
      </c>
      <c r="G168" s="131"/>
      <c r="H168" s="24">
        <v>43552</v>
      </c>
      <c r="I168" s="136">
        <v>-600000</v>
      </c>
      <c r="J168" s="50" t="s">
        <v>23</v>
      </c>
      <c r="K168" s="53" t="s">
        <v>44</v>
      </c>
      <c r="L168" s="71"/>
      <c r="M168" s="55"/>
      <c r="N168" s="55"/>
      <c r="O168" s="54"/>
    </row>
    <row r="169" s="2" customFormat="1" ht="18" customHeight="1" spans="1:15">
      <c r="A169" s="13">
        <v>43570</v>
      </c>
      <c r="B169" s="19">
        <f t="shared" si="8"/>
        <v>730601.34</v>
      </c>
      <c r="C169" s="36"/>
      <c r="D169" s="37" t="s">
        <v>39</v>
      </c>
      <c r="E169" s="38">
        <v>0.03</v>
      </c>
      <c r="F169" s="19">
        <f t="shared" si="9"/>
        <v>21918.04</v>
      </c>
      <c r="G169" s="131">
        <f>102950*3+99226.42+100800+60543.96+102600+80499</f>
        <v>752519.38</v>
      </c>
      <c r="H169" s="24">
        <v>43558</v>
      </c>
      <c r="I169" s="136">
        <v>300000</v>
      </c>
      <c r="J169" s="50" t="s">
        <v>23</v>
      </c>
      <c r="K169" s="53" t="s">
        <v>117</v>
      </c>
      <c r="L169" s="72" t="s">
        <v>124</v>
      </c>
      <c r="M169" s="55" t="s">
        <v>56</v>
      </c>
      <c r="N169" s="55" t="s">
        <v>56</v>
      </c>
      <c r="O169" s="54"/>
    </row>
    <row r="170" s="2" customFormat="1" ht="18" customHeight="1" spans="1:15">
      <c r="A170" s="13"/>
      <c r="B170" s="19">
        <f t="shared" si="8"/>
        <v>0</v>
      </c>
      <c r="C170" s="36"/>
      <c r="D170" s="37"/>
      <c r="E170" s="38"/>
      <c r="F170" s="19">
        <f t="shared" si="9"/>
        <v>0</v>
      </c>
      <c r="G170" s="131"/>
      <c r="H170" s="24">
        <v>43558</v>
      </c>
      <c r="I170" s="136">
        <v>-300000</v>
      </c>
      <c r="J170" s="50" t="s">
        <v>23</v>
      </c>
      <c r="K170" s="53" t="s">
        <v>44</v>
      </c>
      <c r="L170" s="71"/>
      <c r="M170" s="55"/>
      <c r="N170" s="55"/>
      <c r="O170" s="54"/>
    </row>
    <row r="171" s="2" customFormat="1" ht="18" customHeight="1" spans="1:15">
      <c r="A171" s="13">
        <v>43592</v>
      </c>
      <c r="B171" s="19">
        <f t="shared" si="8"/>
        <v>833538.05</v>
      </c>
      <c r="C171" s="36"/>
      <c r="D171" s="37" t="s">
        <v>39</v>
      </c>
      <c r="E171" s="38">
        <v>0.13</v>
      </c>
      <c r="F171" s="19">
        <f t="shared" si="9"/>
        <v>108359.95</v>
      </c>
      <c r="G171" s="131">
        <f>104655*8+104658</f>
        <v>941898</v>
      </c>
      <c r="H171" s="24">
        <v>43566</v>
      </c>
      <c r="I171" s="136">
        <v>500000</v>
      </c>
      <c r="J171" s="50" t="s">
        <v>23</v>
      </c>
      <c r="K171" s="53" t="s">
        <v>119</v>
      </c>
      <c r="L171" s="71" t="s">
        <v>125</v>
      </c>
      <c r="M171" s="55"/>
      <c r="N171" s="55"/>
      <c r="O171" s="54"/>
    </row>
    <row r="172" s="2" customFormat="1" ht="18" customHeight="1" spans="1:15">
      <c r="A172" s="13"/>
      <c r="B172" s="19">
        <f t="shared" si="8"/>
        <v>0</v>
      </c>
      <c r="C172" s="36"/>
      <c r="D172" s="37"/>
      <c r="E172" s="38"/>
      <c r="F172" s="19">
        <f t="shared" si="9"/>
        <v>0</v>
      </c>
      <c r="G172" s="131"/>
      <c r="H172" s="24">
        <v>43566</v>
      </c>
      <c r="I172" s="136">
        <v>-500000</v>
      </c>
      <c r="J172" s="50" t="s">
        <v>23</v>
      </c>
      <c r="K172" s="53" t="s">
        <v>44</v>
      </c>
      <c r="L172" s="71"/>
      <c r="M172" s="55"/>
      <c r="N172" s="55"/>
      <c r="O172" s="54"/>
    </row>
    <row r="173" s="2" customFormat="1" ht="18" customHeight="1" spans="1:15">
      <c r="A173" s="13"/>
      <c r="B173" s="19">
        <f t="shared" si="8"/>
        <v>0</v>
      </c>
      <c r="C173" s="36"/>
      <c r="D173" s="37"/>
      <c r="E173" s="38"/>
      <c r="F173" s="19">
        <f t="shared" si="9"/>
        <v>0</v>
      </c>
      <c r="G173" s="131"/>
      <c r="H173" s="24">
        <v>43566</v>
      </c>
      <c r="I173" s="136">
        <v>300000</v>
      </c>
      <c r="J173" s="50" t="s">
        <v>23</v>
      </c>
      <c r="K173" s="53" t="s">
        <v>126</v>
      </c>
      <c r="L173" s="71" t="s">
        <v>127</v>
      </c>
      <c r="M173" s="55"/>
      <c r="N173" s="55"/>
      <c r="O173" s="54"/>
    </row>
    <row r="174" s="2" customFormat="1" ht="18" customHeight="1" spans="1:15">
      <c r="A174" s="13"/>
      <c r="B174" s="19">
        <f t="shared" si="8"/>
        <v>0</v>
      </c>
      <c r="C174" s="36"/>
      <c r="D174" s="37"/>
      <c r="E174" s="38"/>
      <c r="F174" s="19">
        <f t="shared" si="9"/>
        <v>0</v>
      </c>
      <c r="G174" s="131"/>
      <c r="H174" s="24">
        <v>43566</v>
      </c>
      <c r="I174" s="136">
        <v>-300000</v>
      </c>
      <c r="J174" s="50" t="s">
        <v>23</v>
      </c>
      <c r="K174" s="53" t="s">
        <v>44</v>
      </c>
      <c r="L174" s="72"/>
      <c r="M174" s="55"/>
      <c r="N174" s="55"/>
      <c r="O174" s="54"/>
    </row>
    <row r="175" s="2" customFormat="1" ht="18" customHeight="1" spans="1:15">
      <c r="A175" s="13">
        <v>43570</v>
      </c>
      <c r="B175" s="19">
        <f t="shared" si="8"/>
        <v>380530.97</v>
      </c>
      <c r="C175" s="36"/>
      <c r="D175" s="37" t="s">
        <v>39</v>
      </c>
      <c r="E175" s="38">
        <v>0.13</v>
      </c>
      <c r="F175" s="19">
        <f t="shared" si="9"/>
        <v>49469.03</v>
      </c>
      <c r="G175" s="131">
        <v>430000</v>
      </c>
      <c r="H175" s="24"/>
      <c r="I175" s="136"/>
      <c r="J175" s="50"/>
      <c r="K175" s="53" t="s">
        <v>61</v>
      </c>
      <c r="L175" s="72" t="s">
        <v>128</v>
      </c>
      <c r="M175" s="50" t="s">
        <v>56</v>
      </c>
      <c r="N175" s="50" t="s">
        <v>129</v>
      </c>
      <c r="O175" s="54"/>
    </row>
    <row r="176" s="1" customFormat="1" ht="18" customHeight="1" spans="1:15">
      <c r="A176" s="24">
        <v>43556</v>
      </c>
      <c r="B176" s="19">
        <f t="shared" si="8"/>
        <v>2774311.93</v>
      </c>
      <c r="C176" s="75"/>
      <c r="D176" s="76" t="s">
        <v>39</v>
      </c>
      <c r="E176" s="77">
        <v>0.09</v>
      </c>
      <c r="F176" s="19">
        <f t="shared" si="9"/>
        <v>249688.07</v>
      </c>
      <c r="G176" s="139">
        <f>1008000*3</f>
        <v>3024000</v>
      </c>
      <c r="H176" s="24">
        <v>43591</v>
      </c>
      <c r="I176" s="136">
        <v>2500000</v>
      </c>
      <c r="J176" s="50" t="s">
        <v>23</v>
      </c>
      <c r="K176" s="53" t="s">
        <v>126</v>
      </c>
      <c r="L176" s="72" t="s">
        <v>130</v>
      </c>
      <c r="M176" s="50" t="s">
        <v>56</v>
      </c>
      <c r="N176" s="50"/>
      <c r="O176" s="33"/>
    </row>
    <row r="177" s="2" customFormat="1" ht="18" customHeight="1" spans="1:15">
      <c r="A177" s="13">
        <v>43583</v>
      </c>
      <c r="B177" s="19">
        <f t="shared" si="8"/>
        <v>332690.29</v>
      </c>
      <c r="C177" s="36"/>
      <c r="D177" s="37" t="s">
        <v>39</v>
      </c>
      <c r="E177" s="38">
        <v>0.03</v>
      </c>
      <c r="F177" s="19">
        <f t="shared" si="9"/>
        <v>9980.71</v>
      </c>
      <c r="G177" s="131">
        <v>342671</v>
      </c>
      <c r="H177" s="24"/>
      <c r="I177" s="136"/>
      <c r="J177" s="50"/>
      <c r="K177" s="53" t="s">
        <v>57</v>
      </c>
      <c r="L177" s="72" t="s">
        <v>91</v>
      </c>
      <c r="M177" s="55" t="s">
        <v>56</v>
      </c>
      <c r="N177" s="55" t="s">
        <v>92</v>
      </c>
      <c r="O177" s="54" t="s">
        <v>93</v>
      </c>
    </row>
    <row r="178" s="2" customFormat="1" ht="18" customHeight="1" spans="1:15">
      <c r="A178" s="13">
        <v>43595</v>
      </c>
      <c r="B178" s="19">
        <f t="shared" si="8"/>
        <v>790026.18</v>
      </c>
      <c r="C178" s="36"/>
      <c r="D178" s="76" t="s">
        <v>39</v>
      </c>
      <c r="E178" s="38">
        <v>0.03</v>
      </c>
      <c r="F178" s="19">
        <f t="shared" si="9"/>
        <v>23700.79</v>
      </c>
      <c r="G178" s="131">
        <f>102960+102960+102960+102960+102987.8+92947.97+102960+102991.2</f>
        <v>813726.97</v>
      </c>
      <c r="H178" s="24">
        <v>43591</v>
      </c>
      <c r="I178" s="136">
        <v>500000</v>
      </c>
      <c r="J178" s="50" t="s">
        <v>23</v>
      </c>
      <c r="K178" s="53" t="s">
        <v>117</v>
      </c>
      <c r="L178" s="72" t="s">
        <v>131</v>
      </c>
      <c r="M178" s="55" t="s">
        <v>56</v>
      </c>
      <c r="N178" s="55" t="s">
        <v>132</v>
      </c>
      <c r="O178" s="54"/>
    </row>
    <row r="179" s="2" customFormat="1" ht="18" customHeight="1" spans="1:15">
      <c r="A179" s="13">
        <v>43595</v>
      </c>
      <c r="B179" s="19">
        <f t="shared" si="8"/>
        <v>376313.27</v>
      </c>
      <c r="C179" s="36"/>
      <c r="D179" s="37" t="s">
        <v>39</v>
      </c>
      <c r="E179" s="38">
        <v>0.09</v>
      </c>
      <c r="F179" s="19">
        <f t="shared" si="9"/>
        <v>33868.19</v>
      </c>
      <c r="G179" s="131">
        <f>102983.73+98325.25+100256.63+108615.85</f>
        <v>410181.46</v>
      </c>
      <c r="H179" s="24">
        <v>43592</v>
      </c>
      <c r="I179" s="136">
        <v>410181.46</v>
      </c>
      <c r="J179" s="50" t="s">
        <v>23</v>
      </c>
      <c r="K179" s="53" t="s">
        <v>107</v>
      </c>
      <c r="L179" s="71" t="s">
        <v>134</v>
      </c>
      <c r="M179" s="55" t="s">
        <v>56</v>
      </c>
      <c r="N179" s="55" t="s">
        <v>56</v>
      </c>
      <c r="O179" s="54"/>
    </row>
    <row r="180" s="2" customFormat="1" ht="18" customHeight="1" spans="1:15">
      <c r="A180" s="13"/>
      <c r="B180" s="19">
        <f t="shared" si="8"/>
        <v>0</v>
      </c>
      <c r="C180" s="36"/>
      <c r="D180" s="37"/>
      <c r="E180" s="38"/>
      <c r="F180" s="19">
        <f t="shared" si="9"/>
        <v>0</v>
      </c>
      <c r="G180" s="131"/>
      <c r="H180" s="24">
        <v>43592</v>
      </c>
      <c r="I180" s="136">
        <v>321143.8</v>
      </c>
      <c r="J180" s="50" t="s">
        <v>23</v>
      </c>
      <c r="K180" s="53" t="s">
        <v>119</v>
      </c>
      <c r="L180" s="71" t="s">
        <v>62</v>
      </c>
      <c r="M180" s="55"/>
      <c r="N180" s="55"/>
      <c r="O180" s="54"/>
    </row>
    <row r="181" s="2" customFormat="1" ht="18" customHeight="1" spans="1:15">
      <c r="A181" s="13"/>
      <c r="B181" s="19">
        <f t="shared" si="8"/>
        <v>0</v>
      </c>
      <c r="C181" s="36"/>
      <c r="D181" s="37"/>
      <c r="E181" s="38"/>
      <c r="F181" s="19">
        <f t="shared" si="9"/>
        <v>0</v>
      </c>
      <c r="G181" s="131"/>
      <c r="H181" s="24">
        <v>43592</v>
      </c>
      <c r="I181" s="136">
        <v>500000</v>
      </c>
      <c r="J181" s="50" t="s">
        <v>23</v>
      </c>
      <c r="K181" s="53" t="s">
        <v>135</v>
      </c>
      <c r="L181" s="71" t="s">
        <v>136</v>
      </c>
      <c r="M181" s="55"/>
      <c r="N181" s="55"/>
      <c r="O181" s="54"/>
    </row>
    <row r="182" s="2" customFormat="1" ht="18" customHeight="1" spans="1:15">
      <c r="A182" s="13">
        <v>43598</v>
      </c>
      <c r="B182" s="19">
        <f t="shared" si="8"/>
        <v>2180582.52</v>
      </c>
      <c r="C182" s="36"/>
      <c r="D182" s="37" t="s">
        <v>39</v>
      </c>
      <c r="E182" s="38">
        <v>0.03</v>
      </c>
      <c r="F182" s="19">
        <f t="shared" si="9"/>
        <v>65417.48</v>
      </c>
      <c r="G182" s="131">
        <f>90000*6+96000*10+100000*4+96000+72000+98000+80000</f>
        <v>2246000</v>
      </c>
      <c r="H182" s="24">
        <v>43593</v>
      </c>
      <c r="I182" s="136">
        <v>1000000</v>
      </c>
      <c r="J182" s="50" t="s">
        <v>23</v>
      </c>
      <c r="K182" s="53" t="s">
        <v>137</v>
      </c>
      <c r="L182" s="72" t="s">
        <v>90</v>
      </c>
      <c r="M182" s="55" t="s">
        <v>56</v>
      </c>
      <c r="N182" s="55" t="s">
        <v>56</v>
      </c>
      <c r="O182" s="54"/>
    </row>
    <row r="183" s="2" customFormat="1" ht="18" customHeight="1" spans="1:15">
      <c r="A183" s="13"/>
      <c r="B183" s="19">
        <f t="shared" si="8"/>
        <v>0</v>
      </c>
      <c r="C183" s="36"/>
      <c r="D183" s="37"/>
      <c r="E183" s="38"/>
      <c r="F183" s="19">
        <f t="shared" si="9"/>
        <v>0</v>
      </c>
      <c r="G183" s="131"/>
      <c r="H183" s="24">
        <v>43595</v>
      </c>
      <c r="I183" s="136">
        <v>300000</v>
      </c>
      <c r="J183" s="50" t="s">
        <v>23</v>
      </c>
      <c r="K183" s="53" t="s">
        <v>61</v>
      </c>
      <c r="L183" s="72" t="s">
        <v>138</v>
      </c>
      <c r="M183" s="50" t="s">
        <v>56</v>
      </c>
      <c r="N183" s="55"/>
      <c r="O183" s="54"/>
    </row>
    <row r="184" s="2" customFormat="1" ht="18" customHeight="1" spans="1:19">
      <c r="A184" s="13">
        <v>43598</v>
      </c>
      <c r="B184" s="19">
        <f t="shared" si="8"/>
        <v>538287.38</v>
      </c>
      <c r="C184" s="36"/>
      <c r="D184" s="37" t="s">
        <v>39</v>
      </c>
      <c r="E184" s="38">
        <v>0.03</v>
      </c>
      <c r="F184" s="19">
        <f t="shared" si="9"/>
        <v>16148.62</v>
      </c>
      <c r="G184" s="131">
        <v>554436</v>
      </c>
      <c r="H184" s="24">
        <v>43595</v>
      </c>
      <c r="I184" s="136">
        <v>554436</v>
      </c>
      <c r="J184" s="50" t="s">
        <v>23</v>
      </c>
      <c r="K184" s="53" t="s">
        <v>126</v>
      </c>
      <c r="L184" s="72" t="s">
        <v>130</v>
      </c>
      <c r="M184" s="55" t="s">
        <v>56</v>
      </c>
      <c r="N184" s="55" t="s">
        <v>56</v>
      </c>
      <c r="O184" s="54"/>
      <c r="S184" s="2" t="s">
        <v>139</v>
      </c>
    </row>
    <row r="185" s="2" customFormat="1" ht="18" customHeight="1" spans="1:15">
      <c r="A185" s="13">
        <v>43598</v>
      </c>
      <c r="B185" s="19">
        <f t="shared" si="8"/>
        <v>283018.87</v>
      </c>
      <c r="C185" s="36"/>
      <c r="D185" s="37" t="s">
        <v>39</v>
      </c>
      <c r="E185" s="38">
        <v>0.06</v>
      </c>
      <c r="F185" s="19">
        <f t="shared" si="9"/>
        <v>16981.13</v>
      </c>
      <c r="G185" s="131">
        <f>20000+100000+80000+100000</f>
        <v>300000</v>
      </c>
      <c r="H185" s="24"/>
      <c r="I185" s="136"/>
      <c r="J185" s="50"/>
      <c r="K185" s="53" t="s">
        <v>113</v>
      </c>
      <c r="L185" s="72" t="s">
        <v>114</v>
      </c>
      <c r="M185" s="55" t="s">
        <v>56</v>
      </c>
      <c r="N185" s="55"/>
      <c r="O185" s="54"/>
    </row>
    <row r="186" s="2" customFormat="1" ht="18" customHeight="1" spans="1:15">
      <c r="A186" s="13">
        <v>43598</v>
      </c>
      <c r="B186" s="19">
        <f t="shared" si="8"/>
        <v>1856880.73</v>
      </c>
      <c r="C186" s="36"/>
      <c r="D186" s="37" t="s">
        <v>39</v>
      </c>
      <c r="E186" s="38">
        <v>0.09</v>
      </c>
      <c r="F186" s="19">
        <f t="shared" si="9"/>
        <v>167119.27</v>
      </c>
      <c r="G186" s="131">
        <f>1012000*2</f>
        <v>2024000</v>
      </c>
      <c r="H186" s="24"/>
      <c r="I186" s="136"/>
      <c r="J186" s="50"/>
      <c r="K186" s="53" t="s">
        <v>126</v>
      </c>
      <c r="L186" s="72" t="s">
        <v>130</v>
      </c>
      <c r="M186" s="55" t="s">
        <v>56</v>
      </c>
      <c r="N186" s="55" t="s">
        <v>56</v>
      </c>
      <c r="O186" s="54"/>
    </row>
    <row r="187" s="2" customFormat="1" ht="18" customHeight="1" spans="1:15">
      <c r="A187" s="13"/>
      <c r="B187" s="19">
        <f t="shared" si="8"/>
        <v>0</v>
      </c>
      <c r="C187" s="36"/>
      <c r="D187" s="37"/>
      <c r="E187" s="38"/>
      <c r="F187" s="19">
        <f t="shared" si="9"/>
        <v>0</v>
      </c>
      <c r="G187" s="131"/>
      <c r="H187" s="24">
        <v>43598</v>
      </c>
      <c r="I187" s="136">
        <v>474350.85</v>
      </c>
      <c r="J187" s="50" t="s">
        <v>23</v>
      </c>
      <c r="K187" s="53" t="s">
        <v>117</v>
      </c>
      <c r="L187" s="72"/>
      <c r="M187" s="55"/>
      <c r="N187" s="55"/>
      <c r="O187" s="54"/>
    </row>
    <row r="188" s="2" customFormat="1" ht="18" customHeight="1" spans="1:15">
      <c r="A188" s="13">
        <v>43607</v>
      </c>
      <c r="B188" s="19">
        <f t="shared" si="8"/>
        <v>339805.83</v>
      </c>
      <c r="C188" s="36"/>
      <c r="D188" s="37" t="s">
        <v>39</v>
      </c>
      <c r="E188" s="38">
        <v>0.03</v>
      </c>
      <c r="F188" s="19">
        <f t="shared" si="9"/>
        <v>10194.17</v>
      </c>
      <c r="G188" s="131">
        <f>50000+100000*3</f>
        <v>350000</v>
      </c>
      <c r="H188" s="24"/>
      <c r="I188" s="130"/>
      <c r="J188" s="50"/>
      <c r="K188" s="53" t="s">
        <v>73</v>
      </c>
      <c r="L188" s="33" t="s">
        <v>140</v>
      </c>
      <c r="M188" s="55" t="s">
        <v>56</v>
      </c>
      <c r="N188" s="55" t="s">
        <v>56</v>
      </c>
      <c r="O188" s="54"/>
    </row>
    <row r="189" s="2" customFormat="1" ht="18" customHeight="1" spans="1:15">
      <c r="A189" s="13">
        <v>43607</v>
      </c>
      <c r="B189" s="19">
        <f t="shared" si="8"/>
        <v>883495.15</v>
      </c>
      <c r="C189" s="36"/>
      <c r="D189" s="37" t="s">
        <v>39</v>
      </c>
      <c r="E189" s="38">
        <v>0.03</v>
      </c>
      <c r="F189" s="19">
        <f t="shared" si="9"/>
        <v>26504.85</v>
      </c>
      <c r="G189" s="131">
        <v>910000</v>
      </c>
      <c r="H189" s="24"/>
      <c r="I189" s="130"/>
      <c r="J189" s="50"/>
      <c r="K189" s="53" t="s">
        <v>71</v>
      </c>
      <c r="L189" s="72" t="s">
        <v>130</v>
      </c>
      <c r="M189" s="55"/>
      <c r="N189" s="55"/>
      <c r="O189" s="54"/>
    </row>
    <row r="190" s="2" customFormat="1" ht="18" customHeight="1" spans="1:15">
      <c r="A190" s="13">
        <v>43607</v>
      </c>
      <c r="B190" s="19">
        <f t="shared" si="8"/>
        <v>1217911.5</v>
      </c>
      <c r="C190" s="36"/>
      <c r="D190" s="37" t="s">
        <v>39</v>
      </c>
      <c r="E190" s="38">
        <v>0.13</v>
      </c>
      <c r="F190" s="19">
        <f t="shared" si="9"/>
        <v>158328.5</v>
      </c>
      <c r="G190" s="131">
        <f>333040+1043200</f>
        <v>1376240</v>
      </c>
      <c r="H190" s="24"/>
      <c r="I190" s="130"/>
      <c r="J190" s="50"/>
      <c r="K190" s="53" t="s">
        <v>135</v>
      </c>
      <c r="L190" s="72" t="s">
        <v>141</v>
      </c>
      <c r="M190" s="55"/>
      <c r="N190" s="55"/>
      <c r="O190" s="54"/>
    </row>
    <row r="191" s="2" customFormat="1" ht="18" customHeight="1" spans="1:15">
      <c r="A191" s="13">
        <v>43612</v>
      </c>
      <c r="B191" s="19">
        <f t="shared" si="8"/>
        <v>1680433.03</v>
      </c>
      <c r="C191" s="36"/>
      <c r="D191" s="37" t="s">
        <v>39</v>
      </c>
      <c r="E191" s="38">
        <v>0.09</v>
      </c>
      <c r="F191" s="19">
        <f t="shared" si="9"/>
        <v>151238.97</v>
      </c>
      <c r="G191" s="131">
        <f>805024+1026648</f>
        <v>1831672</v>
      </c>
      <c r="H191" s="24"/>
      <c r="I191" s="130"/>
      <c r="J191" s="50"/>
      <c r="K191" s="53" t="s">
        <v>126</v>
      </c>
      <c r="L191" s="72" t="s">
        <v>130</v>
      </c>
      <c r="M191" s="55" t="s">
        <v>56</v>
      </c>
      <c r="N191" s="55" t="s">
        <v>56</v>
      </c>
      <c r="O191" s="54"/>
    </row>
    <row r="192" s="2" customFormat="1" ht="18" customHeight="1" spans="1:15">
      <c r="A192" s="13">
        <v>43633</v>
      </c>
      <c r="B192" s="19">
        <f t="shared" si="8"/>
        <v>265486.73</v>
      </c>
      <c r="C192" s="36"/>
      <c r="D192" s="37" t="s">
        <v>39</v>
      </c>
      <c r="E192" s="38">
        <v>0.13</v>
      </c>
      <c r="F192" s="19">
        <f t="shared" si="9"/>
        <v>34513.27</v>
      </c>
      <c r="G192" s="131">
        <v>300000</v>
      </c>
      <c r="H192" s="24"/>
      <c r="I192" s="130"/>
      <c r="J192" s="50"/>
      <c r="K192" s="53" t="s">
        <v>61</v>
      </c>
      <c r="L192" s="72" t="s">
        <v>138</v>
      </c>
      <c r="M192" s="50" t="s">
        <v>56</v>
      </c>
      <c r="N192" s="55"/>
      <c r="O192" s="54"/>
    </row>
    <row r="193" s="2" customFormat="1" ht="18" customHeight="1" spans="1:15">
      <c r="A193" s="13">
        <v>43633</v>
      </c>
      <c r="B193" s="19">
        <f t="shared" si="8"/>
        <v>5238.48</v>
      </c>
      <c r="C193" s="36"/>
      <c r="D193" s="37" t="s">
        <v>39</v>
      </c>
      <c r="E193" s="38">
        <v>0.13</v>
      </c>
      <c r="F193" s="19">
        <f t="shared" si="9"/>
        <v>681</v>
      </c>
      <c r="G193" s="131">
        <v>5919.48</v>
      </c>
      <c r="H193" s="24"/>
      <c r="I193" s="130"/>
      <c r="J193" s="50"/>
      <c r="K193" s="53" t="s">
        <v>85</v>
      </c>
      <c r="L193" s="72" t="s">
        <v>86</v>
      </c>
      <c r="M193" s="50"/>
      <c r="N193" s="55"/>
      <c r="O193" s="54"/>
    </row>
    <row r="194" s="2" customFormat="1" ht="18" customHeight="1" spans="1:15">
      <c r="A194" s="13">
        <v>43643</v>
      </c>
      <c r="B194" s="19">
        <f t="shared" si="8"/>
        <v>1002912.62</v>
      </c>
      <c r="C194" s="36"/>
      <c r="D194" s="37" t="s">
        <v>39</v>
      </c>
      <c r="E194" s="38">
        <v>0.03</v>
      </c>
      <c r="F194" s="19">
        <f t="shared" si="9"/>
        <v>30087.38</v>
      </c>
      <c r="G194" s="131">
        <v>1033000</v>
      </c>
      <c r="H194" s="24"/>
      <c r="I194" s="130"/>
      <c r="J194" s="50"/>
      <c r="K194" s="53" t="s">
        <v>71</v>
      </c>
      <c r="L194" s="72" t="s">
        <v>130</v>
      </c>
      <c r="M194" s="55" t="s">
        <v>56</v>
      </c>
      <c r="N194" s="55"/>
      <c r="O194" s="54"/>
    </row>
    <row r="195" s="2" customFormat="1" ht="18" customHeight="1" spans="1:15">
      <c r="A195" s="13"/>
      <c r="B195" s="19">
        <f t="shared" si="8"/>
        <v>0</v>
      </c>
      <c r="C195" s="36"/>
      <c r="D195" s="37"/>
      <c r="E195" s="38"/>
      <c r="F195" s="19">
        <f t="shared" si="9"/>
        <v>0</v>
      </c>
      <c r="G195" s="131"/>
      <c r="H195" s="24">
        <v>43606</v>
      </c>
      <c r="I195" s="136">
        <v>6080</v>
      </c>
      <c r="J195" s="50" t="s">
        <v>23</v>
      </c>
      <c r="K195" s="53" t="s">
        <v>54</v>
      </c>
      <c r="L195" s="72" t="s">
        <v>55</v>
      </c>
      <c r="M195" s="50"/>
      <c r="N195" s="55"/>
      <c r="O195" s="54"/>
    </row>
    <row r="196" s="2" customFormat="1" ht="18" customHeight="1" spans="1:15">
      <c r="A196" s="13"/>
      <c r="B196" s="19">
        <f t="shared" si="8"/>
        <v>0</v>
      </c>
      <c r="C196" s="36"/>
      <c r="D196" s="37"/>
      <c r="E196" s="38"/>
      <c r="F196" s="19">
        <f t="shared" si="9"/>
        <v>0</v>
      </c>
      <c r="G196" s="131"/>
      <c r="H196" s="24">
        <v>43607</v>
      </c>
      <c r="I196" s="136">
        <v>350000</v>
      </c>
      <c r="J196" s="50" t="s">
        <v>23</v>
      </c>
      <c r="K196" s="53" t="s">
        <v>73</v>
      </c>
      <c r="L196" s="72" t="s">
        <v>140</v>
      </c>
      <c r="M196" s="50"/>
      <c r="N196" s="55"/>
      <c r="O196" s="54"/>
    </row>
    <row r="197" s="2" customFormat="1" ht="18" customHeight="1" spans="1:15">
      <c r="A197" s="13"/>
      <c r="B197" s="19">
        <f t="shared" si="8"/>
        <v>0</v>
      </c>
      <c r="C197" s="36"/>
      <c r="D197" s="37"/>
      <c r="E197" s="38"/>
      <c r="F197" s="19">
        <f t="shared" si="9"/>
        <v>0</v>
      </c>
      <c r="G197" s="131"/>
      <c r="H197" s="24">
        <v>43658</v>
      </c>
      <c r="I197" s="136">
        <v>1000000</v>
      </c>
      <c r="J197" s="50" t="s">
        <v>23</v>
      </c>
      <c r="K197" s="53" t="s">
        <v>126</v>
      </c>
      <c r="L197" s="72" t="s">
        <v>130</v>
      </c>
      <c r="M197" s="50"/>
      <c r="N197" s="55"/>
      <c r="O197" s="54"/>
    </row>
    <row r="198" s="2" customFormat="1" ht="18" customHeight="1" spans="1:15">
      <c r="A198" s="13"/>
      <c r="B198" s="19">
        <f t="shared" si="8"/>
        <v>0</v>
      </c>
      <c r="C198" s="36"/>
      <c r="D198" s="37"/>
      <c r="E198" s="38"/>
      <c r="F198" s="19">
        <f t="shared" si="9"/>
        <v>0</v>
      </c>
      <c r="G198" s="131"/>
      <c r="H198" s="24">
        <v>43658</v>
      </c>
      <c r="I198" s="136">
        <v>876240</v>
      </c>
      <c r="J198" s="50" t="s">
        <v>23</v>
      </c>
      <c r="K198" s="53" t="s">
        <v>135</v>
      </c>
      <c r="L198" s="72" t="s">
        <v>141</v>
      </c>
      <c r="M198" s="50"/>
      <c r="N198" s="55"/>
      <c r="O198" s="54"/>
    </row>
    <row r="199" s="2" customFormat="1" ht="18" customHeight="1" spans="1:15">
      <c r="A199" s="13">
        <v>43661</v>
      </c>
      <c r="B199" s="19">
        <f t="shared" si="8"/>
        <v>1114563.11</v>
      </c>
      <c r="C199" s="36"/>
      <c r="D199" s="37" t="s">
        <v>39</v>
      </c>
      <c r="E199" s="38">
        <v>0.03</v>
      </c>
      <c r="F199" s="19">
        <f t="shared" si="9"/>
        <v>33436.89</v>
      </c>
      <c r="G199" s="131">
        <f>1000000+148000</f>
        <v>1148000</v>
      </c>
      <c r="H199" s="24">
        <v>43658</v>
      </c>
      <c r="I199" s="136">
        <v>1148000</v>
      </c>
      <c r="J199" s="50" t="s">
        <v>23</v>
      </c>
      <c r="K199" s="53" t="s">
        <v>142</v>
      </c>
      <c r="L199" s="72" t="s">
        <v>143</v>
      </c>
      <c r="M199" s="50" t="s">
        <v>56</v>
      </c>
      <c r="N199" s="55"/>
      <c r="O199" s="54"/>
    </row>
    <row r="200" s="2" customFormat="1" ht="18" customHeight="1" spans="1:15">
      <c r="A200" s="13"/>
      <c r="B200" s="19">
        <f t="shared" si="8"/>
        <v>0</v>
      </c>
      <c r="C200" s="36"/>
      <c r="D200" s="37"/>
      <c r="E200" s="38"/>
      <c r="F200" s="19">
        <f t="shared" si="9"/>
        <v>0</v>
      </c>
      <c r="G200" s="131"/>
      <c r="H200" s="24">
        <v>43607</v>
      </c>
      <c r="I200" s="136">
        <v>-16458</v>
      </c>
      <c r="J200" s="50" t="s">
        <v>23</v>
      </c>
      <c r="K200" s="53" t="s">
        <v>57</v>
      </c>
      <c r="L200" s="72" t="s">
        <v>144</v>
      </c>
      <c r="M200" s="50"/>
      <c r="N200" s="55"/>
      <c r="O200" s="54"/>
    </row>
    <row r="201" s="2" customFormat="1" ht="18" customHeight="1" spans="1:15">
      <c r="A201" s="13"/>
      <c r="B201" s="19">
        <f t="shared" si="8"/>
        <v>0</v>
      </c>
      <c r="C201" s="36"/>
      <c r="D201" s="37"/>
      <c r="E201" s="38"/>
      <c r="F201" s="19">
        <f t="shared" si="9"/>
        <v>0</v>
      </c>
      <c r="G201" s="131"/>
      <c r="H201" s="24">
        <v>43707</v>
      </c>
      <c r="I201" s="136">
        <v>1000000</v>
      </c>
      <c r="J201" s="50" t="s">
        <v>23</v>
      </c>
      <c r="K201" s="53" t="s">
        <v>126</v>
      </c>
      <c r="L201" s="72" t="s">
        <v>130</v>
      </c>
      <c r="M201" s="50"/>
      <c r="N201" s="55"/>
      <c r="O201" s="54"/>
    </row>
    <row r="202" s="2" customFormat="1" ht="18" customHeight="1" spans="1:15">
      <c r="A202" s="13">
        <v>43770</v>
      </c>
      <c r="B202" s="19">
        <f t="shared" si="8"/>
        <v>1221238.94</v>
      </c>
      <c r="C202" s="36"/>
      <c r="D202" s="37" t="s">
        <v>39</v>
      </c>
      <c r="E202" s="80">
        <v>0.13</v>
      </c>
      <c r="F202" s="19">
        <f t="shared" si="9"/>
        <v>158761.06</v>
      </c>
      <c r="G202" s="131">
        <v>1380000</v>
      </c>
      <c r="H202" s="24">
        <v>43756</v>
      </c>
      <c r="I202" s="136">
        <v>1380000</v>
      </c>
      <c r="J202" s="50" t="s">
        <v>23</v>
      </c>
      <c r="K202" s="53" t="s">
        <v>61</v>
      </c>
      <c r="L202" s="71" t="s">
        <v>62</v>
      </c>
      <c r="M202" s="50"/>
      <c r="N202" s="55"/>
      <c r="O202" s="54"/>
    </row>
    <row r="203" s="2" customFormat="1" ht="18" customHeight="1" spans="1:15">
      <c r="A203" s="13"/>
      <c r="B203" s="19">
        <f t="shared" si="8"/>
        <v>0</v>
      </c>
      <c r="C203" s="36"/>
      <c r="D203" s="37"/>
      <c r="E203" s="38"/>
      <c r="F203" s="19">
        <f t="shared" si="9"/>
        <v>0</v>
      </c>
      <c r="G203" s="131"/>
      <c r="H203" s="24">
        <v>43756</v>
      </c>
      <c r="I203" s="136">
        <v>1943000</v>
      </c>
      <c r="J203" s="50" t="s">
        <v>23</v>
      </c>
      <c r="K203" s="53" t="s">
        <v>71</v>
      </c>
      <c r="L203" s="71" t="s">
        <v>72</v>
      </c>
      <c r="M203" s="50"/>
      <c r="N203" s="55"/>
      <c r="O203" s="54"/>
    </row>
    <row r="204" s="2" customFormat="1" ht="18" customHeight="1" spans="1:15">
      <c r="A204" s="13">
        <v>43844</v>
      </c>
      <c r="B204" s="19">
        <f t="shared" si="8"/>
        <v>8860471.84</v>
      </c>
      <c r="C204" s="75"/>
      <c r="D204" s="76" t="s">
        <v>39</v>
      </c>
      <c r="E204" s="81">
        <v>0.03</v>
      </c>
      <c r="F204" s="19">
        <f t="shared" si="9"/>
        <v>265814.16</v>
      </c>
      <c r="G204" s="139">
        <f>626286+500000*7+1000000*5</f>
        <v>9126286</v>
      </c>
      <c r="H204" s="24"/>
      <c r="I204" s="136"/>
      <c r="J204" s="50"/>
      <c r="K204" s="53" t="s">
        <v>142</v>
      </c>
      <c r="L204" s="72" t="s">
        <v>143</v>
      </c>
      <c r="M204" s="50" t="s">
        <v>56</v>
      </c>
      <c r="N204" s="55"/>
      <c r="O204" s="54"/>
    </row>
    <row r="205" s="1" customFormat="1" ht="18" customHeight="1" spans="1:15">
      <c r="A205" s="24">
        <v>43839</v>
      </c>
      <c r="B205" s="19">
        <f t="shared" si="8"/>
        <v>266017.7</v>
      </c>
      <c r="C205" s="75"/>
      <c r="D205" s="76" t="s">
        <v>39</v>
      </c>
      <c r="E205" s="81">
        <v>0.13</v>
      </c>
      <c r="F205" s="19">
        <f t="shared" si="9"/>
        <v>34582.3</v>
      </c>
      <c r="G205" s="139">
        <v>300600</v>
      </c>
      <c r="H205" s="24"/>
      <c r="I205" s="136"/>
      <c r="J205" s="50"/>
      <c r="K205" s="53" t="s">
        <v>63</v>
      </c>
      <c r="L205" s="71" t="s">
        <v>145</v>
      </c>
      <c r="M205" s="50" t="s">
        <v>56</v>
      </c>
      <c r="N205" s="50"/>
      <c r="O205" s="33"/>
    </row>
    <row r="206" s="1" customFormat="1" ht="18" customHeight="1" spans="1:16">
      <c r="A206" s="24">
        <v>43846</v>
      </c>
      <c r="B206" s="19">
        <f t="shared" si="8"/>
        <v>734078.9</v>
      </c>
      <c r="C206" s="75"/>
      <c r="D206" s="76" t="s">
        <v>39</v>
      </c>
      <c r="E206" s="81">
        <v>0.09</v>
      </c>
      <c r="F206" s="19">
        <f t="shared" si="9"/>
        <v>66067.1</v>
      </c>
      <c r="G206" s="139">
        <v>800146</v>
      </c>
      <c r="H206" s="140">
        <v>43851</v>
      </c>
      <c r="I206" s="136">
        <v>2000000</v>
      </c>
      <c r="J206" s="142" t="s">
        <v>40</v>
      </c>
      <c r="K206" s="53" t="s">
        <v>126</v>
      </c>
      <c r="L206" s="71" t="s">
        <v>146</v>
      </c>
      <c r="M206" s="50" t="s">
        <v>56</v>
      </c>
      <c r="N206" s="50"/>
      <c r="O206" s="86" t="s">
        <v>147</v>
      </c>
      <c r="P206" s="1" t="s">
        <v>148</v>
      </c>
    </row>
    <row r="207" s="2" customFormat="1" ht="18" customHeight="1" spans="1:15">
      <c r="A207" s="13">
        <v>43840</v>
      </c>
      <c r="B207" s="19">
        <f t="shared" si="8"/>
        <v>2928155.34</v>
      </c>
      <c r="C207" s="36"/>
      <c r="D207" s="76" t="s">
        <v>39</v>
      </c>
      <c r="E207" s="80">
        <v>0.03</v>
      </c>
      <c r="F207" s="19">
        <f t="shared" si="9"/>
        <v>87844.66</v>
      </c>
      <c r="G207" s="131">
        <v>3016000</v>
      </c>
      <c r="H207" s="24"/>
      <c r="I207" s="136"/>
      <c r="J207" s="50"/>
      <c r="K207" s="53" t="s">
        <v>73</v>
      </c>
      <c r="L207" s="71" t="s">
        <v>149</v>
      </c>
      <c r="M207" s="50" t="s">
        <v>56</v>
      </c>
      <c r="N207" s="50" t="s">
        <v>56</v>
      </c>
      <c r="O207" s="54"/>
    </row>
    <row r="208" s="2" customFormat="1" ht="18" customHeight="1" spans="1:15">
      <c r="A208" s="13"/>
      <c r="B208" s="19">
        <f t="shared" si="8"/>
        <v>0</v>
      </c>
      <c r="C208" s="36"/>
      <c r="D208" s="37"/>
      <c r="E208" s="38"/>
      <c r="F208" s="19">
        <f t="shared" si="9"/>
        <v>0</v>
      </c>
      <c r="G208" s="131"/>
      <c r="H208" s="24">
        <v>43853</v>
      </c>
      <c r="I208" s="136">
        <v>120000</v>
      </c>
      <c r="J208" s="56" t="s">
        <v>23</v>
      </c>
      <c r="K208" s="53" t="s">
        <v>113</v>
      </c>
      <c r="L208" s="71" t="s">
        <v>114</v>
      </c>
      <c r="M208" s="50"/>
      <c r="N208" s="55"/>
      <c r="O208" s="54"/>
    </row>
    <row r="209" s="2" customFormat="1" ht="18" customHeight="1" spans="1:15">
      <c r="A209" s="13"/>
      <c r="B209" s="19">
        <f t="shared" si="8"/>
        <v>0</v>
      </c>
      <c r="C209" s="36"/>
      <c r="D209" s="37"/>
      <c r="E209" s="38"/>
      <c r="F209" s="19">
        <f t="shared" si="9"/>
        <v>0</v>
      </c>
      <c r="G209" s="131"/>
      <c r="H209" s="24">
        <v>43853</v>
      </c>
      <c r="I209" s="136">
        <v>300600</v>
      </c>
      <c r="J209" s="56" t="s">
        <v>23</v>
      </c>
      <c r="K209" s="53" t="s">
        <v>63</v>
      </c>
      <c r="L209" s="71" t="s">
        <v>90</v>
      </c>
      <c r="M209" s="50"/>
      <c r="N209" s="55"/>
      <c r="O209" s="54"/>
    </row>
    <row r="210" s="2" customFormat="1" ht="18" customHeight="1" spans="1:15">
      <c r="A210" s="13"/>
      <c r="B210" s="19">
        <f t="shared" ref="B210:B226" si="10">ROUND(G210/(1+E210),2)</f>
        <v>0</v>
      </c>
      <c r="C210" s="36"/>
      <c r="D210" s="37"/>
      <c r="E210" s="38"/>
      <c r="F210" s="19">
        <f t="shared" ref="F210:F217" si="11">ROUND(G210/(1+E210)*E210,2)</f>
        <v>0</v>
      </c>
      <c r="G210" s="131"/>
      <c r="H210" s="24">
        <v>43853</v>
      </c>
      <c r="I210" s="136">
        <v>1246000</v>
      </c>
      <c r="J210" s="56" t="s">
        <v>23</v>
      </c>
      <c r="K210" s="53" t="s">
        <v>137</v>
      </c>
      <c r="L210" s="71" t="s">
        <v>90</v>
      </c>
      <c r="M210" s="50"/>
      <c r="N210" s="55"/>
      <c r="O210" s="54"/>
    </row>
    <row r="211" s="2" customFormat="1" ht="18" customHeight="1" spans="1:15">
      <c r="A211" s="13"/>
      <c r="B211" s="19">
        <f t="shared" si="10"/>
        <v>0</v>
      </c>
      <c r="C211" s="36"/>
      <c r="D211" s="37"/>
      <c r="E211" s="38"/>
      <c r="F211" s="19">
        <f t="shared" si="11"/>
        <v>0</v>
      </c>
      <c r="G211" s="131"/>
      <c r="H211" s="24">
        <v>43853</v>
      </c>
      <c r="I211" s="136">
        <v>879818</v>
      </c>
      <c r="J211" s="56" t="s">
        <v>23</v>
      </c>
      <c r="K211" s="53" t="s">
        <v>126</v>
      </c>
      <c r="L211" s="71" t="s">
        <v>130</v>
      </c>
      <c r="M211" s="50"/>
      <c r="N211" s="55"/>
      <c r="O211" s="54"/>
    </row>
    <row r="212" s="2" customFormat="1" ht="18" customHeight="1" spans="1:15">
      <c r="A212" s="13"/>
      <c r="B212" s="19">
        <f t="shared" si="10"/>
        <v>0</v>
      </c>
      <c r="C212" s="36"/>
      <c r="D212" s="37"/>
      <c r="E212" s="38"/>
      <c r="F212" s="19">
        <f t="shared" si="11"/>
        <v>0</v>
      </c>
      <c r="G212" s="131"/>
      <c r="H212" s="24">
        <v>43853</v>
      </c>
      <c r="I212" s="136">
        <v>301600</v>
      </c>
      <c r="J212" s="56" t="s">
        <v>23</v>
      </c>
      <c r="K212" s="53" t="s">
        <v>73</v>
      </c>
      <c r="L212" s="71" t="s">
        <v>149</v>
      </c>
      <c r="M212" s="50"/>
      <c r="N212" s="55"/>
      <c r="O212" s="54"/>
    </row>
    <row r="213" s="2" customFormat="1" ht="18" customHeight="1" spans="1:15">
      <c r="A213" s="13"/>
      <c r="B213" s="19">
        <f t="shared" si="10"/>
        <v>0</v>
      </c>
      <c r="C213" s="36"/>
      <c r="D213" s="37"/>
      <c r="E213" s="38"/>
      <c r="F213" s="19">
        <f t="shared" si="11"/>
        <v>0</v>
      </c>
      <c r="G213" s="131"/>
      <c r="H213" s="24">
        <v>43853</v>
      </c>
      <c r="I213" s="136">
        <v>9126286</v>
      </c>
      <c r="J213" s="56" t="s">
        <v>23</v>
      </c>
      <c r="K213" s="87" t="s">
        <v>142</v>
      </c>
      <c r="L213" s="88" t="s">
        <v>143</v>
      </c>
      <c r="M213" s="50"/>
      <c r="N213" s="55"/>
      <c r="O213" s="54"/>
    </row>
    <row r="214" s="2" customFormat="1" ht="18" customHeight="1" spans="1:15">
      <c r="A214" s="13">
        <v>43899</v>
      </c>
      <c r="B214" s="19">
        <f t="shared" si="10"/>
        <v>146</v>
      </c>
      <c r="C214" s="36"/>
      <c r="D214" s="37" t="s">
        <v>45</v>
      </c>
      <c r="E214" s="38"/>
      <c r="F214" s="19">
        <f t="shared" si="11"/>
        <v>0</v>
      </c>
      <c r="G214" s="131">
        <v>146</v>
      </c>
      <c r="H214" s="24"/>
      <c r="I214" s="136"/>
      <c r="J214" s="56"/>
      <c r="K214" s="87" t="s">
        <v>150</v>
      </c>
      <c r="L214" s="88" t="s">
        <v>151</v>
      </c>
      <c r="M214" s="50"/>
      <c r="N214" s="55"/>
      <c r="O214" s="54"/>
    </row>
    <row r="215" s="2" customFormat="1" ht="18" customHeight="1" spans="1:15">
      <c r="A215" s="13"/>
      <c r="B215" s="19">
        <f t="shared" si="10"/>
        <v>0</v>
      </c>
      <c r="C215" s="36"/>
      <c r="D215" s="37"/>
      <c r="E215" s="38"/>
      <c r="F215" s="19">
        <f t="shared" si="11"/>
        <v>0</v>
      </c>
      <c r="G215" s="131"/>
      <c r="H215" s="24">
        <v>43901</v>
      </c>
      <c r="I215" s="136">
        <v>2714400</v>
      </c>
      <c r="J215" s="56" t="s">
        <v>23</v>
      </c>
      <c r="K215" s="87" t="s">
        <v>73</v>
      </c>
      <c r="L215" s="88" t="s">
        <v>149</v>
      </c>
      <c r="M215" s="50"/>
      <c r="N215" s="55"/>
      <c r="O215" s="54"/>
    </row>
    <row r="216" s="2" customFormat="1" ht="18" customHeight="1" spans="1:15">
      <c r="A216" s="13"/>
      <c r="B216" s="19">
        <f t="shared" si="10"/>
        <v>0</v>
      </c>
      <c r="C216" s="36"/>
      <c r="D216" s="37"/>
      <c r="E216" s="38"/>
      <c r="F216" s="19">
        <f t="shared" si="11"/>
        <v>0</v>
      </c>
      <c r="G216" s="131"/>
      <c r="H216" s="24">
        <v>43907</v>
      </c>
      <c r="I216" s="130">
        <v>4069878.25</v>
      </c>
      <c r="J216" s="56" t="s">
        <v>23</v>
      </c>
      <c r="K216" s="87" t="s">
        <v>44</v>
      </c>
      <c r="L216" s="89" t="s">
        <v>152</v>
      </c>
      <c r="M216" s="50"/>
      <c r="N216" s="55"/>
      <c r="O216" s="54"/>
    </row>
    <row r="217" s="2" customFormat="1" ht="18" customHeight="1" spans="1:15">
      <c r="A217" s="13"/>
      <c r="B217" s="19">
        <f t="shared" si="10"/>
        <v>0</v>
      </c>
      <c r="C217" s="36"/>
      <c r="D217" s="37"/>
      <c r="E217" s="38"/>
      <c r="F217" s="19">
        <f t="shared" si="11"/>
        <v>0</v>
      </c>
      <c r="G217" s="131"/>
      <c r="H217" s="24">
        <v>43923</v>
      </c>
      <c r="I217" s="130">
        <v>1485666.08</v>
      </c>
      <c r="J217" s="56" t="s">
        <v>23</v>
      </c>
      <c r="K217" s="87" t="s">
        <v>5</v>
      </c>
      <c r="L217" s="89" t="s">
        <v>153</v>
      </c>
      <c r="M217" s="50"/>
      <c r="N217" s="55"/>
      <c r="O217" s="54"/>
    </row>
    <row r="218" s="2" customFormat="1" ht="18" customHeight="1" spans="1:15">
      <c r="A218" s="13"/>
      <c r="B218" s="19">
        <f t="shared" si="10"/>
        <v>0</v>
      </c>
      <c r="C218" s="36"/>
      <c r="D218" s="37"/>
      <c r="E218" s="38"/>
      <c r="F218" s="19">
        <f t="shared" ref="F218:F228" si="12">ROUND(G218/(1+E218)*E218,2)</f>
        <v>0</v>
      </c>
      <c r="G218" s="131"/>
      <c r="H218" s="65">
        <v>44161</v>
      </c>
      <c r="I218" s="143">
        <v>49599.64</v>
      </c>
      <c r="J218" s="91" t="s">
        <v>23</v>
      </c>
      <c r="K218" s="144" t="s">
        <v>5</v>
      </c>
      <c r="L218" s="89"/>
      <c r="M218" s="50"/>
      <c r="N218" s="55"/>
      <c r="O218" s="54"/>
    </row>
    <row r="219" s="2" customFormat="1" ht="18" customHeight="1" spans="1:15">
      <c r="A219" s="13"/>
      <c r="B219" s="19">
        <f t="shared" si="10"/>
        <v>0</v>
      </c>
      <c r="C219" s="36"/>
      <c r="D219" s="37"/>
      <c r="E219" s="38"/>
      <c r="F219" s="19">
        <f t="shared" si="12"/>
        <v>0</v>
      </c>
      <c r="G219" s="131"/>
      <c r="H219" s="65"/>
      <c r="I219" s="135">
        <v>50</v>
      </c>
      <c r="J219" s="58" t="s">
        <v>155</v>
      </c>
      <c r="K219" s="87" t="s">
        <v>202</v>
      </c>
      <c r="L219" s="89"/>
      <c r="M219" s="50"/>
      <c r="N219" s="55"/>
      <c r="O219" s="54"/>
    </row>
    <row r="220" s="2" customFormat="1" ht="18" customHeight="1" spans="1:15">
      <c r="A220" s="13"/>
      <c r="B220" s="19">
        <f t="shared" si="10"/>
        <v>0</v>
      </c>
      <c r="C220" s="36"/>
      <c r="D220" s="37"/>
      <c r="E220" s="38"/>
      <c r="F220" s="19">
        <f t="shared" si="12"/>
        <v>0</v>
      </c>
      <c r="G220" s="131"/>
      <c r="H220" s="65"/>
      <c r="I220" s="135">
        <v>1000</v>
      </c>
      <c r="J220" s="58" t="s">
        <v>155</v>
      </c>
      <c r="K220" s="94" t="s">
        <v>203</v>
      </c>
      <c r="L220" s="89"/>
      <c r="M220" s="50"/>
      <c r="N220" s="55"/>
      <c r="O220" s="54"/>
    </row>
    <row r="221" s="2" customFormat="1" ht="18" customHeight="1" spans="1:15">
      <c r="A221" s="13"/>
      <c r="B221" s="19">
        <f t="shared" si="10"/>
        <v>0</v>
      </c>
      <c r="C221" s="36"/>
      <c r="D221" s="37"/>
      <c r="E221" s="38"/>
      <c r="F221" s="19">
        <f t="shared" si="12"/>
        <v>0</v>
      </c>
      <c r="G221" s="131"/>
      <c r="H221" s="24"/>
      <c r="I221" s="143">
        <v>50</v>
      </c>
      <c r="J221" s="91" t="s">
        <v>204</v>
      </c>
      <c r="K221" s="93" t="s">
        <v>202</v>
      </c>
      <c r="L221" s="89"/>
      <c r="M221" s="50"/>
      <c r="N221" s="55"/>
      <c r="O221" s="54"/>
    </row>
    <row r="222" s="2" customFormat="1" ht="18" customHeight="1" spans="1:15">
      <c r="A222" s="13"/>
      <c r="B222" s="19">
        <f t="shared" si="10"/>
        <v>0</v>
      </c>
      <c r="C222" s="36"/>
      <c r="D222" s="37"/>
      <c r="E222" s="38"/>
      <c r="F222" s="19">
        <f t="shared" si="12"/>
        <v>0</v>
      </c>
      <c r="G222" s="131"/>
      <c r="H222" s="24"/>
      <c r="I222" s="143">
        <f>F278-137400</f>
        <v>45296.21630509</v>
      </c>
      <c r="J222" s="91" t="s">
        <v>204</v>
      </c>
      <c r="K222" s="93" t="s">
        <v>205</v>
      </c>
      <c r="L222" s="89"/>
      <c r="M222" s="50"/>
      <c r="N222" s="55"/>
      <c r="O222" s="54"/>
    </row>
    <row r="223" s="2" customFormat="1" ht="18" customHeight="1" spans="1:16">
      <c r="A223" s="13"/>
      <c r="B223" s="19">
        <f t="shared" si="10"/>
        <v>0</v>
      </c>
      <c r="C223" s="36"/>
      <c r="D223" s="37"/>
      <c r="E223" s="38"/>
      <c r="F223" s="19">
        <f t="shared" si="12"/>
        <v>0</v>
      </c>
      <c r="G223" s="131"/>
      <c r="H223" s="24" t="s">
        <v>154</v>
      </c>
      <c r="I223" s="145">
        <v>564816</v>
      </c>
      <c r="J223" s="56" t="s">
        <v>155</v>
      </c>
      <c r="K223" s="96" t="s">
        <v>206</v>
      </c>
      <c r="L223" s="97" t="s">
        <v>139</v>
      </c>
      <c r="M223" s="50"/>
      <c r="N223" s="55"/>
      <c r="O223" s="54"/>
      <c r="P223" s="2">
        <v>12606</v>
      </c>
    </row>
    <row r="224" s="2" customFormat="1" ht="18" customHeight="1" spans="1:16">
      <c r="A224" s="13"/>
      <c r="B224" s="19">
        <f t="shared" si="10"/>
        <v>0</v>
      </c>
      <c r="C224" s="36"/>
      <c r="D224" s="37"/>
      <c r="E224" s="38"/>
      <c r="F224" s="19">
        <f t="shared" si="12"/>
        <v>0</v>
      </c>
      <c r="G224" s="131"/>
      <c r="H224" s="24" t="s">
        <v>154</v>
      </c>
      <c r="I224" s="130">
        <v>-114500</v>
      </c>
      <c r="J224" s="56" t="s">
        <v>158</v>
      </c>
      <c r="K224" s="87" t="s">
        <v>159</v>
      </c>
      <c r="L224" s="89"/>
      <c r="M224" s="50"/>
      <c r="N224" s="55"/>
      <c r="O224" s="54"/>
      <c r="P224" s="2">
        <v>414810</v>
      </c>
    </row>
    <row r="225" s="2" customFormat="1" ht="18" customHeight="1" spans="1:16">
      <c r="A225" s="13"/>
      <c r="B225" s="19">
        <f t="shared" si="10"/>
        <v>114500</v>
      </c>
      <c r="C225" s="36"/>
      <c r="D225" s="37"/>
      <c r="E225" s="38"/>
      <c r="F225" s="19">
        <f t="shared" si="12"/>
        <v>0</v>
      </c>
      <c r="G225" s="131">
        <v>114500</v>
      </c>
      <c r="H225" s="24" t="s">
        <v>154</v>
      </c>
      <c r="I225" s="130">
        <v>114500</v>
      </c>
      <c r="J225" s="56" t="s">
        <v>155</v>
      </c>
      <c r="K225" s="87" t="s">
        <v>159</v>
      </c>
      <c r="L225" s="89"/>
      <c r="M225" s="50"/>
      <c r="N225" s="55"/>
      <c r="O225" s="54"/>
      <c r="P225" s="2">
        <v>137400</v>
      </c>
    </row>
    <row r="226" s="2" customFormat="1" ht="18" customHeight="1" spans="1:15">
      <c r="A226" s="13"/>
      <c r="B226" s="19">
        <f t="shared" ref="B223:B255" si="13">ROUND(G226/(1+E226),2)</f>
        <v>0</v>
      </c>
      <c r="C226" s="36"/>
      <c r="D226" s="37"/>
      <c r="E226" s="38"/>
      <c r="F226" s="19">
        <f t="shared" si="12"/>
        <v>0</v>
      </c>
      <c r="G226" s="131"/>
      <c r="H226" s="24" t="s">
        <v>160</v>
      </c>
      <c r="I226" s="130">
        <v>-16639</v>
      </c>
      <c r="J226" s="56" t="s">
        <v>158</v>
      </c>
      <c r="K226" s="87" t="s">
        <v>161</v>
      </c>
      <c r="L226" s="99"/>
      <c r="M226" s="50"/>
      <c r="N226" s="55"/>
      <c r="O226" s="54"/>
    </row>
    <row r="227" s="2" customFormat="1" ht="18" customHeight="1" spans="1:15">
      <c r="A227" s="13"/>
      <c r="B227" s="19">
        <f t="shared" si="13"/>
        <v>16639</v>
      </c>
      <c r="C227" s="36"/>
      <c r="D227" s="37"/>
      <c r="E227" s="38"/>
      <c r="F227" s="19">
        <f t="shared" si="12"/>
        <v>0</v>
      </c>
      <c r="G227" s="131">
        <v>16639</v>
      </c>
      <c r="H227" s="24" t="s">
        <v>160</v>
      </c>
      <c r="I227" s="130">
        <v>16639</v>
      </c>
      <c r="J227" s="56" t="s">
        <v>155</v>
      </c>
      <c r="K227" s="87" t="s">
        <v>159</v>
      </c>
      <c r="L227" s="89"/>
      <c r="M227" s="50"/>
      <c r="N227" s="55"/>
      <c r="O227" s="54"/>
    </row>
    <row r="228" s="2" customFormat="1" ht="18" customHeight="1" spans="1:15">
      <c r="A228" s="13"/>
      <c r="B228" s="19">
        <f t="shared" si="13"/>
        <v>0</v>
      </c>
      <c r="C228" s="36"/>
      <c r="D228" s="37"/>
      <c r="E228" s="38"/>
      <c r="F228" s="19">
        <f t="shared" si="12"/>
        <v>0</v>
      </c>
      <c r="G228" s="131"/>
      <c r="H228" s="24" t="s">
        <v>162</v>
      </c>
      <c r="I228" s="130">
        <v>-5000</v>
      </c>
      <c r="J228" s="56" t="s">
        <v>158</v>
      </c>
      <c r="K228" s="87" t="s">
        <v>159</v>
      </c>
      <c r="L228" s="89"/>
      <c r="M228" s="50"/>
      <c r="N228" s="55"/>
      <c r="O228" s="54"/>
    </row>
    <row r="229" s="2" customFormat="1" ht="18" customHeight="1" spans="1:15">
      <c r="A229" s="13"/>
      <c r="B229" s="19">
        <f t="shared" si="13"/>
        <v>5000</v>
      </c>
      <c r="C229" s="36"/>
      <c r="D229" s="37"/>
      <c r="E229" s="38"/>
      <c r="F229" s="19">
        <f t="shared" ref="F223:F255" si="14">ROUND(G229/(1+E229)*E229,2)</f>
        <v>0</v>
      </c>
      <c r="G229" s="131">
        <v>5000</v>
      </c>
      <c r="H229" s="24" t="s">
        <v>162</v>
      </c>
      <c r="I229" s="130">
        <v>5000</v>
      </c>
      <c r="J229" s="56" t="s">
        <v>155</v>
      </c>
      <c r="K229" s="87" t="s">
        <v>159</v>
      </c>
      <c r="L229" s="89"/>
      <c r="M229" s="50"/>
      <c r="N229" s="55"/>
      <c r="O229" s="54"/>
    </row>
    <row r="230" s="2" customFormat="1" ht="18" customHeight="1" spans="1:15">
      <c r="A230" s="13"/>
      <c r="B230" s="19">
        <f t="shared" si="13"/>
        <v>0</v>
      </c>
      <c r="C230" s="36"/>
      <c r="D230" s="37"/>
      <c r="E230" s="38"/>
      <c r="F230" s="19">
        <f t="shared" si="14"/>
        <v>0</v>
      </c>
      <c r="G230" s="131"/>
      <c r="H230" s="24" t="s">
        <v>163</v>
      </c>
      <c r="I230" s="130">
        <v>-59371</v>
      </c>
      <c r="J230" s="56"/>
      <c r="K230" s="87" t="s">
        <v>161</v>
      </c>
      <c r="L230" s="89"/>
      <c r="M230" s="50"/>
      <c r="N230" s="55"/>
      <c r="O230" s="54"/>
    </row>
    <row r="231" s="2" customFormat="1" ht="18" customHeight="1" spans="1:15">
      <c r="A231" s="13"/>
      <c r="B231" s="19">
        <f t="shared" si="13"/>
        <v>0</v>
      </c>
      <c r="C231" s="36"/>
      <c r="D231" s="37"/>
      <c r="E231" s="38"/>
      <c r="F231" s="19">
        <f t="shared" si="14"/>
        <v>0</v>
      </c>
      <c r="G231" s="131"/>
      <c r="H231" s="24" t="s">
        <v>163</v>
      </c>
      <c r="I231" s="130">
        <v>40337</v>
      </c>
      <c r="J231" s="56" t="s">
        <v>155</v>
      </c>
      <c r="K231" s="87" t="s">
        <v>9</v>
      </c>
      <c r="L231" s="89"/>
      <c r="M231" s="50"/>
      <c r="N231" s="55"/>
      <c r="O231" s="54"/>
    </row>
    <row r="232" s="2" customFormat="1" ht="18" customHeight="1" spans="1:15">
      <c r="A232" s="13"/>
      <c r="B232" s="19">
        <f t="shared" si="13"/>
        <v>0</v>
      </c>
      <c r="C232" s="36"/>
      <c r="D232" s="37"/>
      <c r="E232" s="38"/>
      <c r="F232" s="19">
        <f t="shared" si="14"/>
        <v>0</v>
      </c>
      <c r="G232" s="131"/>
      <c r="H232" s="24" t="s">
        <v>163</v>
      </c>
      <c r="I232" s="130">
        <v>4034</v>
      </c>
      <c r="J232" s="56" t="s">
        <v>155</v>
      </c>
      <c r="K232" s="87" t="s">
        <v>164</v>
      </c>
      <c r="L232" s="89"/>
      <c r="M232" s="50"/>
      <c r="N232" s="55"/>
      <c r="O232" s="54"/>
    </row>
    <row r="233" s="2" customFormat="1" ht="18" customHeight="1" spans="1:15">
      <c r="A233" s="13"/>
      <c r="B233" s="19">
        <f t="shared" si="13"/>
        <v>15000</v>
      </c>
      <c r="C233" s="36"/>
      <c r="D233" s="37"/>
      <c r="E233" s="38"/>
      <c r="F233" s="19">
        <f t="shared" si="14"/>
        <v>0</v>
      </c>
      <c r="G233" s="131">
        <f>15000</f>
        <v>15000</v>
      </c>
      <c r="H233" s="24" t="s">
        <v>163</v>
      </c>
      <c r="I233" s="130">
        <f>G233</f>
        <v>15000</v>
      </c>
      <c r="J233" s="56" t="s">
        <v>155</v>
      </c>
      <c r="K233" s="87" t="s">
        <v>159</v>
      </c>
      <c r="L233" s="89"/>
      <c r="M233" s="55"/>
      <c r="N233" s="55"/>
      <c r="O233" s="54"/>
    </row>
    <row r="234" s="2" customFormat="1" ht="18" customHeight="1" spans="1:15">
      <c r="A234" s="13"/>
      <c r="B234" s="19">
        <f t="shared" si="13"/>
        <v>0</v>
      </c>
      <c r="C234" s="36"/>
      <c r="D234" s="37"/>
      <c r="E234" s="38"/>
      <c r="F234" s="19">
        <f t="shared" si="14"/>
        <v>0</v>
      </c>
      <c r="G234" s="131"/>
      <c r="H234" s="24" t="s">
        <v>165</v>
      </c>
      <c r="I234" s="143">
        <v>-76486</v>
      </c>
      <c r="J234" s="56" t="s">
        <v>158</v>
      </c>
      <c r="K234" s="87" t="s">
        <v>166</v>
      </c>
      <c r="L234" s="89"/>
      <c r="M234" s="55"/>
      <c r="N234" s="55"/>
      <c r="O234" s="54" t="s">
        <v>139</v>
      </c>
    </row>
    <row r="235" s="2" customFormat="1" ht="18" customHeight="1" spans="1:15">
      <c r="A235" s="13"/>
      <c r="B235" s="19">
        <f t="shared" si="13"/>
        <v>0</v>
      </c>
      <c r="C235" s="36"/>
      <c r="D235" s="37"/>
      <c r="E235" s="38"/>
      <c r="F235" s="19">
        <f t="shared" si="14"/>
        <v>0</v>
      </c>
      <c r="G235" s="131"/>
      <c r="H235" s="24" t="s">
        <v>165</v>
      </c>
      <c r="I235" s="143">
        <v>38084</v>
      </c>
      <c r="J235" s="56" t="s">
        <v>155</v>
      </c>
      <c r="K235" s="87" t="s">
        <v>9</v>
      </c>
      <c r="L235" s="89"/>
      <c r="M235" s="55"/>
      <c r="N235" s="55"/>
      <c r="O235" s="54"/>
    </row>
    <row r="236" s="2" customFormat="1" ht="18" customHeight="1" spans="1:15">
      <c r="A236" s="13"/>
      <c r="B236" s="19">
        <f t="shared" si="13"/>
        <v>0</v>
      </c>
      <c r="C236" s="36"/>
      <c r="D236" s="37"/>
      <c r="E236" s="38"/>
      <c r="F236" s="19">
        <f t="shared" si="14"/>
        <v>0</v>
      </c>
      <c r="G236" s="131"/>
      <c r="H236" s="24" t="s">
        <v>165</v>
      </c>
      <c r="I236" s="143">
        <v>3809</v>
      </c>
      <c r="J236" s="56" t="s">
        <v>155</v>
      </c>
      <c r="K236" s="87" t="s">
        <v>167</v>
      </c>
      <c r="L236" s="89"/>
      <c r="M236" s="55"/>
      <c r="N236" s="55"/>
      <c r="O236" s="54"/>
    </row>
    <row r="237" s="2" customFormat="1" ht="18" customHeight="1" spans="1:15">
      <c r="A237" s="13"/>
      <c r="B237" s="19">
        <f t="shared" si="13"/>
        <v>34593</v>
      </c>
      <c r="C237" s="36"/>
      <c r="D237" s="37"/>
      <c r="E237" s="38"/>
      <c r="F237" s="19">
        <f t="shared" si="14"/>
        <v>0</v>
      </c>
      <c r="G237" s="131">
        <v>34593</v>
      </c>
      <c r="H237" s="24" t="s">
        <v>165</v>
      </c>
      <c r="I237" s="143">
        <v>34593</v>
      </c>
      <c r="J237" s="56" t="s">
        <v>155</v>
      </c>
      <c r="K237" s="87" t="s">
        <v>159</v>
      </c>
      <c r="L237" s="89"/>
      <c r="M237" s="55"/>
      <c r="N237" s="55"/>
      <c r="O237" s="54"/>
    </row>
    <row r="238" s="2" customFormat="1" ht="18" customHeight="1" spans="1:15">
      <c r="A238" s="13"/>
      <c r="B238" s="19">
        <f t="shared" si="13"/>
        <v>0</v>
      </c>
      <c r="C238" s="36"/>
      <c r="D238" s="37"/>
      <c r="E238" s="38"/>
      <c r="F238" s="19">
        <f t="shared" si="14"/>
        <v>0</v>
      </c>
      <c r="G238" s="131"/>
      <c r="H238" s="24">
        <v>43486</v>
      </c>
      <c r="I238" s="135">
        <v>-252612</v>
      </c>
      <c r="J238" s="56" t="s">
        <v>158</v>
      </c>
      <c r="K238" s="87" t="s">
        <v>168</v>
      </c>
      <c r="L238" s="103"/>
      <c r="M238" s="55"/>
      <c r="N238" s="55"/>
      <c r="O238" s="54"/>
    </row>
    <row r="239" s="2" customFormat="1" ht="18" customHeight="1" spans="1:15">
      <c r="A239" s="13"/>
      <c r="B239" s="19">
        <f t="shared" si="13"/>
        <v>0</v>
      </c>
      <c r="C239" s="36"/>
      <c r="D239" s="37"/>
      <c r="E239" s="38"/>
      <c r="F239" s="19">
        <f t="shared" si="14"/>
        <v>0</v>
      </c>
      <c r="G239" s="131"/>
      <c r="H239" s="24"/>
      <c r="I239" s="135">
        <v>5828</v>
      </c>
      <c r="J239" s="56" t="s">
        <v>155</v>
      </c>
      <c r="K239" s="87" t="s">
        <v>164</v>
      </c>
      <c r="L239" s="89"/>
      <c r="M239" s="55"/>
      <c r="N239" s="55"/>
      <c r="O239" s="54"/>
    </row>
    <row r="240" s="2" customFormat="1" ht="18" customHeight="1" spans="1:15">
      <c r="A240" s="13"/>
      <c r="B240" s="19">
        <f t="shared" si="13"/>
        <v>0</v>
      </c>
      <c r="C240" s="36"/>
      <c r="D240" s="37"/>
      <c r="E240" s="38"/>
      <c r="F240" s="19">
        <f t="shared" si="14"/>
        <v>0</v>
      </c>
      <c r="G240" s="131"/>
      <c r="H240" s="24"/>
      <c r="I240" s="135">
        <v>58272</v>
      </c>
      <c r="J240" s="56" t="s">
        <v>155</v>
      </c>
      <c r="K240" s="87" t="s">
        <v>9</v>
      </c>
      <c r="L240" s="89"/>
      <c r="M240" s="55"/>
      <c r="N240" s="55"/>
      <c r="O240" s="54"/>
    </row>
    <row r="241" s="2" customFormat="1" ht="18" customHeight="1" spans="1:15">
      <c r="A241" s="13"/>
      <c r="B241" s="19">
        <f t="shared" si="13"/>
        <v>0</v>
      </c>
      <c r="C241" s="36"/>
      <c r="D241" s="37"/>
      <c r="E241" s="38"/>
      <c r="F241" s="19">
        <f t="shared" si="14"/>
        <v>0</v>
      </c>
      <c r="G241" s="131"/>
      <c r="H241" s="24" t="s">
        <v>207</v>
      </c>
      <c r="I241" s="146">
        <v>131996</v>
      </c>
      <c r="J241" s="56" t="s">
        <v>155</v>
      </c>
      <c r="K241" s="87" t="s">
        <v>169</v>
      </c>
      <c r="L241" s="104"/>
      <c r="M241" s="55"/>
      <c r="N241" s="55"/>
      <c r="O241" s="54"/>
    </row>
    <row r="242" s="2" customFormat="1" ht="18" customHeight="1" spans="1:15">
      <c r="A242" s="13"/>
      <c r="B242" s="19">
        <f t="shared" si="13"/>
        <v>0</v>
      </c>
      <c r="C242" s="36"/>
      <c r="D242" s="37"/>
      <c r="E242" s="38"/>
      <c r="F242" s="19">
        <f t="shared" si="14"/>
        <v>0</v>
      </c>
      <c r="G242" s="131"/>
      <c r="H242" s="24"/>
      <c r="I242" s="135">
        <v>3100</v>
      </c>
      <c r="J242" s="56" t="s">
        <v>155</v>
      </c>
      <c r="K242" s="87" t="s">
        <v>170</v>
      </c>
      <c r="L242" s="105"/>
      <c r="M242" s="55"/>
      <c r="N242" s="55"/>
      <c r="O242" s="54"/>
    </row>
    <row r="243" s="2" customFormat="1" ht="18" customHeight="1" spans="1:15">
      <c r="A243" s="13"/>
      <c r="B243" s="19">
        <f t="shared" si="13"/>
        <v>0</v>
      </c>
      <c r="C243" s="36"/>
      <c r="D243" s="37"/>
      <c r="E243" s="38"/>
      <c r="F243" s="19">
        <f t="shared" si="14"/>
        <v>0</v>
      </c>
      <c r="G243" s="131"/>
      <c r="H243" s="24"/>
      <c r="I243" s="135"/>
      <c r="J243" s="56"/>
      <c r="K243" s="87" t="s">
        <v>172</v>
      </c>
      <c r="L243" s="105"/>
      <c r="M243" s="55"/>
      <c r="N243" s="55"/>
      <c r="O243" s="54"/>
    </row>
    <row r="244" s="2" customFormat="1" ht="18" customHeight="1" spans="1:15">
      <c r="A244" s="13"/>
      <c r="B244" s="19">
        <f t="shared" si="13"/>
        <v>0</v>
      </c>
      <c r="C244" s="36"/>
      <c r="D244" s="37"/>
      <c r="E244" s="38"/>
      <c r="F244" s="19">
        <f t="shared" si="14"/>
        <v>0</v>
      </c>
      <c r="G244" s="131"/>
      <c r="H244" s="24"/>
      <c r="I244" s="135"/>
      <c r="J244" s="56"/>
      <c r="K244" s="87" t="s">
        <v>174</v>
      </c>
      <c r="L244" s="105"/>
      <c r="M244" s="55"/>
      <c r="N244" s="55"/>
      <c r="O244" s="54"/>
    </row>
    <row r="245" s="2" customFormat="1" ht="18" customHeight="1" spans="1:15">
      <c r="A245" s="13"/>
      <c r="B245" s="19">
        <f t="shared" si="13"/>
        <v>0</v>
      </c>
      <c r="C245" s="36"/>
      <c r="D245" s="37"/>
      <c r="E245" s="38"/>
      <c r="F245" s="19">
        <f t="shared" si="14"/>
        <v>0</v>
      </c>
      <c r="G245" s="131"/>
      <c r="H245" s="24">
        <v>43473</v>
      </c>
      <c r="I245" s="135">
        <v>-104491</v>
      </c>
      <c r="J245" s="58" t="s">
        <v>158</v>
      </c>
      <c r="K245" s="87" t="s">
        <v>9</v>
      </c>
      <c r="L245" s="105"/>
      <c r="M245" s="55"/>
      <c r="N245" s="55"/>
      <c r="O245" s="54"/>
    </row>
    <row r="246" s="2" customFormat="1" ht="18" customHeight="1" spans="1:15">
      <c r="A246" s="13"/>
      <c r="B246" s="19">
        <f t="shared" si="13"/>
        <v>0</v>
      </c>
      <c r="C246" s="36"/>
      <c r="D246" s="37"/>
      <c r="E246" s="38"/>
      <c r="F246" s="19">
        <f t="shared" si="14"/>
        <v>0</v>
      </c>
      <c r="G246" s="131"/>
      <c r="H246" s="24">
        <v>43827</v>
      </c>
      <c r="I246" s="135">
        <v>-481180</v>
      </c>
      <c r="J246" s="56" t="s">
        <v>158</v>
      </c>
      <c r="K246" s="87" t="s">
        <v>175</v>
      </c>
      <c r="L246" s="105"/>
      <c r="M246" s="55"/>
      <c r="N246" s="55"/>
      <c r="O246" s="54"/>
    </row>
    <row r="247" s="2" customFormat="1" ht="18" customHeight="1" spans="1:15">
      <c r="A247" s="13"/>
      <c r="B247" s="19">
        <f t="shared" si="13"/>
        <v>0</v>
      </c>
      <c r="C247" s="36"/>
      <c r="D247" s="37"/>
      <c r="E247" s="38"/>
      <c r="F247" s="19">
        <f t="shared" si="14"/>
        <v>0</v>
      </c>
      <c r="G247" s="131"/>
      <c r="H247" s="24"/>
      <c r="I247" s="135">
        <v>10450</v>
      </c>
      <c r="J247" s="56" t="s">
        <v>155</v>
      </c>
      <c r="K247" s="87" t="s">
        <v>164</v>
      </c>
      <c r="L247" s="105"/>
      <c r="M247" s="55"/>
      <c r="N247" s="55"/>
      <c r="O247" s="54"/>
    </row>
    <row r="248" s="2" customFormat="1" ht="18" customHeight="1" spans="1:15">
      <c r="A248" s="13"/>
      <c r="B248" s="19">
        <f t="shared" si="13"/>
        <v>0</v>
      </c>
      <c r="C248" s="36"/>
      <c r="D248" s="37"/>
      <c r="E248" s="38"/>
      <c r="F248" s="19">
        <f t="shared" si="14"/>
        <v>0</v>
      </c>
      <c r="G248" s="131"/>
      <c r="H248" s="24" t="s">
        <v>208</v>
      </c>
      <c r="I248" s="146">
        <v>470730</v>
      </c>
      <c r="J248" s="56" t="s">
        <v>155</v>
      </c>
      <c r="K248" s="87" t="s">
        <v>169</v>
      </c>
      <c r="L248" s="105"/>
      <c r="M248" s="55"/>
      <c r="N248" s="55"/>
      <c r="O248" s="54"/>
    </row>
    <row r="249" s="2" customFormat="1" ht="18" customHeight="1" spans="1:15">
      <c r="A249" s="13"/>
      <c r="B249" s="19">
        <f t="shared" si="13"/>
        <v>0</v>
      </c>
      <c r="C249" s="36"/>
      <c r="D249" s="37"/>
      <c r="E249" s="38"/>
      <c r="F249" s="19">
        <f t="shared" si="14"/>
        <v>0</v>
      </c>
      <c r="G249" s="131"/>
      <c r="H249" s="24"/>
      <c r="I249" s="135">
        <v>104491</v>
      </c>
      <c r="J249" s="56" t="s">
        <v>155</v>
      </c>
      <c r="K249" s="87" t="s">
        <v>9</v>
      </c>
      <c r="L249" s="105"/>
      <c r="M249" s="55"/>
      <c r="N249" s="55"/>
      <c r="O249" s="54"/>
    </row>
    <row r="250" s="2" customFormat="1" ht="18" customHeight="1" spans="1:16">
      <c r="A250" s="13"/>
      <c r="B250" s="19">
        <f t="shared" si="13"/>
        <v>0</v>
      </c>
      <c r="C250" s="36"/>
      <c r="D250" s="37"/>
      <c r="E250" s="38"/>
      <c r="F250" s="19">
        <f t="shared" si="14"/>
        <v>0</v>
      </c>
      <c r="G250" s="131"/>
      <c r="H250" s="24"/>
      <c r="I250" s="135"/>
      <c r="J250" s="56" t="s">
        <v>171</v>
      </c>
      <c r="K250" s="87" t="s">
        <v>176</v>
      </c>
      <c r="L250" s="105"/>
      <c r="M250" s="55"/>
      <c r="N250" s="55"/>
      <c r="O250" s="54"/>
      <c r="P250" s="122"/>
    </row>
    <row r="251" s="2" customFormat="1" ht="18" customHeight="1" spans="1:15">
      <c r="A251" s="13"/>
      <c r="B251" s="19">
        <f t="shared" si="13"/>
        <v>0</v>
      </c>
      <c r="C251" s="36"/>
      <c r="D251" s="37"/>
      <c r="E251" s="38"/>
      <c r="F251" s="19">
        <f t="shared" si="14"/>
        <v>0</v>
      </c>
      <c r="G251" s="131"/>
      <c r="H251" s="24"/>
      <c r="I251" s="130"/>
      <c r="J251" s="56" t="s">
        <v>177</v>
      </c>
      <c r="K251" s="87" t="s">
        <v>178</v>
      </c>
      <c r="L251" s="105"/>
      <c r="M251" s="55"/>
      <c r="N251" s="55"/>
      <c r="O251" s="54"/>
    </row>
    <row r="252" s="2" customFormat="1" ht="18" customHeight="1" spans="1:15">
      <c r="A252" s="13"/>
      <c r="B252" s="19">
        <f t="shared" si="13"/>
        <v>0</v>
      </c>
      <c r="C252" s="36"/>
      <c r="D252" s="37"/>
      <c r="E252" s="38"/>
      <c r="F252" s="19">
        <f t="shared" si="14"/>
        <v>0</v>
      </c>
      <c r="G252" s="131"/>
      <c r="H252" s="24">
        <v>43823</v>
      </c>
      <c r="I252" s="135">
        <v>-57832</v>
      </c>
      <c r="J252" s="56" t="s">
        <v>158</v>
      </c>
      <c r="K252" s="87" t="s">
        <v>159</v>
      </c>
      <c r="L252" s="87" t="s">
        <v>179</v>
      </c>
      <c r="M252" s="55"/>
      <c r="N252" s="55"/>
      <c r="O252" s="54"/>
    </row>
    <row r="253" s="2" customFormat="1" ht="18" customHeight="1" spans="1:15">
      <c r="A253" s="13"/>
      <c r="B253" s="19">
        <f t="shared" si="13"/>
        <v>0</v>
      </c>
      <c r="C253" s="36"/>
      <c r="D253" s="37"/>
      <c r="E253" s="38"/>
      <c r="F253" s="19">
        <f t="shared" si="14"/>
        <v>0</v>
      </c>
      <c r="G253" s="131"/>
      <c r="H253" s="24"/>
      <c r="I253" s="147">
        <v>2048</v>
      </c>
      <c r="J253" s="50"/>
      <c r="K253" s="53" t="s">
        <v>179</v>
      </c>
      <c r="L253" s="53"/>
      <c r="M253" s="55"/>
      <c r="N253" s="55"/>
      <c r="O253" s="54"/>
    </row>
    <row r="254" s="2" customFormat="1" ht="18" customHeight="1" spans="1:15">
      <c r="A254" s="13"/>
      <c r="B254" s="19">
        <f t="shared" si="13"/>
        <v>0</v>
      </c>
      <c r="C254" s="36"/>
      <c r="D254" s="37"/>
      <c r="E254" s="38"/>
      <c r="F254" s="19">
        <f t="shared" si="14"/>
        <v>0</v>
      </c>
      <c r="G254" s="131"/>
      <c r="H254" s="24">
        <v>43819</v>
      </c>
      <c r="I254" s="130">
        <v>-40000</v>
      </c>
      <c r="J254" s="56" t="s">
        <v>158</v>
      </c>
      <c r="K254" s="87" t="s">
        <v>159</v>
      </c>
      <c r="L254" s="54"/>
      <c r="M254" s="55"/>
      <c r="N254" s="55"/>
      <c r="O254" s="54"/>
    </row>
    <row r="255" s="2" customFormat="1" ht="18" customHeight="1" spans="1:15">
      <c r="A255" s="13"/>
      <c r="B255" s="19">
        <f t="shared" si="13"/>
        <v>149200</v>
      </c>
      <c r="C255" s="36"/>
      <c r="D255" s="37"/>
      <c r="E255" s="38"/>
      <c r="F255" s="19">
        <f t="shared" si="14"/>
        <v>0</v>
      </c>
      <c r="G255" s="131">
        <f>40000+55784+53416</f>
        <v>149200</v>
      </c>
      <c r="H255" s="24"/>
      <c r="I255" s="130">
        <f>G255</f>
        <v>149200</v>
      </c>
      <c r="J255" s="56" t="s">
        <v>155</v>
      </c>
      <c r="K255" s="87" t="s">
        <v>159</v>
      </c>
      <c r="L255" s="54"/>
      <c r="M255" s="55"/>
      <c r="N255" s="55"/>
      <c r="O255" s="54"/>
    </row>
    <row r="256" s="1" customFormat="1" ht="18" customHeight="1" spans="1:15">
      <c r="A256" s="31" t="s">
        <v>24</v>
      </c>
      <c r="B256" s="132">
        <f t="shared" ref="B256:G256" si="15">SUM(B18:B255)</f>
        <v>61747306.07</v>
      </c>
      <c r="C256" s="31"/>
      <c r="D256" s="107"/>
      <c r="E256" s="107"/>
      <c r="F256" s="134">
        <f t="shared" si="15"/>
        <v>3630662.47</v>
      </c>
      <c r="G256" s="141">
        <f t="shared" si="15"/>
        <v>65377968.54</v>
      </c>
      <c r="H256" s="109"/>
      <c r="I256" s="133">
        <f>SUM(I18:I255)</f>
        <v>66985890.9963051</v>
      </c>
      <c r="J256" s="124"/>
      <c r="K256" s="125"/>
      <c r="L256" s="33"/>
      <c r="M256" s="50"/>
      <c r="N256" s="50"/>
      <c r="O256" s="33"/>
    </row>
    <row r="257" s="1" customFormat="1" ht="18" customHeight="1" spans="1:14">
      <c r="A257" s="110" t="s">
        <v>182</v>
      </c>
      <c r="B257" s="112">
        <f>B15*0.976</f>
        <v>59737128.8052043</v>
      </c>
      <c r="C257" s="110"/>
      <c r="D257" s="111"/>
      <c r="E257" s="111"/>
      <c r="F257" s="112"/>
      <c r="G257" s="112">
        <f>G15-G256</f>
        <v>1607922.46</v>
      </c>
      <c r="H257" s="23" t="s">
        <v>183</v>
      </c>
      <c r="I257" s="133">
        <f>I15-I256</f>
        <v>0.00369490683078766</v>
      </c>
      <c r="K257" s="126"/>
      <c r="M257" s="127"/>
      <c r="N257" s="127"/>
    </row>
    <row r="258" s="1" customFormat="1" ht="18" customHeight="1" spans="1:14">
      <c r="A258" s="110" t="s">
        <v>184</v>
      </c>
      <c r="B258" s="112">
        <f>B257-B256</f>
        <v>-2010177.26479569</v>
      </c>
      <c r="C258" s="110"/>
      <c r="D258" s="111"/>
      <c r="E258" s="111"/>
      <c r="F258" s="112"/>
      <c r="G258" s="112"/>
      <c r="H258" s="113"/>
      <c r="I258" s="112"/>
      <c r="K258" s="126"/>
      <c r="M258" s="127"/>
      <c r="N258" s="127"/>
    </row>
    <row r="259" s="1" customFormat="1" ht="18" customHeight="1" spans="1:11">
      <c r="A259" s="8" t="s">
        <v>185</v>
      </c>
      <c r="B259" s="6"/>
      <c r="C259" s="8"/>
      <c r="D259" s="7"/>
      <c r="E259" s="7"/>
      <c r="F259" s="6"/>
      <c r="G259" s="6"/>
      <c r="H259" s="7"/>
      <c r="I259" s="6"/>
      <c r="J259" s="9"/>
      <c r="K259" s="6"/>
    </row>
    <row r="260" s="1" customFormat="1" ht="18" customHeight="1" spans="1:12">
      <c r="A260" s="23" t="s">
        <v>186</v>
      </c>
      <c r="B260" s="22" t="s">
        <v>187</v>
      </c>
      <c r="C260" s="33"/>
      <c r="D260" s="23" t="s">
        <v>186</v>
      </c>
      <c r="E260" s="21" t="s">
        <v>18</v>
      </c>
      <c r="F260" s="22" t="s">
        <v>187</v>
      </c>
      <c r="G260" s="22" t="s">
        <v>188</v>
      </c>
      <c r="H260" s="22" t="s">
        <v>189</v>
      </c>
      <c r="I260" s="22" t="s">
        <v>190</v>
      </c>
      <c r="J260" s="9"/>
      <c r="K260" s="22" t="s">
        <v>191</v>
      </c>
      <c r="L260" s="22" t="s">
        <v>192</v>
      </c>
    </row>
    <row r="261" s="1" customFormat="1" ht="18" customHeight="1" spans="1:12">
      <c r="A261" s="33" t="s">
        <v>193</v>
      </c>
      <c r="B261" s="19">
        <f>(B257-B256)*0.25</f>
        <v>-502544.316198923</v>
      </c>
      <c r="C261" s="33"/>
      <c r="D261" s="12" t="s">
        <v>194</v>
      </c>
      <c r="E261" s="50" t="s">
        <v>195</v>
      </c>
      <c r="F261" s="148">
        <f>F15-F256</f>
        <v>925032.44259383</v>
      </c>
      <c r="G261" s="148">
        <v>427936.001818182</v>
      </c>
      <c r="H261" s="148">
        <v>119996.265454545</v>
      </c>
      <c r="I261" s="148">
        <v>0</v>
      </c>
      <c r="J261" s="9"/>
      <c r="K261" s="148">
        <v>0</v>
      </c>
      <c r="L261" s="148">
        <f>F261-G261-H261</f>
        <v>377100.175321103</v>
      </c>
    </row>
    <row r="262" s="1" customFormat="1" ht="18" customHeight="1" spans="1:12">
      <c r="A262" s="33" t="s">
        <v>196</v>
      </c>
      <c r="B262" s="114" t="s">
        <v>197</v>
      </c>
      <c r="C262" s="33"/>
      <c r="D262" s="115" t="s">
        <v>198</v>
      </c>
      <c r="E262" s="15">
        <v>0.07</v>
      </c>
      <c r="F262" s="114">
        <f>F261*E262</f>
        <v>64752.2709815681</v>
      </c>
      <c r="G262" s="114">
        <v>21396.8000909091</v>
      </c>
      <c r="H262" s="114">
        <v>5999.81327272727</v>
      </c>
      <c r="I262" s="114">
        <f>I261*E262</f>
        <v>0</v>
      </c>
      <c r="J262" s="9"/>
      <c r="K262" s="114">
        <v>0</v>
      </c>
      <c r="L262" s="114">
        <f>L261*0.05</f>
        <v>18855.0087660552</v>
      </c>
    </row>
    <row r="263" s="1" customFormat="1" ht="18" customHeight="1" spans="1:12">
      <c r="A263" s="33" t="s">
        <v>164</v>
      </c>
      <c r="B263" s="17"/>
      <c r="C263" s="33"/>
      <c r="D263" s="115" t="s">
        <v>199</v>
      </c>
      <c r="E263" s="15">
        <v>0.03</v>
      </c>
      <c r="F263" s="114">
        <f>F261*E263</f>
        <v>27750.9732778149</v>
      </c>
      <c r="G263" s="114">
        <v>12838.0800545454</v>
      </c>
      <c r="H263" s="114">
        <v>3599.88796363636</v>
      </c>
      <c r="I263" s="114">
        <f>I261*E263</f>
        <v>0</v>
      </c>
      <c r="J263" s="9"/>
      <c r="K263" s="114">
        <v>0</v>
      </c>
      <c r="L263" s="114">
        <f>L261*E263</f>
        <v>11313.0052596331</v>
      </c>
    </row>
    <row r="264" s="1" customFormat="1" ht="18" customHeight="1" spans="1:12">
      <c r="A264" s="33"/>
      <c r="B264" s="114"/>
      <c r="C264" s="33"/>
      <c r="D264" s="115" t="s">
        <v>200</v>
      </c>
      <c r="E264" s="15">
        <v>0.02</v>
      </c>
      <c r="F264" s="114">
        <f>F261*E264</f>
        <v>18500.6488518766</v>
      </c>
      <c r="G264" s="114">
        <v>8558.72003636363</v>
      </c>
      <c r="H264" s="114">
        <v>2399.92530909091</v>
      </c>
      <c r="I264" s="114">
        <f>I261*E264</f>
        <v>0</v>
      </c>
      <c r="J264" s="9"/>
      <c r="K264" s="114">
        <v>0</v>
      </c>
      <c r="L264" s="114">
        <f>L261*E264</f>
        <v>7542.00350642206</v>
      </c>
    </row>
    <row r="265" s="1" customFormat="1" ht="18" customHeight="1" spans="1:12">
      <c r="A265" s="29" t="s">
        <v>201</v>
      </c>
      <c r="B265" s="132">
        <f>SUM(B261:B264)</f>
        <v>-502544.316198923</v>
      </c>
      <c r="C265" s="33"/>
      <c r="D265" s="29" t="s">
        <v>201</v>
      </c>
      <c r="E265" s="29"/>
      <c r="F265" s="134">
        <f>SUM(F261:F264)</f>
        <v>1036036.33570509</v>
      </c>
      <c r="G265" s="134">
        <v>470729.602</v>
      </c>
      <c r="H265" s="134">
        <v>131995.892</v>
      </c>
      <c r="I265" s="134">
        <f>SUM(I261:I264)</f>
        <v>0</v>
      </c>
      <c r="J265" s="9"/>
      <c r="K265" s="134">
        <v>0</v>
      </c>
      <c r="L265" s="134">
        <f>SUM(L261:L264)</f>
        <v>414810.192853213</v>
      </c>
    </row>
    <row r="266" s="1" customFormat="1" ht="18" customHeight="1" spans="1:12">
      <c r="A266" s="8"/>
      <c r="B266" s="6"/>
      <c r="C266" s="8"/>
      <c r="D266" s="118" t="s">
        <v>193</v>
      </c>
      <c r="E266" s="149"/>
      <c r="F266" s="150">
        <f>G15*E266</f>
        <v>0</v>
      </c>
      <c r="G266" s="150">
        <v>278642.036363636</v>
      </c>
      <c r="H266" s="150"/>
      <c r="I266" s="150"/>
      <c r="J266" s="9"/>
      <c r="K266" s="150"/>
      <c r="L266" s="150"/>
    </row>
    <row r="267" s="1" customFormat="1" ht="18" customHeight="1" spans="1:12">
      <c r="A267" s="8"/>
      <c r="B267" s="6"/>
      <c r="C267" s="8"/>
      <c r="D267" s="118" t="s">
        <v>193</v>
      </c>
      <c r="E267" s="149">
        <v>0.006</v>
      </c>
      <c r="F267" s="150">
        <f>G15*E267</f>
        <v>401915.346</v>
      </c>
      <c r="G267" s="150">
        <v>104490.763636364</v>
      </c>
      <c r="H267" s="150">
        <v>58271.0509090909</v>
      </c>
      <c r="I267" s="150">
        <f>B9*E267</f>
        <v>38083.3211009174</v>
      </c>
      <c r="J267" s="9"/>
      <c r="K267" s="150">
        <f>B10*E267</f>
        <v>40336.3211009174</v>
      </c>
      <c r="L267" s="150">
        <f>G11*E267</f>
        <v>137399.94</v>
      </c>
    </row>
    <row r="268" s="1" customFormat="1" ht="18" customHeight="1" spans="1:15">
      <c r="A268" s="8"/>
      <c r="B268" s="6"/>
      <c r="C268" s="8"/>
      <c r="D268" s="14" t="s">
        <v>164</v>
      </c>
      <c r="E268" s="16">
        <v>0.0006</v>
      </c>
      <c r="F268" s="114">
        <f>G15*E268</f>
        <v>40191.5346</v>
      </c>
      <c r="G268" s="114">
        <v>10449.0763636364</v>
      </c>
      <c r="H268" s="114">
        <v>5827.10509090909</v>
      </c>
      <c r="I268" s="114">
        <f>B9*E268</f>
        <v>3808.33211009174</v>
      </c>
      <c r="J268" s="9"/>
      <c r="K268" s="114">
        <f>B10*E268</f>
        <v>4033.63211009174</v>
      </c>
      <c r="L268" s="114">
        <f>B11*E268</f>
        <v>12605.4990825688</v>
      </c>
      <c r="O268" s="1">
        <f>L265+L268</f>
        <v>427415.691935782</v>
      </c>
    </row>
    <row r="269" s="1" customFormat="1" ht="18" customHeight="1" spans="1:12">
      <c r="A269" s="8"/>
      <c r="B269" s="6"/>
      <c r="C269" s="8"/>
      <c r="D269" s="31" t="s">
        <v>24</v>
      </c>
      <c r="E269" s="31"/>
      <c r="F269" s="133">
        <f>F265+F266+F268</f>
        <v>1076227.87030509</v>
      </c>
      <c r="G269" s="133">
        <v>759820.714727273</v>
      </c>
      <c r="H269" s="133">
        <v>196094.048</v>
      </c>
      <c r="I269" s="133">
        <f>I265+I267+I268</f>
        <v>41891.6532110092</v>
      </c>
      <c r="J269" s="9"/>
      <c r="K269" s="133">
        <f>K267+K268</f>
        <v>44369.9532110092</v>
      </c>
      <c r="L269" s="133">
        <f>L265+L267+L268</f>
        <v>564815.631935782</v>
      </c>
    </row>
    <row r="270" s="6" customFormat="1" ht="18" customHeight="1" spans="1:18">
      <c r="A270" s="8"/>
      <c r="B270" s="6">
        <f>F262+F263+F264+F268</f>
        <v>151195.42771126</v>
      </c>
      <c r="C270" s="8"/>
      <c r="D270" s="7"/>
      <c r="E270" s="7"/>
      <c r="F270" s="6">
        <f>F265+F268</f>
        <v>1076227.87030509</v>
      </c>
      <c r="G270" s="6">
        <f>B258*0.25</f>
        <v>-502544.316198923</v>
      </c>
      <c r="H270" s="7">
        <f>F8-H261</f>
        <v>656951.08</v>
      </c>
      <c r="J270" s="9"/>
      <c r="K270" s="1"/>
      <c r="L270" s="1"/>
      <c r="M270" s="1"/>
      <c r="N270" s="1"/>
      <c r="O270" s="1"/>
      <c r="P270" s="1"/>
      <c r="Q270" s="1"/>
      <c r="R270" s="1"/>
    </row>
    <row r="271" s="6" customFormat="1" ht="18" customHeight="1" spans="1:18">
      <c r="A271" s="8"/>
      <c r="B271" s="6">
        <f>B270+F261</f>
        <v>1076227.87030509</v>
      </c>
      <c r="C271" s="8"/>
      <c r="D271" s="7" t="s">
        <v>209</v>
      </c>
      <c r="E271" s="7"/>
      <c r="F271" s="6">
        <f>626847+414810+12606</f>
        <v>1054263</v>
      </c>
      <c r="H271" s="7"/>
      <c r="J271" s="9"/>
      <c r="K271" s="1"/>
      <c r="L271" s="1"/>
      <c r="M271" s="1"/>
      <c r="N271" s="1"/>
      <c r="O271" s="1"/>
      <c r="P271" s="1"/>
      <c r="Q271" s="1"/>
      <c r="R271" s="1"/>
    </row>
    <row r="272" s="6" customFormat="1" ht="18" customHeight="1" spans="1:18">
      <c r="A272" s="8"/>
      <c r="C272" s="8"/>
      <c r="D272" s="7" t="s">
        <v>210</v>
      </c>
      <c r="E272" s="7"/>
      <c r="F272" s="119">
        <f>F270-F271</f>
        <v>21964.87030509</v>
      </c>
      <c r="H272" s="7"/>
      <c r="J272" s="9"/>
      <c r="K272" s="1"/>
      <c r="L272" s="1"/>
      <c r="M272" s="1"/>
      <c r="N272" s="1"/>
      <c r="O272" s="1"/>
      <c r="P272" s="1"/>
      <c r="Q272" s="1"/>
      <c r="R272" s="1"/>
    </row>
    <row r="273" s="1" customFormat="1" ht="18" customHeight="1" spans="1:12">
      <c r="A273" s="8"/>
      <c r="B273" s="6"/>
      <c r="C273" s="8"/>
      <c r="D273" s="7" t="s">
        <v>211</v>
      </c>
      <c r="E273" s="7"/>
      <c r="F273" s="6">
        <f>40337+38084+58272+104491</f>
        <v>241184</v>
      </c>
      <c r="G273" s="6"/>
      <c r="H273" s="7"/>
      <c r="I273" s="6"/>
      <c r="J273" s="9"/>
      <c r="L273" s="2"/>
    </row>
    <row r="274" s="6" customFormat="1" ht="18" customHeight="1" spans="1:18">
      <c r="A274" s="8"/>
      <c r="C274" s="8"/>
      <c r="D274" s="7"/>
      <c r="E274" s="7"/>
      <c r="F274" s="119"/>
      <c r="H274" s="7"/>
      <c r="J274" s="9"/>
      <c r="K274" s="1"/>
      <c r="L274" s="1"/>
      <c r="M274" s="1"/>
      <c r="N274" s="1"/>
      <c r="O274" s="1"/>
      <c r="P274" s="1"/>
      <c r="Q274" s="1"/>
      <c r="R274" s="1"/>
    </row>
    <row r="275" s="1" customFormat="1" ht="20.4" customHeight="1" spans="1:12">
      <c r="A275" s="8"/>
      <c r="B275" s="6"/>
      <c r="C275" s="8"/>
      <c r="D275" s="7" t="s">
        <v>212</v>
      </c>
      <c r="E275" s="7"/>
      <c r="F275" s="119">
        <f>F267-F273</f>
        <v>160731.346</v>
      </c>
      <c r="G275" s="6">
        <f>F272+F275</f>
        <v>182696.21630509</v>
      </c>
      <c r="H275" s="7"/>
      <c r="I275" s="6"/>
      <c r="J275" s="9"/>
      <c r="L275" s="1">
        <f>I231+I235+I240+I249</f>
        <v>241184</v>
      </c>
    </row>
    <row r="276" s="6" customFormat="1" ht="38.4" customHeight="1" spans="1:18">
      <c r="A276" s="8"/>
      <c r="C276" s="8"/>
      <c r="D276" s="7" t="s">
        <v>213</v>
      </c>
      <c r="E276" s="7"/>
      <c r="F276" s="119">
        <v>179229</v>
      </c>
      <c r="H276" s="7"/>
      <c r="J276" s="9"/>
      <c r="K276" s="1"/>
      <c r="L276" s="1"/>
      <c r="M276" s="1"/>
      <c r="N276" s="1"/>
      <c r="O276" s="1"/>
      <c r="P276" s="1"/>
      <c r="Q276" s="1"/>
      <c r="R276" s="1"/>
    </row>
    <row r="277" s="6" customFormat="1" ht="15" customHeight="1" spans="1:18">
      <c r="A277" s="8"/>
      <c r="B277" s="120" t="s">
        <v>214</v>
      </c>
      <c r="C277" s="120"/>
      <c r="D277" s="120"/>
      <c r="E277" s="121"/>
      <c r="F277" s="119">
        <v>444227</v>
      </c>
      <c r="H277" s="7"/>
      <c r="J277" s="9"/>
      <c r="K277" s="1"/>
      <c r="L277" s="1"/>
      <c r="M277" s="1"/>
      <c r="N277" s="1"/>
      <c r="O277" s="1"/>
      <c r="P277" s="1"/>
      <c r="Q277" s="1"/>
      <c r="R277" s="1"/>
    </row>
    <row r="278" s="6" customFormat="1" ht="22.2" customHeight="1" spans="1:18">
      <c r="A278" s="8"/>
      <c r="C278" s="8"/>
      <c r="D278" s="7"/>
      <c r="E278" s="7"/>
      <c r="F278" s="6">
        <f>F275+F272</f>
        <v>182696.21630509</v>
      </c>
      <c r="H278" s="7"/>
      <c r="J278" s="9"/>
      <c r="K278" s="1"/>
      <c r="L278" s="1"/>
      <c r="M278" s="1"/>
      <c r="N278" s="1"/>
      <c r="O278" s="1"/>
      <c r="P278" s="1"/>
      <c r="Q278" s="1"/>
      <c r="R278" s="1"/>
    </row>
    <row r="279" s="1" customFormat="1" ht="19.8" customHeight="1" spans="1:11">
      <c r="A279" s="8"/>
      <c r="B279" s="6"/>
      <c r="C279" s="8"/>
      <c r="D279" s="7"/>
      <c r="E279" s="7"/>
      <c r="F279" s="6"/>
      <c r="G279" s="6"/>
      <c r="H279" s="7"/>
      <c r="I279" s="6"/>
      <c r="J279" s="9"/>
      <c r="K279" s="1" t="s">
        <v>17</v>
      </c>
    </row>
    <row r="280" s="7" customFormat="1" ht="23.4" customHeight="1" spans="1:18">
      <c r="A280" s="8"/>
      <c r="B280" s="6"/>
      <c r="C280" s="8"/>
      <c r="F280" s="6"/>
      <c r="G280" s="6"/>
      <c r="I280" s="6"/>
      <c r="J280" s="9"/>
      <c r="K280" s="1"/>
      <c r="L280" s="1"/>
      <c r="M280" s="1"/>
      <c r="N280" s="1"/>
      <c r="O280" s="1"/>
      <c r="P280" s="1"/>
      <c r="Q280" s="1"/>
      <c r="R280" s="1"/>
    </row>
    <row r="281" s="7" customFormat="1" spans="1:18">
      <c r="A281" s="8"/>
      <c r="B281" s="6"/>
      <c r="C281" s="8"/>
      <c r="F281" s="6"/>
      <c r="G281" s="6"/>
      <c r="I281" s="6"/>
      <c r="J281" s="9"/>
      <c r="K281" s="1"/>
      <c r="L281" s="1"/>
      <c r="M281" s="1"/>
      <c r="N281" s="1"/>
      <c r="O281" s="1"/>
      <c r="P281" s="1"/>
      <c r="Q281" s="1"/>
      <c r="R281" s="1"/>
    </row>
    <row r="282" s="7" customFormat="1" spans="1:18">
      <c r="A282" s="8"/>
      <c r="B282" s="6"/>
      <c r="C282" s="8"/>
      <c r="F282" s="6"/>
      <c r="G282" s="6"/>
      <c r="I282" s="6"/>
      <c r="J282" s="9"/>
      <c r="K282" s="1"/>
      <c r="L282" s="1"/>
      <c r="M282" s="1"/>
      <c r="N282" s="1"/>
      <c r="O282" s="1"/>
      <c r="P282" s="1"/>
      <c r="Q282" s="1"/>
      <c r="R282" s="1"/>
    </row>
    <row r="283" s="7" customFormat="1" spans="1:18">
      <c r="A283" s="8"/>
      <c r="B283" s="6"/>
      <c r="C283" s="8"/>
      <c r="F283" s="6"/>
      <c r="G283" s="6"/>
      <c r="I283" s="6"/>
      <c r="J283" s="9"/>
      <c r="K283" s="1"/>
      <c r="L283" s="1"/>
      <c r="M283" s="1"/>
      <c r="N283" s="1"/>
      <c r="O283" s="1"/>
      <c r="P283" s="1"/>
      <c r="Q283" s="1"/>
      <c r="R283" s="1"/>
    </row>
    <row r="284" s="7" customFormat="1" spans="1:18">
      <c r="A284" s="8"/>
      <c r="B284" s="6"/>
      <c r="C284" s="8"/>
      <c r="F284" s="6"/>
      <c r="G284" s="6"/>
      <c r="I284" s="6"/>
      <c r="J284" s="9"/>
      <c r="K284" s="1"/>
      <c r="L284" s="1"/>
      <c r="M284" s="1"/>
      <c r="N284" s="1"/>
      <c r="O284" s="1"/>
      <c r="P284" s="1"/>
      <c r="Q284" s="1"/>
      <c r="R284" s="1"/>
    </row>
    <row r="285" s="7" customFormat="1" spans="1:18">
      <c r="A285" s="8"/>
      <c r="B285" s="6"/>
      <c r="C285" s="8"/>
      <c r="F285" s="6"/>
      <c r="G285" s="6"/>
      <c r="I285" s="6"/>
      <c r="J285" s="9"/>
      <c r="K285" s="1"/>
      <c r="L285" s="1"/>
      <c r="M285" s="1"/>
      <c r="N285" s="1"/>
      <c r="O285" s="1"/>
      <c r="P285" s="1"/>
      <c r="Q285" s="1"/>
      <c r="R285" s="1"/>
    </row>
    <row r="286" s="7" customFormat="1" spans="1:18">
      <c r="A286" s="8"/>
      <c r="B286" s="6"/>
      <c r="C286" s="8"/>
      <c r="F286" s="6"/>
      <c r="G286" s="6"/>
      <c r="I286" s="6"/>
      <c r="J286" s="9"/>
      <c r="K286" s="1"/>
      <c r="L286" s="1"/>
      <c r="M286" s="1"/>
      <c r="N286" s="1"/>
      <c r="O286" s="1"/>
      <c r="P286" s="1"/>
      <c r="Q286" s="1"/>
      <c r="R286" s="1"/>
    </row>
    <row r="287" s="7" customFormat="1" spans="1:18">
      <c r="A287" s="8"/>
      <c r="B287" s="6"/>
      <c r="C287" s="8"/>
      <c r="F287" s="6"/>
      <c r="G287" s="6"/>
      <c r="I287" s="6"/>
      <c r="J287" s="9"/>
      <c r="K287" s="1"/>
      <c r="L287" s="1"/>
      <c r="M287" s="1"/>
      <c r="N287" s="1"/>
      <c r="O287" s="1"/>
      <c r="P287" s="1"/>
      <c r="Q287" s="1"/>
      <c r="R287" s="1"/>
    </row>
    <row r="288" s="7" customFormat="1" spans="1:18">
      <c r="A288" s="8"/>
      <c r="B288" s="6"/>
      <c r="C288" s="8"/>
      <c r="F288" s="6"/>
      <c r="G288" s="6"/>
      <c r="I288" s="6"/>
      <c r="J288" s="9"/>
      <c r="K288" s="1"/>
      <c r="L288" s="1"/>
      <c r="M288" s="1"/>
      <c r="N288" s="1"/>
      <c r="O288" s="1"/>
      <c r="P288" s="1"/>
      <c r="Q288" s="1"/>
      <c r="R288" s="1"/>
    </row>
    <row r="289" s="7" customFormat="1" spans="1:18">
      <c r="A289" s="8"/>
      <c r="B289" s="6"/>
      <c r="C289" s="8"/>
      <c r="F289" s="6"/>
      <c r="G289" s="6"/>
      <c r="I289" s="6"/>
      <c r="J289" s="9"/>
      <c r="K289" s="1"/>
      <c r="L289" s="1"/>
      <c r="M289" s="1"/>
      <c r="N289" s="1"/>
      <c r="O289" s="1"/>
      <c r="P289" s="1"/>
      <c r="Q289" s="1"/>
      <c r="R289" s="1"/>
    </row>
    <row r="290" s="7" customFormat="1" spans="1:18">
      <c r="A290" s="8"/>
      <c r="B290" s="6"/>
      <c r="C290" s="8"/>
      <c r="F290" s="6"/>
      <c r="G290" s="6"/>
      <c r="I290" s="6"/>
      <c r="J290" s="9"/>
      <c r="K290" s="1"/>
      <c r="L290" s="1"/>
      <c r="M290" s="1"/>
      <c r="N290" s="1"/>
      <c r="O290" s="1"/>
      <c r="P290" s="1"/>
      <c r="Q290" s="1"/>
      <c r="R290" s="1"/>
    </row>
  </sheetData>
  <protectedRanges>
    <protectedRange sqref="K103:L103" name="区域1"/>
    <protectedRange sqref="K120:L121 K122" name="区域1_1"/>
    <protectedRange sqref="I126:I135" name="区域1_2"/>
    <protectedRange sqref="K155:L158 K172:L172 K170:L170 K169 K163:L165 K162 K160:L161 K159 K235 K167:L168 K166 K174:K178 K227:K229 K231:K232 K189:K201 K216:K223 K182:K184 K186:K187" name="区域1_3"/>
    <protectedRange sqref="K173:L173" name="区域1_6"/>
    <protectedRange sqref="K171:L171 L166" name="区域1_7"/>
    <protectedRange sqref="L179" name="区域1_4"/>
    <protectedRange sqref="K180:L181" name="区域1_5"/>
    <protectedRange sqref="I179" name="区域1_8"/>
    <protectedRange sqref="K202:L203" name="区域1_9"/>
    <protectedRange sqref="K225" name="区域1_3_1"/>
    <protectedRange sqref="K224" name="区域1_3_2"/>
  </protectedRanges>
  <mergeCells count="9">
    <mergeCell ref="A1:J1"/>
    <mergeCell ref="H2:J2"/>
    <mergeCell ref="C5:D5"/>
    <mergeCell ref="E5:F5"/>
    <mergeCell ref="H5:J5"/>
    <mergeCell ref="B277:D277"/>
    <mergeCell ref="A5:A6"/>
    <mergeCell ref="B5:B6"/>
    <mergeCell ref="G5:G6"/>
  </mergeCells>
  <pageMargins left="0.75" right="0.75" top="1" bottom="1" header="0.511805555555556" footer="0.511805555555556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2"/>
  <sheetViews>
    <sheetView tabSelected="1" workbookViewId="0">
      <selection activeCell="K46" sqref="K46"/>
    </sheetView>
  </sheetViews>
  <sheetFormatPr defaultColWidth="9" defaultRowHeight="11.25"/>
  <cols>
    <col min="1" max="1" width="10.775" style="8" customWidth="1"/>
    <col min="2" max="2" width="13.1083333333333" style="6" customWidth="1"/>
    <col min="3" max="3" width="6" style="7" customWidth="1"/>
    <col min="4" max="4" width="13.3333333333333" style="7" customWidth="1"/>
    <col min="5" max="5" width="6" style="7" customWidth="1"/>
    <col min="6" max="6" width="13.1083333333333" style="6" customWidth="1"/>
    <col min="7" max="7" width="16.1083333333333" style="6" customWidth="1"/>
    <col min="8" max="8" width="15.775" style="7" customWidth="1"/>
    <col min="9" max="9" width="18.1083333333333" style="6" customWidth="1"/>
    <col min="10" max="10" width="8.88333333333333" style="9" customWidth="1"/>
    <col min="11" max="11" width="43.125" style="1" customWidth="1"/>
    <col min="12" max="12" width="19" style="1" customWidth="1"/>
    <col min="13" max="13" width="20" style="1" customWidth="1"/>
    <col min="14" max="14" width="5.66666666666667" style="1" customWidth="1"/>
    <col min="15" max="15" width="10.375" style="1"/>
    <col min="16" max="16" width="19.8833333333333" style="1" customWidth="1"/>
    <col min="17" max="17" width="9" style="1"/>
    <col min="18" max="18" width="5.21666666666667" style="1" customWidth="1"/>
    <col min="19" max="16384" width="9" style="8"/>
  </cols>
  <sheetData>
    <row r="1" s="1" customFormat="1" ht="21.9" customHeight="1" spans="1:12">
      <c r="A1" s="10" t="s">
        <v>0</v>
      </c>
      <c r="B1" s="10"/>
      <c r="C1" s="10"/>
      <c r="D1" s="10"/>
      <c r="E1" s="10"/>
      <c r="F1" s="11"/>
      <c r="G1" s="11"/>
      <c r="H1" s="10"/>
      <c r="I1" s="11"/>
      <c r="J1" s="10"/>
      <c r="K1" s="20"/>
      <c r="L1" s="20"/>
    </row>
    <row r="2" s="1" customFormat="1" ht="18" customHeight="1" spans="1:12">
      <c r="A2" s="12" t="s">
        <v>1</v>
      </c>
      <c r="B2" s="13" t="s">
        <v>2</v>
      </c>
      <c r="C2" s="14" t="s">
        <v>3</v>
      </c>
      <c r="D2" s="14">
        <v>64372010</v>
      </c>
      <c r="E2" s="15" t="s">
        <v>4</v>
      </c>
      <c r="F2" s="16" t="s">
        <v>5</v>
      </c>
      <c r="G2" s="17" t="s">
        <v>6</v>
      </c>
      <c r="H2" s="18" t="s">
        <v>0</v>
      </c>
      <c r="I2" s="46"/>
      <c r="J2" s="47"/>
      <c r="K2" s="20"/>
      <c r="L2" s="20"/>
    </row>
    <row r="3" s="1" customFormat="1" ht="18" customHeight="1" spans="1:16">
      <c r="A3" s="12" t="s">
        <v>7</v>
      </c>
      <c r="B3" s="19"/>
      <c r="C3" s="14" t="s">
        <v>8</v>
      </c>
      <c r="D3" s="14">
        <v>69057620</v>
      </c>
      <c r="E3" s="7"/>
      <c r="F3" s="6"/>
      <c r="G3" s="6"/>
      <c r="H3" s="20"/>
      <c r="I3" s="48"/>
      <c r="J3" s="20"/>
      <c r="K3" s="20"/>
      <c r="L3" s="20"/>
      <c r="P3" s="49" t="s">
        <v>9</v>
      </c>
    </row>
    <row r="4" s="1" customFormat="1" ht="18" customHeight="1" spans="1:12">
      <c r="A4" s="8" t="s">
        <v>10</v>
      </c>
      <c r="B4" s="6"/>
      <c r="C4" s="7"/>
      <c r="D4" s="7"/>
      <c r="E4" s="7"/>
      <c r="F4" s="6"/>
      <c r="G4" s="6"/>
      <c r="H4" s="20"/>
      <c r="I4" s="48"/>
      <c r="J4" s="20"/>
      <c r="K4" s="20"/>
      <c r="L4" s="20"/>
    </row>
    <row r="5" s="1" customFormat="1" ht="18" customHeight="1" spans="1:13">
      <c r="A5" s="21" t="s">
        <v>11</v>
      </c>
      <c r="B5" s="22" t="s">
        <v>12</v>
      </c>
      <c r="C5" s="21" t="s">
        <v>13</v>
      </c>
      <c r="D5" s="21"/>
      <c r="E5" s="21" t="s">
        <v>14</v>
      </c>
      <c r="F5" s="22"/>
      <c r="G5" s="22" t="s">
        <v>15</v>
      </c>
      <c r="H5" s="23" t="s">
        <v>16</v>
      </c>
      <c r="I5" s="22"/>
      <c r="J5" s="23"/>
      <c r="M5" s="1" t="s">
        <v>17</v>
      </c>
    </row>
    <row r="6" s="1" customFormat="1" ht="18" customHeight="1" spans="1:10">
      <c r="A6" s="21"/>
      <c r="B6" s="22"/>
      <c r="C6" s="21" t="s">
        <v>18</v>
      </c>
      <c r="D6" s="21" t="s">
        <v>19</v>
      </c>
      <c r="E6" s="21" t="s">
        <v>18</v>
      </c>
      <c r="F6" s="22" t="s">
        <v>19</v>
      </c>
      <c r="G6" s="22"/>
      <c r="H6" s="23" t="s">
        <v>20</v>
      </c>
      <c r="I6" s="22" t="s">
        <v>21</v>
      </c>
      <c r="J6" s="23" t="s">
        <v>22</v>
      </c>
    </row>
    <row r="7" s="1" customFormat="1" ht="18" customHeight="1" spans="1:10">
      <c r="A7" s="24">
        <v>43437</v>
      </c>
      <c r="B7" s="14">
        <f t="shared" ref="B7:B14" si="0">G7/(1+C7+E7)</f>
        <v>17415127.2727273</v>
      </c>
      <c r="C7" s="25">
        <v>0.02</v>
      </c>
      <c r="D7" s="26">
        <f t="shared" ref="D7:D14" si="1">G7/(1+E7+C7)*C7</f>
        <v>348302.545454545</v>
      </c>
      <c r="E7" s="25">
        <v>0.08</v>
      </c>
      <c r="F7" s="14">
        <f t="shared" ref="F7:F14" si="2">G7/(1+C7+E7)*E7</f>
        <v>1393210.18181818</v>
      </c>
      <c r="G7" s="27">
        <v>19156640</v>
      </c>
      <c r="H7" s="24">
        <v>43453</v>
      </c>
      <c r="I7" s="14">
        <v>8000000</v>
      </c>
      <c r="J7" s="50" t="s">
        <v>23</v>
      </c>
    </row>
    <row r="8" s="1" customFormat="1" ht="18" customHeight="1" spans="1:10">
      <c r="A8" s="24">
        <v>43468</v>
      </c>
      <c r="B8" s="14">
        <f t="shared" si="0"/>
        <v>9711841.81818182</v>
      </c>
      <c r="C8" s="25">
        <v>0.02</v>
      </c>
      <c r="D8" s="26">
        <f t="shared" si="1"/>
        <v>194236.836363636</v>
      </c>
      <c r="E8" s="25">
        <v>0.08</v>
      </c>
      <c r="F8" s="14">
        <f t="shared" si="2"/>
        <v>776947.345454545</v>
      </c>
      <c r="G8" s="27">
        <v>10683026</v>
      </c>
      <c r="H8" s="24">
        <v>43458</v>
      </c>
      <c r="I8" s="14">
        <v>11156640</v>
      </c>
      <c r="J8" s="50" t="s">
        <v>23</v>
      </c>
    </row>
    <row r="9" s="1" customFormat="1" ht="18" customHeight="1" spans="1:10">
      <c r="A9" s="24">
        <v>43558</v>
      </c>
      <c r="B9" s="14">
        <f t="shared" si="0"/>
        <v>6347220.18348624</v>
      </c>
      <c r="C9" s="25">
        <v>0.02</v>
      </c>
      <c r="D9" s="26">
        <f t="shared" si="1"/>
        <v>126944.403669725</v>
      </c>
      <c r="E9" s="25">
        <v>0.07</v>
      </c>
      <c r="F9" s="14">
        <f t="shared" si="2"/>
        <v>444305.412844037</v>
      </c>
      <c r="G9" s="27">
        <v>6918470</v>
      </c>
      <c r="H9" s="24">
        <v>43482</v>
      </c>
      <c r="I9" s="14">
        <v>10683026</v>
      </c>
      <c r="J9" s="50" t="s">
        <v>23</v>
      </c>
    </row>
    <row r="10" s="1" customFormat="1" ht="18" customHeight="1" spans="1:10">
      <c r="A10" s="24">
        <v>43606</v>
      </c>
      <c r="B10" s="14">
        <f t="shared" si="0"/>
        <v>6722720.18348624</v>
      </c>
      <c r="C10" s="25">
        <v>0.02</v>
      </c>
      <c r="D10" s="26">
        <f t="shared" si="1"/>
        <v>134454.403669725</v>
      </c>
      <c r="E10" s="25">
        <v>0.07</v>
      </c>
      <c r="F10" s="14">
        <f t="shared" si="2"/>
        <v>470590.412844037</v>
      </c>
      <c r="G10" s="27">
        <v>7327765</v>
      </c>
      <c r="H10" s="24">
        <v>43590</v>
      </c>
      <c r="I10" s="14">
        <v>6918470</v>
      </c>
      <c r="J10" s="50" t="s">
        <v>23</v>
      </c>
    </row>
    <row r="11" s="1" customFormat="1" ht="18" customHeight="1" spans="1:10">
      <c r="A11" s="24">
        <v>43832</v>
      </c>
      <c r="B11" s="14">
        <f t="shared" si="0"/>
        <v>21009165.1376147</v>
      </c>
      <c r="C11" s="25">
        <v>0.02</v>
      </c>
      <c r="D11" s="26">
        <f t="shared" si="1"/>
        <v>420183.302752294</v>
      </c>
      <c r="E11" s="28">
        <v>0.07</v>
      </c>
      <c r="F11" s="14">
        <f t="shared" si="2"/>
        <v>1470641.55963303</v>
      </c>
      <c r="G11" s="27">
        <v>22899990</v>
      </c>
      <c r="H11" s="24">
        <v>43657</v>
      </c>
      <c r="I11" s="14">
        <v>3000000</v>
      </c>
      <c r="J11" s="50" t="s">
        <v>23</v>
      </c>
    </row>
    <row r="12" s="1" customFormat="1" ht="18" customHeight="1" spans="1:10">
      <c r="A12" s="24">
        <v>44397</v>
      </c>
      <c r="B12" s="14">
        <f t="shared" si="0"/>
        <v>1900668.80733945</v>
      </c>
      <c r="C12" s="25">
        <v>0.02</v>
      </c>
      <c r="D12" s="26">
        <f t="shared" si="1"/>
        <v>38013.376146789</v>
      </c>
      <c r="E12" s="28">
        <v>0.07</v>
      </c>
      <c r="F12" s="14">
        <f t="shared" si="2"/>
        <v>133046.816513761</v>
      </c>
      <c r="G12" s="27">
        <v>2071729</v>
      </c>
      <c r="H12" s="24">
        <v>43705</v>
      </c>
      <c r="I12" s="14">
        <v>1000000</v>
      </c>
      <c r="J12" s="50" t="s">
        <v>23</v>
      </c>
    </row>
    <row r="13" s="1" customFormat="1" ht="18" customHeight="1" spans="1:10">
      <c r="A13" s="24"/>
      <c r="B13" s="14">
        <f t="shared" si="0"/>
        <v>0</v>
      </c>
      <c r="C13" s="25">
        <v>0.02</v>
      </c>
      <c r="D13" s="26">
        <f t="shared" si="1"/>
        <v>0</v>
      </c>
      <c r="E13" s="25">
        <v>0.08</v>
      </c>
      <c r="F13" s="14">
        <f t="shared" si="2"/>
        <v>0</v>
      </c>
      <c r="G13" s="27"/>
      <c r="H13" s="24">
        <v>43754</v>
      </c>
      <c r="I13" s="14">
        <v>3327765</v>
      </c>
      <c r="J13" s="50" t="s">
        <v>23</v>
      </c>
    </row>
    <row r="14" s="1" customFormat="1" ht="18" customHeight="1" spans="1:10">
      <c r="A14" s="24"/>
      <c r="B14" s="14">
        <f t="shared" si="0"/>
        <v>0</v>
      </c>
      <c r="C14" s="25">
        <v>0.02</v>
      </c>
      <c r="D14" s="26">
        <f t="shared" si="1"/>
        <v>0</v>
      </c>
      <c r="E14" s="25">
        <v>0.08</v>
      </c>
      <c r="F14" s="14">
        <f t="shared" si="2"/>
        <v>0</v>
      </c>
      <c r="G14" s="27"/>
      <c r="H14" s="24">
        <v>43852</v>
      </c>
      <c r="I14" s="14">
        <v>22899990</v>
      </c>
      <c r="J14" s="50" t="s">
        <v>23</v>
      </c>
    </row>
    <row r="15" s="1" customFormat="1" ht="18" customHeight="1" spans="1:10">
      <c r="A15" s="24"/>
      <c r="B15" s="14"/>
      <c r="C15" s="25"/>
      <c r="D15" s="26"/>
      <c r="E15" s="25"/>
      <c r="F15" s="14"/>
      <c r="G15" s="27"/>
      <c r="H15" s="24">
        <v>44418</v>
      </c>
      <c r="I15" s="14">
        <v>2071729</v>
      </c>
      <c r="J15" s="50" t="s">
        <v>40</v>
      </c>
    </row>
    <row r="16" s="1" customFormat="1" ht="18" customHeight="1" spans="1:10">
      <c r="A16" s="29" t="s">
        <v>24</v>
      </c>
      <c r="B16" s="30">
        <f t="shared" ref="B16:G16" si="3">SUM(B7:B14)</f>
        <v>63106743.4028357</v>
      </c>
      <c r="C16" s="31"/>
      <c r="D16" s="31">
        <f t="shared" si="3"/>
        <v>1262134.86805671</v>
      </c>
      <c r="E16" s="31"/>
      <c r="F16" s="32">
        <f t="shared" si="3"/>
        <v>4688741.72910759</v>
      </c>
      <c r="G16" s="31">
        <f t="shared" si="3"/>
        <v>69057620</v>
      </c>
      <c r="H16" s="33"/>
      <c r="I16" s="31">
        <f>SUM(I7:I15)</f>
        <v>69057620</v>
      </c>
      <c r="J16" s="33"/>
    </row>
    <row r="17" s="1" customFormat="1" ht="18" customHeight="1" spans="1:12">
      <c r="A17" s="8" t="s">
        <v>25</v>
      </c>
      <c r="B17" s="6"/>
      <c r="C17" s="7"/>
      <c r="D17" s="7"/>
      <c r="E17" s="7"/>
      <c r="F17" s="6"/>
      <c r="G17" s="6"/>
      <c r="H17" s="7"/>
      <c r="I17" s="7"/>
      <c r="J17" s="7"/>
      <c r="K17" s="7"/>
      <c r="L17" s="9"/>
    </row>
    <row r="18" s="1" customFormat="1" ht="18" customHeight="1" spans="1:15">
      <c r="A18" s="34" t="s">
        <v>26</v>
      </c>
      <c r="B18" s="22" t="s">
        <v>27</v>
      </c>
      <c r="C18" s="21" t="s">
        <v>28</v>
      </c>
      <c r="D18" s="21" t="s">
        <v>29</v>
      </c>
      <c r="E18" s="21" t="s">
        <v>18</v>
      </c>
      <c r="F18" s="22" t="s">
        <v>30</v>
      </c>
      <c r="G18" s="22" t="s">
        <v>15</v>
      </c>
      <c r="H18" s="21" t="s">
        <v>31</v>
      </c>
      <c r="I18" s="22" t="s">
        <v>32</v>
      </c>
      <c r="J18" s="21" t="s">
        <v>22</v>
      </c>
      <c r="K18" s="51" t="s">
        <v>33</v>
      </c>
      <c r="L18" s="23" t="s">
        <v>34</v>
      </c>
      <c r="M18" s="23" t="s">
        <v>35</v>
      </c>
      <c r="N18" s="23" t="s">
        <v>36</v>
      </c>
      <c r="O18" s="23" t="s">
        <v>37</v>
      </c>
    </row>
    <row r="19" s="2" customFormat="1" ht="18" customHeight="1" spans="1:15">
      <c r="A19" s="13" t="s">
        <v>38</v>
      </c>
      <c r="B19" s="35">
        <f t="shared" ref="B19:B82" si="4">ROUND(G19/(1+E19),2)</f>
        <v>196335.47</v>
      </c>
      <c r="C19" s="36"/>
      <c r="D19" s="37" t="s">
        <v>39</v>
      </c>
      <c r="E19" s="38">
        <v>0.06</v>
      </c>
      <c r="F19" s="35">
        <f t="shared" ref="F19:F82" si="5">ROUND(G19/(1+E19)*E19,2)</f>
        <v>11780.13</v>
      </c>
      <c r="G19" s="27">
        <v>208115.6</v>
      </c>
      <c r="H19" s="24">
        <v>43341</v>
      </c>
      <c r="I19" s="52">
        <v>208115.6</v>
      </c>
      <c r="J19" s="50" t="s">
        <v>40</v>
      </c>
      <c r="K19" s="53" t="s">
        <v>41</v>
      </c>
      <c r="L19" s="54" t="s">
        <v>42</v>
      </c>
      <c r="M19" s="55"/>
      <c r="N19" s="55"/>
      <c r="O19" s="54"/>
    </row>
    <row r="20" s="2" customFormat="1" ht="18" customHeight="1" spans="1:15">
      <c r="A20" s="13"/>
      <c r="B20" s="35">
        <f t="shared" si="4"/>
        <v>0</v>
      </c>
      <c r="C20" s="36"/>
      <c r="D20" s="37"/>
      <c r="E20" s="38"/>
      <c r="F20" s="35">
        <f t="shared" si="5"/>
        <v>0</v>
      </c>
      <c r="G20" s="27"/>
      <c r="H20" s="24">
        <v>43341</v>
      </c>
      <c r="I20" s="26">
        <v>-208115.6</v>
      </c>
      <c r="J20" s="50" t="s">
        <v>43</v>
      </c>
      <c r="K20" s="53" t="s">
        <v>44</v>
      </c>
      <c r="L20" s="54"/>
      <c r="M20" s="55"/>
      <c r="N20" s="55"/>
      <c r="O20" s="54"/>
    </row>
    <row r="21" s="3" customFormat="1" ht="18" customHeight="1" spans="1:17">
      <c r="A21" s="39" t="s">
        <v>38</v>
      </c>
      <c r="B21" s="40">
        <f t="shared" si="4"/>
        <v>187395.21</v>
      </c>
      <c r="C21" s="41"/>
      <c r="D21" s="42"/>
      <c r="E21" s="38"/>
      <c r="F21" s="40">
        <f t="shared" si="5"/>
        <v>0</v>
      </c>
      <c r="G21" s="27">
        <f>100000+87395.21</f>
        <v>187395.21</v>
      </c>
      <c r="H21" s="43"/>
      <c r="I21" s="26"/>
      <c r="J21" s="56"/>
      <c r="K21" s="57" t="s">
        <v>46</v>
      </c>
      <c r="L21" s="57" t="s">
        <v>47</v>
      </c>
      <c r="M21" s="58"/>
      <c r="N21" s="58"/>
      <c r="O21" s="59" t="s">
        <v>48</v>
      </c>
      <c r="P21" s="60"/>
      <c r="Q21" s="60"/>
    </row>
    <row r="22" s="2" customFormat="1" ht="18" customHeight="1" spans="1:15">
      <c r="A22" s="13">
        <v>43397</v>
      </c>
      <c r="B22" s="35">
        <f t="shared" si="4"/>
        <v>95586.21</v>
      </c>
      <c r="C22" s="36">
        <v>2</v>
      </c>
      <c r="D22" s="37" t="s">
        <v>39</v>
      </c>
      <c r="E22" s="38">
        <v>0.16</v>
      </c>
      <c r="F22" s="35">
        <f t="shared" si="5"/>
        <v>15293.79</v>
      </c>
      <c r="G22" s="27">
        <v>110880</v>
      </c>
      <c r="H22" s="24">
        <v>43341</v>
      </c>
      <c r="I22" s="52">
        <v>110880</v>
      </c>
      <c r="J22" s="50" t="s">
        <v>40</v>
      </c>
      <c r="K22" s="53" t="s">
        <v>49</v>
      </c>
      <c r="L22" s="54" t="s">
        <v>50</v>
      </c>
      <c r="M22" s="55"/>
      <c r="N22" s="55"/>
      <c r="O22" s="54"/>
    </row>
    <row r="23" s="2" customFormat="1" ht="18" customHeight="1" spans="1:15">
      <c r="A23" s="13"/>
      <c r="B23" s="35">
        <f t="shared" si="4"/>
        <v>0</v>
      </c>
      <c r="C23" s="36"/>
      <c r="D23" s="37"/>
      <c r="E23" s="38"/>
      <c r="F23" s="35">
        <f t="shared" si="5"/>
        <v>0</v>
      </c>
      <c r="G23" s="27"/>
      <c r="H23" s="24">
        <v>43341</v>
      </c>
      <c r="I23" s="26">
        <v>-110880</v>
      </c>
      <c r="J23" s="50" t="s">
        <v>43</v>
      </c>
      <c r="K23" s="53" t="s">
        <v>44</v>
      </c>
      <c r="L23" s="54"/>
      <c r="M23" s="55"/>
      <c r="N23" s="55"/>
      <c r="O23" s="54"/>
    </row>
    <row r="24" s="2" customFormat="1" ht="18" customHeight="1" spans="1:15">
      <c r="A24" s="13" t="s">
        <v>51</v>
      </c>
      <c r="B24" s="35">
        <f t="shared" si="4"/>
        <v>3650</v>
      </c>
      <c r="C24" s="36"/>
      <c r="D24" s="37" t="s">
        <v>45</v>
      </c>
      <c r="E24" s="38"/>
      <c r="F24" s="35">
        <f t="shared" si="5"/>
        <v>0</v>
      </c>
      <c r="G24" s="27">
        <v>3650</v>
      </c>
      <c r="H24" s="24"/>
      <c r="I24" s="26"/>
      <c r="J24" s="50"/>
      <c r="K24" s="61" t="s">
        <v>52</v>
      </c>
      <c r="L24" s="61" t="s">
        <v>53</v>
      </c>
      <c r="M24" s="55"/>
      <c r="N24" s="55"/>
      <c r="O24" s="54"/>
    </row>
    <row r="25" s="2" customFormat="1" ht="18" customHeight="1" spans="1:15">
      <c r="A25" s="13"/>
      <c r="B25" s="35">
        <f t="shared" si="4"/>
        <v>0</v>
      </c>
      <c r="C25" s="36"/>
      <c r="D25" s="37"/>
      <c r="E25" s="38"/>
      <c r="F25" s="35">
        <f t="shared" si="5"/>
        <v>0</v>
      </c>
      <c r="G25" s="27"/>
      <c r="H25" s="24">
        <v>43350</v>
      </c>
      <c r="I25" s="52">
        <v>200000</v>
      </c>
      <c r="J25" s="50" t="s">
        <v>40</v>
      </c>
      <c r="K25" s="53" t="s">
        <v>54</v>
      </c>
      <c r="L25" s="54" t="s">
        <v>55</v>
      </c>
      <c r="M25" s="55" t="s">
        <v>56</v>
      </c>
      <c r="N25" s="55"/>
      <c r="O25" s="54"/>
    </row>
    <row r="26" s="2" customFormat="1" ht="18" customHeight="1" spans="1:15">
      <c r="A26" s="13"/>
      <c r="B26" s="35">
        <f t="shared" si="4"/>
        <v>0</v>
      </c>
      <c r="C26" s="36"/>
      <c r="D26" s="37"/>
      <c r="E26" s="38"/>
      <c r="F26" s="35">
        <f t="shared" si="5"/>
        <v>0</v>
      </c>
      <c r="G26" s="27"/>
      <c r="H26" s="24">
        <v>43350</v>
      </c>
      <c r="I26" s="26">
        <v>-200000</v>
      </c>
      <c r="J26" s="50" t="s">
        <v>43</v>
      </c>
      <c r="K26" s="53" t="s">
        <v>44</v>
      </c>
      <c r="L26" s="54"/>
      <c r="M26" s="55"/>
      <c r="N26" s="55"/>
      <c r="O26" s="54"/>
    </row>
    <row r="27" s="4" customFormat="1" ht="18" customHeight="1" spans="1:15">
      <c r="A27" s="13"/>
      <c r="B27" s="35">
        <f t="shared" si="4"/>
        <v>0</v>
      </c>
      <c r="C27" s="44"/>
      <c r="D27" s="37"/>
      <c r="E27" s="38"/>
      <c r="F27" s="35">
        <f t="shared" si="5"/>
        <v>0</v>
      </c>
      <c r="G27" s="27"/>
      <c r="H27" s="45">
        <v>43362</v>
      </c>
      <c r="I27" s="52">
        <v>100000</v>
      </c>
      <c r="J27" s="50" t="s">
        <v>40</v>
      </c>
      <c r="K27" s="62" t="s">
        <v>57</v>
      </c>
      <c r="L27" s="63" t="s">
        <v>58</v>
      </c>
      <c r="M27" s="55" t="s">
        <v>56</v>
      </c>
      <c r="N27" s="64"/>
      <c r="O27" s="63"/>
    </row>
    <row r="28" s="4" customFormat="1" ht="18" customHeight="1" spans="1:15">
      <c r="A28" s="13"/>
      <c r="B28" s="35">
        <f t="shared" si="4"/>
        <v>0</v>
      </c>
      <c r="C28" s="44"/>
      <c r="D28" s="37"/>
      <c r="E28" s="38"/>
      <c r="F28" s="35">
        <f t="shared" si="5"/>
        <v>0</v>
      </c>
      <c r="G28" s="27"/>
      <c r="H28" s="45">
        <v>43362</v>
      </c>
      <c r="I28" s="52">
        <v>-100000</v>
      </c>
      <c r="J28" s="50" t="s">
        <v>43</v>
      </c>
      <c r="K28" s="62" t="s">
        <v>44</v>
      </c>
      <c r="L28" s="63"/>
      <c r="M28" s="64"/>
      <c r="N28" s="64"/>
      <c r="O28" s="63"/>
    </row>
    <row r="29" s="2" customFormat="1" ht="18" customHeight="1" spans="1:15">
      <c r="A29" s="13"/>
      <c r="B29" s="35">
        <f t="shared" si="4"/>
        <v>0</v>
      </c>
      <c r="C29" s="36"/>
      <c r="D29" s="37"/>
      <c r="E29" s="38"/>
      <c r="F29" s="35">
        <f t="shared" si="5"/>
        <v>0</v>
      </c>
      <c r="G29" s="27"/>
      <c r="H29" s="45">
        <v>43362</v>
      </c>
      <c r="I29" s="52">
        <v>200000</v>
      </c>
      <c r="J29" s="50" t="s">
        <v>40</v>
      </c>
      <c r="K29" s="53" t="s">
        <v>59</v>
      </c>
      <c r="L29" s="63" t="s">
        <v>60</v>
      </c>
      <c r="M29" s="55" t="s">
        <v>56</v>
      </c>
      <c r="N29" s="55"/>
      <c r="O29" s="54"/>
    </row>
    <row r="30" s="2" customFormat="1" ht="18" customHeight="1" spans="1:15">
      <c r="A30" s="13"/>
      <c r="B30" s="35">
        <f t="shared" si="4"/>
        <v>0</v>
      </c>
      <c r="C30" s="36"/>
      <c r="D30" s="37"/>
      <c r="E30" s="38"/>
      <c r="F30" s="35">
        <f t="shared" si="5"/>
        <v>0</v>
      </c>
      <c r="G30" s="27"/>
      <c r="H30" s="45">
        <v>43362</v>
      </c>
      <c r="I30" s="52">
        <v>-200000</v>
      </c>
      <c r="J30" s="50" t="s">
        <v>43</v>
      </c>
      <c r="K30" s="53" t="s">
        <v>44</v>
      </c>
      <c r="L30" s="63"/>
      <c r="M30" s="55"/>
      <c r="N30" s="55"/>
      <c r="O30" s="54"/>
    </row>
    <row r="31" s="2" customFormat="1" ht="18" customHeight="1" spans="1:15">
      <c r="A31" s="13"/>
      <c r="B31" s="35">
        <f t="shared" si="4"/>
        <v>0</v>
      </c>
      <c r="C31" s="36"/>
      <c r="D31" s="37"/>
      <c r="E31" s="38"/>
      <c r="F31" s="35">
        <f t="shared" si="5"/>
        <v>0</v>
      </c>
      <c r="G31" s="27"/>
      <c r="H31" s="24">
        <v>43369</v>
      </c>
      <c r="I31" s="52">
        <v>100000</v>
      </c>
      <c r="J31" s="50" t="s">
        <v>40</v>
      </c>
      <c r="K31" s="53" t="s">
        <v>57</v>
      </c>
      <c r="L31" s="54" t="s">
        <v>58</v>
      </c>
      <c r="M31" s="55" t="s">
        <v>56</v>
      </c>
      <c r="N31" s="55"/>
      <c r="O31" s="54"/>
    </row>
    <row r="32" s="2" customFormat="1" ht="18" customHeight="1" spans="1:15">
      <c r="A32" s="13"/>
      <c r="B32" s="35">
        <f t="shared" si="4"/>
        <v>0</v>
      </c>
      <c r="C32" s="36"/>
      <c r="D32" s="37"/>
      <c r="E32" s="38"/>
      <c r="F32" s="35">
        <f t="shared" si="5"/>
        <v>0</v>
      </c>
      <c r="G32" s="27"/>
      <c r="H32" s="24">
        <v>43369</v>
      </c>
      <c r="I32" s="52">
        <v>-100000</v>
      </c>
      <c r="J32" s="50" t="s">
        <v>43</v>
      </c>
      <c r="K32" s="53" t="s">
        <v>44</v>
      </c>
      <c r="L32" s="54"/>
      <c r="M32" s="55"/>
      <c r="N32" s="55"/>
      <c r="O32" s="54"/>
    </row>
    <row r="33" s="2" customFormat="1" ht="18" customHeight="1" spans="1:15">
      <c r="A33" s="13"/>
      <c r="B33" s="35">
        <f t="shared" si="4"/>
        <v>0</v>
      </c>
      <c r="C33" s="36"/>
      <c r="D33" s="37"/>
      <c r="E33" s="38"/>
      <c r="F33" s="35">
        <f t="shared" si="5"/>
        <v>0</v>
      </c>
      <c r="G33" s="27"/>
      <c r="H33" s="24">
        <v>43369</v>
      </c>
      <c r="I33" s="52">
        <v>100000</v>
      </c>
      <c r="J33" s="50" t="s">
        <v>40</v>
      </c>
      <c r="K33" s="53" t="s">
        <v>61</v>
      </c>
      <c r="L33" s="54" t="s">
        <v>62</v>
      </c>
      <c r="M33" s="55" t="s">
        <v>56</v>
      </c>
      <c r="N33" s="55"/>
      <c r="O33" s="54"/>
    </row>
    <row r="34" s="2" customFormat="1" ht="18" customHeight="1" spans="1:15">
      <c r="A34" s="13"/>
      <c r="B34" s="35">
        <f t="shared" si="4"/>
        <v>0</v>
      </c>
      <c r="C34" s="36"/>
      <c r="D34" s="37"/>
      <c r="E34" s="38"/>
      <c r="F34" s="35">
        <f t="shared" si="5"/>
        <v>0</v>
      </c>
      <c r="G34" s="27"/>
      <c r="H34" s="24">
        <v>43369</v>
      </c>
      <c r="I34" s="52">
        <v>-100000</v>
      </c>
      <c r="J34" s="50" t="s">
        <v>43</v>
      </c>
      <c r="K34" s="53" t="s">
        <v>44</v>
      </c>
      <c r="L34" s="54"/>
      <c r="M34" s="55"/>
      <c r="N34" s="55"/>
      <c r="O34" s="54"/>
    </row>
    <row r="35" s="2" customFormat="1" ht="18" customHeight="1" spans="1:15">
      <c r="A35" s="13">
        <v>43397</v>
      </c>
      <c r="B35" s="35">
        <f t="shared" si="4"/>
        <v>68109.66</v>
      </c>
      <c r="C35" s="36">
        <v>1</v>
      </c>
      <c r="D35" s="37" t="s">
        <v>39</v>
      </c>
      <c r="E35" s="38">
        <v>0.16</v>
      </c>
      <c r="F35" s="35">
        <f t="shared" si="5"/>
        <v>10897.55</v>
      </c>
      <c r="G35" s="27">
        <v>79007.21</v>
      </c>
      <c r="H35" s="24">
        <v>43369</v>
      </c>
      <c r="I35" s="52">
        <v>55493.35</v>
      </c>
      <c r="J35" s="50" t="s">
        <v>40</v>
      </c>
      <c r="K35" s="53" t="s">
        <v>63</v>
      </c>
      <c r="L35" s="54" t="s">
        <v>64</v>
      </c>
      <c r="M35" s="55" t="s">
        <v>56</v>
      </c>
      <c r="N35" s="55"/>
      <c r="O35" s="54"/>
    </row>
    <row r="36" s="2" customFormat="1" ht="18" customHeight="1" spans="1:15">
      <c r="A36" s="13"/>
      <c r="B36" s="35">
        <f t="shared" si="4"/>
        <v>0</v>
      </c>
      <c r="C36" s="36"/>
      <c r="D36" s="37"/>
      <c r="E36" s="38"/>
      <c r="F36" s="35">
        <f t="shared" si="5"/>
        <v>0</v>
      </c>
      <c r="G36" s="27"/>
      <c r="H36" s="24">
        <v>43369</v>
      </c>
      <c r="I36" s="52">
        <v>-55493.35</v>
      </c>
      <c r="J36" s="50" t="s">
        <v>43</v>
      </c>
      <c r="K36" s="53" t="s">
        <v>44</v>
      </c>
      <c r="L36" s="54"/>
      <c r="M36" s="55"/>
      <c r="N36" s="55"/>
      <c r="O36" s="54"/>
    </row>
    <row r="37" s="2" customFormat="1" ht="18" customHeight="1" spans="1:15">
      <c r="A37" s="13" t="s">
        <v>51</v>
      </c>
      <c r="B37" s="35">
        <f t="shared" si="4"/>
        <v>102254.31</v>
      </c>
      <c r="C37" s="36">
        <v>2</v>
      </c>
      <c r="D37" s="37" t="s">
        <v>39</v>
      </c>
      <c r="E37" s="38">
        <v>0.16</v>
      </c>
      <c r="F37" s="35">
        <f t="shared" si="5"/>
        <v>16360.69</v>
      </c>
      <c r="G37" s="27">
        <v>118615</v>
      </c>
      <c r="H37" s="24">
        <v>43370</v>
      </c>
      <c r="I37" s="52">
        <v>58765</v>
      </c>
      <c r="J37" s="50" t="s">
        <v>40</v>
      </c>
      <c r="K37" s="53" t="s">
        <v>49</v>
      </c>
      <c r="L37" s="54" t="s">
        <v>50</v>
      </c>
      <c r="M37" s="55"/>
      <c r="N37" s="55"/>
      <c r="O37" s="54"/>
    </row>
    <row r="38" s="2" customFormat="1" ht="18" customHeight="1" spans="1:15">
      <c r="A38" s="13"/>
      <c r="B38" s="35">
        <f t="shared" si="4"/>
        <v>0</v>
      </c>
      <c r="C38" s="36"/>
      <c r="D38" s="37"/>
      <c r="E38" s="38"/>
      <c r="F38" s="35">
        <f t="shared" si="5"/>
        <v>0</v>
      </c>
      <c r="G38" s="27"/>
      <c r="H38" s="24">
        <v>43370</v>
      </c>
      <c r="I38" s="52">
        <v>-58765</v>
      </c>
      <c r="J38" s="50" t="s">
        <v>43</v>
      </c>
      <c r="K38" s="53" t="s">
        <v>44</v>
      </c>
      <c r="L38" s="54"/>
      <c r="M38" s="55"/>
      <c r="N38" s="55"/>
      <c r="O38" s="54"/>
    </row>
    <row r="39" s="2" customFormat="1" ht="18" customHeight="1" spans="1:15">
      <c r="A39" s="13" t="s">
        <v>51</v>
      </c>
      <c r="B39" s="35">
        <f t="shared" si="4"/>
        <v>4070</v>
      </c>
      <c r="C39" s="36"/>
      <c r="D39" s="37" t="s">
        <v>45</v>
      </c>
      <c r="E39" s="38"/>
      <c r="F39" s="35">
        <f t="shared" si="5"/>
        <v>0</v>
      </c>
      <c r="G39" s="27">
        <v>4070</v>
      </c>
      <c r="H39" s="24"/>
      <c r="I39" s="52"/>
      <c r="J39" s="50"/>
      <c r="K39" s="53" t="s">
        <v>52</v>
      </c>
      <c r="L39" s="54" t="s">
        <v>53</v>
      </c>
      <c r="M39" s="55"/>
      <c r="N39" s="55"/>
      <c r="O39" s="54"/>
    </row>
    <row r="40" s="2" customFormat="1" ht="18" customHeight="1" spans="1:15">
      <c r="A40" s="13"/>
      <c r="B40" s="35">
        <f t="shared" si="4"/>
        <v>0</v>
      </c>
      <c r="C40" s="36"/>
      <c r="D40" s="37"/>
      <c r="E40" s="38"/>
      <c r="F40" s="35">
        <f t="shared" si="5"/>
        <v>0</v>
      </c>
      <c r="G40" s="27"/>
      <c r="H40" s="24">
        <v>43370</v>
      </c>
      <c r="I40" s="52">
        <v>20000</v>
      </c>
      <c r="J40" s="50" t="s">
        <v>40</v>
      </c>
      <c r="K40" s="53" t="s">
        <v>65</v>
      </c>
      <c r="L40" s="54" t="s">
        <v>60</v>
      </c>
      <c r="M40" s="55" t="s">
        <v>56</v>
      </c>
      <c r="N40" s="55"/>
      <c r="O40" s="54"/>
    </row>
    <row r="41" s="2" customFormat="1" ht="18" customHeight="1" spans="1:15">
      <c r="A41" s="13"/>
      <c r="B41" s="35">
        <f t="shared" si="4"/>
        <v>0</v>
      </c>
      <c r="C41" s="36"/>
      <c r="D41" s="37"/>
      <c r="E41" s="38"/>
      <c r="F41" s="35">
        <f t="shared" si="5"/>
        <v>0</v>
      </c>
      <c r="G41" s="27"/>
      <c r="H41" s="24">
        <v>43370</v>
      </c>
      <c r="I41" s="52">
        <v>-20000</v>
      </c>
      <c r="J41" s="50" t="s">
        <v>43</v>
      </c>
      <c r="K41" s="53" t="s">
        <v>44</v>
      </c>
      <c r="L41" s="54"/>
      <c r="M41" s="55"/>
      <c r="N41" s="55"/>
      <c r="O41" s="54"/>
    </row>
    <row r="42" s="2" customFormat="1" ht="18" customHeight="1" spans="1:15">
      <c r="A42" s="13"/>
      <c r="B42" s="35">
        <f t="shared" si="4"/>
        <v>0</v>
      </c>
      <c r="C42" s="36"/>
      <c r="D42" s="37"/>
      <c r="E42" s="38"/>
      <c r="F42" s="35">
        <f t="shared" si="5"/>
        <v>0</v>
      </c>
      <c r="G42" s="27"/>
      <c r="H42" s="24">
        <v>43370</v>
      </c>
      <c r="I42" s="52">
        <v>50000</v>
      </c>
      <c r="J42" s="50" t="s">
        <v>40</v>
      </c>
      <c r="K42" s="53" t="s">
        <v>66</v>
      </c>
      <c r="L42" s="54" t="s">
        <v>67</v>
      </c>
      <c r="M42" s="55" t="s">
        <v>56</v>
      </c>
      <c r="N42" s="55"/>
      <c r="O42" s="54"/>
    </row>
    <row r="43" s="2" customFormat="1" ht="18" customHeight="1" spans="1:15">
      <c r="A43" s="13"/>
      <c r="B43" s="35">
        <f t="shared" si="4"/>
        <v>0</v>
      </c>
      <c r="C43" s="36"/>
      <c r="D43" s="37"/>
      <c r="E43" s="38"/>
      <c r="F43" s="35">
        <f t="shared" si="5"/>
        <v>0</v>
      </c>
      <c r="G43" s="27"/>
      <c r="H43" s="24">
        <v>43370</v>
      </c>
      <c r="I43" s="52">
        <v>-50000</v>
      </c>
      <c r="J43" s="50" t="s">
        <v>43</v>
      </c>
      <c r="K43" s="53" t="s">
        <v>44</v>
      </c>
      <c r="L43" s="54"/>
      <c r="M43" s="55"/>
      <c r="N43" s="55"/>
      <c r="O43" s="54"/>
    </row>
    <row r="44" s="2" customFormat="1" ht="18" customHeight="1" spans="1:15">
      <c r="A44" s="13"/>
      <c r="B44" s="35">
        <f t="shared" si="4"/>
        <v>0</v>
      </c>
      <c r="C44" s="36"/>
      <c r="D44" s="37"/>
      <c r="E44" s="38"/>
      <c r="F44" s="35">
        <f t="shared" si="5"/>
        <v>0</v>
      </c>
      <c r="G44" s="27"/>
      <c r="H44" s="24">
        <v>43381</v>
      </c>
      <c r="I44" s="52">
        <v>59850</v>
      </c>
      <c r="J44" s="50" t="s">
        <v>40</v>
      </c>
      <c r="K44" s="53" t="s">
        <v>49</v>
      </c>
      <c r="L44" s="54" t="s">
        <v>50</v>
      </c>
      <c r="M44" s="55"/>
      <c r="N44" s="55"/>
      <c r="O44" s="54"/>
    </row>
    <row r="45" s="2" customFormat="1" ht="18" customHeight="1" spans="1:15">
      <c r="A45" s="13"/>
      <c r="B45" s="35">
        <f t="shared" si="4"/>
        <v>0</v>
      </c>
      <c r="C45" s="36"/>
      <c r="D45" s="37"/>
      <c r="E45" s="38"/>
      <c r="F45" s="35">
        <f t="shared" si="5"/>
        <v>0</v>
      </c>
      <c r="G45" s="27"/>
      <c r="H45" s="24">
        <v>43381</v>
      </c>
      <c r="I45" s="52">
        <v>-59850</v>
      </c>
      <c r="J45" s="50" t="s">
        <v>43</v>
      </c>
      <c r="K45" s="53" t="s">
        <v>44</v>
      </c>
      <c r="L45" s="54"/>
      <c r="M45" s="55"/>
      <c r="N45" s="55"/>
      <c r="O45" s="54"/>
    </row>
    <row r="46" s="2" customFormat="1" ht="18" customHeight="1" spans="1:15">
      <c r="A46" s="13"/>
      <c r="B46" s="35">
        <f t="shared" si="4"/>
        <v>0</v>
      </c>
      <c r="C46" s="36"/>
      <c r="D46" s="37"/>
      <c r="E46" s="38"/>
      <c r="F46" s="35">
        <f t="shared" si="5"/>
        <v>0</v>
      </c>
      <c r="G46" s="27"/>
      <c r="H46" s="24">
        <v>43381</v>
      </c>
      <c r="I46" s="52">
        <v>23513.5</v>
      </c>
      <c r="J46" s="50" t="s">
        <v>40</v>
      </c>
      <c r="K46" s="53" t="s">
        <v>63</v>
      </c>
      <c r="L46" s="54" t="s">
        <v>64</v>
      </c>
      <c r="M46" s="55" t="s">
        <v>56</v>
      </c>
      <c r="N46" s="55"/>
      <c r="O46" s="54"/>
    </row>
    <row r="47" s="2" customFormat="1" ht="18" customHeight="1" spans="1:15">
      <c r="A47" s="13"/>
      <c r="B47" s="35">
        <f t="shared" si="4"/>
        <v>0</v>
      </c>
      <c r="C47" s="36"/>
      <c r="D47" s="37"/>
      <c r="E47" s="38"/>
      <c r="F47" s="35">
        <f t="shared" si="5"/>
        <v>0</v>
      </c>
      <c r="G47" s="27"/>
      <c r="H47" s="24">
        <v>43381</v>
      </c>
      <c r="I47" s="52">
        <v>-23513.5</v>
      </c>
      <c r="J47" s="50" t="s">
        <v>43</v>
      </c>
      <c r="K47" s="53" t="s">
        <v>44</v>
      </c>
      <c r="L47" s="54"/>
      <c r="M47" s="55"/>
      <c r="N47" s="55"/>
      <c r="O47" s="54"/>
    </row>
    <row r="48" s="2" customFormat="1" ht="18" customHeight="1" spans="1:15">
      <c r="A48" s="13"/>
      <c r="B48" s="35">
        <f t="shared" si="4"/>
        <v>0</v>
      </c>
      <c r="C48" s="36"/>
      <c r="D48" s="37"/>
      <c r="E48" s="38"/>
      <c r="F48" s="35">
        <f t="shared" si="5"/>
        <v>0</v>
      </c>
      <c r="G48" s="27"/>
      <c r="H48" s="24">
        <v>43381</v>
      </c>
      <c r="I48" s="52">
        <v>200000</v>
      </c>
      <c r="J48" s="50" t="s">
        <v>40</v>
      </c>
      <c r="K48" s="53" t="s">
        <v>57</v>
      </c>
      <c r="L48" s="54" t="s">
        <v>58</v>
      </c>
      <c r="M48" s="55" t="s">
        <v>56</v>
      </c>
      <c r="N48" s="55"/>
      <c r="O48" s="54"/>
    </row>
    <row r="49" s="2" customFormat="1" ht="18" customHeight="1" spans="1:15">
      <c r="A49" s="13"/>
      <c r="B49" s="35">
        <f t="shared" si="4"/>
        <v>0</v>
      </c>
      <c r="C49" s="36"/>
      <c r="D49" s="37"/>
      <c r="E49" s="38"/>
      <c r="F49" s="35">
        <f t="shared" si="5"/>
        <v>0</v>
      </c>
      <c r="G49" s="27"/>
      <c r="H49" s="24">
        <v>43381</v>
      </c>
      <c r="I49" s="52">
        <v>-200000</v>
      </c>
      <c r="J49" s="50" t="s">
        <v>43</v>
      </c>
      <c r="K49" s="53" t="s">
        <v>44</v>
      </c>
      <c r="L49" s="54"/>
      <c r="M49" s="55"/>
      <c r="N49" s="55"/>
      <c r="O49" s="54"/>
    </row>
    <row r="50" s="2" customFormat="1" ht="18" customHeight="1" spans="1:15">
      <c r="A50" s="13">
        <v>43397</v>
      </c>
      <c r="B50" s="35">
        <f t="shared" si="4"/>
        <v>86206.9</v>
      </c>
      <c r="C50" s="36">
        <v>1</v>
      </c>
      <c r="D50" s="37" t="s">
        <v>39</v>
      </c>
      <c r="E50" s="38">
        <v>0.16</v>
      </c>
      <c r="F50" s="35">
        <f t="shared" si="5"/>
        <v>13793.1</v>
      </c>
      <c r="G50" s="27">
        <v>100000</v>
      </c>
      <c r="H50" s="24">
        <v>43385</v>
      </c>
      <c r="I50" s="52">
        <v>100000</v>
      </c>
      <c r="J50" s="50" t="s">
        <v>40</v>
      </c>
      <c r="K50" s="53" t="s">
        <v>61</v>
      </c>
      <c r="L50" s="54" t="s">
        <v>62</v>
      </c>
      <c r="M50" s="55" t="s">
        <v>56</v>
      </c>
      <c r="N50" s="55"/>
      <c r="O50" s="54"/>
    </row>
    <row r="51" s="2" customFormat="1" ht="18" customHeight="1" spans="1:15">
      <c r="A51" s="13"/>
      <c r="B51" s="35">
        <f t="shared" si="4"/>
        <v>0</v>
      </c>
      <c r="C51" s="36"/>
      <c r="D51" s="37"/>
      <c r="E51" s="38"/>
      <c r="F51" s="35">
        <f t="shared" si="5"/>
        <v>0</v>
      </c>
      <c r="G51" s="27"/>
      <c r="H51" s="24">
        <v>43385</v>
      </c>
      <c r="I51" s="52">
        <v>-100000</v>
      </c>
      <c r="J51" s="50" t="s">
        <v>43</v>
      </c>
      <c r="K51" s="53" t="s">
        <v>44</v>
      </c>
      <c r="L51" s="54"/>
      <c r="M51" s="55"/>
      <c r="N51" s="55"/>
      <c r="O51" s="54"/>
    </row>
    <row r="52" s="2" customFormat="1" ht="18" customHeight="1" spans="1:15">
      <c r="A52" s="13"/>
      <c r="B52" s="35">
        <f t="shared" si="4"/>
        <v>0</v>
      </c>
      <c r="C52" s="36"/>
      <c r="D52" s="37"/>
      <c r="E52" s="38"/>
      <c r="F52" s="35">
        <f t="shared" si="5"/>
        <v>0</v>
      </c>
      <c r="G52" s="27"/>
      <c r="H52" s="24">
        <v>43395</v>
      </c>
      <c r="I52" s="52">
        <v>200000</v>
      </c>
      <c r="J52" s="50" t="s">
        <v>40</v>
      </c>
      <c r="K52" s="53" t="s">
        <v>57</v>
      </c>
      <c r="L52" s="54" t="s">
        <v>58</v>
      </c>
      <c r="M52" s="55" t="s">
        <v>56</v>
      </c>
      <c r="N52" s="55"/>
      <c r="O52" s="54"/>
    </row>
    <row r="53" s="2" customFormat="1" ht="18" customHeight="1" spans="1:15">
      <c r="A53" s="13">
        <v>43451</v>
      </c>
      <c r="B53" s="35">
        <f t="shared" si="4"/>
        <v>389622.84</v>
      </c>
      <c r="C53" s="36">
        <v>5</v>
      </c>
      <c r="D53" s="37" t="s">
        <v>39</v>
      </c>
      <c r="E53" s="38">
        <v>0.16</v>
      </c>
      <c r="F53" s="35">
        <f t="shared" si="5"/>
        <v>62339.66</v>
      </c>
      <c r="G53" s="27">
        <v>451962.5</v>
      </c>
      <c r="H53" s="24">
        <v>43395</v>
      </c>
      <c r="I53" s="52">
        <v>200000</v>
      </c>
      <c r="J53" s="50" t="s">
        <v>40</v>
      </c>
      <c r="K53" s="53" t="s">
        <v>59</v>
      </c>
      <c r="L53" s="54" t="s">
        <v>60</v>
      </c>
      <c r="M53" s="55" t="s">
        <v>56</v>
      </c>
      <c r="N53" s="55"/>
      <c r="O53" s="54"/>
    </row>
    <row r="54" s="2" customFormat="1" ht="18" customHeight="1" spans="1:15">
      <c r="A54" s="13"/>
      <c r="B54" s="35">
        <f t="shared" si="4"/>
        <v>0</v>
      </c>
      <c r="C54" s="36"/>
      <c r="D54" s="37"/>
      <c r="E54" s="38"/>
      <c r="F54" s="35">
        <f t="shared" si="5"/>
        <v>0</v>
      </c>
      <c r="G54" s="27"/>
      <c r="H54" s="24">
        <v>43395</v>
      </c>
      <c r="I54" s="52">
        <v>100000</v>
      </c>
      <c r="J54" s="50" t="s">
        <v>40</v>
      </c>
      <c r="K54" s="53" t="s">
        <v>66</v>
      </c>
      <c r="L54" s="54" t="s">
        <v>67</v>
      </c>
      <c r="M54" s="55" t="s">
        <v>56</v>
      </c>
      <c r="N54" s="55"/>
      <c r="O54" s="54"/>
    </row>
    <row r="55" s="2" customFormat="1" ht="18" customHeight="1" spans="1:15">
      <c r="A55" s="13"/>
      <c r="B55" s="35">
        <f t="shared" si="4"/>
        <v>0</v>
      </c>
      <c r="C55" s="36"/>
      <c r="D55" s="37"/>
      <c r="E55" s="38"/>
      <c r="F55" s="35">
        <f t="shared" si="5"/>
        <v>0</v>
      </c>
      <c r="G55" s="27"/>
      <c r="H55" s="24">
        <v>43395</v>
      </c>
      <c r="I55" s="52">
        <v>-500000</v>
      </c>
      <c r="J55" s="50" t="s">
        <v>43</v>
      </c>
      <c r="K55" s="53" t="s">
        <v>44</v>
      </c>
      <c r="L55" s="54"/>
      <c r="M55" s="55"/>
      <c r="N55" s="55"/>
      <c r="O55" s="54"/>
    </row>
    <row r="56" s="2" customFormat="1" ht="18" customHeight="1" spans="1:15">
      <c r="A56" s="13"/>
      <c r="B56" s="35">
        <f t="shared" si="4"/>
        <v>0</v>
      </c>
      <c r="C56" s="36"/>
      <c r="D56" s="37"/>
      <c r="E56" s="38"/>
      <c r="F56" s="35">
        <f t="shared" si="5"/>
        <v>0</v>
      </c>
      <c r="G56" s="27"/>
      <c r="H56" s="24">
        <v>43399</v>
      </c>
      <c r="I56" s="52">
        <v>100000</v>
      </c>
      <c r="J56" s="50" t="s">
        <v>40</v>
      </c>
      <c r="K56" s="53" t="s">
        <v>66</v>
      </c>
      <c r="L56" s="54" t="s">
        <v>67</v>
      </c>
      <c r="M56" s="55" t="s">
        <v>56</v>
      </c>
      <c r="N56" s="55"/>
      <c r="O56" s="54"/>
    </row>
    <row r="57" s="2" customFormat="1" ht="18" customHeight="1" spans="1:15">
      <c r="A57" s="13"/>
      <c r="B57" s="35">
        <f t="shared" si="4"/>
        <v>0</v>
      </c>
      <c r="C57" s="36"/>
      <c r="D57" s="37"/>
      <c r="E57" s="38"/>
      <c r="F57" s="35">
        <f t="shared" si="5"/>
        <v>0</v>
      </c>
      <c r="G57" s="27"/>
      <c r="H57" s="24">
        <v>43399</v>
      </c>
      <c r="I57" s="52">
        <v>-100000</v>
      </c>
      <c r="J57" s="50" t="s">
        <v>43</v>
      </c>
      <c r="K57" s="53" t="s">
        <v>44</v>
      </c>
      <c r="L57" s="54"/>
      <c r="M57" s="55"/>
      <c r="N57" s="55"/>
      <c r="O57" s="54"/>
    </row>
    <row r="58" s="2" customFormat="1" ht="18" customHeight="1" spans="1:15">
      <c r="A58" s="13"/>
      <c r="B58" s="35">
        <f t="shared" si="4"/>
        <v>0</v>
      </c>
      <c r="C58" s="36"/>
      <c r="D58" s="37"/>
      <c r="E58" s="38"/>
      <c r="F58" s="35">
        <f t="shared" si="5"/>
        <v>0</v>
      </c>
      <c r="G58" s="27"/>
      <c r="H58" s="24">
        <v>43402</v>
      </c>
      <c r="I58" s="52">
        <v>100000</v>
      </c>
      <c r="J58" s="50" t="s">
        <v>40</v>
      </c>
      <c r="K58" s="53" t="s">
        <v>61</v>
      </c>
      <c r="L58" s="54" t="s">
        <v>62</v>
      </c>
      <c r="M58" s="55" t="s">
        <v>56</v>
      </c>
      <c r="N58" s="55"/>
      <c r="O58" s="54"/>
    </row>
    <row r="59" s="2" customFormat="1" ht="18" customHeight="1" spans="1:15">
      <c r="A59" s="13"/>
      <c r="B59" s="35">
        <f t="shared" si="4"/>
        <v>0</v>
      </c>
      <c r="C59" s="36"/>
      <c r="D59" s="37"/>
      <c r="E59" s="38"/>
      <c r="F59" s="35">
        <f t="shared" si="5"/>
        <v>0</v>
      </c>
      <c r="G59" s="27"/>
      <c r="H59" s="24">
        <v>43402</v>
      </c>
      <c r="I59" s="52">
        <v>-100000</v>
      </c>
      <c r="J59" s="50" t="s">
        <v>43</v>
      </c>
      <c r="K59" s="53" t="s">
        <v>44</v>
      </c>
      <c r="L59" s="54"/>
      <c r="M59" s="55"/>
      <c r="N59" s="55"/>
      <c r="O59" s="54"/>
    </row>
    <row r="60" s="2" customFormat="1" ht="18" customHeight="1" spans="1:15">
      <c r="A60" s="13"/>
      <c r="B60" s="35">
        <f t="shared" si="4"/>
        <v>0</v>
      </c>
      <c r="C60" s="36"/>
      <c r="D60" s="37"/>
      <c r="E60" s="38"/>
      <c r="F60" s="35">
        <f t="shared" si="5"/>
        <v>0</v>
      </c>
      <c r="G60" s="27"/>
      <c r="H60" s="24">
        <v>43406</v>
      </c>
      <c r="I60" s="52">
        <v>100000</v>
      </c>
      <c r="J60" s="50" t="s">
        <v>40</v>
      </c>
      <c r="K60" s="53" t="s">
        <v>57</v>
      </c>
      <c r="L60" s="54" t="s">
        <v>58</v>
      </c>
      <c r="M60" s="55" t="s">
        <v>56</v>
      </c>
      <c r="N60" s="55"/>
      <c r="O60" s="54"/>
    </row>
    <row r="61" s="2" customFormat="1" ht="18" customHeight="1" spans="1:15">
      <c r="A61" s="13"/>
      <c r="B61" s="35">
        <f t="shared" si="4"/>
        <v>0</v>
      </c>
      <c r="C61" s="36"/>
      <c r="D61" s="37"/>
      <c r="E61" s="38"/>
      <c r="F61" s="35">
        <f t="shared" si="5"/>
        <v>0</v>
      </c>
      <c r="G61" s="27"/>
      <c r="H61" s="24">
        <v>43406</v>
      </c>
      <c r="I61" s="52">
        <v>-100000</v>
      </c>
      <c r="J61" s="50" t="s">
        <v>43</v>
      </c>
      <c r="K61" s="53" t="s">
        <v>44</v>
      </c>
      <c r="L61" s="54" t="s">
        <v>62</v>
      </c>
      <c r="M61" s="55"/>
      <c r="N61" s="55"/>
      <c r="O61" s="54"/>
    </row>
    <row r="62" s="2" customFormat="1" ht="18" customHeight="1" spans="1:15">
      <c r="A62" s="13"/>
      <c r="B62" s="35">
        <f t="shared" si="4"/>
        <v>0</v>
      </c>
      <c r="C62" s="36"/>
      <c r="D62" s="37"/>
      <c r="E62" s="38"/>
      <c r="F62" s="35">
        <f t="shared" si="5"/>
        <v>0</v>
      </c>
      <c r="G62" s="27"/>
      <c r="H62" s="24">
        <v>43406</v>
      </c>
      <c r="I62" s="52">
        <v>100000</v>
      </c>
      <c r="J62" s="50" t="s">
        <v>40</v>
      </c>
      <c r="K62" s="53" t="s">
        <v>61</v>
      </c>
      <c r="L62" s="54" t="s">
        <v>62</v>
      </c>
      <c r="M62" s="55" t="s">
        <v>56</v>
      </c>
      <c r="N62" s="55"/>
      <c r="O62" s="54"/>
    </row>
    <row r="63" s="2" customFormat="1" ht="18" customHeight="1" spans="1:15">
      <c r="A63" s="13"/>
      <c r="B63" s="35">
        <f t="shared" si="4"/>
        <v>0</v>
      </c>
      <c r="C63" s="36"/>
      <c r="D63" s="37"/>
      <c r="E63" s="38"/>
      <c r="F63" s="35">
        <f t="shared" si="5"/>
        <v>0</v>
      </c>
      <c r="G63" s="27"/>
      <c r="H63" s="24">
        <v>43406</v>
      </c>
      <c r="I63" s="52">
        <v>-100000</v>
      </c>
      <c r="J63" s="50" t="s">
        <v>43</v>
      </c>
      <c r="K63" s="53" t="s">
        <v>44</v>
      </c>
      <c r="L63" s="54"/>
      <c r="M63" s="55"/>
      <c r="N63" s="55"/>
      <c r="O63" s="54"/>
    </row>
    <row r="64" s="2" customFormat="1" ht="18" customHeight="1" spans="1:15">
      <c r="A64" s="13"/>
      <c r="B64" s="35">
        <f t="shared" si="4"/>
        <v>0</v>
      </c>
      <c r="C64" s="36"/>
      <c r="D64" s="37"/>
      <c r="E64" s="38"/>
      <c r="F64" s="35">
        <f t="shared" si="5"/>
        <v>0</v>
      </c>
      <c r="G64" s="27"/>
      <c r="H64" s="24">
        <v>43411</v>
      </c>
      <c r="I64" s="52">
        <v>1000000</v>
      </c>
      <c r="J64" s="50" t="s">
        <v>40</v>
      </c>
      <c r="K64" s="53" t="s">
        <v>61</v>
      </c>
      <c r="L64" s="54" t="s">
        <v>62</v>
      </c>
      <c r="M64" s="55" t="s">
        <v>56</v>
      </c>
      <c r="N64" s="55"/>
      <c r="O64" s="54"/>
    </row>
    <row r="65" s="2" customFormat="1" ht="18" customHeight="1" spans="1:15">
      <c r="A65" s="13"/>
      <c r="B65" s="35">
        <f t="shared" si="4"/>
        <v>0</v>
      </c>
      <c r="C65" s="36"/>
      <c r="D65" s="37"/>
      <c r="E65" s="38"/>
      <c r="F65" s="35">
        <f t="shared" si="5"/>
        <v>0</v>
      </c>
      <c r="G65" s="27"/>
      <c r="H65" s="24">
        <v>43411</v>
      </c>
      <c r="I65" s="52">
        <v>-1000000</v>
      </c>
      <c r="J65" s="50" t="s">
        <v>43</v>
      </c>
      <c r="K65" s="53" t="s">
        <v>44</v>
      </c>
      <c r="L65" s="54"/>
      <c r="M65" s="55"/>
      <c r="N65" s="55"/>
      <c r="O65" s="54"/>
    </row>
    <row r="66" s="2" customFormat="1" ht="18" customHeight="1" spans="1:15">
      <c r="A66" s="13"/>
      <c r="B66" s="35">
        <f t="shared" si="4"/>
        <v>0</v>
      </c>
      <c r="C66" s="36"/>
      <c r="D66" s="37"/>
      <c r="E66" s="38"/>
      <c r="F66" s="35">
        <f t="shared" si="5"/>
        <v>0</v>
      </c>
      <c r="G66" s="27"/>
      <c r="H66" s="24">
        <v>43411</v>
      </c>
      <c r="I66" s="52">
        <v>1000000</v>
      </c>
      <c r="J66" s="50" t="s">
        <v>40</v>
      </c>
      <c r="K66" s="53" t="s">
        <v>61</v>
      </c>
      <c r="L66" s="54" t="s">
        <v>62</v>
      </c>
      <c r="M66" s="55" t="s">
        <v>56</v>
      </c>
      <c r="N66" s="55"/>
      <c r="O66" s="54"/>
    </row>
    <row r="67" s="2" customFormat="1" ht="18" customHeight="1" spans="1:15">
      <c r="A67" s="13"/>
      <c r="B67" s="35">
        <f t="shared" si="4"/>
        <v>0</v>
      </c>
      <c r="C67" s="36"/>
      <c r="D67" s="37"/>
      <c r="E67" s="38"/>
      <c r="F67" s="35">
        <f t="shared" si="5"/>
        <v>0</v>
      </c>
      <c r="G67" s="27"/>
      <c r="H67" s="24">
        <v>43411</v>
      </c>
      <c r="I67" s="52">
        <v>-1000000</v>
      </c>
      <c r="J67" s="50" t="s">
        <v>43</v>
      </c>
      <c r="K67" s="53" t="s">
        <v>44</v>
      </c>
      <c r="L67" s="54"/>
      <c r="M67" s="55"/>
      <c r="N67" s="55"/>
      <c r="O67" s="54"/>
    </row>
    <row r="68" s="2" customFormat="1" ht="18" customHeight="1" spans="1:15">
      <c r="A68" s="13">
        <v>43431</v>
      </c>
      <c r="B68" s="35">
        <f t="shared" si="4"/>
        <v>36982.76</v>
      </c>
      <c r="C68" s="36">
        <v>1</v>
      </c>
      <c r="D68" s="37" t="s">
        <v>39</v>
      </c>
      <c r="E68" s="38">
        <v>0.16</v>
      </c>
      <c r="F68" s="35">
        <f t="shared" si="5"/>
        <v>5917.24</v>
      </c>
      <c r="G68" s="27">
        <v>42900</v>
      </c>
      <c r="H68" s="24">
        <v>43411</v>
      </c>
      <c r="I68" s="52">
        <v>42900</v>
      </c>
      <c r="J68" s="50" t="s">
        <v>40</v>
      </c>
      <c r="K68" s="53" t="s">
        <v>68</v>
      </c>
      <c r="L68" s="54" t="s">
        <v>69</v>
      </c>
      <c r="M68" s="55" t="s">
        <v>56</v>
      </c>
      <c r="N68" s="55"/>
      <c r="O68" s="54"/>
    </row>
    <row r="69" s="2" customFormat="1" ht="18" customHeight="1" spans="1:15">
      <c r="A69" s="13"/>
      <c r="B69" s="35">
        <f t="shared" si="4"/>
        <v>0</v>
      </c>
      <c r="C69" s="36"/>
      <c r="D69" s="37"/>
      <c r="E69" s="38"/>
      <c r="F69" s="35">
        <f t="shared" si="5"/>
        <v>0</v>
      </c>
      <c r="G69" s="27"/>
      <c r="H69" s="24">
        <v>43411</v>
      </c>
      <c r="I69" s="52">
        <v>-42900</v>
      </c>
      <c r="J69" s="50" t="s">
        <v>43</v>
      </c>
      <c r="K69" s="53" t="s">
        <v>44</v>
      </c>
      <c r="L69" s="54"/>
      <c r="M69" s="55"/>
      <c r="N69" s="55"/>
      <c r="O69" s="54"/>
    </row>
    <row r="70" s="2" customFormat="1" ht="18" customHeight="1" spans="1:15">
      <c r="A70" s="13"/>
      <c r="B70" s="35">
        <f t="shared" si="4"/>
        <v>0</v>
      </c>
      <c r="C70" s="36"/>
      <c r="D70" s="37"/>
      <c r="E70" s="38"/>
      <c r="F70" s="35">
        <f t="shared" si="5"/>
        <v>0</v>
      </c>
      <c r="G70" s="27"/>
      <c r="H70" s="24">
        <v>43416</v>
      </c>
      <c r="I70" s="52">
        <v>200000</v>
      </c>
      <c r="J70" s="50" t="s">
        <v>40</v>
      </c>
      <c r="K70" s="53" t="s">
        <v>61</v>
      </c>
      <c r="L70" s="54" t="s">
        <v>62</v>
      </c>
      <c r="M70" s="55" t="s">
        <v>56</v>
      </c>
      <c r="N70" s="55"/>
      <c r="O70" s="54"/>
    </row>
    <row r="71" s="2" customFormat="1" ht="18" customHeight="1" spans="1:15">
      <c r="A71" s="13"/>
      <c r="B71" s="35">
        <f t="shared" si="4"/>
        <v>0</v>
      </c>
      <c r="C71" s="36"/>
      <c r="D71" s="37"/>
      <c r="E71" s="38"/>
      <c r="F71" s="35">
        <f t="shared" si="5"/>
        <v>0</v>
      </c>
      <c r="G71" s="27"/>
      <c r="H71" s="24">
        <v>43416</v>
      </c>
      <c r="I71" s="52">
        <v>-200000</v>
      </c>
      <c r="J71" s="50" t="s">
        <v>43</v>
      </c>
      <c r="K71" s="53" t="s">
        <v>44</v>
      </c>
      <c r="L71" s="54"/>
      <c r="M71" s="55"/>
      <c r="N71" s="55"/>
      <c r="O71" s="54"/>
    </row>
    <row r="72" s="2" customFormat="1" ht="18" customHeight="1" spans="1:15">
      <c r="A72" s="13"/>
      <c r="B72" s="35">
        <f t="shared" si="4"/>
        <v>0</v>
      </c>
      <c r="C72" s="36"/>
      <c r="D72" s="37"/>
      <c r="E72" s="38"/>
      <c r="F72" s="35">
        <f t="shared" si="5"/>
        <v>0</v>
      </c>
      <c r="G72" s="27"/>
      <c r="H72" s="24">
        <v>43416</v>
      </c>
      <c r="I72" s="52">
        <v>20000</v>
      </c>
      <c r="J72" s="50" t="s">
        <v>40</v>
      </c>
      <c r="K72" s="53" t="s">
        <v>65</v>
      </c>
      <c r="L72" s="54" t="s">
        <v>60</v>
      </c>
      <c r="M72" s="55" t="s">
        <v>56</v>
      </c>
      <c r="N72" s="55"/>
      <c r="O72" s="54"/>
    </row>
    <row r="73" s="2" customFormat="1" ht="18" customHeight="1" spans="1:15">
      <c r="A73" s="13"/>
      <c r="B73" s="35">
        <f t="shared" si="4"/>
        <v>0</v>
      </c>
      <c r="C73" s="36"/>
      <c r="D73" s="37"/>
      <c r="E73" s="38"/>
      <c r="F73" s="35">
        <f t="shared" si="5"/>
        <v>0</v>
      </c>
      <c r="G73" s="27"/>
      <c r="H73" s="24">
        <v>43416</v>
      </c>
      <c r="I73" s="52">
        <v>-20000</v>
      </c>
      <c r="J73" s="50" t="s">
        <v>43</v>
      </c>
      <c r="K73" s="53" t="s">
        <v>44</v>
      </c>
      <c r="L73" s="54"/>
      <c r="M73" s="55"/>
      <c r="N73" s="55"/>
      <c r="O73" s="54"/>
    </row>
    <row r="74" s="2" customFormat="1" ht="18" customHeight="1" spans="1:15">
      <c r="A74" s="13"/>
      <c r="B74" s="35">
        <f t="shared" si="4"/>
        <v>0</v>
      </c>
      <c r="C74" s="36"/>
      <c r="D74" s="37"/>
      <c r="E74" s="38"/>
      <c r="F74" s="35">
        <f t="shared" si="5"/>
        <v>0</v>
      </c>
      <c r="G74" s="27"/>
      <c r="H74" s="24">
        <v>43416</v>
      </c>
      <c r="I74" s="52">
        <v>100000</v>
      </c>
      <c r="J74" s="50" t="s">
        <v>40</v>
      </c>
      <c r="K74" s="53" t="s">
        <v>57</v>
      </c>
      <c r="L74" s="54" t="s">
        <v>58</v>
      </c>
      <c r="M74" s="55" t="s">
        <v>56</v>
      </c>
      <c r="N74" s="55"/>
      <c r="O74" s="54"/>
    </row>
    <row r="75" s="2" customFormat="1" ht="18" customHeight="1" spans="1:15">
      <c r="A75" s="13"/>
      <c r="B75" s="35">
        <f t="shared" si="4"/>
        <v>0</v>
      </c>
      <c r="C75" s="36"/>
      <c r="D75" s="37"/>
      <c r="E75" s="38"/>
      <c r="F75" s="35">
        <f t="shared" si="5"/>
        <v>0</v>
      </c>
      <c r="G75" s="27"/>
      <c r="H75" s="24">
        <v>43416</v>
      </c>
      <c r="I75" s="52">
        <v>-100000</v>
      </c>
      <c r="J75" s="50" t="s">
        <v>43</v>
      </c>
      <c r="K75" s="53" t="s">
        <v>44</v>
      </c>
      <c r="L75" s="54"/>
      <c r="M75" s="55"/>
      <c r="N75" s="55"/>
      <c r="O75" s="54"/>
    </row>
    <row r="76" s="2" customFormat="1" ht="18" customHeight="1" spans="1:15">
      <c r="A76" s="13">
        <v>43431</v>
      </c>
      <c r="B76" s="35">
        <f t="shared" si="4"/>
        <v>316810.34</v>
      </c>
      <c r="C76" s="36">
        <v>6</v>
      </c>
      <c r="D76" s="37" t="s">
        <v>39</v>
      </c>
      <c r="E76" s="38">
        <v>0.16</v>
      </c>
      <c r="F76" s="35">
        <f t="shared" si="5"/>
        <v>50689.66</v>
      </c>
      <c r="G76" s="27">
        <v>367500</v>
      </c>
      <c r="H76" s="24">
        <v>43423</v>
      </c>
      <c r="I76" s="52">
        <v>367500</v>
      </c>
      <c r="J76" s="50" t="s">
        <v>40</v>
      </c>
      <c r="K76" s="53" t="s">
        <v>70</v>
      </c>
      <c r="L76" s="54" t="s">
        <v>50</v>
      </c>
      <c r="M76" s="55"/>
      <c r="N76" s="55"/>
      <c r="O76" s="54"/>
    </row>
    <row r="77" s="2" customFormat="1" ht="18" customHeight="1" spans="1:15">
      <c r="A77" s="13"/>
      <c r="B77" s="35">
        <f t="shared" si="4"/>
        <v>0</v>
      </c>
      <c r="C77" s="36"/>
      <c r="D77" s="37"/>
      <c r="E77" s="38"/>
      <c r="F77" s="35">
        <f t="shared" si="5"/>
        <v>0</v>
      </c>
      <c r="G77" s="27"/>
      <c r="H77" s="24">
        <v>43423</v>
      </c>
      <c r="I77" s="52">
        <v>-367500</v>
      </c>
      <c r="J77" s="50" t="s">
        <v>43</v>
      </c>
      <c r="K77" s="53" t="s">
        <v>44</v>
      </c>
      <c r="L77" s="54"/>
      <c r="M77" s="55"/>
      <c r="N77" s="55"/>
      <c r="O77" s="54"/>
    </row>
    <row r="78" s="2" customFormat="1" ht="18" customHeight="1" spans="1:15">
      <c r="A78" s="13"/>
      <c r="B78" s="35">
        <f t="shared" si="4"/>
        <v>0</v>
      </c>
      <c r="C78" s="36"/>
      <c r="D78" s="37"/>
      <c r="E78" s="38"/>
      <c r="F78" s="35">
        <f t="shared" si="5"/>
        <v>0</v>
      </c>
      <c r="G78" s="27"/>
      <c r="H78" s="24">
        <v>43423</v>
      </c>
      <c r="I78" s="52">
        <v>1500000</v>
      </c>
      <c r="J78" s="50" t="s">
        <v>40</v>
      </c>
      <c r="K78" s="53" t="s">
        <v>71</v>
      </c>
      <c r="L78" s="54" t="s">
        <v>72</v>
      </c>
      <c r="M78" s="55" t="s">
        <v>56</v>
      </c>
      <c r="N78" s="55"/>
      <c r="O78" s="54"/>
    </row>
    <row r="79" s="2" customFormat="1" ht="18" customHeight="1" spans="1:15">
      <c r="A79" s="13"/>
      <c r="B79" s="35">
        <f t="shared" si="4"/>
        <v>0</v>
      </c>
      <c r="C79" s="36"/>
      <c r="D79" s="37"/>
      <c r="E79" s="38"/>
      <c r="F79" s="35">
        <f t="shared" si="5"/>
        <v>0</v>
      </c>
      <c r="G79" s="27"/>
      <c r="H79" s="24">
        <v>43423</v>
      </c>
      <c r="I79" s="52">
        <v>-1500000</v>
      </c>
      <c r="J79" s="50" t="s">
        <v>43</v>
      </c>
      <c r="K79" s="53" t="s">
        <v>44</v>
      </c>
      <c r="L79" s="54"/>
      <c r="M79" s="55"/>
      <c r="N79" s="55"/>
      <c r="O79" s="54"/>
    </row>
    <row r="80" s="2" customFormat="1" ht="18" customHeight="1" spans="1:15">
      <c r="A80" s="13">
        <v>43431</v>
      </c>
      <c r="B80" s="35">
        <f t="shared" si="4"/>
        <v>223296.12</v>
      </c>
      <c r="C80" s="36">
        <v>3</v>
      </c>
      <c r="D80" s="37" t="s">
        <v>39</v>
      </c>
      <c r="E80" s="38">
        <v>0.03</v>
      </c>
      <c r="F80" s="35">
        <f t="shared" si="5"/>
        <v>6698.88</v>
      </c>
      <c r="G80" s="27">
        <v>229995</v>
      </c>
      <c r="H80" s="24">
        <v>43424</v>
      </c>
      <c r="I80" s="52">
        <v>229995</v>
      </c>
      <c r="J80" s="50" t="s">
        <v>40</v>
      </c>
      <c r="K80" s="53" t="s">
        <v>73</v>
      </c>
      <c r="L80" s="54" t="s">
        <v>67</v>
      </c>
      <c r="M80" s="55" t="s">
        <v>56</v>
      </c>
      <c r="N80" s="55"/>
      <c r="O80" s="54"/>
    </row>
    <row r="81" s="2" customFormat="1" ht="18" customHeight="1" spans="1:15">
      <c r="A81" s="13"/>
      <c r="B81" s="35">
        <f t="shared" si="4"/>
        <v>0</v>
      </c>
      <c r="C81" s="36"/>
      <c r="D81" s="37"/>
      <c r="E81" s="38"/>
      <c r="F81" s="35">
        <f t="shared" si="5"/>
        <v>0</v>
      </c>
      <c r="G81" s="27"/>
      <c r="H81" s="24">
        <v>43424</v>
      </c>
      <c r="I81" s="52">
        <v>-229995</v>
      </c>
      <c r="J81" s="50" t="s">
        <v>43</v>
      </c>
      <c r="K81" s="53" t="s">
        <v>44</v>
      </c>
      <c r="L81" s="54"/>
      <c r="M81" s="55"/>
      <c r="N81" s="55"/>
      <c r="O81" s="54"/>
    </row>
    <row r="82" s="2" customFormat="1" ht="18" customHeight="1" spans="1:15">
      <c r="A82" s="13">
        <v>43431</v>
      </c>
      <c r="B82" s="35">
        <f t="shared" si="4"/>
        <v>190000</v>
      </c>
      <c r="C82" s="36">
        <v>2</v>
      </c>
      <c r="D82" s="37" t="s">
        <v>39</v>
      </c>
      <c r="E82" s="38">
        <v>0.16</v>
      </c>
      <c r="F82" s="35">
        <f t="shared" si="5"/>
        <v>30400</v>
      </c>
      <c r="G82" s="27">
        <v>220400</v>
      </c>
      <c r="H82" s="24">
        <v>43425</v>
      </c>
      <c r="I82" s="52">
        <v>220400</v>
      </c>
      <c r="J82" s="50" t="s">
        <v>40</v>
      </c>
      <c r="K82" s="53" t="s">
        <v>74</v>
      </c>
      <c r="L82" s="54" t="s">
        <v>75</v>
      </c>
      <c r="M82" s="55" t="s">
        <v>56</v>
      </c>
      <c r="N82" s="55"/>
      <c r="O82" s="54"/>
    </row>
    <row r="83" s="2" customFormat="1" ht="18" customHeight="1" spans="1:15">
      <c r="A83" s="13"/>
      <c r="B83" s="35">
        <f t="shared" ref="B83:B146" si="6">ROUND(G83/(1+E83),2)</f>
        <v>0</v>
      </c>
      <c r="C83" s="36"/>
      <c r="D83" s="37"/>
      <c r="E83" s="38"/>
      <c r="F83" s="35">
        <f t="shared" ref="F83:F146" si="7">ROUND(G83/(1+E83)*E83,2)</f>
        <v>0</v>
      </c>
      <c r="G83" s="27"/>
      <c r="H83" s="24">
        <v>43425</v>
      </c>
      <c r="I83" s="52">
        <v>-220400</v>
      </c>
      <c r="J83" s="50" t="s">
        <v>43</v>
      </c>
      <c r="K83" s="53" t="s">
        <v>44</v>
      </c>
      <c r="L83" s="54"/>
      <c r="M83" s="55"/>
      <c r="N83" s="55"/>
      <c r="O83" s="54"/>
    </row>
    <row r="84" s="2" customFormat="1" ht="18" customHeight="1" spans="1:15">
      <c r="A84" s="13">
        <v>43451</v>
      </c>
      <c r="B84" s="35">
        <f t="shared" si="6"/>
        <v>2427184.47</v>
      </c>
      <c r="C84" s="36"/>
      <c r="D84" s="37"/>
      <c r="E84" s="38">
        <v>0.03</v>
      </c>
      <c r="F84" s="35">
        <f t="shared" si="7"/>
        <v>72815.53</v>
      </c>
      <c r="G84" s="27">
        <v>2500000</v>
      </c>
      <c r="H84" s="24">
        <v>43427</v>
      </c>
      <c r="I84" s="52">
        <v>1000000</v>
      </c>
      <c r="J84" s="50" t="s">
        <v>40</v>
      </c>
      <c r="K84" s="53" t="s">
        <v>71</v>
      </c>
      <c r="L84" s="54" t="s">
        <v>72</v>
      </c>
      <c r="M84" s="55" t="s">
        <v>56</v>
      </c>
      <c r="N84" s="55"/>
      <c r="O84" s="54"/>
    </row>
    <row r="85" s="2" customFormat="1" ht="18" customHeight="1" spans="1:15">
      <c r="A85" s="13"/>
      <c r="B85" s="35">
        <f t="shared" si="6"/>
        <v>0</v>
      </c>
      <c r="C85" s="36"/>
      <c r="D85" s="37"/>
      <c r="E85" s="38"/>
      <c r="F85" s="35">
        <f t="shared" si="7"/>
        <v>0</v>
      </c>
      <c r="G85" s="27"/>
      <c r="H85" s="24">
        <v>43427</v>
      </c>
      <c r="I85" s="52">
        <v>-1000000</v>
      </c>
      <c r="J85" s="50" t="s">
        <v>43</v>
      </c>
      <c r="K85" s="53" t="s">
        <v>44</v>
      </c>
      <c r="L85" s="54"/>
      <c r="M85" s="55"/>
      <c r="N85" s="55"/>
      <c r="O85" s="54"/>
    </row>
    <row r="86" s="2" customFormat="1" ht="18" customHeight="1" spans="1:15">
      <c r="A86" s="13">
        <v>43405</v>
      </c>
      <c r="B86" s="35">
        <f t="shared" si="6"/>
        <v>1146881.36</v>
      </c>
      <c r="C86" s="36">
        <v>12</v>
      </c>
      <c r="D86" s="37" t="s">
        <v>39</v>
      </c>
      <c r="E86" s="38">
        <v>0.03</v>
      </c>
      <c r="F86" s="35">
        <f t="shared" si="7"/>
        <v>34406.44</v>
      </c>
      <c r="G86" s="27">
        <f>99900*5+92205+99975*5+89707.8</f>
        <v>1181287.8</v>
      </c>
      <c r="H86" s="24">
        <v>43431</v>
      </c>
      <c r="I86" s="52">
        <v>1181287.8</v>
      </c>
      <c r="J86" s="50" t="s">
        <v>40</v>
      </c>
      <c r="K86" s="53" t="s">
        <v>76</v>
      </c>
      <c r="L86" s="54" t="s">
        <v>77</v>
      </c>
      <c r="M86" s="55"/>
      <c r="N86" s="55"/>
      <c r="O86" s="54"/>
    </row>
    <row r="87" s="2" customFormat="1" ht="18" customHeight="1" spans="1:15">
      <c r="A87" s="13"/>
      <c r="B87" s="35">
        <f t="shared" si="6"/>
        <v>0</v>
      </c>
      <c r="C87" s="36"/>
      <c r="D87" s="37"/>
      <c r="E87" s="38"/>
      <c r="F87" s="35">
        <f t="shared" si="7"/>
        <v>0</v>
      </c>
      <c r="G87" s="27"/>
      <c r="H87" s="24">
        <v>43431</v>
      </c>
      <c r="I87" s="52">
        <v>-1181287.8</v>
      </c>
      <c r="J87" s="50" t="s">
        <v>43</v>
      </c>
      <c r="K87" s="53" t="s">
        <v>44</v>
      </c>
      <c r="L87" s="54"/>
      <c r="M87" s="55"/>
      <c r="N87" s="55"/>
      <c r="O87" s="54"/>
    </row>
    <row r="88" s="2" customFormat="1" ht="18" customHeight="1" spans="1:15">
      <c r="A88" s="13"/>
      <c r="B88" s="35">
        <f t="shared" si="6"/>
        <v>0</v>
      </c>
      <c r="C88" s="36"/>
      <c r="D88" s="37"/>
      <c r="E88" s="38"/>
      <c r="F88" s="35">
        <f t="shared" si="7"/>
        <v>0</v>
      </c>
      <c r="G88" s="27"/>
      <c r="H88" s="24">
        <v>43434</v>
      </c>
      <c r="I88" s="52">
        <v>100000</v>
      </c>
      <c r="J88" s="50" t="s">
        <v>40</v>
      </c>
      <c r="K88" s="53" t="s">
        <v>73</v>
      </c>
      <c r="L88" s="54" t="s">
        <v>67</v>
      </c>
      <c r="M88" s="55" t="s">
        <v>56</v>
      </c>
      <c r="N88" s="55"/>
      <c r="O88" s="54"/>
    </row>
    <row r="89" s="2" customFormat="1" ht="18" customHeight="1" spans="1:15">
      <c r="A89" s="13"/>
      <c r="B89" s="35">
        <f t="shared" si="6"/>
        <v>0</v>
      </c>
      <c r="C89" s="36"/>
      <c r="D89" s="37"/>
      <c r="E89" s="38"/>
      <c r="F89" s="35">
        <f t="shared" si="7"/>
        <v>0</v>
      </c>
      <c r="G89" s="27"/>
      <c r="H89" s="24">
        <v>43434</v>
      </c>
      <c r="I89" s="52">
        <v>-100000</v>
      </c>
      <c r="J89" s="50" t="s">
        <v>43</v>
      </c>
      <c r="K89" s="53" t="s">
        <v>44</v>
      </c>
      <c r="L89" s="54"/>
      <c r="M89" s="55"/>
      <c r="N89" s="55"/>
      <c r="O89" s="54"/>
    </row>
    <row r="90" s="2" customFormat="1" ht="18" customHeight="1" spans="1:15">
      <c r="A90" s="13"/>
      <c r="B90" s="35">
        <f t="shared" si="6"/>
        <v>0</v>
      </c>
      <c r="C90" s="36"/>
      <c r="D90" s="37"/>
      <c r="E90" s="38"/>
      <c r="F90" s="35">
        <f t="shared" si="7"/>
        <v>0</v>
      </c>
      <c r="G90" s="27"/>
      <c r="H90" s="24">
        <v>43437</v>
      </c>
      <c r="I90" s="52">
        <v>200000</v>
      </c>
      <c r="J90" s="50" t="s">
        <v>40</v>
      </c>
      <c r="K90" s="53" t="s">
        <v>61</v>
      </c>
      <c r="L90" s="54" t="s">
        <v>62</v>
      </c>
      <c r="M90" s="55" t="s">
        <v>56</v>
      </c>
      <c r="N90" s="55"/>
      <c r="O90" s="54"/>
    </row>
    <row r="91" s="2" customFormat="1" ht="18" customHeight="1" spans="1:15">
      <c r="A91" s="13"/>
      <c r="B91" s="35">
        <f t="shared" si="6"/>
        <v>0</v>
      </c>
      <c r="C91" s="36"/>
      <c r="D91" s="37"/>
      <c r="E91" s="38"/>
      <c r="F91" s="35">
        <f t="shared" si="7"/>
        <v>0</v>
      </c>
      <c r="G91" s="27"/>
      <c r="H91" s="24">
        <v>43437</v>
      </c>
      <c r="I91" s="52">
        <v>-200000</v>
      </c>
      <c r="J91" s="50" t="s">
        <v>43</v>
      </c>
      <c r="K91" s="53" t="s">
        <v>44</v>
      </c>
      <c r="L91" s="54" t="s">
        <v>60</v>
      </c>
      <c r="M91" s="55"/>
      <c r="N91" s="55"/>
      <c r="O91" s="54"/>
    </row>
    <row r="92" s="2" customFormat="1" ht="18" customHeight="1" spans="1:15">
      <c r="A92" s="13">
        <v>43451</v>
      </c>
      <c r="B92" s="35">
        <f t="shared" si="6"/>
        <v>143256.9</v>
      </c>
      <c r="C92" s="36">
        <v>2</v>
      </c>
      <c r="D92" s="37" t="s">
        <v>39</v>
      </c>
      <c r="E92" s="38">
        <v>0.16</v>
      </c>
      <c r="F92" s="35">
        <f t="shared" si="7"/>
        <v>22921.1</v>
      </c>
      <c r="G92" s="27">
        <v>166178</v>
      </c>
      <c r="H92" s="24">
        <v>43437</v>
      </c>
      <c r="I92" s="52">
        <v>126178</v>
      </c>
      <c r="J92" s="50" t="s">
        <v>40</v>
      </c>
      <c r="K92" s="53" t="s">
        <v>65</v>
      </c>
      <c r="L92" s="54" t="s">
        <v>60</v>
      </c>
      <c r="M92" s="55" t="s">
        <v>56</v>
      </c>
      <c r="N92" s="55"/>
      <c r="O92" s="54"/>
    </row>
    <row r="93" s="2" customFormat="1" ht="18" customHeight="1" spans="1:15">
      <c r="A93" s="13"/>
      <c r="B93" s="35">
        <f t="shared" si="6"/>
        <v>0</v>
      </c>
      <c r="C93" s="36"/>
      <c r="D93" s="37"/>
      <c r="E93" s="38"/>
      <c r="F93" s="35">
        <f t="shared" si="7"/>
        <v>0</v>
      </c>
      <c r="G93" s="27"/>
      <c r="H93" s="24">
        <v>43437</v>
      </c>
      <c r="I93" s="52">
        <v>-126178</v>
      </c>
      <c r="J93" s="50" t="s">
        <v>43</v>
      </c>
      <c r="K93" s="53" t="s">
        <v>44</v>
      </c>
      <c r="L93" s="54" t="s">
        <v>60</v>
      </c>
      <c r="M93" s="55"/>
      <c r="N93" s="55"/>
      <c r="O93" s="54"/>
    </row>
    <row r="94" s="2" customFormat="1" ht="18" customHeight="1" spans="1:15">
      <c r="A94" s="13">
        <v>43451</v>
      </c>
      <c r="B94" s="35">
        <f t="shared" si="6"/>
        <v>291262.14</v>
      </c>
      <c r="C94" s="36">
        <v>3</v>
      </c>
      <c r="D94" s="37" t="s">
        <v>39</v>
      </c>
      <c r="E94" s="38">
        <v>0.03</v>
      </c>
      <c r="F94" s="35">
        <f t="shared" si="7"/>
        <v>8737.86</v>
      </c>
      <c r="G94" s="27">
        <v>300000</v>
      </c>
      <c r="H94" s="24">
        <v>43440</v>
      </c>
      <c r="I94" s="52">
        <v>200000</v>
      </c>
      <c r="J94" s="50" t="s">
        <v>40</v>
      </c>
      <c r="K94" s="53" t="s">
        <v>73</v>
      </c>
      <c r="L94" s="54" t="s">
        <v>67</v>
      </c>
      <c r="M94" s="55" t="s">
        <v>56</v>
      </c>
      <c r="N94" s="55"/>
      <c r="O94" s="54"/>
    </row>
    <row r="95" s="2" customFormat="1" ht="18" customHeight="1" spans="1:15">
      <c r="A95" s="13"/>
      <c r="B95" s="35">
        <f t="shared" si="6"/>
        <v>0</v>
      </c>
      <c r="C95" s="36"/>
      <c r="D95" s="37"/>
      <c r="E95" s="38"/>
      <c r="F95" s="35">
        <f t="shared" si="7"/>
        <v>0</v>
      </c>
      <c r="G95" s="27"/>
      <c r="H95" s="24">
        <v>43440</v>
      </c>
      <c r="I95" s="52">
        <v>-200000</v>
      </c>
      <c r="J95" s="50" t="s">
        <v>43</v>
      </c>
      <c r="K95" s="53" t="s">
        <v>44</v>
      </c>
      <c r="L95" s="54"/>
      <c r="M95" s="55"/>
      <c r="N95" s="55"/>
      <c r="O95" s="54"/>
    </row>
    <row r="96" s="2" customFormat="1" ht="18" customHeight="1" spans="1:15">
      <c r="A96" s="13"/>
      <c r="B96" s="35">
        <f t="shared" si="6"/>
        <v>0</v>
      </c>
      <c r="C96" s="36"/>
      <c r="D96" s="37"/>
      <c r="E96" s="38"/>
      <c r="F96" s="35">
        <f t="shared" si="7"/>
        <v>0</v>
      </c>
      <c r="G96" s="27"/>
      <c r="H96" s="24">
        <v>43441</v>
      </c>
      <c r="I96" s="52">
        <v>100000</v>
      </c>
      <c r="J96" s="50" t="s">
        <v>40</v>
      </c>
      <c r="K96" s="53" t="s">
        <v>78</v>
      </c>
      <c r="L96" s="54" t="s">
        <v>67</v>
      </c>
      <c r="M96" s="55"/>
      <c r="N96" s="55"/>
      <c r="O96" s="54"/>
    </row>
    <row r="97" s="2" customFormat="1" ht="18" customHeight="1" spans="1:15">
      <c r="A97" s="13"/>
      <c r="B97" s="35">
        <f t="shared" si="6"/>
        <v>0</v>
      </c>
      <c r="C97" s="36"/>
      <c r="D97" s="37"/>
      <c r="E97" s="38"/>
      <c r="F97" s="35">
        <f t="shared" si="7"/>
        <v>0</v>
      </c>
      <c r="G97" s="27"/>
      <c r="H97" s="24">
        <v>43441</v>
      </c>
      <c r="I97" s="52">
        <v>-100000</v>
      </c>
      <c r="J97" s="50" t="s">
        <v>43</v>
      </c>
      <c r="K97" s="53" t="s">
        <v>44</v>
      </c>
      <c r="L97" s="54"/>
      <c r="M97" s="55"/>
      <c r="N97" s="55"/>
      <c r="O97" s="54"/>
    </row>
    <row r="98" s="2" customFormat="1" ht="18" customHeight="1" spans="1:15">
      <c r="A98" s="13"/>
      <c r="B98" s="35">
        <f t="shared" si="6"/>
        <v>0</v>
      </c>
      <c r="C98" s="36"/>
      <c r="D98" s="37"/>
      <c r="E98" s="38"/>
      <c r="F98" s="35">
        <f t="shared" si="7"/>
        <v>0</v>
      </c>
      <c r="G98" s="27"/>
      <c r="H98" s="24">
        <v>43444</v>
      </c>
      <c r="I98" s="52">
        <v>100000</v>
      </c>
      <c r="J98" s="50" t="s">
        <v>40</v>
      </c>
      <c r="K98" s="53" t="s">
        <v>78</v>
      </c>
      <c r="L98" s="54" t="s">
        <v>67</v>
      </c>
      <c r="M98" s="55"/>
      <c r="N98" s="55"/>
      <c r="O98" s="54"/>
    </row>
    <row r="99" s="2" customFormat="1" ht="18" customHeight="1" spans="1:15">
      <c r="A99" s="13"/>
      <c r="B99" s="35">
        <f t="shared" si="6"/>
        <v>0</v>
      </c>
      <c r="C99" s="36"/>
      <c r="D99" s="37"/>
      <c r="E99" s="38"/>
      <c r="F99" s="35">
        <f t="shared" si="7"/>
        <v>0</v>
      </c>
      <c r="G99" s="27"/>
      <c r="H99" s="24">
        <v>43444</v>
      </c>
      <c r="I99" s="52">
        <v>-100000</v>
      </c>
      <c r="J99" s="50" t="s">
        <v>43</v>
      </c>
      <c r="K99" s="53" t="s">
        <v>44</v>
      </c>
      <c r="L99" s="54"/>
      <c r="M99" s="55"/>
      <c r="N99" s="55"/>
      <c r="O99" s="54"/>
    </row>
    <row r="100" s="2" customFormat="1" ht="18" customHeight="1" spans="1:15">
      <c r="A100" s="13">
        <v>43458</v>
      </c>
      <c r="B100" s="35">
        <f t="shared" si="6"/>
        <v>388737.86</v>
      </c>
      <c r="C100" s="36">
        <v>5</v>
      </c>
      <c r="D100" s="37" t="s">
        <v>39</v>
      </c>
      <c r="E100" s="38">
        <v>0.03</v>
      </c>
      <c r="F100" s="35">
        <f t="shared" si="7"/>
        <v>11662.14</v>
      </c>
      <c r="G100" s="27">
        <v>400400</v>
      </c>
      <c r="H100" s="24">
        <v>43444</v>
      </c>
      <c r="I100" s="52">
        <v>30000</v>
      </c>
      <c r="J100" s="50" t="s">
        <v>40</v>
      </c>
      <c r="K100" s="53" t="s">
        <v>79</v>
      </c>
      <c r="L100" s="54" t="s">
        <v>80</v>
      </c>
      <c r="M100" s="55"/>
      <c r="N100" s="55"/>
      <c r="O100" s="54"/>
    </row>
    <row r="101" s="2" customFormat="1" ht="18" customHeight="1" spans="1:15">
      <c r="A101" s="13"/>
      <c r="B101" s="35">
        <f t="shared" si="6"/>
        <v>0</v>
      </c>
      <c r="C101" s="36"/>
      <c r="D101" s="37"/>
      <c r="E101" s="38"/>
      <c r="F101" s="35">
        <f t="shared" si="7"/>
        <v>0</v>
      </c>
      <c r="G101" s="27"/>
      <c r="H101" s="24">
        <v>43444</v>
      </c>
      <c r="I101" s="52">
        <v>-30000</v>
      </c>
      <c r="J101" s="50" t="s">
        <v>43</v>
      </c>
      <c r="K101" s="53" t="s">
        <v>44</v>
      </c>
      <c r="L101" s="54"/>
      <c r="M101" s="55"/>
      <c r="N101" s="55"/>
      <c r="O101" s="54"/>
    </row>
    <row r="102" s="2" customFormat="1" ht="18" customHeight="1" spans="1:15">
      <c r="A102" s="13"/>
      <c r="B102" s="35">
        <f t="shared" si="6"/>
        <v>0</v>
      </c>
      <c r="C102" s="36"/>
      <c r="D102" s="37"/>
      <c r="E102" s="38"/>
      <c r="F102" s="35">
        <f t="shared" si="7"/>
        <v>0</v>
      </c>
      <c r="G102" s="27"/>
      <c r="H102" s="24">
        <v>43445</v>
      </c>
      <c r="I102" s="52">
        <v>70000</v>
      </c>
      <c r="J102" s="50" t="s">
        <v>40</v>
      </c>
      <c r="K102" s="53" t="s">
        <v>79</v>
      </c>
      <c r="L102" s="54" t="s">
        <v>80</v>
      </c>
      <c r="M102" s="55"/>
      <c r="N102" s="55"/>
      <c r="O102" s="54"/>
    </row>
    <row r="103" s="2" customFormat="1" ht="18" customHeight="1" spans="1:15">
      <c r="A103" s="13"/>
      <c r="B103" s="35">
        <f t="shared" si="6"/>
        <v>0</v>
      </c>
      <c r="C103" s="36"/>
      <c r="D103" s="37"/>
      <c r="E103" s="38"/>
      <c r="F103" s="35">
        <f t="shared" si="7"/>
        <v>0</v>
      </c>
      <c r="G103" s="27"/>
      <c r="H103" s="24">
        <v>43445</v>
      </c>
      <c r="I103" s="52">
        <v>-70000</v>
      </c>
      <c r="J103" s="50" t="s">
        <v>43</v>
      </c>
      <c r="K103" s="53" t="s">
        <v>44</v>
      </c>
      <c r="L103" s="54"/>
      <c r="M103" s="55"/>
      <c r="N103" s="55"/>
      <c r="O103" s="54"/>
    </row>
    <row r="104" s="2" customFormat="1" ht="18" customHeight="1" spans="1:15">
      <c r="A104" s="13">
        <v>43451</v>
      </c>
      <c r="B104" s="35">
        <f t="shared" si="6"/>
        <v>2155172.41</v>
      </c>
      <c r="C104" s="36">
        <v>3</v>
      </c>
      <c r="D104" s="37" t="s">
        <v>39</v>
      </c>
      <c r="E104" s="38">
        <v>0.16</v>
      </c>
      <c r="F104" s="35">
        <f t="shared" si="7"/>
        <v>344827.59</v>
      </c>
      <c r="G104" s="27">
        <v>2500000</v>
      </c>
      <c r="H104" s="24">
        <v>43448</v>
      </c>
      <c r="I104" s="52">
        <v>400000</v>
      </c>
      <c r="J104" s="50" t="s">
        <v>40</v>
      </c>
      <c r="K104" s="53" t="s">
        <v>61</v>
      </c>
      <c r="L104" s="71" t="s">
        <v>62</v>
      </c>
      <c r="M104" s="55" t="s">
        <v>56</v>
      </c>
      <c r="N104" s="55"/>
      <c r="O104" s="54"/>
    </row>
    <row r="105" s="2" customFormat="1" ht="18" customHeight="1" spans="1:15">
      <c r="A105" s="13"/>
      <c r="B105" s="35">
        <f t="shared" si="6"/>
        <v>0</v>
      </c>
      <c r="C105" s="36"/>
      <c r="D105" s="37"/>
      <c r="E105" s="38"/>
      <c r="F105" s="35">
        <f t="shared" si="7"/>
        <v>0</v>
      </c>
      <c r="G105" s="27"/>
      <c r="H105" s="24">
        <v>43448</v>
      </c>
      <c r="I105" s="52">
        <v>-400000</v>
      </c>
      <c r="J105" s="50" t="s">
        <v>43</v>
      </c>
      <c r="K105" s="53" t="s">
        <v>44</v>
      </c>
      <c r="L105" s="54"/>
      <c r="M105" s="55"/>
      <c r="N105" s="55"/>
      <c r="O105" s="54"/>
    </row>
    <row r="106" s="2" customFormat="1" ht="18" customHeight="1" spans="1:15">
      <c r="A106" s="13">
        <v>43451</v>
      </c>
      <c r="B106" s="35">
        <f t="shared" si="6"/>
        <v>1260517.28</v>
      </c>
      <c r="C106" s="36">
        <v>13</v>
      </c>
      <c r="D106" s="37" t="s">
        <v>39</v>
      </c>
      <c r="E106" s="38">
        <v>0.03</v>
      </c>
      <c r="F106" s="35">
        <f t="shared" si="7"/>
        <v>37815.52</v>
      </c>
      <c r="G106" s="27">
        <v>1298332.8</v>
      </c>
      <c r="H106" s="24"/>
      <c r="I106" s="52"/>
      <c r="J106" s="50"/>
      <c r="K106" s="53" t="s">
        <v>76</v>
      </c>
      <c r="L106" s="54" t="s">
        <v>77</v>
      </c>
      <c r="M106" s="55"/>
      <c r="N106" s="55"/>
      <c r="O106" s="54"/>
    </row>
    <row r="107" s="2" customFormat="1" ht="18" customHeight="1" spans="1:15">
      <c r="A107" s="13">
        <v>43451</v>
      </c>
      <c r="B107" s="35">
        <f t="shared" si="6"/>
        <v>38834.95</v>
      </c>
      <c r="C107" s="36">
        <v>1</v>
      </c>
      <c r="D107" s="37" t="s">
        <v>81</v>
      </c>
      <c r="E107" s="38">
        <v>0.03</v>
      </c>
      <c r="F107" s="35">
        <f t="shared" si="7"/>
        <v>1165.05</v>
      </c>
      <c r="G107" s="27">
        <v>40000</v>
      </c>
      <c r="H107" s="24"/>
      <c r="I107" s="52"/>
      <c r="J107" s="50"/>
      <c r="K107" s="53" t="s">
        <v>82</v>
      </c>
      <c r="L107" s="72" t="s">
        <v>83</v>
      </c>
      <c r="M107" s="55"/>
      <c r="N107" s="55"/>
      <c r="O107" s="54"/>
    </row>
    <row r="108" s="2" customFormat="1" ht="18" customHeight="1" spans="1:15">
      <c r="A108" s="13"/>
      <c r="B108" s="35">
        <f t="shared" si="6"/>
        <v>0</v>
      </c>
      <c r="C108" s="36"/>
      <c r="D108" s="37"/>
      <c r="E108" s="38"/>
      <c r="F108" s="35">
        <f t="shared" si="7"/>
        <v>0</v>
      </c>
      <c r="G108" s="27"/>
      <c r="H108" s="24">
        <v>43454</v>
      </c>
      <c r="I108" s="52">
        <v>100000</v>
      </c>
      <c r="J108" s="50" t="s">
        <v>23</v>
      </c>
      <c r="K108" s="53" t="s">
        <v>78</v>
      </c>
      <c r="L108" s="72" t="s">
        <v>67</v>
      </c>
      <c r="M108" s="55"/>
      <c r="N108" s="55"/>
      <c r="O108" s="54"/>
    </row>
    <row r="109" s="2" customFormat="1" ht="18" customHeight="1" spans="1:15">
      <c r="A109" s="13">
        <v>43458</v>
      </c>
      <c r="B109" s="35">
        <f t="shared" si="6"/>
        <v>5825242.72</v>
      </c>
      <c r="C109" s="36">
        <v>6</v>
      </c>
      <c r="D109" s="37" t="s">
        <v>39</v>
      </c>
      <c r="E109" s="38">
        <v>0.03</v>
      </c>
      <c r="F109" s="35">
        <f t="shared" si="7"/>
        <v>174757.28</v>
      </c>
      <c r="G109" s="27">
        <v>6000000</v>
      </c>
      <c r="H109" s="24">
        <v>43454</v>
      </c>
      <c r="I109" s="52">
        <v>3000000</v>
      </c>
      <c r="J109" s="50" t="s">
        <v>23</v>
      </c>
      <c r="K109" s="53" t="s">
        <v>71</v>
      </c>
      <c r="L109" s="72" t="s">
        <v>72</v>
      </c>
      <c r="M109" s="55" t="s">
        <v>56</v>
      </c>
      <c r="N109" s="55"/>
      <c r="O109" s="54"/>
    </row>
    <row r="110" s="2" customFormat="1" ht="18" customHeight="1" spans="1:15">
      <c r="A110" s="13"/>
      <c r="B110" s="35">
        <f t="shared" si="6"/>
        <v>0</v>
      </c>
      <c r="C110" s="36"/>
      <c r="D110" s="37"/>
      <c r="E110" s="38"/>
      <c r="F110" s="35">
        <f t="shared" si="7"/>
        <v>0</v>
      </c>
      <c r="G110" s="27"/>
      <c r="H110" s="24">
        <v>43454</v>
      </c>
      <c r="I110" s="52">
        <v>3000000</v>
      </c>
      <c r="J110" s="50" t="s">
        <v>23</v>
      </c>
      <c r="K110" s="53" t="s">
        <v>71</v>
      </c>
      <c r="L110" s="72" t="s">
        <v>72</v>
      </c>
      <c r="M110" s="55" t="s">
        <v>56</v>
      </c>
      <c r="N110" s="55"/>
      <c r="O110" s="54"/>
    </row>
    <row r="111" s="2" customFormat="1" ht="16.95" customHeight="1" spans="1:15">
      <c r="A111" s="13"/>
      <c r="B111" s="35">
        <f t="shared" si="6"/>
        <v>0</v>
      </c>
      <c r="C111" s="36"/>
      <c r="D111" s="37"/>
      <c r="E111" s="38"/>
      <c r="F111" s="35">
        <f t="shared" si="7"/>
        <v>0</v>
      </c>
      <c r="G111" s="27"/>
      <c r="H111" s="24">
        <v>43455</v>
      </c>
      <c r="I111" s="52">
        <v>200000</v>
      </c>
      <c r="J111" s="50" t="s">
        <v>23</v>
      </c>
      <c r="K111" s="53" t="s">
        <v>73</v>
      </c>
      <c r="L111" s="54" t="s">
        <v>67</v>
      </c>
      <c r="M111" s="55" t="s">
        <v>56</v>
      </c>
      <c r="N111" s="55"/>
      <c r="O111" s="54"/>
    </row>
    <row r="112" s="2" customFormat="1" ht="18" customHeight="1" spans="1:15">
      <c r="A112" s="13">
        <v>43458</v>
      </c>
      <c r="B112" s="35">
        <f t="shared" si="6"/>
        <v>719292.23</v>
      </c>
      <c r="C112" s="36">
        <v>1</v>
      </c>
      <c r="D112" s="37" t="s">
        <v>39</v>
      </c>
      <c r="E112" s="38">
        <v>0.03</v>
      </c>
      <c r="F112" s="35">
        <f t="shared" si="7"/>
        <v>21578.77</v>
      </c>
      <c r="G112" s="27">
        <v>740871</v>
      </c>
      <c r="H112" s="24"/>
      <c r="I112" s="52"/>
      <c r="J112" s="50"/>
      <c r="K112" s="53" t="s">
        <v>57</v>
      </c>
      <c r="L112" s="54" t="s">
        <v>58</v>
      </c>
      <c r="M112" s="55" t="s">
        <v>56</v>
      </c>
      <c r="N112" s="55"/>
      <c r="O112" s="54" t="s">
        <v>84</v>
      </c>
    </row>
    <row r="113" s="2" customFormat="1" ht="18" customHeight="1" spans="1:15">
      <c r="A113" s="13">
        <v>43458</v>
      </c>
      <c r="B113" s="35">
        <f t="shared" si="6"/>
        <v>336000</v>
      </c>
      <c r="C113" s="36">
        <v>4</v>
      </c>
      <c r="D113" s="37" t="s">
        <v>39</v>
      </c>
      <c r="E113" s="38">
        <v>0.03</v>
      </c>
      <c r="F113" s="35">
        <f t="shared" si="7"/>
        <v>10080</v>
      </c>
      <c r="G113" s="27">
        <v>346080</v>
      </c>
      <c r="H113" s="24"/>
      <c r="I113" s="52"/>
      <c r="J113" s="50"/>
      <c r="K113" s="53" t="s">
        <v>54</v>
      </c>
      <c r="L113" s="54" t="s">
        <v>55</v>
      </c>
      <c r="M113" s="55" t="s">
        <v>56</v>
      </c>
      <c r="N113" s="55"/>
      <c r="O113" s="54"/>
    </row>
    <row r="114" s="2" customFormat="1" ht="18" customHeight="1" spans="1:15">
      <c r="A114" s="13">
        <v>43458</v>
      </c>
      <c r="B114" s="35">
        <f t="shared" si="6"/>
        <v>2101.22</v>
      </c>
      <c r="C114" s="36">
        <v>2</v>
      </c>
      <c r="D114" s="37" t="s">
        <v>39</v>
      </c>
      <c r="E114" s="38">
        <v>0.16</v>
      </c>
      <c r="F114" s="35">
        <f t="shared" si="7"/>
        <v>336.2</v>
      </c>
      <c r="G114" s="27">
        <v>2437.42</v>
      </c>
      <c r="H114" s="24"/>
      <c r="I114" s="52"/>
      <c r="J114" s="50"/>
      <c r="K114" s="53" t="s">
        <v>85</v>
      </c>
      <c r="L114" s="54" t="s">
        <v>86</v>
      </c>
      <c r="M114" s="55"/>
      <c r="N114" s="55"/>
      <c r="O114" s="54"/>
    </row>
    <row r="115" s="5" customFormat="1" ht="18" customHeight="1" spans="1:15">
      <c r="A115" s="65"/>
      <c r="B115" s="35">
        <f t="shared" si="6"/>
        <v>0</v>
      </c>
      <c r="C115" s="66"/>
      <c r="D115" s="67"/>
      <c r="E115" s="68"/>
      <c r="F115" s="69">
        <f t="shared" si="7"/>
        <v>0</v>
      </c>
      <c r="G115" s="70"/>
      <c r="H115" s="13">
        <v>43458</v>
      </c>
      <c r="I115" s="52">
        <v>400000</v>
      </c>
      <c r="J115" s="55" t="s">
        <v>23</v>
      </c>
      <c r="K115" s="53" t="s">
        <v>61</v>
      </c>
      <c r="L115" s="54" t="s">
        <v>62</v>
      </c>
      <c r="M115" s="55" t="s">
        <v>56</v>
      </c>
      <c r="N115" s="55"/>
      <c r="O115" s="73"/>
    </row>
    <row r="116" s="2" customFormat="1" ht="18" customHeight="1" spans="1:15">
      <c r="A116" s="13">
        <v>43461</v>
      </c>
      <c r="B116" s="35">
        <f t="shared" si="6"/>
        <v>850862.07</v>
      </c>
      <c r="C116" s="36">
        <v>12</v>
      </c>
      <c r="D116" s="37" t="s">
        <v>39</v>
      </c>
      <c r="E116" s="38">
        <v>0.16</v>
      </c>
      <c r="F116" s="35">
        <f t="shared" si="7"/>
        <v>136137.93</v>
      </c>
      <c r="G116" s="27">
        <f>98700*8+49350*4</f>
        <v>987000</v>
      </c>
      <c r="H116" s="24">
        <v>43458</v>
      </c>
      <c r="I116" s="52">
        <v>987000</v>
      </c>
      <c r="J116" s="50" t="s">
        <v>23</v>
      </c>
      <c r="K116" s="53" t="s">
        <v>70</v>
      </c>
      <c r="L116" s="54" t="s">
        <v>87</v>
      </c>
      <c r="M116" s="55"/>
      <c r="N116" s="55"/>
      <c r="O116" s="54"/>
    </row>
    <row r="117" s="2" customFormat="1" ht="18" customHeight="1" spans="1:15">
      <c r="A117" s="13"/>
      <c r="B117" s="35">
        <f t="shared" si="6"/>
        <v>0</v>
      </c>
      <c r="C117" s="36"/>
      <c r="D117" s="37"/>
      <c r="E117" s="38"/>
      <c r="F117" s="35">
        <f t="shared" si="7"/>
        <v>0</v>
      </c>
      <c r="G117" s="27"/>
      <c r="H117" s="24">
        <v>43459</v>
      </c>
      <c r="I117" s="52">
        <v>140000</v>
      </c>
      <c r="J117" s="50" t="s">
        <v>23</v>
      </c>
      <c r="K117" s="53" t="s">
        <v>54</v>
      </c>
      <c r="L117" s="33" t="s">
        <v>55</v>
      </c>
      <c r="M117" s="55" t="s">
        <v>56</v>
      </c>
      <c r="N117" s="55"/>
      <c r="O117" s="54"/>
    </row>
    <row r="118" s="2" customFormat="1" ht="18" customHeight="1" spans="1:15">
      <c r="A118" s="13"/>
      <c r="B118" s="35">
        <f t="shared" si="6"/>
        <v>0</v>
      </c>
      <c r="C118" s="36"/>
      <c r="D118" s="37"/>
      <c r="E118" s="38"/>
      <c r="F118" s="35">
        <f t="shared" si="7"/>
        <v>0</v>
      </c>
      <c r="G118" s="27"/>
      <c r="H118" s="24">
        <v>43459</v>
      </c>
      <c r="I118" s="52">
        <v>1298332.8</v>
      </c>
      <c r="J118" s="50" t="s">
        <v>23</v>
      </c>
      <c r="K118" s="53" t="s">
        <v>76</v>
      </c>
      <c r="L118" s="33" t="s">
        <v>88</v>
      </c>
      <c r="M118" s="55"/>
      <c r="N118" s="55"/>
      <c r="O118" s="54"/>
    </row>
    <row r="119" s="2" customFormat="1" ht="18" customHeight="1" spans="1:15">
      <c r="A119" s="13"/>
      <c r="B119" s="35">
        <f t="shared" si="6"/>
        <v>0</v>
      </c>
      <c r="C119" s="36"/>
      <c r="D119" s="37"/>
      <c r="E119" s="38"/>
      <c r="F119" s="35">
        <f t="shared" si="7"/>
        <v>0</v>
      </c>
      <c r="G119" s="27"/>
      <c r="H119" s="24">
        <v>43459</v>
      </c>
      <c r="I119" s="52">
        <v>100000</v>
      </c>
      <c r="J119" s="50" t="s">
        <v>23</v>
      </c>
      <c r="K119" s="53" t="s">
        <v>79</v>
      </c>
      <c r="L119" s="33" t="s">
        <v>80</v>
      </c>
      <c r="M119" s="55"/>
      <c r="N119" s="55"/>
      <c r="O119" s="54"/>
    </row>
    <row r="120" s="2" customFormat="1" ht="18" customHeight="1" spans="1:15">
      <c r="A120" s="13"/>
      <c r="B120" s="35">
        <f t="shared" si="6"/>
        <v>0</v>
      </c>
      <c r="C120" s="36"/>
      <c r="D120" s="37"/>
      <c r="E120" s="38"/>
      <c r="F120" s="35">
        <f t="shared" si="7"/>
        <v>0</v>
      </c>
      <c r="G120" s="27"/>
      <c r="H120" s="24">
        <v>43459</v>
      </c>
      <c r="I120" s="52">
        <v>40000</v>
      </c>
      <c r="J120" s="50" t="s">
        <v>23</v>
      </c>
      <c r="K120" s="53" t="s">
        <v>82</v>
      </c>
      <c r="L120" s="33" t="s">
        <v>83</v>
      </c>
      <c r="M120" s="55"/>
      <c r="N120" s="55"/>
      <c r="O120" s="54"/>
    </row>
    <row r="121" s="2" customFormat="1" ht="18" customHeight="1" spans="1:15">
      <c r="A121" s="13"/>
      <c r="B121" s="35">
        <f t="shared" si="6"/>
        <v>0</v>
      </c>
      <c r="C121" s="36"/>
      <c r="D121" s="37"/>
      <c r="E121" s="38"/>
      <c r="F121" s="35">
        <f t="shared" si="7"/>
        <v>0</v>
      </c>
      <c r="G121" s="27"/>
      <c r="H121" s="24">
        <v>43460</v>
      </c>
      <c r="I121" s="52">
        <v>200000</v>
      </c>
      <c r="J121" s="50" t="s">
        <v>23</v>
      </c>
      <c r="K121" s="53" t="s">
        <v>61</v>
      </c>
      <c r="L121" s="71" t="s">
        <v>62</v>
      </c>
      <c r="M121" s="55" t="s">
        <v>56</v>
      </c>
      <c r="N121" s="55"/>
      <c r="O121" s="54"/>
    </row>
    <row r="122" s="2" customFormat="1" ht="18" customHeight="1" spans="1:15">
      <c r="A122" s="13"/>
      <c r="B122" s="35">
        <f t="shared" si="6"/>
        <v>0</v>
      </c>
      <c r="C122" s="36"/>
      <c r="D122" s="37"/>
      <c r="E122" s="38"/>
      <c r="F122" s="35">
        <f t="shared" si="7"/>
        <v>0</v>
      </c>
      <c r="G122" s="27"/>
      <c r="H122" s="24">
        <v>43460</v>
      </c>
      <c r="I122" s="52">
        <v>100000</v>
      </c>
      <c r="J122" s="50" t="s">
        <v>23</v>
      </c>
      <c r="K122" s="53" t="s">
        <v>79</v>
      </c>
      <c r="L122" s="71" t="s">
        <v>80</v>
      </c>
      <c r="M122" s="55"/>
      <c r="N122" s="55"/>
      <c r="O122" s="54"/>
    </row>
    <row r="123" s="2" customFormat="1" ht="18" customHeight="1" spans="1:15">
      <c r="A123" s="13"/>
      <c r="B123" s="35">
        <f t="shared" si="6"/>
        <v>0</v>
      </c>
      <c r="C123" s="36"/>
      <c r="D123" s="37"/>
      <c r="E123" s="38"/>
      <c r="F123" s="35">
        <f t="shared" si="7"/>
        <v>0</v>
      </c>
      <c r="G123" s="27"/>
      <c r="H123" s="24">
        <v>43460</v>
      </c>
      <c r="I123" s="52">
        <v>2000000</v>
      </c>
      <c r="J123" s="50" t="s">
        <v>23</v>
      </c>
      <c r="K123" s="53" t="s">
        <v>89</v>
      </c>
      <c r="L123" s="33" t="s">
        <v>90</v>
      </c>
      <c r="M123" s="55"/>
      <c r="N123" s="55"/>
      <c r="O123" s="54"/>
    </row>
    <row r="124" s="2" customFormat="1" ht="18" customHeight="1" spans="1:15">
      <c r="A124" s="13">
        <v>43461</v>
      </c>
      <c r="B124" s="35">
        <f t="shared" si="6"/>
        <v>291266.99</v>
      </c>
      <c r="C124" s="36">
        <v>3</v>
      </c>
      <c r="D124" s="37" t="s">
        <v>39</v>
      </c>
      <c r="E124" s="38">
        <v>0.03</v>
      </c>
      <c r="F124" s="35">
        <f t="shared" si="7"/>
        <v>8738.01</v>
      </c>
      <c r="G124" s="27">
        <f>100050*2+99905</f>
        <v>300005</v>
      </c>
      <c r="H124" s="24"/>
      <c r="I124" s="52"/>
      <c r="J124" s="50"/>
      <c r="K124" s="53" t="s">
        <v>78</v>
      </c>
      <c r="L124" s="72" t="s">
        <v>67</v>
      </c>
      <c r="M124" s="55"/>
      <c r="N124" s="55"/>
      <c r="O124" s="54"/>
    </row>
    <row r="125" s="2" customFormat="1" ht="18" customHeight="1" spans="1:15">
      <c r="A125" s="13">
        <v>43462</v>
      </c>
      <c r="B125" s="35">
        <f t="shared" si="6"/>
        <v>242718.88</v>
      </c>
      <c r="C125" s="36"/>
      <c r="D125" s="37" t="s">
        <v>39</v>
      </c>
      <c r="E125" s="38">
        <v>0.03</v>
      </c>
      <c r="F125" s="35">
        <f t="shared" si="7"/>
        <v>7281.57</v>
      </c>
      <c r="G125" s="27">
        <v>250000.45</v>
      </c>
      <c r="H125" s="24">
        <v>43461</v>
      </c>
      <c r="I125" s="52">
        <v>200000</v>
      </c>
      <c r="J125" s="50" t="s">
        <v>23</v>
      </c>
      <c r="K125" s="53" t="s">
        <v>66</v>
      </c>
      <c r="L125" s="33" t="s">
        <v>67</v>
      </c>
      <c r="M125" s="55" t="s">
        <v>56</v>
      </c>
      <c r="N125" s="55"/>
      <c r="O125" s="54"/>
    </row>
    <row r="126" s="2" customFormat="1" ht="18" customHeight="1" spans="1:15">
      <c r="A126" s="13"/>
      <c r="B126" s="35">
        <f t="shared" si="6"/>
        <v>0</v>
      </c>
      <c r="C126" s="36"/>
      <c r="D126" s="37"/>
      <c r="E126" s="38"/>
      <c r="F126" s="35">
        <f t="shared" si="7"/>
        <v>0</v>
      </c>
      <c r="G126" s="27"/>
      <c r="H126" s="24">
        <v>43461</v>
      </c>
      <c r="I126" s="52">
        <v>100400</v>
      </c>
      <c r="J126" s="50" t="s">
        <v>23</v>
      </c>
      <c r="K126" s="53" t="s">
        <v>79</v>
      </c>
      <c r="L126" s="33" t="s">
        <v>80</v>
      </c>
      <c r="M126" s="55"/>
      <c r="N126" s="55"/>
      <c r="O126" s="54"/>
    </row>
    <row r="127" s="2" customFormat="1" ht="18" customHeight="1" spans="1:15">
      <c r="A127" s="13"/>
      <c r="B127" s="35">
        <f t="shared" si="6"/>
        <v>0</v>
      </c>
      <c r="C127" s="36"/>
      <c r="D127" s="37"/>
      <c r="E127" s="38"/>
      <c r="F127" s="35">
        <f t="shared" si="7"/>
        <v>0</v>
      </c>
      <c r="G127" s="27"/>
      <c r="H127" s="24">
        <v>43463</v>
      </c>
      <c r="I127" s="52">
        <v>300000</v>
      </c>
      <c r="J127" s="50" t="s">
        <v>23</v>
      </c>
      <c r="K127" s="53" t="s">
        <v>57</v>
      </c>
      <c r="L127" s="33" t="s">
        <v>91</v>
      </c>
      <c r="M127" s="55" t="s">
        <v>56</v>
      </c>
      <c r="N127" s="55" t="s">
        <v>92</v>
      </c>
      <c r="O127" s="74" t="s">
        <v>93</v>
      </c>
    </row>
    <row r="128" s="2" customFormat="1" ht="18" customHeight="1" spans="1:15">
      <c r="A128" s="13"/>
      <c r="B128" s="35">
        <f t="shared" si="6"/>
        <v>0</v>
      </c>
      <c r="C128" s="36"/>
      <c r="D128" s="37"/>
      <c r="E128" s="38"/>
      <c r="F128" s="35">
        <f t="shared" si="7"/>
        <v>0</v>
      </c>
      <c r="G128" s="27"/>
      <c r="H128" s="24">
        <v>43467</v>
      </c>
      <c r="I128" s="52">
        <v>51962.5</v>
      </c>
      <c r="J128" s="50" t="s">
        <v>23</v>
      </c>
      <c r="K128" s="53" t="s">
        <v>59</v>
      </c>
      <c r="L128" s="33" t="s">
        <v>60</v>
      </c>
      <c r="M128" s="55" t="s">
        <v>56</v>
      </c>
      <c r="N128" s="55"/>
      <c r="O128" s="54"/>
    </row>
    <row r="129" s="2" customFormat="1" ht="18" customHeight="1" spans="1:15">
      <c r="A129" s="13"/>
      <c r="B129" s="35">
        <f t="shared" si="6"/>
        <v>0</v>
      </c>
      <c r="C129" s="36"/>
      <c r="D129" s="37"/>
      <c r="E129" s="38"/>
      <c r="F129" s="35">
        <f t="shared" si="7"/>
        <v>0</v>
      </c>
      <c r="G129" s="27"/>
      <c r="H129" s="24">
        <v>43468</v>
      </c>
      <c r="I129" s="52">
        <v>6000000</v>
      </c>
      <c r="J129" s="50" t="s">
        <v>23</v>
      </c>
      <c r="K129" s="53" t="s">
        <v>44</v>
      </c>
      <c r="L129" s="33" t="s">
        <v>94</v>
      </c>
      <c r="M129" s="55"/>
      <c r="N129" s="55"/>
      <c r="O129" s="54"/>
    </row>
    <row r="130" s="2" customFormat="1" ht="18" customHeight="1" spans="1:15">
      <c r="A130" s="13"/>
      <c r="B130" s="35">
        <f t="shared" si="6"/>
        <v>0</v>
      </c>
      <c r="C130" s="36"/>
      <c r="D130" s="37"/>
      <c r="E130" s="38"/>
      <c r="F130" s="35">
        <f t="shared" si="7"/>
        <v>0</v>
      </c>
      <c r="G130" s="27"/>
      <c r="H130" s="24">
        <v>43469</v>
      </c>
      <c r="I130" s="52">
        <v>300000</v>
      </c>
      <c r="J130" s="50" t="s">
        <v>23</v>
      </c>
      <c r="K130" s="53" t="s">
        <v>95</v>
      </c>
      <c r="L130" s="33" t="s">
        <v>96</v>
      </c>
      <c r="M130" s="55"/>
      <c r="N130" s="55"/>
      <c r="O130" s="54"/>
    </row>
    <row r="131" s="2" customFormat="1" ht="18" customHeight="1" spans="1:15">
      <c r="A131" s="13"/>
      <c r="B131" s="35">
        <f t="shared" si="6"/>
        <v>0</v>
      </c>
      <c r="C131" s="36"/>
      <c r="D131" s="37"/>
      <c r="E131" s="38"/>
      <c r="F131" s="35">
        <f t="shared" si="7"/>
        <v>0</v>
      </c>
      <c r="G131" s="27"/>
      <c r="H131" s="24">
        <v>43469</v>
      </c>
      <c r="I131" s="52">
        <v>105000</v>
      </c>
      <c r="J131" s="50" t="s">
        <v>23</v>
      </c>
      <c r="K131" s="53" t="s">
        <v>66</v>
      </c>
      <c r="L131" s="33" t="s">
        <v>67</v>
      </c>
      <c r="M131" s="55" t="s">
        <v>56</v>
      </c>
      <c r="N131" s="55"/>
      <c r="O131" s="54"/>
    </row>
    <row r="132" s="2" customFormat="1" ht="18" customHeight="1" spans="1:15">
      <c r="A132" s="13">
        <v>43479</v>
      </c>
      <c r="B132" s="35">
        <f t="shared" si="6"/>
        <v>1034482.76</v>
      </c>
      <c r="C132" s="36"/>
      <c r="D132" s="37" t="s">
        <v>39</v>
      </c>
      <c r="E132" s="38">
        <v>0.16</v>
      </c>
      <c r="F132" s="35">
        <f t="shared" si="7"/>
        <v>165517.24</v>
      </c>
      <c r="G132" s="27">
        <f>280000+920000</f>
        <v>1200000</v>
      </c>
      <c r="H132" s="24"/>
      <c r="I132" s="52"/>
      <c r="J132" s="50"/>
      <c r="K132" s="53" t="s">
        <v>61</v>
      </c>
      <c r="L132" s="33" t="s">
        <v>62</v>
      </c>
      <c r="M132" s="55" t="s">
        <v>56</v>
      </c>
      <c r="N132" s="55"/>
      <c r="O132" s="54"/>
    </row>
    <row r="133" s="2" customFormat="1" ht="18" customHeight="1" spans="1:15">
      <c r="A133" s="13">
        <v>43479</v>
      </c>
      <c r="B133" s="35">
        <f t="shared" si="6"/>
        <v>749882.91</v>
      </c>
      <c r="C133" s="36"/>
      <c r="D133" s="37" t="s">
        <v>39</v>
      </c>
      <c r="E133" s="38">
        <v>0.03</v>
      </c>
      <c r="F133" s="35">
        <f t="shared" si="7"/>
        <v>22496.49</v>
      </c>
      <c r="G133" s="27">
        <f>99900*4+99975+99975+99975+72854.4</f>
        <v>772379.4</v>
      </c>
      <c r="H133" s="24"/>
      <c r="I133" s="52"/>
      <c r="J133" s="50"/>
      <c r="K133" s="53" t="s">
        <v>76</v>
      </c>
      <c r="L133" s="33" t="s">
        <v>97</v>
      </c>
      <c r="M133" s="55"/>
      <c r="N133" s="55"/>
      <c r="O133" s="54"/>
    </row>
    <row r="134" s="2" customFormat="1" ht="18" customHeight="1" spans="1:15">
      <c r="A134" s="13">
        <v>43479</v>
      </c>
      <c r="B134" s="35">
        <f t="shared" si="6"/>
        <v>194174.76</v>
      </c>
      <c r="C134" s="36"/>
      <c r="D134" s="37" t="s">
        <v>39</v>
      </c>
      <c r="E134" s="38">
        <v>0.03</v>
      </c>
      <c r="F134" s="35">
        <f t="shared" si="7"/>
        <v>5825.24</v>
      </c>
      <c r="G134" s="27">
        <f>100000*2</f>
        <v>200000</v>
      </c>
      <c r="H134" s="24"/>
      <c r="I134" s="52"/>
      <c r="J134" s="50"/>
      <c r="K134" s="53" t="s">
        <v>73</v>
      </c>
      <c r="L134" s="33" t="s">
        <v>88</v>
      </c>
      <c r="M134" s="55" t="s">
        <v>56</v>
      </c>
      <c r="N134" s="55"/>
      <c r="O134" s="54"/>
    </row>
    <row r="135" s="2" customFormat="1" ht="18" customHeight="1" spans="1:15">
      <c r="A135" s="13">
        <v>43479</v>
      </c>
      <c r="B135" s="35">
        <f t="shared" si="6"/>
        <v>2122330.1</v>
      </c>
      <c r="C135" s="36"/>
      <c r="D135" s="37" t="s">
        <v>39</v>
      </c>
      <c r="E135" s="38">
        <v>0.03</v>
      </c>
      <c r="F135" s="35">
        <f t="shared" si="7"/>
        <v>63669.9</v>
      </c>
      <c r="G135" s="27">
        <f>400000+192000+320000+552000+90000+192000+440000</f>
        <v>2186000</v>
      </c>
      <c r="H135" s="24"/>
      <c r="I135" s="52"/>
      <c r="J135" s="50"/>
      <c r="K135" s="53" t="s">
        <v>89</v>
      </c>
      <c r="L135" s="33" t="s">
        <v>90</v>
      </c>
      <c r="M135" s="55"/>
      <c r="N135" s="55"/>
      <c r="O135" s="54"/>
    </row>
    <row r="136" s="2" customFormat="1" ht="18" customHeight="1" spans="1:15">
      <c r="A136" s="13">
        <v>43479</v>
      </c>
      <c r="B136" s="35">
        <f t="shared" si="6"/>
        <v>836154.55</v>
      </c>
      <c r="C136" s="36"/>
      <c r="D136" s="37" t="s">
        <v>45</v>
      </c>
      <c r="E136" s="38">
        <v>0.1</v>
      </c>
      <c r="F136" s="35">
        <f t="shared" si="7"/>
        <v>83615.45</v>
      </c>
      <c r="G136" s="27">
        <f>59985*2+99975*8</f>
        <v>919770</v>
      </c>
      <c r="H136" s="24"/>
      <c r="I136" s="52"/>
      <c r="J136" s="50"/>
      <c r="K136" s="53" t="s">
        <v>98</v>
      </c>
      <c r="L136" s="33" t="s">
        <v>99</v>
      </c>
      <c r="M136" s="55"/>
      <c r="N136" s="55"/>
      <c r="O136" s="54"/>
    </row>
    <row r="137" s="2" customFormat="1" ht="18" customHeight="1" spans="1:15">
      <c r="A137" s="13">
        <v>43479</v>
      </c>
      <c r="B137" s="35">
        <f t="shared" si="6"/>
        <v>5863.3</v>
      </c>
      <c r="C137" s="36"/>
      <c r="D137" s="37" t="s">
        <v>81</v>
      </c>
      <c r="E137" s="38">
        <v>0.03</v>
      </c>
      <c r="F137" s="35">
        <f t="shared" si="7"/>
        <v>175.9</v>
      </c>
      <c r="G137" s="27">
        <v>6039.2</v>
      </c>
      <c r="H137" s="24">
        <v>43479</v>
      </c>
      <c r="I137" s="52">
        <v>6039.2</v>
      </c>
      <c r="J137" s="50" t="s">
        <v>23</v>
      </c>
      <c r="K137" s="53" t="s">
        <v>100</v>
      </c>
      <c r="L137" s="33" t="s">
        <v>101</v>
      </c>
      <c r="M137" s="55"/>
      <c r="N137" s="55"/>
      <c r="O137" s="54" t="s">
        <v>102</v>
      </c>
    </row>
    <row r="138" s="2" customFormat="1" ht="18" customHeight="1" spans="1:15">
      <c r="A138" s="13">
        <v>43479</v>
      </c>
      <c r="B138" s="35">
        <f t="shared" si="6"/>
        <v>38439.61</v>
      </c>
      <c r="C138" s="36"/>
      <c r="D138" s="37" t="s">
        <v>81</v>
      </c>
      <c r="E138" s="38">
        <v>0.03</v>
      </c>
      <c r="F138" s="35">
        <f t="shared" si="7"/>
        <v>1153.19</v>
      </c>
      <c r="G138" s="27">
        <v>39592.8</v>
      </c>
      <c r="H138" s="24">
        <v>43479</v>
      </c>
      <c r="I138" s="52">
        <v>39592.8</v>
      </c>
      <c r="J138" s="50" t="s">
        <v>23</v>
      </c>
      <c r="K138" s="53" t="s">
        <v>103</v>
      </c>
      <c r="L138" s="33" t="s">
        <v>101</v>
      </c>
      <c r="M138" s="55"/>
      <c r="N138" s="55"/>
      <c r="O138" s="54" t="s">
        <v>102</v>
      </c>
    </row>
    <row r="139" s="2" customFormat="1" ht="18" customHeight="1" spans="1:15">
      <c r="A139" s="13">
        <v>43486</v>
      </c>
      <c r="B139" s="35">
        <f t="shared" si="6"/>
        <v>258620.69</v>
      </c>
      <c r="C139" s="36"/>
      <c r="D139" s="37" t="s">
        <v>39</v>
      </c>
      <c r="E139" s="38">
        <v>0.16</v>
      </c>
      <c r="F139" s="35">
        <f t="shared" si="7"/>
        <v>41379.31</v>
      </c>
      <c r="G139" s="27">
        <f>100000*3</f>
        <v>300000</v>
      </c>
      <c r="H139" s="24"/>
      <c r="I139" s="52"/>
      <c r="J139" s="50"/>
      <c r="K139" s="53" t="s">
        <v>95</v>
      </c>
      <c r="L139" s="33" t="s">
        <v>104</v>
      </c>
      <c r="M139" s="55"/>
      <c r="N139" s="55"/>
      <c r="O139" s="54"/>
    </row>
    <row r="140" s="2" customFormat="1" ht="18" customHeight="1" spans="1:15">
      <c r="A140" s="13">
        <v>43486</v>
      </c>
      <c r="B140" s="35">
        <f t="shared" si="6"/>
        <v>76893.2</v>
      </c>
      <c r="C140" s="36"/>
      <c r="D140" s="37" t="s">
        <v>81</v>
      </c>
      <c r="E140" s="38">
        <v>0.03</v>
      </c>
      <c r="F140" s="35">
        <f t="shared" si="7"/>
        <v>2306.8</v>
      </c>
      <c r="G140" s="27">
        <v>79200</v>
      </c>
      <c r="H140" s="24">
        <v>43479</v>
      </c>
      <c r="I140" s="52">
        <v>79200</v>
      </c>
      <c r="J140" s="50" t="s">
        <v>23</v>
      </c>
      <c r="K140" s="53" t="s">
        <v>105</v>
      </c>
      <c r="L140" s="33" t="s">
        <v>106</v>
      </c>
      <c r="M140" s="55"/>
      <c r="N140" s="55"/>
      <c r="O140" s="54"/>
    </row>
    <row r="141" s="2" customFormat="1" ht="18" customHeight="1" spans="1:15">
      <c r="A141" s="13">
        <v>43486</v>
      </c>
      <c r="B141" s="35">
        <f t="shared" si="6"/>
        <v>17448.28</v>
      </c>
      <c r="C141" s="36"/>
      <c r="D141" s="37" t="s">
        <v>39</v>
      </c>
      <c r="E141" s="38">
        <v>0.16</v>
      </c>
      <c r="F141" s="35">
        <f t="shared" si="7"/>
        <v>2791.72</v>
      </c>
      <c r="G141" s="27">
        <v>20240</v>
      </c>
      <c r="H141" s="24">
        <v>43479</v>
      </c>
      <c r="I141" s="52">
        <v>20240</v>
      </c>
      <c r="J141" s="50" t="s">
        <v>23</v>
      </c>
      <c r="K141" s="53" t="s">
        <v>107</v>
      </c>
      <c r="L141" s="33" t="s">
        <v>108</v>
      </c>
      <c r="M141" s="55"/>
      <c r="N141" s="55"/>
      <c r="O141" s="54"/>
    </row>
    <row r="142" s="2" customFormat="1" ht="18" customHeight="1" spans="1:15">
      <c r="A142" s="13">
        <v>43486</v>
      </c>
      <c r="B142" s="35">
        <f t="shared" si="6"/>
        <v>3764660.19</v>
      </c>
      <c r="C142" s="36"/>
      <c r="D142" s="37" t="s">
        <v>81</v>
      </c>
      <c r="E142" s="38">
        <v>0.03</v>
      </c>
      <c r="F142" s="35">
        <f t="shared" si="7"/>
        <v>112939.81</v>
      </c>
      <c r="G142" s="27">
        <f>969400+969400+969400+969400</f>
        <v>3877600</v>
      </c>
      <c r="H142" s="24"/>
      <c r="I142" s="52"/>
      <c r="J142" s="50" t="s">
        <v>23</v>
      </c>
      <c r="K142" s="53" t="s">
        <v>109</v>
      </c>
      <c r="L142" s="33" t="s">
        <v>110</v>
      </c>
      <c r="M142" s="55" t="s">
        <v>56</v>
      </c>
      <c r="N142" s="55"/>
      <c r="O142" s="54"/>
    </row>
    <row r="143" s="2" customFormat="1" ht="18" customHeight="1" spans="1:15">
      <c r="A143" s="13"/>
      <c r="B143" s="35">
        <f t="shared" si="6"/>
        <v>0</v>
      </c>
      <c r="C143" s="36"/>
      <c r="D143" s="37"/>
      <c r="E143" s="38"/>
      <c r="F143" s="35">
        <f t="shared" si="7"/>
        <v>0</v>
      </c>
      <c r="G143" s="27"/>
      <c r="H143" s="24">
        <v>43481</v>
      </c>
      <c r="I143" s="52">
        <v>100000</v>
      </c>
      <c r="J143" s="50" t="s">
        <v>23</v>
      </c>
      <c r="K143" s="53" t="s">
        <v>66</v>
      </c>
      <c r="L143" s="33"/>
      <c r="M143" s="55"/>
      <c r="N143" s="55"/>
      <c r="O143" s="54"/>
    </row>
    <row r="144" s="5" customFormat="1" ht="18" customHeight="1" spans="1:15">
      <c r="A144" s="65">
        <v>43486</v>
      </c>
      <c r="B144" s="35">
        <f t="shared" si="6"/>
        <v>97417.48</v>
      </c>
      <c r="C144" s="66"/>
      <c r="D144" s="67" t="s">
        <v>81</v>
      </c>
      <c r="E144" s="68">
        <v>0.03</v>
      </c>
      <c r="F144" s="69">
        <f t="shared" si="7"/>
        <v>2922.52</v>
      </c>
      <c r="G144" s="70">
        <v>100340</v>
      </c>
      <c r="H144" s="65">
        <v>43481</v>
      </c>
      <c r="I144" s="52">
        <v>100340</v>
      </c>
      <c r="J144" s="79" t="s">
        <v>23</v>
      </c>
      <c r="K144" s="53" t="s">
        <v>111</v>
      </c>
      <c r="L144" s="73" t="s">
        <v>112</v>
      </c>
      <c r="M144" s="79" t="s">
        <v>56</v>
      </c>
      <c r="N144" s="79"/>
      <c r="O144" s="73"/>
    </row>
    <row r="145" s="2" customFormat="1" ht="18" customHeight="1" spans="1:15">
      <c r="A145" s="13"/>
      <c r="B145" s="35">
        <f t="shared" si="6"/>
        <v>0</v>
      </c>
      <c r="C145" s="36"/>
      <c r="D145" s="37"/>
      <c r="E145" s="38"/>
      <c r="F145" s="35">
        <f t="shared" si="7"/>
        <v>0</v>
      </c>
      <c r="G145" s="27"/>
      <c r="H145" s="24">
        <v>43481</v>
      </c>
      <c r="I145" s="52">
        <v>180000</v>
      </c>
      <c r="J145" s="50" t="s">
        <v>23</v>
      </c>
      <c r="K145" s="53" t="s">
        <v>113</v>
      </c>
      <c r="L145" s="33" t="s">
        <v>114</v>
      </c>
      <c r="M145" s="55" t="s">
        <v>56</v>
      </c>
      <c r="N145" s="55"/>
      <c r="O145" s="74" t="s">
        <v>115</v>
      </c>
    </row>
    <row r="146" s="2" customFormat="1" ht="18" customHeight="1" spans="1:15">
      <c r="A146" s="13">
        <v>43486</v>
      </c>
      <c r="B146" s="35">
        <f t="shared" si="6"/>
        <v>296117.48</v>
      </c>
      <c r="C146" s="36"/>
      <c r="D146" s="37" t="s">
        <v>39</v>
      </c>
      <c r="E146" s="38">
        <v>0.03</v>
      </c>
      <c r="F146" s="35">
        <f t="shared" si="7"/>
        <v>8883.52</v>
      </c>
      <c r="G146" s="27">
        <v>305001</v>
      </c>
      <c r="H146" s="24">
        <v>43486</v>
      </c>
      <c r="I146" s="52">
        <v>200000</v>
      </c>
      <c r="J146" s="50" t="s">
        <v>23</v>
      </c>
      <c r="K146" s="53" t="s">
        <v>66</v>
      </c>
      <c r="L146" s="33" t="s">
        <v>67</v>
      </c>
      <c r="M146" s="55" t="s">
        <v>56</v>
      </c>
      <c r="N146" s="55"/>
      <c r="O146" s="54"/>
    </row>
    <row r="147" s="2" customFormat="1" ht="18" customHeight="1" spans="1:15">
      <c r="A147" s="13"/>
      <c r="B147" s="35">
        <f t="shared" ref="B147:B210" si="8">ROUND(G147/(1+E147),2)</f>
        <v>0</v>
      </c>
      <c r="C147" s="36"/>
      <c r="D147" s="37"/>
      <c r="E147" s="38"/>
      <c r="F147" s="35">
        <f t="shared" ref="F147:F210" si="9">ROUND(G147/(1+E147)*E147,2)</f>
        <v>0</v>
      </c>
      <c r="G147" s="27"/>
      <c r="H147" s="24">
        <v>43486</v>
      </c>
      <c r="I147" s="52">
        <v>919770</v>
      </c>
      <c r="J147" s="50" t="s">
        <v>23</v>
      </c>
      <c r="K147" s="53" t="s">
        <v>98</v>
      </c>
      <c r="L147" s="33" t="s">
        <v>99</v>
      </c>
      <c r="M147" s="55"/>
      <c r="N147" s="55"/>
      <c r="O147" s="54"/>
    </row>
    <row r="148" s="2" customFormat="1" ht="18" customHeight="1" spans="1:15">
      <c r="A148" s="13"/>
      <c r="B148" s="35">
        <f t="shared" si="8"/>
        <v>0</v>
      </c>
      <c r="C148" s="36"/>
      <c r="D148" s="37"/>
      <c r="E148" s="38"/>
      <c r="F148" s="35">
        <f t="shared" si="9"/>
        <v>0</v>
      </c>
      <c r="G148" s="27"/>
      <c r="H148" s="24">
        <v>43486</v>
      </c>
      <c r="I148" s="52">
        <v>186000</v>
      </c>
      <c r="J148" s="50" t="s">
        <v>23</v>
      </c>
      <c r="K148" s="53" t="s">
        <v>89</v>
      </c>
      <c r="L148" s="33" t="s">
        <v>90</v>
      </c>
      <c r="M148" s="55"/>
      <c r="N148" s="55"/>
      <c r="O148" s="54"/>
    </row>
    <row r="149" s="2" customFormat="1" ht="18" customHeight="1" spans="1:15">
      <c r="A149" s="13"/>
      <c r="B149" s="35">
        <f t="shared" si="8"/>
        <v>0</v>
      </c>
      <c r="C149" s="36"/>
      <c r="D149" s="37"/>
      <c r="E149" s="38"/>
      <c r="F149" s="35">
        <f t="shared" si="9"/>
        <v>0</v>
      </c>
      <c r="G149" s="27"/>
      <c r="H149" s="24">
        <v>43486</v>
      </c>
      <c r="I149" s="52">
        <v>772379.4</v>
      </c>
      <c r="J149" s="50" t="s">
        <v>23</v>
      </c>
      <c r="K149" s="53" t="s">
        <v>76</v>
      </c>
      <c r="L149" s="33" t="s">
        <v>88</v>
      </c>
      <c r="M149" s="55"/>
      <c r="N149" s="55"/>
      <c r="O149" s="54"/>
    </row>
    <row r="150" s="2" customFormat="1" ht="18" customHeight="1" spans="1:15">
      <c r="A150" s="13"/>
      <c r="B150" s="35">
        <f t="shared" si="8"/>
        <v>0</v>
      </c>
      <c r="C150" s="36"/>
      <c r="D150" s="37"/>
      <c r="E150" s="38"/>
      <c r="F150" s="35">
        <f t="shared" si="9"/>
        <v>0</v>
      </c>
      <c r="G150" s="27"/>
      <c r="H150" s="24">
        <v>43487</v>
      </c>
      <c r="I150" s="52">
        <v>3877600</v>
      </c>
      <c r="J150" s="50" t="s">
        <v>23</v>
      </c>
      <c r="K150" s="53" t="s">
        <v>109</v>
      </c>
      <c r="L150" s="72" t="s">
        <v>110</v>
      </c>
      <c r="M150" s="55" t="s">
        <v>56</v>
      </c>
      <c r="N150" s="55"/>
      <c r="O150" s="54"/>
    </row>
    <row r="151" s="2" customFormat="1" ht="18" customHeight="1" spans="1:15">
      <c r="A151" s="13"/>
      <c r="B151" s="35">
        <f t="shared" si="8"/>
        <v>0</v>
      </c>
      <c r="C151" s="36"/>
      <c r="D151" s="37"/>
      <c r="E151" s="38"/>
      <c r="F151" s="35">
        <f t="shared" si="9"/>
        <v>0</v>
      </c>
      <c r="G151" s="27"/>
      <c r="H151" s="24">
        <v>43488</v>
      </c>
      <c r="I151" s="52">
        <v>3700000</v>
      </c>
      <c r="J151" s="50" t="s">
        <v>23</v>
      </c>
      <c r="K151" s="53" t="s">
        <v>44</v>
      </c>
      <c r="L151" s="72" t="s">
        <v>116</v>
      </c>
      <c r="M151" s="55"/>
      <c r="N151" s="55"/>
      <c r="O151" s="54"/>
    </row>
    <row r="152" s="2" customFormat="1" ht="18" customHeight="1" spans="1:15">
      <c r="A152" s="13"/>
      <c r="B152" s="35">
        <f t="shared" si="8"/>
        <v>0</v>
      </c>
      <c r="C152" s="36"/>
      <c r="D152" s="37"/>
      <c r="E152" s="38"/>
      <c r="F152" s="35">
        <f t="shared" si="9"/>
        <v>0</v>
      </c>
      <c r="G152" s="27"/>
      <c r="H152" s="24">
        <v>43495</v>
      </c>
      <c r="I152" s="52">
        <v>200000</v>
      </c>
      <c r="J152" s="50" t="s">
        <v>23</v>
      </c>
      <c r="K152" s="53" t="s">
        <v>61</v>
      </c>
      <c r="L152" s="72" t="s">
        <v>62</v>
      </c>
      <c r="M152" s="55"/>
      <c r="N152" s="55"/>
      <c r="O152" s="54"/>
    </row>
    <row r="153" s="2" customFormat="1" ht="18" customHeight="1" spans="1:15">
      <c r="A153" s="13">
        <v>43516</v>
      </c>
      <c r="B153" s="35">
        <f t="shared" si="8"/>
        <v>172413.79</v>
      </c>
      <c r="C153" s="36"/>
      <c r="D153" s="37" t="s">
        <v>39</v>
      </c>
      <c r="E153" s="38">
        <v>0.16</v>
      </c>
      <c r="F153" s="35">
        <f t="shared" si="9"/>
        <v>27586.21</v>
      </c>
      <c r="G153" s="27">
        <v>200000</v>
      </c>
      <c r="H153" s="24">
        <v>43528</v>
      </c>
      <c r="I153" s="52">
        <v>200000</v>
      </c>
      <c r="J153" s="50" t="s">
        <v>23</v>
      </c>
      <c r="K153" s="53" t="s">
        <v>61</v>
      </c>
      <c r="L153" s="72" t="s">
        <v>62</v>
      </c>
      <c r="M153" s="55"/>
      <c r="N153" s="55"/>
      <c r="O153" s="54"/>
    </row>
    <row r="154" s="2" customFormat="1" ht="18" customHeight="1" spans="1:15">
      <c r="A154" s="13"/>
      <c r="B154" s="35">
        <f t="shared" si="8"/>
        <v>0</v>
      </c>
      <c r="C154" s="36"/>
      <c r="D154" s="37"/>
      <c r="E154" s="38"/>
      <c r="F154" s="35">
        <f t="shared" si="9"/>
        <v>0</v>
      </c>
      <c r="G154" s="27"/>
      <c r="H154" s="24">
        <v>43528</v>
      </c>
      <c r="I154" s="52">
        <v>200000</v>
      </c>
      <c r="J154" s="50" t="s">
        <v>23</v>
      </c>
      <c r="K154" s="53" t="s">
        <v>66</v>
      </c>
      <c r="L154" s="72" t="s">
        <v>97</v>
      </c>
      <c r="M154" s="55" t="s">
        <v>56</v>
      </c>
      <c r="N154" s="55"/>
      <c r="O154" s="54"/>
    </row>
    <row r="155" s="2" customFormat="1" ht="18" customHeight="1" spans="1:15">
      <c r="A155" s="13"/>
      <c r="B155" s="35">
        <f t="shared" si="8"/>
        <v>0</v>
      </c>
      <c r="C155" s="36"/>
      <c r="D155" s="37"/>
      <c r="E155" s="38"/>
      <c r="F155" s="35">
        <f t="shared" si="9"/>
        <v>0</v>
      </c>
      <c r="G155" s="27"/>
      <c r="H155" s="24">
        <v>43528</v>
      </c>
      <c r="I155" s="52">
        <v>100000</v>
      </c>
      <c r="J155" s="50" t="s">
        <v>23</v>
      </c>
      <c r="K155" s="53" t="s">
        <v>117</v>
      </c>
      <c r="L155" s="72" t="s">
        <v>118</v>
      </c>
      <c r="M155" s="55"/>
      <c r="N155" s="55"/>
      <c r="O155" s="54"/>
    </row>
    <row r="156" s="2" customFormat="1" ht="18" customHeight="1" spans="1:15">
      <c r="A156" s="13"/>
      <c r="B156" s="35">
        <f t="shared" si="8"/>
        <v>0</v>
      </c>
      <c r="C156" s="36"/>
      <c r="D156" s="37"/>
      <c r="E156" s="38"/>
      <c r="F156" s="35">
        <f t="shared" si="9"/>
        <v>0</v>
      </c>
      <c r="G156" s="27"/>
      <c r="H156" s="24">
        <v>43532</v>
      </c>
      <c r="I156" s="52">
        <v>100000</v>
      </c>
      <c r="J156" s="50" t="s">
        <v>23</v>
      </c>
      <c r="K156" s="53" t="s">
        <v>119</v>
      </c>
      <c r="L156" s="71" t="s">
        <v>62</v>
      </c>
      <c r="M156" s="55"/>
      <c r="N156" s="55"/>
      <c r="O156" s="54"/>
    </row>
    <row r="157" s="2" customFormat="1" ht="18" customHeight="1" spans="1:15">
      <c r="A157" s="13"/>
      <c r="B157" s="35">
        <f t="shared" si="8"/>
        <v>0</v>
      </c>
      <c r="C157" s="36"/>
      <c r="D157" s="37"/>
      <c r="E157" s="38"/>
      <c r="F157" s="35">
        <f t="shared" si="9"/>
        <v>0</v>
      </c>
      <c r="G157" s="27"/>
      <c r="H157" s="24">
        <v>43536</v>
      </c>
      <c r="I157" s="52">
        <v>230000</v>
      </c>
      <c r="J157" s="50" t="s">
        <v>23</v>
      </c>
      <c r="K157" s="53" t="s">
        <v>61</v>
      </c>
      <c r="L157" s="71" t="s">
        <v>62</v>
      </c>
      <c r="M157" s="55"/>
      <c r="N157" s="55"/>
      <c r="O157" s="54"/>
    </row>
    <row r="158" s="2" customFormat="1" ht="18" customHeight="1" spans="1:15">
      <c r="A158" s="13"/>
      <c r="B158" s="35">
        <f t="shared" si="8"/>
        <v>0</v>
      </c>
      <c r="C158" s="36"/>
      <c r="D158" s="37"/>
      <c r="E158" s="38"/>
      <c r="F158" s="35">
        <f t="shared" si="9"/>
        <v>0</v>
      </c>
      <c r="G158" s="27"/>
      <c r="H158" s="24">
        <v>43536</v>
      </c>
      <c r="I158" s="52">
        <v>-595000</v>
      </c>
      <c r="J158" s="50" t="s">
        <v>23</v>
      </c>
      <c r="K158" s="53" t="s">
        <v>44</v>
      </c>
      <c r="L158" s="71" t="s">
        <v>120</v>
      </c>
      <c r="M158" s="55"/>
      <c r="N158" s="55"/>
      <c r="O158" s="54"/>
    </row>
    <row r="159" s="2" customFormat="1" ht="18" customHeight="1" spans="1:15">
      <c r="A159" s="13"/>
      <c r="B159" s="35">
        <f t="shared" si="8"/>
        <v>0</v>
      </c>
      <c r="C159" s="36"/>
      <c r="D159" s="37"/>
      <c r="E159" s="38"/>
      <c r="F159" s="35">
        <f t="shared" si="9"/>
        <v>0</v>
      </c>
      <c r="G159" s="27"/>
      <c r="H159" s="24">
        <v>43536</v>
      </c>
      <c r="I159" s="52">
        <v>200000</v>
      </c>
      <c r="J159" s="50" t="s">
        <v>23</v>
      </c>
      <c r="K159" s="53" t="s">
        <v>117</v>
      </c>
      <c r="L159" s="71" t="s">
        <v>118</v>
      </c>
      <c r="M159" s="55"/>
      <c r="N159" s="55"/>
      <c r="O159" s="54"/>
    </row>
    <row r="160" s="2" customFormat="1" ht="18" customHeight="1" spans="1:15">
      <c r="A160" s="13">
        <v>43549</v>
      </c>
      <c r="B160" s="35">
        <f t="shared" si="8"/>
        <v>868931.6</v>
      </c>
      <c r="C160" s="36"/>
      <c r="D160" s="37" t="s">
        <v>39</v>
      </c>
      <c r="E160" s="38">
        <v>0.03</v>
      </c>
      <c r="F160" s="35">
        <f t="shared" si="9"/>
        <v>26067.95</v>
      </c>
      <c r="G160" s="27">
        <v>894999.55</v>
      </c>
      <c r="H160" s="24">
        <v>43536</v>
      </c>
      <c r="I160" s="52">
        <v>395000</v>
      </c>
      <c r="J160" s="50" t="s">
        <v>23</v>
      </c>
      <c r="K160" s="53" t="s">
        <v>66</v>
      </c>
      <c r="L160" s="72" t="s">
        <v>121</v>
      </c>
      <c r="M160" s="55" t="s">
        <v>56</v>
      </c>
      <c r="N160" s="55"/>
      <c r="O160" s="54"/>
    </row>
    <row r="161" s="2" customFormat="1" ht="18" customHeight="1" spans="1:15">
      <c r="A161" s="13"/>
      <c r="B161" s="35">
        <f t="shared" si="8"/>
        <v>0</v>
      </c>
      <c r="C161" s="36"/>
      <c r="D161" s="37"/>
      <c r="E161" s="38"/>
      <c r="F161" s="35">
        <f t="shared" si="9"/>
        <v>0</v>
      </c>
      <c r="G161" s="27"/>
      <c r="H161" s="24">
        <v>43537</v>
      </c>
      <c r="I161" s="52">
        <v>-200000</v>
      </c>
      <c r="J161" s="50" t="s">
        <v>23</v>
      </c>
      <c r="K161" s="53" t="s">
        <v>44</v>
      </c>
      <c r="L161" s="71" t="s">
        <v>120</v>
      </c>
      <c r="M161" s="55"/>
      <c r="N161" s="55"/>
      <c r="O161" s="54"/>
    </row>
    <row r="162" s="2" customFormat="1" ht="18" customHeight="1" spans="1:15">
      <c r="A162" s="13"/>
      <c r="B162" s="35">
        <f t="shared" si="8"/>
        <v>0</v>
      </c>
      <c r="C162" s="36"/>
      <c r="D162" s="37"/>
      <c r="E162" s="38"/>
      <c r="F162" s="35">
        <f t="shared" si="9"/>
        <v>0</v>
      </c>
      <c r="G162" s="27"/>
      <c r="H162" s="24">
        <v>43537</v>
      </c>
      <c r="I162" s="52">
        <v>200000</v>
      </c>
      <c r="J162" s="50" t="s">
        <v>23</v>
      </c>
      <c r="K162" s="53" t="s">
        <v>119</v>
      </c>
      <c r="L162" s="71" t="s">
        <v>62</v>
      </c>
      <c r="M162" s="55"/>
      <c r="N162" s="55"/>
      <c r="O162" s="54"/>
    </row>
    <row r="163" s="2" customFormat="1" ht="18" customHeight="1" spans="1:15">
      <c r="A163" s="13">
        <v>43583</v>
      </c>
      <c r="B163" s="35">
        <f t="shared" si="8"/>
        <v>291261.17</v>
      </c>
      <c r="C163" s="36"/>
      <c r="D163" s="37" t="s">
        <v>39</v>
      </c>
      <c r="E163" s="38">
        <v>0.03</v>
      </c>
      <c r="F163" s="35">
        <f t="shared" si="9"/>
        <v>8737.84</v>
      </c>
      <c r="G163" s="27">
        <v>299999.01</v>
      </c>
      <c r="H163" s="24">
        <v>43546</v>
      </c>
      <c r="I163" s="52">
        <v>300000</v>
      </c>
      <c r="J163" s="50" t="s">
        <v>23</v>
      </c>
      <c r="K163" s="53" t="s">
        <v>66</v>
      </c>
      <c r="L163" s="71" t="s">
        <v>122</v>
      </c>
      <c r="M163" s="55" t="s">
        <v>56</v>
      </c>
      <c r="N163" s="55"/>
      <c r="O163" s="63"/>
    </row>
    <row r="164" s="2" customFormat="1" ht="18" customHeight="1" spans="1:15">
      <c r="A164" s="13"/>
      <c r="B164" s="35">
        <f t="shared" si="8"/>
        <v>0</v>
      </c>
      <c r="C164" s="36"/>
      <c r="D164" s="37"/>
      <c r="E164" s="38"/>
      <c r="F164" s="35">
        <f t="shared" si="9"/>
        <v>0</v>
      </c>
      <c r="G164" s="27"/>
      <c r="H164" s="24">
        <v>43543</v>
      </c>
      <c r="I164" s="26">
        <v>-300000</v>
      </c>
      <c r="J164" s="50" t="s">
        <v>23</v>
      </c>
      <c r="K164" s="53" t="s">
        <v>44</v>
      </c>
      <c r="L164" s="71" t="s">
        <v>120</v>
      </c>
      <c r="M164" s="55"/>
      <c r="N164" s="55"/>
      <c r="O164" s="54"/>
    </row>
    <row r="165" s="2" customFormat="1" ht="18" customHeight="1" spans="1:15">
      <c r="A165" s="13"/>
      <c r="B165" s="35">
        <f t="shared" si="8"/>
        <v>0</v>
      </c>
      <c r="C165" s="36"/>
      <c r="D165" s="37"/>
      <c r="E165" s="38"/>
      <c r="F165" s="35">
        <f t="shared" si="9"/>
        <v>0</v>
      </c>
      <c r="G165" s="27"/>
      <c r="H165" s="24">
        <v>43545</v>
      </c>
      <c r="I165" s="52">
        <v>300000</v>
      </c>
      <c r="J165" s="50" t="s">
        <v>23</v>
      </c>
      <c r="K165" s="53" t="s">
        <v>119</v>
      </c>
      <c r="L165" s="71" t="s">
        <v>62</v>
      </c>
      <c r="M165" s="55"/>
      <c r="N165" s="55"/>
      <c r="O165" s="54"/>
    </row>
    <row r="166" s="2" customFormat="1" ht="18" customHeight="1" spans="1:15">
      <c r="A166" s="13"/>
      <c r="B166" s="35">
        <f t="shared" si="8"/>
        <v>0</v>
      </c>
      <c r="C166" s="36"/>
      <c r="D166" s="37"/>
      <c r="E166" s="38"/>
      <c r="F166" s="35">
        <f t="shared" si="9"/>
        <v>0</v>
      </c>
      <c r="G166" s="27"/>
      <c r="H166" s="24">
        <v>43545</v>
      </c>
      <c r="I166" s="26">
        <v>-300000</v>
      </c>
      <c r="J166" s="50" t="s">
        <v>23</v>
      </c>
      <c r="K166" s="53" t="s">
        <v>44</v>
      </c>
      <c r="L166" s="71" t="s">
        <v>120</v>
      </c>
      <c r="M166" s="55"/>
      <c r="N166" s="55"/>
      <c r="O166" s="54"/>
    </row>
    <row r="167" s="2" customFormat="1" ht="18" customHeight="1" spans="1:15">
      <c r="A167" s="13">
        <v>43577</v>
      </c>
      <c r="B167" s="35">
        <f t="shared" si="8"/>
        <v>671763.62</v>
      </c>
      <c r="C167" s="36"/>
      <c r="D167" s="37" t="s">
        <v>39</v>
      </c>
      <c r="E167" s="38">
        <v>0.16</v>
      </c>
      <c r="F167" s="35">
        <f t="shared" si="9"/>
        <v>107482.18</v>
      </c>
      <c r="G167" s="27">
        <f>111325.8+111320*6</f>
        <v>779245.8</v>
      </c>
      <c r="H167" s="24">
        <v>43552</v>
      </c>
      <c r="I167" s="52">
        <v>300000</v>
      </c>
      <c r="J167" s="50" t="s">
        <v>23</v>
      </c>
      <c r="K167" s="53" t="s">
        <v>119</v>
      </c>
      <c r="L167" s="71" t="s">
        <v>123</v>
      </c>
      <c r="M167" s="55"/>
      <c r="N167" s="55"/>
      <c r="O167" s="54"/>
    </row>
    <row r="168" s="2" customFormat="1" ht="18" customHeight="1" spans="1:15">
      <c r="A168" s="13">
        <v>43525</v>
      </c>
      <c r="B168" s="35">
        <f t="shared" si="8"/>
        <v>299130.58</v>
      </c>
      <c r="C168" s="36"/>
      <c r="D168" s="37" t="s">
        <v>39</v>
      </c>
      <c r="E168" s="38">
        <v>0.03</v>
      </c>
      <c r="F168" s="35">
        <f t="shared" si="9"/>
        <v>8973.92</v>
      </c>
      <c r="G168" s="27">
        <f>102680+102439.02+102985.48</f>
        <v>308104.5</v>
      </c>
      <c r="H168" s="24">
        <v>43552</v>
      </c>
      <c r="I168" s="52">
        <v>300000</v>
      </c>
      <c r="J168" s="50" t="s">
        <v>23</v>
      </c>
      <c r="K168" s="53" t="s">
        <v>117</v>
      </c>
      <c r="L168" s="71" t="s">
        <v>118</v>
      </c>
      <c r="M168" s="55" t="s">
        <v>56</v>
      </c>
      <c r="N168" s="55" t="s">
        <v>56</v>
      </c>
      <c r="O168" s="54"/>
    </row>
    <row r="169" s="2" customFormat="1" ht="18" customHeight="1" spans="1:15">
      <c r="A169" s="13"/>
      <c r="B169" s="35">
        <f t="shared" si="8"/>
        <v>0</v>
      </c>
      <c r="C169" s="36"/>
      <c r="D169" s="37"/>
      <c r="E169" s="38"/>
      <c r="F169" s="35">
        <f t="shared" si="9"/>
        <v>0</v>
      </c>
      <c r="G169" s="27"/>
      <c r="H169" s="24">
        <v>43552</v>
      </c>
      <c r="I169" s="52">
        <v>-600000</v>
      </c>
      <c r="J169" s="50" t="s">
        <v>23</v>
      </c>
      <c r="K169" s="53" t="s">
        <v>44</v>
      </c>
      <c r="L169" s="71"/>
      <c r="M169" s="55"/>
      <c r="N169" s="55"/>
      <c r="O169" s="54"/>
    </row>
    <row r="170" s="2" customFormat="1" ht="18" customHeight="1" spans="1:15">
      <c r="A170" s="13">
        <v>43570</v>
      </c>
      <c r="B170" s="35">
        <f t="shared" si="8"/>
        <v>730601.34</v>
      </c>
      <c r="C170" s="36"/>
      <c r="D170" s="37" t="s">
        <v>39</v>
      </c>
      <c r="E170" s="38">
        <v>0.03</v>
      </c>
      <c r="F170" s="35">
        <f t="shared" si="9"/>
        <v>21918.04</v>
      </c>
      <c r="G170" s="27">
        <f>102950*3+99226.42+100800+60543.96+102600+80499</f>
        <v>752519.38</v>
      </c>
      <c r="H170" s="24">
        <v>43558</v>
      </c>
      <c r="I170" s="52">
        <v>300000</v>
      </c>
      <c r="J170" s="50" t="s">
        <v>23</v>
      </c>
      <c r="K170" s="53" t="s">
        <v>117</v>
      </c>
      <c r="L170" s="72" t="s">
        <v>124</v>
      </c>
      <c r="M170" s="55" t="s">
        <v>56</v>
      </c>
      <c r="N170" s="55" t="s">
        <v>56</v>
      </c>
      <c r="O170" s="54"/>
    </row>
    <row r="171" s="2" customFormat="1" ht="18" customHeight="1" spans="1:15">
      <c r="A171" s="13"/>
      <c r="B171" s="35">
        <f t="shared" si="8"/>
        <v>0</v>
      </c>
      <c r="C171" s="36"/>
      <c r="D171" s="37"/>
      <c r="E171" s="38"/>
      <c r="F171" s="35">
        <f t="shared" si="9"/>
        <v>0</v>
      </c>
      <c r="G171" s="27"/>
      <c r="H171" s="24">
        <v>43558</v>
      </c>
      <c r="I171" s="52">
        <v>-300000</v>
      </c>
      <c r="J171" s="50" t="s">
        <v>23</v>
      </c>
      <c r="K171" s="53" t="s">
        <v>44</v>
      </c>
      <c r="L171" s="71"/>
      <c r="M171" s="55"/>
      <c r="N171" s="55"/>
      <c r="O171" s="54"/>
    </row>
    <row r="172" s="2" customFormat="1" ht="18" customHeight="1" spans="1:15">
      <c r="A172" s="13">
        <v>43592</v>
      </c>
      <c r="B172" s="35">
        <f t="shared" si="8"/>
        <v>833538.05</v>
      </c>
      <c r="C172" s="36"/>
      <c r="D172" s="37" t="s">
        <v>39</v>
      </c>
      <c r="E172" s="38">
        <v>0.13</v>
      </c>
      <c r="F172" s="35">
        <f t="shared" si="9"/>
        <v>108359.95</v>
      </c>
      <c r="G172" s="27">
        <f>104655*8+104658</f>
        <v>941898</v>
      </c>
      <c r="H172" s="24">
        <v>43566</v>
      </c>
      <c r="I172" s="52">
        <v>500000</v>
      </c>
      <c r="J172" s="50" t="s">
        <v>23</v>
      </c>
      <c r="K172" s="53" t="s">
        <v>119</v>
      </c>
      <c r="L172" s="71" t="s">
        <v>125</v>
      </c>
      <c r="M172" s="55"/>
      <c r="N172" s="55"/>
      <c r="O172" s="54"/>
    </row>
    <row r="173" s="2" customFormat="1" ht="18" customHeight="1" spans="1:15">
      <c r="A173" s="13"/>
      <c r="B173" s="35">
        <f t="shared" si="8"/>
        <v>0</v>
      </c>
      <c r="C173" s="36"/>
      <c r="D173" s="37"/>
      <c r="E173" s="38"/>
      <c r="F173" s="35">
        <f t="shared" si="9"/>
        <v>0</v>
      </c>
      <c r="G173" s="27"/>
      <c r="H173" s="24">
        <v>43566</v>
      </c>
      <c r="I173" s="52">
        <v>-500000</v>
      </c>
      <c r="J173" s="50" t="s">
        <v>23</v>
      </c>
      <c r="K173" s="53" t="s">
        <v>44</v>
      </c>
      <c r="L173" s="71"/>
      <c r="M173" s="55"/>
      <c r="N173" s="55"/>
      <c r="O173" s="54"/>
    </row>
    <row r="174" s="2" customFormat="1" ht="18" customHeight="1" spans="1:15">
      <c r="A174" s="13"/>
      <c r="B174" s="35">
        <f t="shared" si="8"/>
        <v>0</v>
      </c>
      <c r="C174" s="36"/>
      <c r="D174" s="37"/>
      <c r="E174" s="38"/>
      <c r="F174" s="35">
        <f t="shared" si="9"/>
        <v>0</v>
      </c>
      <c r="G174" s="27"/>
      <c r="H174" s="24">
        <v>43566</v>
      </c>
      <c r="I174" s="52">
        <v>300000</v>
      </c>
      <c r="J174" s="50" t="s">
        <v>23</v>
      </c>
      <c r="K174" s="53" t="s">
        <v>126</v>
      </c>
      <c r="L174" s="71" t="s">
        <v>127</v>
      </c>
      <c r="M174" s="55"/>
      <c r="N174" s="55"/>
      <c r="O174" s="54"/>
    </row>
    <row r="175" s="2" customFormat="1" ht="18" customHeight="1" spans="1:15">
      <c r="A175" s="13"/>
      <c r="B175" s="35">
        <f t="shared" si="8"/>
        <v>0</v>
      </c>
      <c r="C175" s="36"/>
      <c r="D175" s="37"/>
      <c r="E175" s="38"/>
      <c r="F175" s="35">
        <f t="shared" si="9"/>
        <v>0</v>
      </c>
      <c r="G175" s="27"/>
      <c r="H175" s="24">
        <v>43566</v>
      </c>
      <c r="I175" s="52">
        <v>-300000</v>
      </c>
      <c r="J175" s="50" t="s">
        <v>23</v>
      </c>
      <c r="K175" s="53" t="s">
        <v>44</v>
      </c>
      <c r="L175" s="72"/>
      <c r="M175" s="55"/>
      <c r="N175" s="55"/>
      <c r="O175" s="54"/>
    </row>
    <row r="176" s="2" customFormat="1" ht="18" customHeight="1" spans="1:15">
      <c r="A176" s="13">
        <v>43570</v>
      </c>
      <c r="B176" s="35">
        <f t="shared" si="8"/>
        <v>380530.97</v>
      </c>
      <c r="C176" s="36"/>
      <c r="D176" s="37" t="s">
        <v>39</v>
      </c>
      <c r="E176" s="38">
        <v>0.13</v>
      </c>
      <c r="F176" s="35">
        <f t="shared" si="9"/>
        <v>49469.03</v>
      </c>
      <c r="G176" s="27">
        <v>430000</v>
      </c>
      <c r="H176" s="24"/>
      <c r="I176" s="52"/>
      <c r="J176" s="50"/>
      <c r="K176" s="53" t="s">
        <v>61</v>
      </c>
      <c r="L176" s="72" t="s">
        <v>128</v>
      </c>
      <c r="M176" s="50" t="s">
        <v>56</v>
      </c>
      <c r="N176" s="50" t="s">
        <v>129</v>
      </c>
      <c r="O176" s="54"/>
    </row>
    <row r="177" s="1" customFormat="1" ht="18" customHeight="1" spans="1:15">
      <c r="A177" s="24">
        <v>43556</v>
      </c>
      <c r="B177" s="35">
        <f t="shared" si="8"/>
        <v>2774311.93</v>
      </c>
      <c r="C177" s="75"/>
      <c r="D177" s="76" t="s">
        <v>39</v>
      </c>
      <c r="E177" s="77">
        <v>0.09</v>
      </c>
      <c r="F177" s="35">
        <f t="shared" si="9"/>
        <v>249688.07</v>
      </c>
      <c r="G177" s="78">
        <f>1008000*3</f>
        <v>3024000</v>
      </c>
      <c r="H177" s="24">
        <v>43591</v>
      </c>
      <c r="I177" s="52">
        <v>2500000</v>
      </c>
      <c r="J177" s="50" t="s">
        <v>23</v>
      </c>
      <c r="K177" s="53" t="s">
        <v>126</v>
      </c>
      <c r="L177" s="72" t="s">
        <v>130</v>
      </c>
      <c r="M177" s="50" t="s">
        <v>56</v>
      </c>
      <c r="N177" s="50"/>
      <c r="O177" s="33"/>
    </row>
    <row r="178" s="2" customFormat="1" ht="18" customHeight="1" spans="1:15">
      <c r="A178" s="13">
        <v>43583</v>
      </c>
      <c r="B178" s="35">
        <f t="shared" si="8"/>
        <v>332690.29</v>
      </c>
      <c r="C178" s="36"/>
      <c r="D178" s="37" t="s">
        <v>39</v>
      </c>
      <c r="E178" s="38">
        <v>0.03</v>
      </c>
      <c r="F178" s="35">
        <f t="shared" si="9"/>
        <v>9980.71</v>
      </c>
      <c r="G178" s="27">
        <v>342671</v>
      </c>
      <c r="H178" s="24"/>
      <c r="I178" s="52"/>
      <c r="J178" s="50"/>
      <c r="K178" s="53" t="s">
        <v>57</v>
      </c>
      <c r="L178" s="72" t="s">
        <v>91</v>
      </c>
      <c r="M178" s="55" t="s">
        <v>56</v>
      </c>
      <c r="N178" s="55" t="s">
        <v>92</v>
      </c>
      <c r="O178" s="54" t="s">
        <v>93</v>
      </c>
    </row>
    <row r="179" s="2" customFormat="1" ht="18" customHeight="1" spans="1:15">
      <c r="A179" s="13">
        <v>43595</v>
      </c>
      <c r="B179" s="35">
        <f t="shared" si="8"/>
        <v>790026.18</v>
      </c>
      <c r="C179" s="36"/>
      <c r="D179" s="76" t="s">
        <v>39</v>
      </c>
      <c r="E179" s="38">
        <v>0.03</v>
      </c>
      <c r="F179" s="35">
        <f t="shared" si="9"/>
        <v>23700.79</v>
      </c>
      <c r="G179" s="27">
        <f>102960+102960+102960+102960+102987.8+92947.97+102960+102991.2</f>
        <v>813726.97</v>
      </c>
      <c r="H179" s="24">
        <v>43591</v>
      </c>
      <c r="I179" s="52">
        <v>500000</v>
      </c>
      <c r="J179" s="50" t="s">
        <v>23</v>
      </c>
      <c r="K179" s="53" t="s">
        <v>117</v>
      </c>
      <c r="L179" s="72" t="s">
        <v>131</v>
      </c>
      <c r="M179" s="55" t="s">
        <v>56</v>
      </c>
      <c r="N179" s="55" t="s">
        <v>132</v>
      </c>
      <c r="O179" s="54"/>
    </row>
    <row r="180" s="2" customFormat="1" ht="18" customHeight="1" spans="1:15">
      <c r="A180" s="13">
        <v>43595</v>
      </c>
      <c r="B180" s="35">
        <f t="shared" si="8"/>
        <v>376313.27</v>
      </c>
      <c r="C180" s="36"/>
      <c r="D180" s="37" t="s">
        <v>39</v>
      </c>
      <c r="E180" s="38">
        <v>0.09</v>
      </c>
      <c r="F180" s="35">
        <f t="shared" si="9"/>
        <v>33868.19</v>
      </c>
      <c r="G180" s="27">
        <f>102983.73+98325.25+100256.63+108615.85</f>
        <v>410181.46</v>
      </c>
      <c r="H180" s="24">
        <v>43592</v>
      </c>
      <c r="I180" s="52">
        <v>410181.46</v>
      </c>
      <c r="J180" s="50" t="s">
        <v>23</v>
      </c>
      <c r="K180" s="53" t="s">
        <v>107</v>
      </c>
      <c r="L180" s="71" t="s">
        <v>134</v>
      </c>
      <c r="M180" s="55" t="s">
        <v>56</v>
      </c>
      <c r="N180" s="55" t="s">
        <v>56</v>
      </c>
      <c r="O180" s="54"/>
    </row>
    <row r="181" s="2" customFormat="1" ht="18" customHeight="1" spans="1:15">
      <c r="A181" s="13"/>
      <c r="B181" s="35">
        <f t="shared" si="8"/>
        <v>0</v>
      </c>
      <c r="C181" s="36"/>
      <c r="D181" s="37"/>
      <c r="E181" s="38"/>
      <c r="F181" s="35">
        <f t="shared" si="9"/>
        <v>0</v>
      </c>
      <c r="G181" s="27"/>
      <c r="H181" s="24">
        <v>43592</v>
      </c>
      <c r="I181" s="52">
        <v>321143.8</v>
      </c>
      <c r="J181" s="50" t="s">
        <v>23</v>
      </c>
      <c r="K181" s="53" t="s">
        <v>119</v>
      </c>
      <c r="L181" s="71" t="s">
        <v>62</v>
      </c>
      <c r="M181" s="55"/>
      <c r="N181" s="55"/>
      <c r="O181" s="54"/>
    </row>
    <row r="182" s="2" customFormat="1" ht="18" customHeight="1" spans="1:15">
      <c r="A182" s="13"/>
      <c r="B182" s="35">
        <f t="shared" si="8"/>
        <v>0</v>
      </c>
      <c r="C182" s="36"/>
      <c r="D182" s="37"/>
      <c r="E182" s="38"/>
      <c r="F182" s="35">
        <f t="shared" si="9"/>
        <v>0</v>
      </c>
      <c r="G182" s="27"/>
      <c r="H182" s="24">
        <v>43592</v>
      </c>
      <c r="I182" s="52">
        <v>500000</v>
      </c>
      <c r="J182" s="50" t="s">
        <v>23</v>
      </c>
      <c r="K182" s="53" t="s">
        <v>135</v>
      </c>
      <c r="L182" s="71" t="s">
        <v>136</v>
      </c>
      <c r="M182" s="55"/>
      <c r="N182" s="55"/>
      <c r="O182" s="54"/>
    </row>
    <row r="183" s="2" customFormat="1" ht="18" customHeight="1" spans="1:15">
      <c r="A183" s="13">
        <v>43598</v>
      </c>
      <c r="B183" s="35">
        <f t="shared" si="8"/>
        <v>2180582.52</v>
      </c>
      <c r="C183" s="36"/>
      <c r="D183" s="37" t="s">
        <v>39</v>
      </c>
      <c r="E183" s="38">
        <v>0.03</v>
      </c>
      <c r="F183" s="35">
        <f t="shared" si="9"/>
        <v>65417.48</v>
      </c>
      <c r="G183" s="27">
        <f>90000*6+96000*10+100000*4+96000+72000+98000+80000</f>
        <v>2246000</v>
      </c>
      <c r="H183" s="24">
        <v>43593</v>
      </c>
      <c r="I183" s="52">
        <v>1000000</v>
      </c>
      <c r="J183" s="50" t="s">
        <v>23</v>
      </c>
      <c r="K183" s="53" t="s">
        <v>137</v>
      </c>
      <c r="L183" s="72" t="s">
        <v>90</v>
      </c>
      <c r="M183" s="55" t="s">
        <v>56</v>
      </c>
      <c r="N183" s="55" t="s">
        <v>56</v>
      </c>
      <c r="O183" s="54"/>
    </row>
    <row r="184" s="2" customFormat="1" ht="18" customHeight="1" spans="1:15">
      <c r="A184" s="13"/>
      <c r="B184" s="35">
        <f t="shared" si="8"/>
        <v>0</v>
      </c>
      <c r="C184" s="36"/>
      <c r="D184" s="37"/>
      <c r="E184" s="38"/>
      <c r="F184" s="35">
        <f t="shared" si="9"/>
        <v>0</v>
      </c>
      <c r="G184" s="27"/>
      <c r="H184" s="24">
        <v>43595</v>
      </c>
      <c r="I184" s="52">
        <v>300000</v>
      </c>
      <c r="J184" s="50" t="s">
        <v>23</v>
      </c>
      <c r="K184" s="53" t="s">
        <v>61</v>
      </c>
      <c r="L184" s="72" t="s">
        <v>138</v>
      </c>
      <c r="M184" s="50" t="s">
        <v>56</v>
      </c>
      <c r="N184" s="55"/>
      <c r="O184" s="54"/>
    </row>
    <row r="185" s="2" customFormat="1" ht="18" customHeight="1" spans="1:19">
      <c r="A185" s="13">
        <v>43598</v>
      </c>
      <c r="B185" s="35">
        <f t="shared" si="8"/>
        <v>538287.38</v>
      </c>
      <c r="C185" s="36"/>
      <c r="D185" s="37" t="s">
        <v>39</v>
      </c>
      <c r="E185" s="38">
        <v>0.03</v>
      </c>
      <c r="F185" s="35">
        <f t="shared" si="9"/>
        <v>16148.62</v>
      </c>
      <c r="G185" s="27">
        <v>554436</v>
      </c>
      <c r="H185" s="24">
        <v>43595</v>
      </c>
      <c r="I185" s="52">
        <v>554436</v>
      </c>
      <c r="J185" s="50" t="s">
        <v>23</v>
      </c>
      <c r="K185" s="53" t="s">
        <v>126</v>
      </c>
      <c r="L185" s="72" t="s">
        <v>130</v>
      </c>
      <c r="M185" s="55" t="s">
        <v>56</v>
      </c>
      <c r="N185" s="55" t="s">
        <v>56</v>
      </c>
      <c r="O185" s="54"/>
      <c r="S185" s="2" t="s">
        <v>139</v>
      </c>
    </row>
    <row r="186" s="2" customFormat="1" ht="18" customHeight="1" spans="1:15">
      <c r="A186" s="13">
        <v>43598</v>
      </c>
      <c r="B186" s="35">
        <f t="shared" si="8"/>
        <v>283018.87</v>
      </c>
      <c r="C186" s="36"/>
      <c r="D186" s="37" t="s">
        <v>39</v>
      </c>
      <c r="E186" s="38">
        <v>0.06</v>
      </c>
      <c r="F186" s="35">
        <f t="shared" si="9"/>
        <v>16981.13</v>
      </c>
      <c r="G186" s="27">
        <f>20000+100000+80000+100000</f>
        <v>300000</v>
      </c>
      <c r="H186" s="24"/>
      <c r="I186" s="52"/>
      <c r="J186" s="50"/>
      <c r="K186" s="53" t="s">
        <v>113</v>
      </c>
      <c r="L186" s="72" t="s">
        <v>114</v>
      </c>
      <c r="M186" s="55" t="s">
        <v>56</v>
      </c>
      <c r="N186" s="55"/>
      <c r="O186" s="54"/>
    </row>
    <row r="187" s="2" customFormat="1" ht="18" customHeight="1" spans="1:15">
      <c r="A187" s="13">
        <v>43598</v>
      </c>
      <c r="B187" s="35">
        <f t="shared" si="8"/>
        <v>1856880.73</v>
      </c>
      <c r="C187" s="36"/>
      <c r="D187" s="37" t="s">
        <v>39</v>
      </c>
      <c r="E187" s="38">
        <v>0.09</v>
      </c>
      <c r="F187" s="35">
        <f t="shared" si="9"/>
        <v>167119.27</v>
      </c>
      <c r="G187" s="27">
        <f>1012000*2</f>
        <v>2024000</v>
      </c>
      <c r="H187" s="24"/>
      <c r="I187" s="52"/>
      <c r="J187" s="50"/>
      <c r="K187" s="53" t="s">
        <v>126</v>
      </c>
      <c r="L187" s="72" t="s">
        <v>130</v>
      </c>
      <c r="M187" s="55" t="s">
        <v>56</v>
      </c>
      <c r="N187" s="55" t="s">
        <v>56</v>
      </c>
      <c r="O187" s="54"/>
    </row>
    <row r="188" s="2" customFormat="1" ht="18" customHeight="1" spans="1:15">
      <c r="A188" s="13"/>
      <c r="B188" s="35">
        <f t="shared" si="8"/>
        <v>0</v>
      </c>
      <c r="C188" s="36"/>
      <c r="D188" s="37"/>
      <c r="E188" s="38"/>
      <c r="F188" s="35">
        <f t="shared" si="9"/>
        <v>0</v>
      </c>
      <c r="G188" s="27"/>
      <c r="H188" s="24">
        <v>43598</v>
      </c>
      <c r="I188" s="52">
        <v>474350.85</v>
      </c>
      <c r="J188" s="50" t="s">
        <v>23</v>
      </c>
      <c r="K188" s="53" t="s">
        <v>117</v>
      </c>
      <c r="L188" s="72"/>
      <c r="M188" s="55"/>
      <c r="N188" s="55"/>
      <c r="O188" s="54"/>
    </row>
    <row r="189" s="2" customFormat="1" ht="18" customHeight="1" spans="1:15">
      <c r="A189" s="13">
        <v>43607</v>
      </c>
      <c r="B189" s="35">
        <f t="shared" si="8"/>
        <v>339805.83</v>
      </c>
      <c r="C189" s="36"/>
      <c r="D189" s="37" t="s">
        <v>39</v>
      </c>
      <c r="E189" s="38">
        <v>0.03</v>
      </c>
      <c r="F189" s="35">
        <f t="shared" si="9"/>
        <v>10194.17</v>
      </c>
      <c r="G189" s="27">
        <f>50000+100000*3</f>
        <v>350000</v>
      </c>
      <c r="H189" s="24"/>
      <c r="I189" s="26"/>
      <c r="J189" s="50"/>
      <c r="K189" s="53" t="s">
        <v>73</v>
      </c>
      <c r="L189" s="33" t="s">
        <v>140</v>
      </c>
      <c r="M189" s="55" t="s">
        <v>56</v>
      </c>
      <c r="N189" s="55" t="s">
        <v>56</v>
      </c>
      <c r="O189" s="54"/>
    </row>
    <row r="190" s="2" customFormat="1" ht="18" customHeight="1" spans="1:15">
      <c r="A190" s="13">
        <v>43607</v>
      </c>
      <c r="B190" s="35">
        <f t="shared" si="8"/>
        <v>883495.15</v>
      </c>
      <c r="C190" s="36"/>
      <c r="D190" s="37" t="s">
        <v>39</v>
      </c>
      <c r="E190" s="38">
        <v>0.03</v>
      </c>
      <c r="F190" s="35">
        <f t="shared" si="9"/>
        <v>26504.85</v>
      </c>
      <c r="G190" s="27">
        <v>910000</v>
      </c>
      <c r="H190" s="24"/>
      <c r="I190" s="26"/>
      <c r="J190" s="50"/>
      <c r="K190" s="53" t="s">
        <v>71</v>
      </c>
      <c r="L190" s="72" t="s">
        <v>130</v>
      </c>
      <c r="M190" s="55"/>
      <c r="N190" s="55"/>
      <c r="O190" s="54"/>
    </row>
    <row r="191" s="2" customFormat="1" ht="18" customHeight="1" spans="1:15">
      <c r="A191" s="13">
        <v>43607</v>
      </c>
      <c r="B191" s="35">
        <f t="shared" si="8"/>
        <v>1217911.5</v>
      </c>
      <c r="C191" s="36"/>
      <c r="D191" s="37" t="s">
        <v>39</v>
      </c>
      <c r="E191" s="38">
        <v>0.13</v>
      </c>
      <c r="F191" s="35">
        <f t="shared" si="9"/>
        <v>158328.5</v>
      </c>
      <c r="G191" s="27">
        <f>333040+1043200</f>
        <v>1376240</v>
      </c>
      <c r="H191" s="24"/>
      <c r="I191" s="26"/>
      <c r="J191" s="50"/>
      <c r="K191" s="53" t="s">
        <v>135</v>
      </c>
      <c r="L191" s="72" t="s">
        <v>141</v>
      </c>
      <c r="M191" s="55"/>
      <c r="N191" s="55"/>
      <c r="O191" s="54"/>
    </row>
    <row r="192" s="2" customFormat="1" ht="18" customHeight="1" spans="1:15">
      <c r="A192" s="13">
        <v>43612</v>
      </c>
      <c r="B192" s="35">
        <f t="shared" si="8"/>
        <v>1680433.03</v>
      </c>
      <c r="C192" s="36"/>
      <c r="D192" s="37" t="s">
        <v>39</v>
      </c>
      <c r="E192" s="38">
        <v>0.09</v>
      </c>
      <c r="F192" s="35">
        <f t="shared" si="9"/>
        <v>151238.97</v>
      </c>
      <c r="G192" s="27">
        <f>805024+1026648</f>
        <v>1831672</v>
      </c>
      <c r="H192" s="24"/>
      <c r="I192" s="26"/>
      <c r="J192" s="50"/>
      <c r="K192" s="53" t="s">
        <v>126</v>
      </c>
      <c r="L192" s="72" t="s">
        <v>130</v>
      </c>
      <c r="M192" s="55" t="s">
        <v>56</v>
      </c>
      <c r="N192" s="55" t="s">
        <v>56</v>
      </c>
      <c r="O192" s="54"/>
    </row>
    <row r="193" s="2" customFormat="1" ht="18" customHeight="1" spans="1:15">
      <c r="A193" s="13">
        <v>43633</v>
      </c>
      <c r="B193" s="35">
        <f t="shared" si="8"/>
        <v>265486.73</v>
      </c>
      <c r="C193" s="36"/>
      <c r="D193" s="37" t="s">
        <v>39</v>
      </c>
      <c r="E193" s="38">
        <v>0.13</v>
      </c>
      <c r="F193" s="35">
        <f t="shared" si="9"/>
        <v>34513.27</v>
      </c>
      <c r="G193" s="27">
        <v>300000</v>
      </c>
      <c r="H193" s="24"/>
      <c r="I193" s="26"/>
      <c r="J193" s="50"/>
      <c r="K193" s="53" t="s">
        <v>61</v>
      </c>
      <c r="L193" s="72" t="s">
        <v>138</v>
      </c>
      <c r="M193" s="50" t="s">
        <v>56</v>
      </c>
      <c r="N193" s="55"/>
      <c r="O193" s="54"/>
    </row>
    <row r="194" s="2" customFormat="1" ht="18" customHeight="1" spans="1:15">
      <c r="A194" s="13">
        <v>43633</v>
      </c>
      <c r="B194" s="35">
        <f t="shared" si="8"/>
        <v>5238.48</v>
      </c>
      <c r="C194" s="36"/>
      <c r="D194" s="37" t="s">
        <v>39</v>
      </c>
      <c r="E194" s="38">
        <v>0.13</v>
      </c>
      <c r="F194" s="35">
        <f t="shared" si="9"/>
        <v>681</v>
      </c>
      <c r="G194" s="27">
        <v>5919.48</v>
      </c>
      <c r="H194" s="24"/>
      <c r="I194" s="26"/>
      <c r="J194" s="50"/>
      <c r="K194" s="53" t="s">
        <v>85</v>
      </c>
      <c r="L194" s="72" t="s">
        <v>86</v>
      </c>
      <c r="M194" s="50"/>
      <c r="N194" s="55"/>
      <c r="O194" s="54"/>
    </row>
    <row r="195" s="2" customFormat="1" ht="18" customHeight="1" spans="1:15">
      <c r="A195" s="13">
        <v>43643</v>
      </c>
      <c r="B195" s="35">
        <f t="shared" si="8"/>
        <v>1002912.62</v>
      </c>
      <c r="C195" s="36"/>
      <c r="D195" s="37" t="s">
        <v>39</v>
      </c>
      <c r="E195" s="38">
        <v>0.03</v>
      </c>
      <c r="F195" s="35">
        <f t="shared" si="9"/>
        <v>30087.38</v>
      </c>
      <c r="G195" s="27">
        <v>1033000</v>
      </c>
      <c r="H195" s="24"/>
      <c r="I195" s="26"/>
      <c r="J195" s="50"/>
      <c r="K195" s="53" t="s">
        <v>71</v>
      </c>
      <c r="L195" s="72" t="s">
        <v>130</v>
      </c>
      <c r="M195" s="55" t="s">
        <v>56</v>
      </c>
      <c r="N195" s="55"/>
      <c r="O195" s="54"/>
    </row>
    <row r="196" s="2" customFormat="1" ht="18" customHeight="1" spans="1:15">
      <c r="A196" s="13"/>
      <c r="B196" s="35">
        <f t="shared" si="8"/>
        <v>0</v>
      </c>
      <c r="C196" s="36"/>
      <c r="D196" s="37"/>
      <c r="E196" s="38"/>
      <c r="F196" s="35">
        <f t="shared" si="9"/>
        <v>0</v>
      </c>
      <c r="G196" s="27"/>
      <c r="H196" s="24">
        <v>43606</v>
      </c>
      <c r="I196" s="52">
        <v>6080</v>
      </c>
      <c r="J196" s="50" t="s">
        <v>23</v>
      </c>
      <c r="K196" s="53" t="s">
        <v>54</v>
      </c>
      <c r="L196" s="72" t="s">
        <v>55</v>
      </c>
      <c r="M196" s="50"/>
      <c r="N196" s="55"/>
      <c r="O196" s="54"/>
    </row>
    <row r="197" s="2" customFormat="1" ht="18" customHeight="1" spans="1:15">
      <c r="A197" s="13"/>
      <c r="B197" s="35">
        <f t="shared" si="8"/>
        <v>0</v>
      </c>
      <c r="C197" s="36"/>
      <c r="D197" s="37"/>
      <c r="E197" s="38"/>
      <c r="F197" s="35">
        <f t="shared" si="9"/>
        <v>0</v>
      </c>
      <c r="G197" s="27"/>
      <c r="H197" s="24">
        <v>43607</v>
      </c>
      <c r="I197" s="52">
        <v>350000</v>
      </c>
      <c r="J197" s="50" t="s">
        <v>23</v>
      </c>
      <c r="K197" s="53" t="s">
        <v>73</v>
      </c>
      <c r="L197" s="72" t="s">
        <v>140</v>
      </c>
      <c r="M197" s="50"/>
      <c r="N197" s="55"/>
      <c r="O197" s="54"/>
    </row>
    <row r="198" s="2" customFormat="1" ht="18" customHeight="1" spans="1:15">
      <c r="A198" s="13"/>
      <c r="B198" s="35">
        <f t="shared" si="8"/>
        <v>0</v>
      </c>
      <c r="C198" s="36"/>
      <c r="D198" s="37"/>
      <c r="E198" s="38"/>
      <c r="F198" s="35">
        <f t="shared" si="9"/>
        <v>0</v>
      </c>
      <c r="G198" s="27"/>
      <c r="H198" s="24">
        <v>43658</v>
      </c>
      <c r="I198" s="52">
        <v>1000000</v>
      </c>
      <c r="J198" s="50" t="s">
        <v>23</v>
      </c>
      <c r="K198" s="53" t="s">
        <v>126</v>
      </c>
      <c r="L198" s="72" t="s">
        <v>130</v>
      </c>
      <c r="M198" s="50"/>
      <c r="N198" s="55"/>
      <c r="O198" s="54"/>
    </row>
    <row r="199" s="2" customFormat="1" ht="18" customHeight="1" spans="1:15">
      <c r="A199" s="13"/>
      <c r="B199" s="35">
        <f t="shared" si="8"/>
        <v>0</v>
      </c>
      <c r="C199" s="36"/>
      <c r="D199" s="37"/>
      <c r="E199" s="38"/>
      <c r="F199" s="35">
        <f t="shared" si="9"/>
        <v>0</v>
      </c>
      <c r="G199" s="27"/>
      <c r="H199" s="24">
        <v>43658</v>
      </c>
      <c r="I199" s="52">
        <v>876240</v>
      </c>
      <c r="J199" s="50" t="s">
        <v>23</v>
      </c>
      <c r="K199" s="53" t="s">
        <v>135</v>
      </c>
      <c r="L199" s="72" t="s">
        <v>141</v>
      </c>
      <c r="M199" s="50"/>
      <c r="N199" s="55"/>
      <c r="O199" s="54"/>
    </row>
    <row r="200" s="2" customFormat="1" ht="18" customHeight="1" spans="1:15">
      <c r="A200" s="13">
        <v>43661</v>
      </c>
      <c r="B200" s="35">
        <f t="shared" si="8"/>
        <v>1114563.11</v>
      </c>
      <c r="C200" s="36"/>
      <c r="D200" s="37" t="s">
        <v>39</v>
      </c>
      <c r="E200" s="38">
        <v>0.03</v>
      </c>
      <c r="F200" s="35">
        <f t="shared" si="9"/>
        <v>33436.89</v>
      </c>
      <c r="G200" s="27">
        <f>1000000+148000</f>
        <v>1148000</v>
      </c>
      <c r="H200" s="24">
        <v>43658</v>
      </c>
      <c r="I200" s="52">
        <v>1148000</v>
      </c>
      <c r="J200" s="50" t="s">
        <v>23</v>
      </c>
      <c r="K200" s="53" t="s">
        <v>142</v>
      </c>
      <c r="L200" s="72" t="s">
        <v>143</v>
      </c>
      <c r="M200" s="50" t="s">
        <v>56</v>
      </c>
      <c r="N200" s="55"/>
      <c r="O200" s="54"/>
    </row>
    <row r="201" s="2" customFormat="1" ht="18" customHeight="1" spans="1:15">
      <c r="A201" s="13"/>
      <c r="B201" s="35">
        <f t="shared" si="8"/>
        <v>0</v>
      </c>
      <c r="C201" s="36"/>
      <c r="D201" s="37"/>
      <c r="E201" s="38"/>
      <c r="F201" s="35">
        <f t="shared" si="9"/>
        <v>0</v>
      </c>
      <c r="G201" s="27"/>
      <c r="H201" s="24">
        <v>43607</v>
      </c>
      <c r="I201" s="52">
        <v>-16458</v>
      </c>
      <c r="J201" s="50" t="s">
        <v>23</v>
      </c>
      <c r="K201" s="53" t="s">
        <v>57</v>
      </c>
      <c r="L201" s="72" t="s">
        <v>144</v>
      </c>
      <c r="M201" s="50"/>
      <c r="N201" s="55"/>
      <c r="O201" s="54"/>
    </row>
    <row r="202" s="2" customFormat="1" ht="18" customHeight="1" spans="1:15">
      <c r="A202" s="13"/>
      <c r="B202" s="35">
        <f t="shared" si="8"/>
        <v>0</v>
      </c>
      <c r="C202" s="36"/>
      <c r="D202" s="37"/>
      <c r="E202" s="38"/>
      <c r="F202" s="35">
        <f t="shared" si="9"/>
        <v>0</v>
      </c>
      <c r="G202" s="27"/>
      <c r="H202" s="24">
        <v>43707</v>
      </c>
      <c r="I202" s="52">
        <v>1000000</v>
      </c>
      <c r="J202" s="50" t="s">
        <v>23</v>
      </c>
      <c r="K202" s="53" t="s">
        <v>126</v>
      </c>
      <c r="L202" s="72" t="s">
        <v>130</v>
      </c>
      <c r="M202" s="50"/>
      <c r="N202" s="55"/>
      <c r="O202" s="54"/>
    </row>
    <row r="203" s="2" customFormat="1" ht="18" customHeight="1" spans="1:15">
      <c r="A203" s="13">
        <v>43770</v>
      </c>
      <c r="B203" s="35">
        <f t="shared" si="8"/>
        <v>1221238.94</v>
      </c>
      <c r="C203" s="36"/>
      <c r="D203" s="37" t="s">
        <v>39</v>
      </c>
      <c r="E203" s="80">
        <v>0.13</v>
      </c>
      <c r="F203" s="35">
        <f t="shared" si="9"/>
        <v>158761.06</v>
      </c>
      <c r="G203" s="27">
        <v>1380000</v>
      </c>
      <c r="H203" s="24">
        <v>43756</v>
      </c>
      <c r="I203" s="52">
        <v>1380000</v>
      </c>
      <c r="J203" s="50" t="s">
        <v>23</v>
      </c>
      <c r="K203" s="53" t="s">
        <v>61</v>
      </c>
      <c r="L203" s="71" t="s">
        <v>62</v>
      </c>
      <c r="M203" s="50"/>
      <c r="N203" s="55"/>
      <c r="O203" s="54"/>
    </row>
    <row r="204" s="2" customFormat="1" ht="18" customHeight="1" spans="1:15">
      <c r="A204" s="13"/>
      <c r="B204" s="35">
        <f t="shared" si="8"/>
        <v>0</v>
      </c>
      <c r="C204" s="36"/>
      <c r="D204" s="37"/>
      <c r="E204" s="38"/>
      <c r="F204" s="35">
        <f t="shared" si="9"/>
        <v>0</v>
      </c>
      <c r="G204" s="27"/>
      <c r="H204" s="24">
        <v>43756</v>
      </c>
      <c r="I204" s="52">
        <v>1943000</v>
      </c>
      <c r="J204" s="50" t="s">
        <v>23</v>
      </c>
      <c r="K204" s="53" t="s">
        <v>71</v>
      </c>
      <c r="L204" s="71" t="s">
        <v>72</v>
      </c>
      <c r="M204" s="50"/>
      <c r="N204" s="55"/>
      <c r="O204" s="54"/>
    </row>
    <row r="205" s="2" customFormat="1" ht="18" customHeight="1" spans="1:15">
      <c r="A205" s="13">
        <v>43844</v>
      </c>
      <c r="B205" s="35">
        <f t="shared" si="8"/>
        <v>8860471.84</v>
      </c>
      <c r="C205" s="75"/>
      <c r="D205" s="76" t="s">
        <v>39</v>
      </c>
      <c r="E205" s="81">
        <v>0.03</v>
      </c>
      <c r="F205" s="35">
        <f t="shared" si="9"/>
        <v>265814.16</v>
      </c>
      <c r="G205" s="78">
        <f>626286+500000*7+1000000*5</f>
        <v>9126286</v>
      </c>
      <c r="H205" s="24"/>
      <c r="I205" s="52"/>
      <c r="J205" s="50"/>
      <c r="K205" s="53" t="s">
        <v>142</v>
      </c>
      <c r="L205" s="72" t="s">
        <v>143</v>
      </c>
      <c r="M205" s="50" t="s">
        <v>56</v>
      </c>
      <c r="N205" s="55"/>
      <c r="O205" s="54"/>
    </row>
    <row r="206" s="1" customFormat="1" ht="18" customHeight="1" spans="1:15">
      <c r="A206" s="24">
        <v>43839</v>
      </c>
      <c r="B206" s="35">
        <f t="shared" si="8"/>
        <v>266017.7</v>
      </c>
      <c r="C206" s="75"/>
      <c r="D206" s="76" t="s">
        <v>39</v>
      </c>
      <c r="E206" s="81">
        <v>0.13</v>
      </c>
      <c r="F206" s="35">
        <f t="shared" si="9"/>
        <v>34582.3</v>
      </c>
      <c r="G206" s="78">
        <v>300600</v>
      </c>
      <c r="H206" s="24"/>
      <c r="I206" s="52"/>
      <c r="J206" s="50"/>
      <c r="K206" s="53" t="s">
        <v>63</v>
      </c>
      <c r="L206" s="71" t="s">
        <v>145</v>
      </c>
      <c r="M206" s="50" t="s">
        <v>56</v>
      </c>
      <c r="N206" s="50"/>
      <c r="O206" s="33"/>
    </row>
    <row r="207" s="1" customFormat="1" ht="18" customHeight="1" spans="1:16">
      <c r="A207" s="24">
        <v>43846</v>
      </c>
      <c r="B207" s="35">
        <f t="shared" si="8"/>
        <v>734078.9</v>
      </c>
      <c r="C207" s="75"/>
      <c r="D207" s="76" t="s">
        <v>39</v>
      </c>
      <c r="E207" s="81">
        <v>0.09</v>
      </c>
      <c r="F207" s="35">
        <f t="shared" si="9"/>
        <v>66067.1</v>
      </c>
      <c r="G207" s="78">
        <v>800146</v>
      </c>
      <c r="H207" s="82">
        <v>43851</v>
      </c>
      <c r="I207" s="52">
        <v>2000000</v>
      </c>
      <c r="J207" s="83" t="s">
        <v>40</v>
      </c>
      <c r="K207" s="84" t="s">
        <v>126</v>
      </c>
      <c r="L207" s="85" t="s">
        <v>146</v>
      </c>
      <c r="M207" s="50" t="s">
        <v>56</v>
      </c>
      <c r="N207" s="50"/>
      <c r="O207" s="86" t="s">
        <v>147</v>
      </c>
      <c r="P207" s="1" t="s">
        <v>148</v>
      </c>
    </row>
    <row r="208" s="2" customFormat="1" ht="18" customHeight="1" spans="1:15">
      <c r="A208" s="13">
        <v>43840</v>
      </c>
      <c r="B208" s="35">
        <f t="shared" si="8"/>
        <v>2928155.34</v>
      </c>
      <c r="C208" s="36"/>
      <c r="D208" s="76" t="s">
        <v>39</v>
      </c>
      <c r="E208" s="80">
        <v>0.03</v>
      </c>
      <c r="F208" s="35">
        <f t="shared" si="9"/>
        <v>87844.66</v>
      </c>
      <c r="G208" s="27">
        <v>3016000</v>
      </c>
      <c r="H208" s="24"/>
      <c r="I208" s="52"/>
      <c r="J208" s="50"/>
      <c r="K208" s="53" t="s">
        <v>73</v>
      </c>
      <c r="L208" s="71" t="s">
        <v>149</v>
      </c>
      <c r="M208" s="50" t="s">
        <v>56</v>
      </c>
      <c r="N208" s="50" t="s">
        <v>56</v>
      </c>
      <c r="O208" s="54"/>
    </row>
    <row r="209" s="2" customFormat="1" ht="18" customHeight="1" spans="1:15">
      <c r="A209" s="13"/>
      <c r="B209" s="35">
        <f t="shared" si="8"/>
        <v>0</v>
      </c>
      <c r="C209" s="36"/>
      <c r="D209" s="37"/>
      <c r="E209" s="38"/>
      <c r="F209" s="35">
        <f t="shared" si="9"/>
        <v>0</v>
      </c>
      <c r="G209" s="27"/>
      <c r="H209" s="24">
        <v>43853</v>
      </c>
      <c r="I209" s="52">
        <v>120000</v>
      </c>
      <c r="J209" s="56" t="s">
        <v>23</v>
      </c>
      <c r="K209" s="53" t="s">
        <v>113</v>
      </c>
      <c r="L209" s="71" t="s">
        <v>114</v>
      </c>
      <c r="M209" s="50"/>
      <c r="N209" s="55"/>
      <c r="O209" s="54"/>
    </row>
    <row r="210" s="2" customFormat="1" ht="18" customHeight="1" spans="1:15">
      <c r="A210" s="13"/>
      <c r="B210" s="35">
        <f t="shared" si="8"/>
        <v>0</v>
      </c>
      <c r="C210" s="36"/>
      <c r="D210" s="37"/>
      <c r="E210" s="38"/>
      <c r="F210" s="35">
        <f t="shared" si="9"/>
        <v>0</v>
      </c>
      <c r="G210" s="27"/>
      <c r="H210" s="24">
        <v>43853</v>
      </c>
      <c r="I210" s="52">
        <v>300600</v>
      </c>
      <c r="J210" s="56" t="s">
        <v>23</v>
      </c>
      <c r="K210" s="53" t="s">
        <v>63</v>
      </c>
      <c r="L210" s="71" t="s">
        <v>90</v>
      </c>
      <c r="M210" s="50"/>
      <c r="N210" s="55"/>
      <c r="O210" s="54"/>
    </row>
    <row r="211" s="2" customFormat="1" ht="18" customHeight="1" spans="1:15">
      <c r="A211" s="13"/>
      <c r="B211" s="35">
        <f t="shared" ref="B211:B219" si="10">ROUND(G211/(1+E211),2)</f>
        <v>0</v>
      </c>
      <c r="C211" s="36"/>
      <c r="D211" s="37"/>
      <c r="E211" s="38"/>
      <c r="F211" s="35">
        <f t="shared" ref="F211:F219" si="11">ROUND(G211/(1+E211)*E211,2)</f>
        <v>0</v>
      </c>
      <c r="G211" s="27"/>
      <c r="H211" s="24">
        <v>43853</v>
      </c>
      <c r="I211" s="52">
        <v>1246000</v>
      </c>
      <c r="J211" s="56" t="s">
        <v>23</v>
      </c>
      <c r="K211" s="53" t="s">
        <v>137</v>
      </c>
      <c r="L211" s="71" t="s">
        <v>90</v>
      </c>
      <c r="M211" s="50"/>
      <c r="N211" s="55"/>
      <c r="O211" s="54"/>
    </row>
    <row r="212" s="2" customFormat="1" ht="18" customHeight="1" spans="1:15">
      <c r="A212" s="13"/>
      <c r="B212" s="35">
        <f t="shared" si="10"/>
        <v>0</v>
      </c>
      <c r="C212" s="36"/>
      <c r="D212" s="37"/>
      <c r="E212" s="38"/>
      <c r="F212" s="35">
        <f t="shared" si="11"/>
        <v>0</v>
      </c>
      <c r="G212" s="27"/>
      <c r="H212" s="24">
        <v>43853</v>
      </c>
      <c r="I212" s="52">
        <v>879818</v>
      </c>
      <c r="J212" s="56" t="s">
        <v>23</v>
      </c>
      <c r="K212" s="53" t="s">
        <v>126</v>
      </c>
      <c r="L212" s="71" t="s">
        <v>130</v>
      </c>
      <c r="M212" s="50"/>
      <c r="N212" s="55"/>
      <c r="O212" s="54"/>
    </row>
    <row r="213" s="2" customFormat="1" ht="18" customHeight="1" spans="1:15">
      <c r="A213" s="13"/>
      <c r="B213" s="35">
        <f t="shared" si="10"/>
        <v>0</v>
      </c>
      <c r="C213" s="36"/>
      <c r="D213" s="37"/>
      <c r="E213" s="38"/>
      <c r="F213" s="35">
        <f t="shared" si="11"/>
        <v>0</v>
      </c>
      <c r="G213" s="27"/>
      <c r="H213" s="24">
        <v>43853</v>
      </c>
      <c r="I213" s="52">
        <v>301600</v>
      </c>
      <c r="J213" s="56" t="s">
        <v>23</v>
      </c>
      <c r="K213" s="53" t="s">
        <v>73</v>
      </c>
      <c r="L213" s="71" t="s">
        <v>149</v>
      </c>
      <c r="M213" s="50"/>
      <c r="N213" s="55"/>
      <c r="O213" s="54"/>
    </row>
    <row r="214" s="2" customFormat="1" ht="18" customHeight="1" spans="1:15">
      <c r="A214" s="13"/>
      <c r="B214" s="35">
        <f t="shared" si="10"/>
        <v>0</v>
      </c>
      <c r="C214" s="36"/>
      <c r="D214" s="37"/>
      <c r="E214" s="38"/>
      <c r="F214" s="35">
        <f t="shared" si="11"/>
        <v>0</v>
      </c>
      <c r="G214" s="27"/>
      <c r="H214" s="24">
        <v>43853</v>
      </c>
      <c r="I214" s="52">
        <v>9126286</v>
      </c>
      <c r="J214" s="56" t="s">
        <v>23</v>
      </c>
      <c r="K214" s="87" t="s">
        <v>142</v>
      </c>
      <c r="L214" s="88" t="s">
        <v>143</v>
      </c>
      <c r="M214" s="50"/>
      <c r="N214" s="55"/>
      <c r="O214" s="54"/>
    </row>
    <row r="215" s="2" customFormat="1" ht="18" customHeight="1" spans="1:15">
      <c r="A215" s="13">
        <v>43899</v>
      </c>
      <c r="B215" s="35">
        <f t="shared" si="10"/>
        <v>146</v>
      </c>
      <c r="C215" s="36"/>
      <c r="D215" s="37" t="s">
        <v>45</v>
      </c>
      <c r="E215" s="38"/>
      <c r="F215" s="35">
        <f t="shared" si="11"/>
        <v>0</v>
      </c>
      <c r="G215" s="27">
        <v>146</v>
      </c>
      <c r="H215" s="24"/>
      <c r="I215" s="52"/>
      <c r="J215" s="56"/>
      <c r="K215" s="87" t="s">
        <v>150</v>
      </c>
      <c r="L215" s="88" t="s">
        <v>151</v>
      </c>
      <c r="M215" s="50"/>
      <c r="N215" s="55"/>
      <c r="O215" s="54"/>
    </row>
    <row r="216" s="2" customFormat="1" ht="18" customHeight="1" spans="1:15">
      <c r="A216" s="13"/>
      <c r="B216" s="35">
        <f t="shared" si="10"/>
        <v>0</v>
      </c>
      <c r="C216" s="36"/>
      <c r="D216" s="37"/>
      <c r="E216" s="38"/>
      <c r="F216" s="35">
        <f t="shared" si="11"/>
        <v>0</v>
      </c>
      <c r="G216" s="27"/>
      <c r="H216" s="24">
        <v>43901</v>
      </c>
      <c r="I216" s="52">
        <v>2714400</v>
      </c>
      <c r="J216" s="56" t="s">
        <v>23</v>
      </c>
      <c r="K216" s="87" t="s">
        <v>73</v>
      </c>
      <c r="L216" s="88" t="s">
        <v>149</v>
      </c>
      <c r="M216" s="50"/>
      <c r="N216" s="55"/>
      <c r="O216" s="54"/>
    </row>
    <row r="217" s="2" customFormat="1" ht="18" customHeight="1" spans="1:15">
      <c r="A217" s="13"/>
      <c r="B217" s="35">
        <f t="shared" si="10"/>
        <v>0</v>
      </c>
      <c r="C217" s="36"/>
      <c r="D217" s="37"/>
      <c r="E217" s="38"/>
      <c r="F217" s="35">
        <f t="shared" si="11"/>
        <v>0</v>
      </c>
      <c r="G217" s="27"/>
      <c r="H217" s="24">
        <v>43907</v>
      </c>
      <c r="I217" s="26">
        <v>4069878.25</v>
      </c>
      <c r="J217" s="56" t="s">
        <v>23</v>
      </c>
      <c r="K217" s="87" t="s">
        <v>44</v>
      </c>
      <c r="L217" s="89" t="s">
        <v>152</v>
      </c>
      <c r="M217" s="50"/>
      <c r="N217" s="55"/>
      <c r="O217" s="54"/>
    </row>
    <row r="218" s="2" customFormat="1" ht="18" customHeight="1" spans="1:15">
      <c r="A218" s="13"/>
      <c r="B218" s="35">
        <f t="shared" si="10"/>
        <v>0</v>
      </c>
      <c r="C218" s="36"/>
      <c r="D218" s="37"/>
      <c r="E218" s="38"/>
      <c r="F218" s="35">
        <f t="shared" si="11"/>
        <v>0</v>
      </c>
      <c r="G218" s="27"/>
      <c r="H218" s="24">
        <v>43923</v>
      </c>
      <c r="I218" s="26">
        <v>1485666.08</v>
      </c>
      <c r="J218" s="56" t="s">
        <v>23</v>
      </c>
      <c r="K218" s="87" t="s">
        <v>5</v>
      </c>
      <c r="L218" s="89" t="s">
        <v>153</v>
      </c>
      <c r="M218" s="50"/>
      <c r="N218" s="55"/>
      <c r="O218" s="54"/>
    </row>
    <row r="219" s="2" customFormat="1" ht="18" customHeight="1" spans="1:15">
      <c r="A219" s="13"/>
      <c r="B219" s="35">
        <f t="shared" si="10"/>
        <v>0</v>
      </c>
      <c r="C219" s="36"/>
      <c r="D219" s="37"/>
      <c r="E219" s="38"/>
      <c r="F219" s="35">
        <f t="shared" ref="F219:F229" si="12">ROUND(G219/(1+E219)*E219,2)</f>
        <v>0</v>
      </c>
      <c r="G219" s="27"/>
      <c r="H219" s="13">
        <v>44161</v>
      </c>
      <c r="I219" s="40">
        <v>49599.64</v>
      </c>
      <c r="J219" s="58" t="s">
        <v>43</v>
      </c>
      <c r="K219" s="87" t="s">
        <v>5</v>
      </c>
      <c r="L219" s="89"/>
      <c r="M219" s="50"/>
      <c r="N219" s="55"/>
      <c r="O219" s="54"/>
    </row>
    <row r="220" s="2" customFormat="1" ht="18" customHeight="1" spans="1:15">
      <c r="A220" s="13"/>
      <c r="B220" s="35">
        <f t="shared" ref="B220:B229" si="13">ROUND(G220/(1+E220),2)</f>
        <v>0</v>
      </c>
      <c r="C220" s="36"/>
      <c r="D220" s="37"/>
      <c r="E220" s="38"/>
      <c r="F220" s="35">
        <f t="shared" si="12"/>
        <v>0</v>
      </c>
      <c r="G220" s="27"/>
      <c r="H220" s="13"/>
      <c r="I220" s="40"/>
      <c r="J220" s="58"/>
      <c r="K220" s="40"/>
      <c r="L220" s="89"/>
      <c r="M220" s="50"/>
      <c r="N220" s="55"/>
      <c r="O220" s="54"/>
    </row>
    <row r="221" s="2" customFormat="1" ht="18" customHeight="1" spans="1:15">
      <c r="A221" s="13"/>
      <c r="B221" s="35">
        <f t="shared" si="13"/>
        <v>0</v>
      </c>
      <c r="C221" s="36"/>
      <c r="D221" s="37"/>
      <c r="E221" s="38"/>
      <c r="F221" s="35">
        <f t="shared" si="12"/>
        <v>0</v>
      </c>
      <c r="G221" s="27"/>
      <c r="H221" s="65"/>
      <c r="I221" s="90"/>
      <c r="J221" s="91"/>
      <c r="K221" s="92"/>
      <c r="L221" s="89"/>
      <c r="M221" s="50"/>
      <c r="N221" s="55"/>
      <c r="O221" s="54"/>
    </row>
    <row r="222" s="2" customFormat="1" ht="18" customHeight="1" spans="1:15">
      <c r="A222" s="13"/>
      <c r="B222" s="35">
        <f t="shared" si="13"/>
        <v>0</v>
      </c>
      <c r="C222" s="36"/>
      <c r="D222" s="37"/>
      <c r="E222" s="38"/>
      <c r="F222" s="35">
        <f t="shared" si="12"/>
        <v>0</v>
      </c>
      <c r="G222" s="27"/>
      <c r="H222" s="65"/>
      <c r="I222" s="90"/>
      <c r="J222" s="91"/>
      <c r="K222" s="92"/>
      <c r="L222" s="89"/>
      <c r="M222" s="50"/>
      <c r="N222" s="55"/>
      <c r="O222" s="54"/>
    </row>
    <row r="223" s="2" customFormat="1" ht="18" customHeight="1" spans="1:15">
      <c r="A223" s="13"/>
      <c r="B223" s="35">
        <f t="shared" si="13"/>
        <v>0</v>
      </c>
      <c r="C223" s="36"/>
      <c r="D223" s="37"/>
      <c r="E223" s="38"/>
      <c r="F223" s="35">
        <f t="shared" si="12"/>
        <v>0</v>
      </c>
      <c r="G223" s="27"/>
      <c r="H223" s="65"/>
      <c r="I223" s="90"/>
      <c r="J223" s="91"/>
      <c r="K223" s="92"/>
      <c r="L223" s="89"/>
      <c r="M223" s="50"/>
      <c r="N223" s="55"/>
      <c r="O223" s="54"/>
    </row>
    <row r="224" s="2" customFormat="1" ht="18" customHeight="1" spans="1:15">
      <c r="A224" s="13"/>
      <c r="B224" s="35">
        <f t="shared" si="13"/>
        <v>0</v>
      </c>
      <c r="C224" s="36"/>
      <c r="D224" s="37"/>
      <c r="E224" s="38"/>
      <c r="F224" s="35">
        <f t="shared" si="12"/>
        <v>0</v>
      </c>
      <c r="G224" s="27"/>
      <c r="H224" s="65"/>
      <c r="I224" s="90"/>
      <c r="J224" s="91"/>
      <c r="K224" s="92"/>
      <c r="L224" s="89"/>
      <c r="M224" s="50"/>
      <c r="N224" s="55"/>
      <c r="O224" s="54"/>
    </row>
    <row r="225" s="2" customFormat="1" ht="18" customHeight="1" spans="1:15">
      <c r="A225" s="13"/>
      <c r="B225" s="35">
        <f t="shared" si="13"/>
        <v>0</v>
      </c>
      <c r="C225" s="36"/>
      <c r="D225" s="37"/>
      <c r="E225" s="38"/>
      <c r="F225" s="35">
        <f t="shared" si="12"/>
        <v>0</v>
      </c>
      <c r="G225" s="27"/>
      <c r="H225" s="65"/>
      <c r="I225" s="90"/>
      <c r="J225" s="91"/>
      <c r="K225" s="92"/>
      <c r="L225" s="89"/>
      <c r="M225" s="50"/>
      <c r="N225" s="55"/>
      <c r="O225" s="54"/>
    </row>
    <row r="226" s="2" customFormat="1" ht="18" customHeight="1" spans="1:15">
      <c r="A226" s="13"/>
      <c r="B226" s="35">
        <f t="shared" si="13"/>
        <v>10356.2</v>
      </c>
      <c r="C226" s="36"/>
      <c r="D226" s="37"/>
      <c r="E226" s="38"/>
      <c r="F226" s="35">
        <f t="shared" si="12"/>
        <v>0</v>
      </c>
      <c r="G226" s="27">
        <v>10356.2</v>
      </c>
      <c r="H226" s="65">
        <v>44397</v>
      </c>
      <c r="I226" s="90">
        <v>10356.2</v>
      </c>
      <c r="J226" s="91" t="s">
        <v>155</v>
      </c>
      <c r="K226" s="93" t="s">
        <v>159</v>
      </c>
      <c r="L226" s="89"/>
      <c r="M226" s="50"/>
      <c r="N226" s="55"/>
      <c r="O226" s="54"/>
    </row>
    <row r="227" s="2" customFormat="1" ht="18" customHeight="1" spans="1:15">
      <c r="A227" s="13"/>
      <c r="B227" s="35">
        <f t="shared" si="13"/>
        <v>0</v>
      </c>
      <c r="C227" s="36"/>
      <c r="D227" s="37"/>
      <c r="E227" s="38"/>
      <c r="F227" s="35">
        <f t="shared" si="12"/>
        <v>0</v>
      </c>
      <c r="G227" s="27"/>
      <c r="H227" s="65">
        <v>44397</v>
      </c>
      <c r="I227" s="69">
        <v>1140.40128440367</v>
      </c>
      <c r="J227" s="91" t="s">
        <v>155</v>
      </c>
      <c r="K227" s="93" t="s">
        <v>215</v>
      </c>
      <c r="L227" s="69"/>
      <c r="M227" s="50"/>
      <c r="N227" s="55"/>
      <c r="O227" s="54"/>
    </row>
    <row r="228" s="2" customFormat="1" ht="18" customHeight="1" spans="1:15">
      <c r="A228" s="13"/>
      <c r="B228" s="35">
        <f t="shared" si="13"/>
        <v>0</v>
      </c>
      <c r="C228" s="36"/>
      <c r="D228" s="37"/>
      <c r="E228" s="38"/>
      <c r="F228" s="35">
        <f t="shared" si="12"/>
        <v>0</v>
      </c>
      <c r="G228" s="27"/>
      <c r="H228" s="65">
        <v>44397</v>
      </c>
      <c r="I228" s="90">
        <v>12430.374</v>
      </c>
      <c r="J228" s="91" t="s">
        <v>155</v>
      </c>
      <c r="K228" s="93" t="s">
        <v>9</v>
      </c>
      <c r="L228" s="90"/>
      <c r="M228" s="50"/>
      <c r="N228" s="55"/>
      <c r="O228" s="54"/>
    </row>
    <row r="229" s="2" customFormat="1" ht="18" customHeight="1" spans="1:15">
      <c r="A229" s="13"/>
      <c r="B229" s="35">
        <f t="shared" si="13"/>
        <v>0</v>
      </c>
      <c r="C229" s="36"/>
      <c r="D229" s="37"/>
      <c r="E229" s="38"/>
      <c r="F229" s="35">
        <f t="shared" si="12"/>
        <v>0</v>
      </c>
      <c r="G229" s="27"/>
      <c r="H229" s="65">
        <v>44397</v>
      </c>
      <c r="I229" s="90">
        <v>149012.43</v>
      </c>
      <c r="J229" s="91" t="s">
        <v>155</v>
      </c>
      <c r="K229" s="93" t="s">
        <v>169</v>
      </c>
      <c r="L229" s="90"/>
      <c r="M229" s="50"/>
      <c r="N229" s="55"/>
      <c r="O229" s="54"/>
    </row>
    <row r="230" s="2" customFormat="1" ht="18" customHeight="1" spans="1:15">
      <c r="A230" s="13"/>
      <c r="B230" s="35">
        <f t="shared" ref="B230:B266" si="14">ROUND(G230/(1+E230),2)</f>
        <v>0</v>
      </c>
      <c r="C230" s="36"/>
      <c r="D230" s="37"/>
      <c r="E230" s="38"/>
      <c r="F230" s="35">
        <f t="shared" ref="F230:F266" si="15">ROUND(G230/(1+E230)*E230,2)</f>
        <v>0</v>
      </c>
      <c r="G230" s="27"/>
      <c r="H230" s="65"/>
      <c r="I230" s="40">
        <v>50</v>
      </c>
      <c r="J230" s="58" t="s">
        <v>155</v>
      </c>
      <c r="K230" s="87" t="s">
        <v>202</v>
      </c>
      <c r="L230" s="89"/>
      <c r="M230" s="50"/>
      <c r="N230" s="55"/>
      <c r="O230" s="54"/>
    </row>
    <row r="231" s="2" customFormat="1" ht="18" customHeight="1" spans="1:15">
      <c r="A231" s="13"/>
      <c r="B231" s="35">
        <f t="shared" si="14"/>
        <v>0</v>
      </c>
      <c r="C231" s="36"/>
      <c r="D231" s="37"/>
      <c r="E231" s="38"/>
      <c r="F231" s="35">
        <f t="shared" si="15"/>
        <v>0</v>
      </c>
      <c r="G231" s="27"/>
      <c r="H231" s="65"/>
      <c r="I231" s="40">
        <v>1000</v>
      </c>
      <c r="J231" s="58" t="s">
        <v>155</v>
      </c>
      <c r="K231" s="94" t="s">
        <v>203</v>
      </c>
      <c r="L231" s="89"/>
      <c r="M231" s="50"/>
      <c r="N231" s="55"/>
      <c r="O231" s="54"/>
    </row>
    <row r="232" s="2" customFormat="1" ht="18" customHeight="1" spans="1:15">
      <c r="A232" s="13"/>
      <c r="B232" s="35">
        <f t="shared" si="14"/>
        <v>0</v>
      </c>
      <c r="C232" s="36"/>
      <c r="D232" s="37"/>
      <c r="E232" s="38"/>
      <c r="F232" s="35">
        <f t="shared" si="15"/>
        <v>0</v>
      </c>
      <c r="G232" s="27"/>
      <c r="H232" s="24"/>
      <c r="I232" s="90">
        <v>50</v>
      </c>
      <c r="J232" s="91" t="s">
        <v>204</v>
      </c>
      <c r="K232" s="93" t="s">
        <v>202</v>
      </c>
      <c r="L232" s="89"/>
      <c r="M232" s="50"/>
      <c r="N232" s="55"/>
      <c r="O232" s="54"/>
    </row>
    <row r="233" s="2" customFormat="1" ht="18" customHeight="1" spans="1:15">
      <c r="A233" s="13"/>
      <c r="B233" s="35">
        <f t="shared" si="14"/>
        <v>0</v>
      </c>
      <c r="C233" s="36"/>
      <c r="D233" s="37"/>
      <c r="E233" s="38"/>
      <c r="F233" s="35">
        <f t="shared" si="15"/>
        <v>0</v>
      </c>
      <c r="G233" s="27"/>
      <c r="H233" s="24"/>
      <c r="I233" s="90">
        <v>45296.21630509</v>
      </c>
      <c r="J233" s="91" t="s">
        <v>204</v>
      </c>
      <c r="K233" s="93" t="s">
        <v>205</v>
      </c>
      <c r="L233" s="89"/>
      <c r="M233" s="50"/>
      <c r="N233" s="55"/>
      <c r="O233" s="54"/>
    </row>
    <row r="234" s="2" customFormat="1" ht="18" customHeight="1" spans="1:16">
      <c r="A234" s="13"/>
      <c r="B234" s="35">
        <f t="shared" si="14"/>
        <v>0</v>
      </c>
      <c r="C234" s="36"/>
      <c r="D234" s="37"/>
      <c r="E234" s="38"/>
      <c r="F234" s="35">
        <f t="shared" si="15"/>
        <v>0</v>
      </c>
      <c r="G234" s="27"/>
      <c r="H234" s="24" t="s">
        <v>154</v>
      </c>
      <c r="I234" s="95">
        <v>564816</v>
      </c>
      <c r="J234" s="56" t="s">
        <v>155</v>
      </c>
      <c r="K234" s="96" t="s">
        <v>206</v>
      </c>
      <c r="L234" s="97"/>
      <c r="M234" s="50"/>
      <c r="N234" s="55"/>
      <c r="O234" s="54"/>
      <c r="P234" s="2">
        <v>12606</v>
      </c>
    </row>
    <row r="235" s="2" customFormat="1" ht="18" customHeight="1" spans="1:16">
      <c r="A235" s="13"/>
      <c r="B235" s="35">
        <f t="shared" si="14"/>
        <v>0</v>
      </c>
      <c r="C235" s="36"/>
      <c r="D235" s="37"/>
      <c r="E235" s="38"/>
      <c r="F235" s="35">
        <f t="shared" si="15"/>
        <v>0</v>
      </c>
      <c r="G235" s="27"/>
      <c r="H235" s="24" t="s">
        <v>154</v>
      </c>
      <c r="I235" s="98">
        <v>-114500</v>
      </c>
      <c r="J235" s="56" t="s">
        <v>158</v>
      </c>
      <c r="K235" s="87" t="s">
        <v>159</v>
      </c>
      <c r="L235" s="89"/>
      <c r="M235" s="50"/>
      <c r="N235" s="55"/>
      <c r="O235" s="54"/>
      <c r="P235" s="2">
        <v>414810</v>
      </c>
    </row>
    <row r="236" s="2" customFormat="1" ht="18" customHeight="1" spans="1:16">
      <c r="A236" s="13"/>
      <c r="B236" s="35">
        <f t="shared" si="14"/>
        <v>114500</v>
      </c>
      <c r="C236" s="36"/>
      <c r="D236" s="37"/>
      <c r="E236" s="38"/>
      <c r="F236" s="35">
        <f t="shared" si="15"/>
        <v>0</v>
      </c>
      <c r="G236" s="27">
        <v>114500</v>
      </c>
      <c r="H236" s="24" t="s">
        <v>154</v>
      </c>
      <c r="I236" s="98">
        <v>114500</v>
      </c>
      <c r="J236" s="56" t="s">
        <v>155</v>
      </c>
      <c r="K236" s="87" t="s">
        <v>159</v>
      </c>
      <c r="L236" s="89"/>
      <c r="M236" s="50"/>
      <c r="N236" s="55"/>
      <c r="O236" s="54"/>
      <c r="P236" s="2">
        <v>137400</v>
      </c>
    </row>
    <row r="237" s="2" customFormat="1" ht="18" customHeight="1" spans="1:15">
      <c r="A237" s="13"/>
      <c r="B237" s="35">
        <f t="shared" si="14"/>
        <v>0</v>
      </c>
      <c r="C237" s="36"/>
      <c r="D237" s="37"/>
      <c r="E237" s="38"/>
      <c r="F237" s="35">
        <f t="shared" si="15"/>
        <v>0</v>
      </c>
      <c r="G237" s="27"/>
      <c r="H237" s="24" t="s">
        <v>160</v>
      </c>
      <c r="I237" s="98">
        <v>-16639</v>
      </c>
      <c r="J237" s="56" t="s">
        <v>158</v>
      </c>
      <c r="K237" s="87" t="s">
        <v>161</v>
      </c>
      <c r="L237" s="99"/>
      <c r="M237" s="50"/>
      <c r="N237" s="55"/>
      <c r="O237" s="54"/>
    </row>
    <row r="238" s="2" customFormat="1" ht="18" customHeight="1" spans="1:15">
      <c r="A238" s="13"/>
      <c r="B238" s="35">
        <f t="shared" si="14"/>
        <v>16639</v>
      </c>
      <c r="C238" s="36"/>
      <c r="D238" s="37"/>
      <c r="E238" s="38"/>
      <c r="F238" s="35">
        <f t="shared" si="15"/>
        <v>0</v>
      </c>
      <c r="G238" s="27">
        <v>16639</v>
      </c>
      <c r="H238" s="24" t="s">
        <v>160</v>
      </c>
      <c r="I238" s="98">
        <v>16639</v>
      </c>
      <c r="J238" s="56" t="s">
        <v>155</v>
      </c>
      <c r="K238" s="87" t="s">
        <v>159</v>
      </c>
      <c r="L238" s="89"/>
      <c r="M238" s="50"/>
      <c r="N238" s="55"/>
      <c r="O238" s="54"/>
    </row>
    <row r="239" s="2" customFormat="1" ht="18" customHeight="1" spans="1:15">
      <c r="A239" s="13"/>
      <c r="B239" s="35">
        <f t="shared" si="14"/>
        <v>0</v>
      </c>
      <c r="C239" s="36"/>
      <c r="D239" s="37"/>
      <c r="E239" s="38"/>
      <c r="F239" s="35">
        <f t="shared" si="15"/>
        <v>0</v>
      </c>
      <c r="G239" s="27"/>
      <c r="H239" s="24" t="s">
        <v>162</v>
      </c>
      <c r="I239" s="98">
        <v>-5000</v>
      </c>
      <c r="J239" s="56" t="s">
        <v>158</v>
      </c>
      <c r="K239" s="87" t="s">
        <v>159</v>
      </c>
      <c r="L239" s="89"/>
      <c r="M239" s="50"/>
      <c r="N239" s="55"/>
      <c r="O239" s="54"/>
    </row>
    <row r="240" s="2" customFormat="1" ht="18" customHeight="1" spans="1:15">
      <c r="A240" s="13"/>
      <c r="B240" s="35">
        <f t="shared" si="14"/>
        <v>5000</v>
      </c>
      <c r="C240" s="36"/>
      <c r="D240" s="37"/>
      <c r="E240" s="38"/>
      <c r="F240" s="35">
        <f t="shared" si="15"/>
        <v>0</v>
      </c>
      <c r="G240" s="27">
        <v>5000</v>
      </c>
      <c r="H240" s="24" t="s">
        <v>162</v>
      </c>
      <c r="I240" s="98">
        <v>5000</v>
      </c>
      <c r="J240" s="56" t="s">
        <v>155</v>
      </c>
      <c r="K240" s="87" t="s">
        <v>159</v>
      </c>
      <c r="L240" s="89"/>
      <c r="M240" s="50"/>
      <c r="N240" s="55"/>
      <c r="O240" s="54"/>
    </row>
    <row r="241" s="2" customFormat="1" ht="18" customHeight="1" spans="1:15">
      <c r="A241" s="13"/>
      <c r="B241" s="35">
        <f t="shared" si="14"/>
        <v>0</v>
      </c>
      <c r="C241" s="36"/>
      <c r="D241" s="37"/>
      <c r="E241" s="38"/>
      <c r="F241" s="35">
        <f t="shared" si="15"/>
        <v>0</v>
      </c>
      <c r="G241" s="27"/>
      <c r="H241" s="24" t="s">
        <v>163</v>
      </c>
      <c r="I241" s="100">
        <v>-59371</v>
      </c>
      <c r="J241" s="56"/>
      <c r="K241" s="87" t="s">
        <v>161</v>
      </c>
      <c r="L241" s="89"/>
      <c r="M241" s="50"/>
      <c r="N241" s="55"/>
      <c r="O241" s="54"/>
    </row>
    <row r="242" s="2" customFormat="1" ht="18" customHeight="1" spans="1:15">
      <c r="A242" s="13"/>
      <c r="B242" s="35">
        <f t="shared" si="14"/>
        <v>0</v>
      </c>
      <c r="C242" s="36"/>
      <c r="D242" s="37"/>
      <c r="E242" s="38"/>
      <c r="F242" s="35">
        <f t="shared" si="15"/>
        <v>0</v>
      </c>
      <c r="G242" s="27"/>
      <c r="H242" s="24" t="s">
        <v>163</v>
      </c>
      <c r="I242" s="100">
        <v>40337</v>
      </c>
      <c r="J242" s="56" t="s">
        <v>155</v>
      </c>
      <c r="K242" s="87" t="s">
        <v>9</v>
      </c>
      <c r="L242" s="89"/>
      <c r="M242" s="50"/>
      <c r="N242" s="55"/>
      <c r="O242" s="54"/>
    </row>
    <row r="243" s="2" customFormat="1" ht="18" customHeight="1" spans="1:15">
      <c r="A243" s="13"/>
      <c r="B243" s="35">
        <f t="shared" si="14"/>
        <v>0</v>
      </c>
      <c r="C243" s="36"/>
      <c r="D243" s="37"/>
      <c r="E243" s="38"/>
      <c r="F243" s="35">
        <f t="shared" si="15"/>
        <v>0</v>
      </c>
      <c r="G243" s="27"/>
      <c r="H243" s="24" t="s">
        <v>163</v>
      </c>
      <c r="I243" s="100">
        <v>4034</v>
      </c>
      <c r="J243" s="56" t="s">
        <v>155</v>
      </c>
      <c r="K243" s="87" t="s">
        <v>164</v>
      </c>
      <c r="L243" s="89"/>
      <c r="M243" s="50"/>
      <c r="N243" s="55"/>
      <c r="O243" s="54"/>
    </row>
    <row r="244" s="2" customFormat="1" ht="18" customHeight="1" spans="1:15">
      <c r="A244" s="13"/>
      <c r="B244" s="35">
        <f t="shared" si="14"/>
        <v>15000</v>
      </c>
      <c r="C244" s="36"/>
      <c r="D244" s="37"/>
      <c r="E244" s="38"/>
      <c r="F244" s="35">
        <f t="shared" si="15"/>
        <v>0</v>
      </c>
      <c r="G244" s="27">
        <f>15000</f>
        <v>15000</v>
      </c>
      <c r="H244" s="24" t="s">
        <v>163</v>
      </c>
      <c r="I244" s="100">
        <f>G244</f>
        <v>15000</v>
      </c>
      <c r="J244" s="56" t="s">
        <v>155</v>
      </c>
      <c r="K244" s="87" t="s">
        <v>159</v>
      </c>
      <c r="L244" s="89"/>
      <c r="M244" s="55"/>
      <c r="N244" s="55"/>
      <c r="O244" s="54"/>
    </row>
    <row r="245" s="2" customFormat="1" ht="18" customHeight="1" spans="1:15">
      <c r="A245" s="13"/>
      <c r="B245" s="35">
        <f t="shared" si="14"/>
        <v>0</v>
      </c>
      <c r="C245" s="36"/>
      <c r="D245" s="37"/>
      <c r="E245" s="38"/>
      <c r="F245" s="35">
        <f t="shared" si="15"/>
        <v>0</v>
      </c>
      <c r="G245" s="27"/>
      <c r="H245" s="24" t="s">
        <v>165</v>
      </c>
      <c r="I245" s="101">
        <v>-76486</v>
      </c>
      <c r="J245" s="56" t="s">
        <v>158</v>
      </c>
      <c r="K245" s="87" t="s">
        <v>166</v>
      </c>
      <c r="L245" s="89"/>
      <c r="M245" s="55"/>
      <c r="N245" s="55"/>
      <c r="O245" s="54" t="s">
        <v>139</v>
      </c>
    </row>
    <row r="246" s="2" customFormat="1" ht="18" customHeight="1" spans="1:15">
      <c r="A246" s="13"/>
      <c r="B246" s="35">
        <f t="shared" si="14"/>
        <v>0</v>
      </c>
      <c r="C246" s="36"/>
      <c r="D246" s="37"/>
      <c r="E246" s="38"/>
      <c r="F246" s="35">
        <f t="shared" si="15"/>
        <v>0</v>
      </c>
      <c r="G246" s="27"/>
      <c r="H246" s="24" t="s">
        <v>165</v>
      </c>
      <c r="I246" s="101">
        <v>38084</v>
      </c>
      <c r="J246" s="56" t="s">
        <v>155</v>
      </c>
      <c r="K246" s="87" t="s">
        <v>9</v>
      </c>
      <c r="L246" s="89"/>
      <c r="M246" s="55"/>
      <c r="N246" s="55"/>
      <c r="O246" s="54"/>
    </row>
    <row r="247" s="2" customFormat="1" ht="18" customHeight="1" spans="1:15">
      <c r="A247" s="13"/>
      <c r="B247" s="35">
        <f t="shared" si="14"/>
        <v>0</v>
      </c>
      <c r="C247" s="36"/>
      <c r="D247" s="37"/>
      <c r="E247" s="38"/>
      <c r="F247" s="35">
        <f t="shared" si="15"/>
        <v>0</v>
      </c>
      <c r="G247" s="27"/>
      <c r="H247" s="24" t="s">
        <v>165</v>
      </c>
      <c r="I247" s="101">
        <v>3809</v>
      </c>
      <c r="J247" s="56" t="s">
        <v>155</v>
      </c>
      <c r="K247" s="87" t="s">
        <v>167</v>
      </c>
      <c r="L247" s="89"/>
      <c r="M247" s="55"/>
      <c r="N247" s="55"/>
      <c r="O247" s="54"/>
    </row>
    <row r="248" s="2" customFormat="1" ht="18" customHeight="1" spans="1:15">
      <c r="A248" s="13"/>
      <c r="B248" s="35">
        <f t="shared" si="14"/>
        <v>34593</v>
      </c>
      <c r="C248" s="36"/>
      <c r="D248" s="37"/>
      <c r="E248" s="38"/>
      <c r="F248" s="35">
        <f t="shared" si="15"/>
        <v>0</v>
      </c>
      <c r="G248" s="27">
        <v>34593</v>
      </c>
      <c r="H248" s="24" t="s">
        <v>165</v>
      </c>
      <c r="I248" s="101">
        <v>34593</v>
      </c>
      <c r="J248" s="56" t="s">
        <v>155</v>
      </c>
      <c r="K248" s="87" t="s">
        <v>159</v>
      </c>
      <c r="L248" s="89"/>
      <c r="M248" s="55"/>
      <c r="N248" s="55"/>
      <c r="O248" s="54"/>
    </row>
    <row r="249" s="2" customFormat="1" ht="18" customHeight="1" spans="1:15">
      <c r="A249" s="13"/>
      <c r="B249" s="35">
        <f t="shared" si="14"/>
        <v>0</v>
      </c>
      <c r="C249" s="36"/>
      <c r="D249" s="37"/>
      <c r="E249" s="38"/>
      <c r="F249" s="35">
        <f t="shared" si="15"/>
        <v>0</v>
      </c>
      <c r="G249" s="27"/>
      <c r="H249" s="24">
        <v>43486</v>
      </c>
      <c r="I249" s="102">
        <v>-252612</v>
      </c>
      <c r="J249" s="56" t="s">
        <v>158</v>
      </c>
      <c r="K249" s="87" t="s">
        <v>168</v>
      </c>
      <c r="L249" s="103"/>
      <c r="M249" s="55"/>
      <c r="N249" s="55"/>
      <c r="O249" s="54"/>
    </row>
    <row r="250" s="2" customFormat="1" ht="18" customHeight="1" spans="1:15">
      <c r="A250" s="13"/>
      <c r="B250" s="35">
        <f t="shared" si="14"/>
        <v>0</v>
      </c>
      <c r="C250" s="36"/>
      <c r="D250" s="37"/>
      <c r="E250" s="38"/>
      <c r="F250" s="35">
        <f t="shared" si="15"/>
        <v>0</v>
      </c>
      <c r="G250" s="27"/>
      <c r="H250" s="24"/>
      <c r="I250" s="102">
        <v>5828</v>
      </c>
      <c r="J250" s="56" t="s">
        <v>155</v>
      </c>
      <c r="K250" s="87" t="s">
        <v>164</v>
      </c>
      <c r="L250" s="89"/>
      <c r="M250" s="55"/>
      <c r="N250" s="55"/>
      <c r="O250" s="54"/>
    </row>
    <row r="251" s="2" customFormat="1" ht="18" customHeight="1" spans="1:15">
      <c r="A251" s="13"/>
      <c r="B251" s="35">
        <f t="shared" si="14"/>
        <v>0</v>
      </c>
      <c r="C251" s="36"/>
      <c r="D251" s="37"/>
      <c r="E251" s="38"/>
      <c r="F251" s="35">
        <f t="shared" si="15"/>
        <v>0</v>
      </c>
      <c r="G251" s="27"/>
      <c r="H251" s="24"/>
      <c r="I251" s="102">
        <v>58272</v>
      </c>
      <c r="J251" s="56" t="s">
        <v>155</v>
      </c>
      <c r="K251" s="87" t="s">
        <v>9</v>
      </c>
      <c r="L251" s="89"/>
      <c r="M251" s="55"/>
      <c r="N251" s="55"/>
      <c r="O251" s="54"/>
    </row>
    <row r="252" s="2" customFormat="1" ht="18" customHeight="1" spans="1:15">
      <c r="A252" s="13"/>
      <c r="B252" s="35">
        <f t="shared" si="14"/>
        <v>0</v>
      </c>
      <c r="C252" s="36"/>
      <c r="D252" s="37"/>
      <c r="E252" s="38"/>
      <c r="F252" s="35">
        <f t="shared" si="15"/>
        <v>0</v>
      </c>
      <c r="G252" s="27"/>
      <c r="H252" s="24" t="s">
        <v>207</v>
      </c>
      <c r="I252" s="102">
        <v>131996</v>
      </c>
      <c r="J252" s="56" t="s">
        <v>155</v>
      </c>
      <c r="K252" s="87" t="s">
        <v>169</v>
      </c>
      <c r="L252" s="104"/>
      <c r="M252" s="55"/>
      <c r="N252" s="55"/>
      <c r="O252" s="54"/>
    </row>
    <row r="253" s="2" customFormat="1" ht="18" customHeight="1" spans="1:15">
      <c r="A253" s="13"/>
      <c r="B253" s="35">
        <f t="shared" si="14"/>
        <v>0</v>
      </c>
      <c r="C253" s="36"/>
      <c r="D253" s="37"/>
      <c r="E253" s="38"/>
      <c r="F253" s="35">
        <f t="shared" si="15"/>
        <v>0</v>
      </c>
      <c r="G253" s="27"/>
      <c r="H253" s="24"/>
      <c r="I253" s="102">
        <v>3100</v>
      </c>
      <c r="J253" s="56" t="s">
        <v>155</v>
      </c>
      <c r="K253" s="87" t="s">
        <v>170</v>
      </c>
      <c r="L253" s="105"/>
      <c r="M253" s="55"/>
      <c r="N253" s="55"/>
      <c r="O253" s="54"/>
    </row>
    <row r="254" s="2" customFormat="1" ht="18" customHeight="1" spans="1:15">
      <c r="A254" s="13"/>
      <c r="B254" s="35">
        <f t="shared" si="14"/>
        <v>0</v>
      </c>
      <c r="C254" s="36"/>
      <c r="D254" s="37"/>
      <c r="E254" s="38"/>
      <c r="F254" s="35">
        <f t="shared" si="15"/>
        <v>0</v>
      </c>
      <c r="G254" s="27"/>
      <c r="H254" s="24"/>
      <c r="I254" s="40"/>
      <c r="J254" s="56"/>
      <c r="K254" s="87" t="s">
        <v>172</v>
      </c>
      <c r="L254" s="105"/>
      <c r="M254" s="55"/>
      <c r="N254" s="55"/>
      <c r="O254" s="54"/>
    </row>
    <row r="255" s="2" customFormat="1" ht="18" customHeight="1" spans="1:15">
      <c r="A255" s="13"/>
      <c r="B255" s="35">
        <f t="shared" si="14"/>
        <v>0</v>
      </c>
      <c r="C255" s="36"/>
      <c r="D255" s="37"/>
      <c r="E255" s="38"/>
      <c r="F255" s="35">
        <f t="shared" si="15"/>
        <v>0</v>
      </c>
      <c r="G255" s="27"/>
      <c r="H255" s="24"/>
      <c r="I255" s="40"/>
      <c r="J255" s="56"/>
      <c r="K255" s="87" t="s">
        <v>174</v>
      </c>
      <c r="L255" s="105"/>
      <c r="M255" s="55"/>
      <c r="N255" s="55"/>
      <c r="O255" s="54"/>
    </row>
    <row r="256" s="2" customFormat="1" ht="18" customHeight="1" spans="1:15">
      <c r="A256" s="13"/>
      <c r="B256" s="35">
        <f t="shared" si="14"/>
        <v>0</v>
      </c>
      <c r="C256" s="36"/>
      <c r="D256" s="37"/>
      <c r="E256" s="38"/>
      <c r="F256" s="35">
        <f t="shared" si="15"/>
        <v>0</v>
      </c>
      <c r="G256" s="27"/>
      <c r="H256" s="24">
        <v>43473</v>
      </c>
      <c r="I256" s="106">
        <v>-104491</v>
      </c>
      <c r="J256" s="58" t="s">
        <v>158</v>
      </c>
      <c r="K256" s="87" t="s">
        <v>9</v>
      </c>
      <c r="L256" s="105"/>
      <c r="M256" s="55"/>
      <c r="N256" s="55"/>
      <c r="O256" s="54"/>
    </row>
    <row r="257" s="2" customFormat="1" ht="18" customHeight="1" spans="1:15">
      <c r="A257" s="13"/>
      <c r="B257" s="35">
        <f t="shared" si="14"/>
        <v>0</v>
      </c>
      <c r="C257" s="36"/>
      <c r="D257" s="37"/>
      <c r="E257" s="38"/>
      <c r="F257" s="35">
        <f t="shared" si="15"/>
        <v>0</v>
      </c>
      <c r="G257" s="27"/>
      <c r="H257" s="24">
        <v>43827</v>
      </c>
      <c r="I257" s="106">
        <v>-481180</v>
      </c>
      <c r="J257" s="56" t="s">
        <v>158</v>
      </c>
      <c r="K257" s="87" t="s">
        <v>175</v>
      </c>
      <c r="L257" s="105"/>
      <c r="M257" s="55"/>
      <c r="N257" s="55"/>
      <c r="O257" s="54"/>
    </row>
    <row r="258" s="2" customFormat="1" ht="18" customHeight="1" spans="1:15">
      <c r="A258" s="13"/>
      <c r="B258" s="35">
        <f t="shared" si="14"/>
        <v>0</v>
      </c>
      <c r="C258" s="36"/>
      <c r="D258" s="37"/>
      <c r="E258" s="38"/>
      <c r="F258" s="35">
        <f t="shared" si="15"/>
        <v>0</v>
      </c>
      <c r="G258" s="27"/>
      <c r="H258" s="24"/>
      <c r="I258" s="106">
        <v>10450</v>
      </c>
      <c r="J258" s="56" t="s">
        <v>155</v>
      </c>
      <c r="K258" s="87" t="s">
        <v>164</v>
      </c>
      <c r="L258" s="105"/>
      <c r="M258" s="55"/>
      <c r="N258" s="55"/>
      <c r="O258" s="54"/>
    </row>
    <row r="259" s="2" customFormat="1" ht="18" customHeight="1" spans="1:15">
      <c r="A259" s="13"/>
      <c r="B259" s="35">
        <f t="shared" si="14"/>
        <v>0</v>
      </c>
      <c r="C259" s="36"/>
      <c r="D259" s="37"/>
      <c r="E259" s="38"/>
      <c r="F259" s="35">
        <f t="shared" si="15"/>
        <v>0</v>
      </c>
      <c r="G259" s="27"/>
      <c r="H259" s="24" t="s">
        <v>208</v>
      </c>
      <c r="I259" s="106">
        <v>470730</v>
      </c>
      <c r="J259" s="56" t="s">
        <v>155</v>
      </c>
      <c r="K259" s="87" t="s">
        <v>169</v>
      </c>
      <c r="L259" s="105"/>
      <c r="M259" s="55"/>
      <c r="N259" s="55"/>
      <c r="O259" s="54"/>
    </row>
    <row r="260" s="2" customFormat="1" ht="18" customHeight="1" spans="1:15">
      <c r="A260" s="13"/>
      <c r="B260" s="35">
        <f t="shared" si="14"/>
        <v>0</v>
      </c>
      <c r="C260" s="36"/>
      <c r="D260" s="37"/>
      <c r="E260" s="38"/>
      <c r="F260" s="35">
        <f t="shared" si="15"/>
        <v>0</v>
      </c>
      <c r="G260" s="27"/>
      <c r="H260" s="24"/>
      <c r="I260" s="106">
        <v>104491</v>
      </c>
      <c r="J260" s="56" t="s">
        <v>155</v>
      </c>
      <c r="K260" s="87" t="s">
        <v>9</v>
      </c>
      <c r="L260" s="105"/>
      <c r="M260" s="55"/>
      <c r="N260" s="55"/>
      <c r="O260" s="54"/>
    </row>
    <row r="261" s="2" customFormat="1" ht="18" customHeight="1" spans="1:16">
      <c r="A261" s="13"/>
      <c r="B261" s="35">
        <f t="shared" si="14"/>
        <v>0</v>
      </c>
      <c r="C261" s="36"/>
      <c r="D261" s="37"/>
      <c r="E261" s="38"/>
      <c r="F261" s="35">
        <f t="shared" si="15"/>
        <v>0</v>
      </c>
      <c r="G261" s="27"/>
      <c r="H261" s="24"/>
      <c r="I261" s="40"/>
      <c r="J261" s="56" t="s">
        <v>171</v>
      </c>
      <c r="K261" s="87" t="s">
        <v>176</v>
      </c>
      <c r="L261" s="105"/>
      <c r="M261" s="55"/>
      <c r="N261" s="55"/>
      <c r="O261" s="54"/>
      <c r="P261" s="122"/>
    </row>
    <row r="262" s="2" customFormat="1" ht="18" customHeight="1" spans="1:15">
      <c r="A262" s="13"/>
      <c r="B262" s="35">
        <f t="shared" si="14"/>
        <v>0</v>
      </c>
      <c r="C262" s="36"/>
      <c r="D262" s="37"/>
      <c r="E262" s="38"/>
      <c r="F262" s="35">
        <f t="shared" si="15"/>
        <v>0</v>
      </c>
      <c r="G262" s="27"/>
      <c r="H262" s="24"/>
      <c r="I262" s="26"/>
      <c r="J262" s="56" t="s">
        <v>177</v>
      </c>
      <c r="K262" s="87" t="s">
        <v>178</v>
      </c>
      <c r="L262" s="105"/>
      <c r="M262" s="55"/>
      <c r="N262" s="55"/>
      <c r="O262" s="54"/>
    </row>
    <row r="263" s="2" customFormat="1" ht="18" customHeight="1" spans="1:15">
      <c r="A263" s="13"/>
      <c r="B263" s="35">
        <f t="shared" si="14"/>
        <v>0</v>
      </c>
      <c r="C263" s="36"/>
      <c r="D263" s="37"/>
      <c r="E263" s="38"/>
      <c r="F263" s="35">
        <f t="shared" si="15"/>
        <v>0</v>
      </c>
      <c r="G263" s="27"/>
      <c r="H263" s="24">
        <v>43823</v>
      </c>
      <c r="I263" s="102">
        <v>-57832</v>
      </c>
      <c r="J263" s="56" t="s">
        <v>158</v>
      </c>
      <c r="K263" s="87" t="s">
        <v>159</v>
      </c>
      <c r="L263" s="87" t="s">
        <v>179</v>
      </c>
      <c r="M263" s="55"/>
      <c r="N263" s="55"/>
      <c r="O263" s="54"/>
    </row>
    <row r="264" s="2" customFormat="1" ht="18" customHeight="1" spans="1:15">
      <c r="A264" s="13"/>
      <c r="B264" s="35">
        <f t="shared" si="14"/>
        <v>0</v>
      </c>
      <c r="C264" s="36"/>
      <c r="D264" s="37"/>
      <c r="E264" s="38"/>
      <c r="F264" s="35">
        <f t="shared" si="15"/>
        <v>0</v>
      </c>
      <c r="G264" s="27"/>
      <c r="H264" s="24"/>
      <c r="I264" s="102">
        <v>2048</v>
      </c>
      <c r="J264" s="50"/>
      <c r="K264" s="53" t="s">
        <v>179</v>
      </c>
      <c r="L264" s="53"/>
      <c r="M264" s="55"/>
      <c r="N264" s="55"/>
      <c r="O264" s="54"/>
    </row>
    <row r="265" s="2" customFormat="1" ht="18" customHeight="1" spans="1:15">
      <c r="A265" s="13"/>
      <c r="B265" s="35">
        <f t="shared" si="14"/>
        <v>0</v>
      </c>
      <c r="C265" s="36"/>
      <c r="D265" s="37"/>
      <c r="E265" s="38"/>
      <c r="F265" s="35">
        <f t="shared" si="15"/>
        <v>0</v>
      </c>
      <c r="G265" s="27"/>
      <c r="H265" s="24">
        <v>43819</v>
      </c>
      <c r="I265" s="123">
        <v>-40000</v>
      </c>
      <c r="J265" s="56" t="s">
        <v>158</v>
      </c>
      <c r="K265" s="87" t="s">
        <v>159</v>
      </c>
      <c r="L265" s="54"/>
      <c r="M265" s="55"/>
      <c r="N265" s="55"/>
      <c r="O265" s="54"/>
    </row>
    <row r="266" s="2" customFormat="1" ht="18" customHeight="1" spans="1:15">
      <c r="A266" s="13"/>
      <c r="B266" s="35">
        <f t="shared" si="14"/>
        <v>149200</v>
      </c>
      <c r="C266" s="36"/>
      <c r="D266" s="37"/>
      <c r="E266" s="38"/>
      <c r="F266" s="35">
        <f t="shared" si="15"/>
        <v>0</v>
      </c>
      <c r="G266" s="27">
        <f>40000+55784+53416</f>
        <v>149200</v>
      </c>
      <c r="H266" s="24"/>
      <c r="I266" s="123">
        <f>G266</f>
        <v>149200</v>
      </c>
      <c r="J266" s="56" t="s">
        <v>155</v>
      </c>
      <c r="K266" s="87" t="s">
        <v>159</v>
      </c>
      <c r="L266" s="54"/>
      <c r="M266" s="55"/>
      <c r="N266" s="55"/>
      <c r="O266" s="54"/>
    </row>
    <row r="267" s="1" customFormat="1" ht="18" customHeight="1" spans="1:15">
      <c r="A267" s="31" t="s">
        <v>24</v>
      </c>
      <c r="B267" s="30">
        <f>SUM(B19:B266)</f>
        <v>61757662.27</v>
      </c>
      <c r="C267" s="31"/>
      <c r="D267" s="107"/>
      <c r="E267" s="107"/>
      <c r="F267" s="32">
        <f>SUM(F19:F266)</f>
        <v>3630662.47</v>
      </c>
      <c r="G267" s="108">
        <f>SUM(G19:G266)</f>
        <v>65388324.74</v>
      </c>
      <c r="H267" s="109"/>
      <c r="I267" s="31">
        <f>SUM(I19:I266)</f>
        <v>67158830.4015895</v>
      </c>
      <c r="J267" s="124"/>
      <c r="K267" s="125"/>
      <c r="L267" s="33"/>
      <c r="M267" s="50"/>
      <c r="N267" s="50"/>
      <c r="O267" s="33"/>
    </row>
    <row r="268" s="1" customFormat="1" ht="18" customHeight="1" spans="1:14">
      <c r="A268" s="110" t="s">
        <v>182</v>
      </c>
      <c r="B268" s="110">
        <f>B16*0.976</f>
        <v>61592181.5611676</v>
      </c>
      <c r="C268" s="110"/>
      <c r="D268" s="111"/>
      <c r="E268" s="111"/>
      <c r="F268" s="112"/>
      <c r="G268" s="110">
        <f>G16-G267</f>
        <v>3669295.26</v>
      </c>
      <c r="H268" s="23" t="s">
        <v>183</v>
      </c>
      <c r="I268" s="31">
        <f>I16-I267</f>
        <v>1898789.5984105</v>
      </c>
      <c r="K268" s="126"/>
      <c r="M268" s="127"/>
      <c r="N268" s="127"/>
    </row>
    <row r="269" s="1" customFormat="1" ht="18" customHeight="1" spans="1:14">
      <c r="A269" s="110" t="s">
        <v>184</v>
      </c>
      <c r="B269" s="110">
        <f>B268-B267</f>
        <v>-165480.708832398</v>
      </c>
      <c r="C269" s="110"/>
      <c r="D269" s="111"/>
      <c r="E269" s="111"/>
      <c r="F269" s="112"/>
      <c r="G269" s="112"/>
      <c r="H269" s="113"/>
      <c r="I269" s="112"/>
      <c r="K269" s="112"/>
      <c r="M269" s="127"/>
      <c r="N269" s="127"/>
    </row>
    <row r="270" s="1" customFormat="1" ht="18" customHeight="1" spans="1:11">
      <c r="A270" s="8" t="s">
        <v>185</v>
      </c>
      <c r="B270" s="6"/>
      <c r="C270" s="8"/>
      <c r="D270" s="7"/>
      <c r="E270" s="7"/>
      <c r="F270" s="6"/>
      <c r="G270" s="6"/>
      <c r="H270" s="7"/>
      <c r="I270" s="6"/>
      <c r="J270" s="9"/>
      <c r="K270" s="6"/>
    </row>
    <row r="271" s="1" customFormat="1" ht="18" customHeight="1" spans="1:13">
      <c r="A271" s="23" t="s">
        <v>186</v>
      </c>
      <c r="B271" s="22" t="s">
        <v>187</v>
      </c>
      <c r="C271" s="33"/>
      <c r="D271" s="23" t="s">
        <v>186</v>
      </c>
      <c r="E271" s="21" t="s">
        <v>18</v>
      </c>
      <c r="F271" s="22" t="s">
        <v>187</v>
      </c>
      <c r="G271" s="22" t="s">
        <v>188</v>
      </c>
      <c r="H271" s="22" t="s">
        <v>189</v>
      </c>
      <c r="I271" s="22" t="s">
        <v>190</v>
      </c>
      <c r="J271" s="9"/>
      <c r="K271" s="22" t="s">
        <v>191</v>
      </c>
      <c r="L271" s="22" t="s">
        <v>192</v>
      </c>
      <c r="M271" s="109" t="s">
        <v>216</v>
      </c>
    </row>
    <row r="272" s="1" customFormat="1" ht="18" customHeight="1" spans="1:13">
      <c r="A272" s="33" t="s">
        <v>193</v>
      </c>
      <c r="B272" s="35">
        <f>(B268-B267)*0.25</f>
        <v>-41370.1772080995</v>
      </c>
      <c r="C272" s="33"/>
      <c r="D272" s="12" t="s">
        <v>194</v>
      </c>
      <c r="E272" s="50" t="s">
        <v>195</v>
      </c>
      <c r="F272" s="32">
        <f>F16-F267</f>
        <v>1058079.25910759</v>
      </c>
      <c r="G272" s="32">
        <f>F7-SUM(F19:F115)</f>
        <v>427936.001818182</v>
      </c>
      <c r="H272" s="32">
        <f>F8-SUM(F116:F145)</f>
        <v>119996.265454545</v>
      </c>
      <c r="I272" s="32">
        <v>0</v>
      </c>
      <c r="J272" s="126"/>
      <c r="K272" s="32">
        <v>0</v>
      </c>
      <c r="L272" s="32">
        <f>F9+F10+F11-SUM(F145:F224)</f>
        <v>377100.175321104</v>
      </c>
      <c r="M272" s="32">
        <f>F12</f>
        <v>133046.816513761</v>
      </c>
    </row>
    <row r="273" s="1" customFormat="1" ht="18" customHeight="1" spans="1:13">
      <c r="A273" s="33" t="s">
        <v>196</v>
      </c>
      <c r="B273" s="114" t="s">
        <v>197</v>
      </c>
      <c r="C273" s="33"/>
      <c r="D273" s="115" t="s">
        <v>198</v>
      </c>
      <c r="E273" s="15">
        <v>0.07</v>
      </c>
      <c r="F273" s="14">
        <f>F272*E273</f>
        <v>74065.5481375313</v>
      </c>
      <c r="G273" s="14">
        <v>21396.8000909091</v>
      </c>
      <c r="H273" s="14">
        <v>5999.81327272727</v>
      </c>
      <c r="I273" s="14">
        <f>I272*E273</f>
        <v>0</v>
      </c>
      <c r="J273" s="9"/>
      <c r="K273" s="14">
        <v>0</v>
      </c>
      <c r="L273" s="14">
        <f>L272*0.05</f>
        <v>18855.0087660552</v>
      </c>
      <c r="M273" s="14">
        <f>M272*E273</f>
        <v>9313.27715596327</v>
      </c>
    </row>
    <row r="274" s="1" customFormat="1" ht="18" customHeight="1" spans="1:13">
      <c r="A274" s="33" t="s">
        <v>164</v>
      </c>
      <c r="B274" s="17"/>
      <c r="C274" s="33"/>
      <c r="D274" s="115" t="s">
        <v>199</v>
      </c>
      <c r="E274" s="15">
        <v>0.03</v>
      </c>
      <c r="F274" s="14">
        <f>F272*E274</f>
        <v>31742.3777732277</v>
      </c>
      <c r="G274" s="14">
        <v>12838.0800545454</v>
      </c>
      <c r="H274" s="14">
        <v>3599.88796363636</v>
      </c>
      <c r="I274" s="14">
        <f>I272*E274</f>
        <v>0</v>
      </c>
      <c r="J274" s="9"/>
      <c r="K274" s="14">
        <v>0</v>
      </c>
      <c r="L274" s="14">
        <f>L272*E274</f>
        <v>11313.0052596331</v>
      </c>
      <c r="M274" s="14">
        <f>M272*E274</f>
        <v>3991.40449541283</v>
      </c>
    </row>
    <row r="275" s="1" customFormat="1" ht="18" customHeight="1" spans="1:13">
      <c r="A275" s="33"/>
      <c r="B275" s="114"/>
      <c r="C275" s="33"/>
      <c r="D275" s="115" t="s">
        <v>200</v>
      </c>
      <c r="E275" s="15">
        <v>0.02</v>
      </c>
      <c r="F275" s="14">
        <f>F272*E275</f>
        <v>21161.5851821518</v>
      </c>
      <c r="G275" s="14">
        <v>8558.72003636363</v>
      </c>
      <c r="H275" s="14">
        <v>2399.92530909091</v>
      </c>
      <c r="I275" s="14">
        <f>I272*E275</f>
        <v>0</v>
      </c>
      <c r="J275" s="9"/>
      <c r="K275" s="14">
        <v>0</v>
      </c>
      <c r="L275" s="14">
        <f>L272*E275</f>
        <v>7542.00350642208</v>
      </c>
      <c r="M275" s="14">
        <f>M272*E275</f>
        <v>2660.93633027522</v>
      </c>
    </row>
    <row r="276" s="1" customFormat="1" ht="18" customHeight="1" spans="1:13">
      <c r="A276" s="29" t="s">
        <v>201</v>
      </c>
      <c r="B276" s="30">
        <f>SUM(B272:B275)</f>
        <v>-41370.1772080995</v>
      </c>
      <c r="C276" s="33"/>
      <c r="D276" s="29" t="s">
        <v>201</v>
      </c>
      <c r="E276" s="29"/>
      <c r="F276" s="32">
        <f>SUM(F272:F275)</f>
        <v>1185048.7702005</v>
      </c>
      <c r="G276" s="32">
        <v>470729.602</v>
      </c>
      <c r="H276" s="32">
        <v>131995.892</v>
      </c>
      <c r="I276" s="32">
        <f>SUM(I272:I275)</f>
        <v>0</v>
      </c>
      <c r="J276" s="9"/>
      <c r="K276" s="32">
        <v>0</v>
      </c>
      <c r="L276" s="32">
        <f>SUM(L272:L275)</f>
        <v>414810.192853215</v>
      </c>
      <c r="M276" s="32">
        <f>SUM(M272:M275)</f>
        <v>149012.434495412</v>
      </c>
    </row>
    <row r="277" s="1" customFormat="1" ht="18" customHeight="1" spans="1:13">
      <c r="A277" s="8"/>
      <c r="B277" s="6"/>
      <c r="C277" s="8"/>
      <c r="D277" s="116" t="s">
        <v>193</v>
      </c>
      <c r="E277" s="117"/>
      <c r="F277" s="116">
        <f>G16*E277</f>
        <v>0</v>
      </c>
      <c r="G277" s="116">
        <v>278642.036363636</v>
      </c>
      <c r="H277" s="116"/>
      <c r="I277" s="116"/>
      <c r="J277" s="128"/>
      <c r="K277" s="116"/>
      <c r="L277" s="116"/>
      <c r="M277" s="35"/>
    </row>
    <row r="278" s="1" customFormat="1" ht="18" customHeight="1" spans="1:15">
      <c r="A278" s="8"/>
      <c r="B278" s="6"/>
      <c r="C278" s="8"/>
      <c r="D278" s="116" t="s">
        <v>193</v>
      </c>
      <c r="E278" s="117">
        <v>0.006</v>
      </c>
      <c r="F278" s="116">
        <f>G16*E278</f>
        <v>414345.72</v>
      </c>
      <c r="G278" s="116">
        <v>104490.763636364</v>
      </c>
      <c r="H278" s="116">
        <v>58271.0509090909</v>
      </c>
      <c r="I278" s="116">
        <f>B9*E278</f>
        <v>38083.3211009174</v>
      </c>
      <c r="J278" s="128"/>
      <c r="K278" s="116">
        <f>B10*E278</f>
        <v>40336.3211009174</v>
      </c>
      <c r="L278" s="116">
        <f>G11*E278</f>
        <v>137399.94</v>
      </c>
      <c r="M278" s="116">
        <f>G12*E278</f>
        <v>12430.374</v>
      </c>
      <c r="O278" s="129" t="s">
        <v>217</v>
      </c>
    </row>
    <row r="279" s="1" customFormat="1" ht="18" customHeight="1" spans="1:15">
      <c r="A279" s="8"/>
      <c r="B279" s="6"/>
      <c r="C279" s="8"/>
      <c r="D279" s="116" t="s">
        <v>196</v>
      </c>
      <c r="E279" s="117">
        <v>0.0003</v>
      </c>
      <c r="F279" s="118"/>
      <c r="G279" s="118"/>
      <c r="H279" s="118"/>
      <c r="I279" s="118"/>
      <c r="J279" s="9"/>
      <c r="K279" s="118"/>
      <c r="L279" s="118"/>
      <c r="M279" s="14"/>
      <c r="O279" s="129">
        <v>312</v>
      </c>
    </row>
    <row r="280" s="1" customFormat="1" ht="18" customHeight="1" spans="1:15">
      <c r="A280" s="8"/>
      <c r="B280" s="6"/>
      <c r="C280" s="8"/>
      <c r="D280" s="116" t="s">
        <v>164</v>
      </c>
      <c r="E280" s="117">
        <v>0.0006</v>
      </c>
      <c r="F280" s="14">
        <f>G16*E280</f>
        <v>41434.572</v>
      </c>
      <c r="G280" s="14">
        <v>10449.0763636364</v>
      </c>
      <c r="H280" s="14">
        <v>5827.10509090909</v>
      </c>
      <c r="I280" s="14">
        <f>B9*E280</f>
        <v>3808.33211009174</v>
      </c>
      <c r="J280" s="9"/>
      <c r="K280" s="14">
        <f>B10*E280</f>
        <v>4033.63211009174</v>
      </c>
      <c r="L280" s="14">
        <f>B11*E280</f>
        <v>12605.4990825688</v>
      </c>
      <c r="M280" s="14">
        <f>B12*E280</f>
        <v>1140.40128440367</v>
      </c>
      <c r="O280" s="1">
        <f>L276+L280</f>
        <v>427415.691935783</v>
      </c>
    </row>
    <row r="281" s="1" customFormat="1" ht="18" customHeight="1" spans="1:13">
      <c r="A281" s="8"/>
      <c r="B281" s="6"/>
      <c r="C281" s="8"/>
      <c r="D281" s="31" t="s">
        <v>24</v>
      </c>
      <c r="E281" s="31"/>
      <c r="F281" s="31">
        <f>F276+F277+F280</f>
        <v>1226483.3422005</v>
      </c>
      <c r="G281" s="31">
        <v>759820.714727273</v>
      </c>
      <c r="H281" s="31">
        <v>196094.048</v>
      </c>
      <c r="I281" s="31">
        <f>I276+I278+I280</f>
        <v>41891.6532110092</v>
      </c>
      <c r="J281" s="9"/>
      <c r="K281" s="31">
        <f>K278+K280</f>
        <v>44369.9532110092</v>
      </c>
      <c r="L281" s="31">
        <f>L276+L278+L280</f>
        <v>564815.631935783</v>
      </c>
      <c r="M281" s="31">
        <f>M276+M278+M280</f>
        <v>162583.209779816</v>
      </c>
    </row>
    <row r="282" s="6" customFormat="1" ht="18" customHeight="1" spans="1:18">
      <c r="A282" s="8"/>
      <c r="B282" s="6">
        <v>151195.42771126</v>
      </c>
      <c r="C282" s="8"/>
      <c r="D282" s="7"/>
      <c r="E282" s="7"/>
      <c r="F282" s="6">
        <v>1076227.87030509</v>
      </c>
      <c r="G282" s="6">
        <v>-502544.316198923</v>
      </c>
      <c r="H282" s="7">
        <v>656951.08</v>
      </c>
      <c r="J282" s="9"/>
      <c r="K282" s="1"/>
      <c r="L282" s="1"/>
      <c r="M282" s="1"/>
      <c r="N282" s="1"/>
      <c r="O282" s="1"/>
      <c r="P282" s="1"/>
      <c r="Q282" s="1"/>
      <c r="R282" s="1"/>
    </row>
    <row r="283" s="6" customFormat="1" ht="18" customHeight="1" spans="1:18">
      <c r="A283" s="8"/>
      <c r="B283" s="6">
        <v>1076227.87030509</v>
      </c>
      <c r="C283" s="8"/>
      <c r="D283" s="7" t="s">
        <v>209</v>
      </c>
      <c r="E283" s="7"/>
      <c r="F283" s="6">
        <v>1054263</v>
      </c>
      <c r="H283" s="7"/>
      <c r="J283" s="9"/>
      <c r="K283" s="1"/>
      <c r="L283" s="1"/>
      <c r="M283" s="1"/>
      <c r="N283" s="1"/>
      <c r="O283" s="1"/>
      <c r="P283" s="1"/>
      <c r="Q283" s="1"/>
      <c r="R283" s="1"/>
    </row>
    <row r="284" s="6" customFormat="1" ht="18" customHeight="1" spans="1:18">
      <c r="A284" s="8"/>
      <c r="C284" s="8"/>
      <c r="D284" s="7" t="s">
        <v>210</v>
      </c>
      <c r="E284" s="7"/>
      <c r="F284" s="119">
        <v>21964.87030509</v>
      </c>
      <c r="H284" s="7"/>
      <c r="J284" s="9"/>
      <c r="K284" s="1"/>
      <c r="L284" s="1"/>
      <c r="M284" s="1"/>
      <c r="N284" s="1"/>
      <c r="O284" s="1"/>
      <c r="P284" s="1"/>
      <c r="Q284" s="1"/>
      <c r="R284" s="1"/>
    </row>
    <row r="285" s="1" customFormat="1" ht="18" customHeight="1" spans="1:12">
      <c r="A285" s="8"/>
      <c r="B285" s="6"/>
      <c r="C285" s="8"/>
      <c r="D285" s="7" t="s">
        <v>211</v>
      </c>
      <c r="E285" s="7"/>
      <c r="F285" s="6">
        <v>241184</v>
      </c>
      <c r="G285" s="6"/>
      <c r="H285" s="7"/>
      <c r="I285" s="6"/>
      <c r="J285" s="9"/>
      <c r="L285" s="2"/>
    </row>
    <row r="286" s="6" customFormat="1" ht="18" customHeight="1" spans="1:18">
      <c r="A286" s="8"/>
      <c r="C286" s="8"/>
      <c r="D286" s="7"/>
      <c r="E286" s="7"/>
      <c r="F286" s="119"/>
      <c r="H286" s="7"/>
      <c r="J286" s="9"/>
      <c r="K286" s="1"/>
      <c r="L286" s="1"/>
      <c r="M286" s="1"/>
      <c r="N286" s="1"/>
      <c r="O286" s="1"/>
      <c r="P286" s="1"/>
      <c r="Q286" s="1"/>
      <c r="R286" s="1"/>
    </row>
    <row r="287" s="1" customFormat="1" ht="20.4" customHeight="1" spans="1:12">
      <c r="A287" s="8"/>
      <c r="B287" s="6"/>
      <c r="C287" s="8"/>
      <c r="D287" s="7" t="s">
        <v>212</v>
      </c>
      <c r="E287" s="7"/>
      <c r="F287" s="119">
        <v>160731.346</v>
      </c>
      <c r="G287" s="6">
        <v>182696.21630509</v>
      </c>
      <c r="H287" s="7"/>
      <c r="I287" s="6"/>
      <c r="J287" s="9"/>
      <c r="L287" s="1">
        <v>241184</v>
      </c>
    </row>
    <row r="288" s="6" customFormat="1" ht="38.4" customHeight="1" spans="1:18">
      <c r="A288" s="8"/>
      <c r="C288" s="8"/>
      <c r="D288" s="7" t="s">
        <v>213</v>
      </c>
      <c r="E288" s="7"/>
      <c r="F288" s="119">
        <v>179229</v>
      </c>
      <c r="H288" s="7"/>
      <c r="J288" s="9"/>
      <c r="K288" s="1"/>
      <c r="L288" s="1"/>
      <c r="M288" s="1"/>
      <c r="N288" s="1"/>
      <c r="O288" s="1"/>
      <c r="P288" s="1"/>
      <c r="Q288" s="1"/>
      <c r="R288" s="1"/>
    </row>
    <row r="289" s="6" customFormat="1" ht="15" customHeight="1" spans="1:18">
      <c r="A289" s="8"/>
      <c r="B289" s="120" t="s">
        <v>214</v>
      </c>
      <c r="C289" s="120"/>
      <c r="D289" s="120"/>
      <c r="E289" s="121"/>
      <c r="F289" s="119">
        <v>444227</v>
      </c>
      <c r="H289" s="7"/>
      <c r="J289" s="9"/>
      <c r="K289" s="1"/>
      <c r="L289" s="1"/>
      <c r="M289" s="1"/>
      <c r="N289" s="1"/>
      <c r="O289" s="1"/>
      <c r="P289" s="1"/>
      <c r="Q289" s="1"/>
      <c r="R289" s="1"/>
    </row>
    <row r="290" s="6" customFormat="1" ht="22.2" customHeight="1" spans="1:18">
      <c r="A290" s="8"/>
      <c r="C290" s="8"/>
      <c r="D290" s="7"/>
      <c r="E290" s="7"/>
      <c r="F290" s="6">
        <v>182696.21630509</v>
      </c>
      <c r="H290" s="7"/>
      <c r="J290" s="9"/>
      <c r="K290" s="1"/>
      <c r="L290" s="1"/>
      <c r="M290" s="1"/>
      <c r="N290" s="1"/>
      <c r="O290" s="1"/>
      <c r="P290" s="1"/>
      <c r="Q290" s="1"/>
      <c r="R290" s="1"/>
    </row>
    <row r="291" s="1" customFormat="1" ht="19.8" customHeight="1" spans="1:11">
      <c r="A291" s="8"/>
      <c r="B291" s="6"/>
      <c r="C291" s="8"/>
      <c r="D291" s="7"/>
      <c r="E291" s="7"/>
      <c r="F291" s="6"/>
      <c r="G291" s="6"/>
      <c r="H291" s="7"/>
      <c r="I291" s="6"/>
      <c r="J291" s="9"/>
      <c r="K291" s="1" t="s">
        <v>17</v>
      </c>
    </row>
    <row r="292" s="7" customFormat="1" ht="23.4" customHeight="1" spans="1:18">
      <c r="A292" s="8"/>
      <c r="B292" s="6"/>
      <c r="C292" s="8"/>
      <c r="F292" s="6"/>
      <c r="G292" s="6"/>
      <c r="I292" s="6"/>
      <c r="J292" s="9"/>
      <c r="K292" s="1"/>
      <c r="L292" s="1"/>
      <c r="M292" s="1"/>
      <c r="N292" s="1"/>
      <c r="O292" s="1"/>
      <c r="P292" s="1"/>
      <c r="Q292" s="1"/>
      <c r="R292" s="1"/>
    </row>
    <row r="293" s="7" customFormat="1" spans="1:18">
      <c r="A293" s="8"/>
      <c r="B293" s="6"/>
      <c r="C293" s="8"/>
      <c r="F293" s="6"/>
      <c r="G293" s="6"/>
      <c r="I293" s="6"/>
      <c r="J293" s="9"/>
      <c r="K293" s="1"/>
      <c r="L293" s="1"/>
      <c r="M293" s="1"/>
      <c r="N293" s="1"/>
      <c r="O293" s="1"/>
      <c r="P293" s="1"/>
      <c r="Q293" s="1"/>
      <c r="R293" s="1"/>
    </row>
    <row r="294" s="7" customFormat="1" spans="1:18">
      <c r="A294" s="8"/>
      <c r="B294" s="6"/>
      <c r="C294" s="8"/>
      <c r="F294" s="6"/>
      <c r="G294" s="6"/>
      <c r="I294" s="6"/>
      <c r="J294" s="9"/>
      <c r="K294" s="1"/>
      <c r="L294" s="1"/>
      <c r="M294" s="1"/>
      <c r="N294" s="1"/>
      <c r="O294" s="1"/>
      <c r="P294" s="1"/>
      <c r="Q294" s="1"/>
      <c r="R294" s="1"/>
    </row>
    <row r="295" s="7" customFormat="1" spans="1:18">
      <c r="A295" s="8"/>
      <c r="B295" s="6"/>
      <c r="C295" s="8"/>
      <c r="F295" s="6"/>
      <c r="G295" s="6"/>
      <c r="I295" s="6"/>
      <c r="J295" s="9"/>
      <c r="K295" s="1"/>
      <c r="L295" s="1"/>
      <c r="M295" s="1"/>
      <c r="N295" s="1"/>
      <c r="O295" s="1"/>
      <c r="P295" s="1"/>
      <c r="Q295" s="1"/>
      <c r="R295" s="1"/>
    </row>
    <row r="296" s="7" customFormat="1" spans="1:18">
      <c r="A296" s="8"/>
      <c r="B296" s="6"/>
      <c r="C296" s="8"/>
      <c r="F296" s="6"/>
      <c r="G296" s="6"/>
      <c r="I296" s="6"/>
      <c r="J296" s="9"/>
      <c r="K296" s="1"/>
      <c r="L296" s="1"/>
      <c r="M296" s="1"/>
      <c r="N296" s="1"/>
      <c r="O296" s="1"/>
      <c r="P296" s="1"/>
      <c r="Q296" s="1"/>
      <c r="R296" s="1"/>
    </row>
    <row r="297" s="7" customFormat="1" spans="1:18">
      <c r="A297" s="8"/>
      <c r="B297" s="6"/>
      <c r="C297" s="8"/>
      <c r="F297" s="6"/>
      <c r="G297" s="6"/>
      <c r="I297" s="6"/>
      <c r="J297" s="9"/>
      <c r="K297" s="1"/>
      <c r="L297" s="1"/>
      <c r="M297" s="1"/>
      <c r="N297" s="1"/>
      <c r="O297" s="1"/>
      <c r="P297" s="1"/>
      <c r="Q297" s="1"/>
      <c r="R297" s="1"/>
    </row>
    <row r="298" s="7" customFormat="1" spans="1:18">
      <c r="A298" s="8"/>
      <c r="B298" s="6"/>
      <c r="C298" s="8"/>
      <c r="F298" s="6"/>
      <c r="G298" s="6"/>
      <c r="I298" s="6"/>
      <c r="J298" s="9"/>
      <c r="K298" s="1"/>
      <c r="L298" s="1"/>
      <c r="M298" s="1"/>
      <c r="N298" s="1"/>
      <c r="O298" s="1"/>
      <c r="P298" s="1"/>
      <c r="Q298" s="1"/>
      <c r="R298" s="1"/>
    </row>
    <row r="299" s="7" customFormat="1" spans="1:18">
      <c r="A299" s="8"/>
      <c r="B299" s="6"/>
      <c r="C299" s="8"/>
      <c r="F299" s="6"/>
      <c r="G299" s="6"/>
      <c r="I299" s="6"/>
      <c r="J299" s="9"/>
      <c r="K299" s="1"/>
      <c r="L299" s="1"/>
      <c r="M299" s="1"/>
      <c r="N299" s="1"/>
      <c r="O299" s="1"/>
      <c r="P299" s="1"/>
      <c r="Q299" s="1"/>
      <c r="R299" s="1"/>
    </row>
    <row r="300" s="7" customFormat="1" spans="1:18">
      <c r="A300" s="8"/>
      <c r="B300" s="6"/>
      <c r="C300" s="8"/>
      <c r="F300" s="6"/>
      <c r="G300" s="6"/>
      <c r="I300" s="6"/>
      <c r="J300" s="9"/>
      <c r="K300" s="1"/>
      <c r="L300" s="1"/>
      <c r="M300" s="1"/>
      <c r="N300" s="1"/>
      <c r="O300" s="1"/>
      <c r="P300" s="1"/>
      <c r="Q300" s="1"/>
      <c r="R300" s="1"/>
    </row>
    <row r="301" s="7" customFormat="1" spans="1:18">
      <c r="A301" s="8"/>
      <c r="B301" s="6"/>
      <c r="C301" s="8"/>
      <c r="F301" s="6"/>
      <c r="G301" s="6"/>
      <c r="I301" s="6"/>
      <c r="J301" s="9"/>
      <c r="K301" s="1"/>
      <c r="L301" s="1"/>
      <c r="M301" s="1"/>
      <c r="N301" s="1"/>
      <c r="O301" s="1"/>
      <c r="P301" s="1"/>
      <c r="Q301" s="1"/>
      <c r="R301" s="1"/>
    </row>
    <row r="302" s="7" customFormat="1" spans="1:18">
      <c r="A302" s="8"/>
      <c r="B302" s="6"/>
      <c r="C302" s="8"/>
      <c r="F302" s="6"/>
      <c r="G302" s="6"/>
      <c r="I302" s="6"/>
      <c r="J302" s="9"/>
      <c r="K302" s="1"/>
      <c r="L302" s="1"/>
      <c r="M302" s="1"/>
      <c r="N302" s="1"/>
      <c r="O302" s="1"/>
      <c r="P302" s="1"/>
      <c r="Q302" s="1"/>
      <c r="R302" s="1"/>
    </row>
  </sheetData>
  <protectedRanges>
    <protectedRange sqref="K104:L104" name="区域1"/>
    <protectedRange sqref="K121:L122 K123" name="区域1_1"/>
    <protectedRange sqref="I127:I136" name="区域1_2"/>
    <protectedRange sqref="K156:L159 K173:L173 K171:L171 K170 K164:L166 K163 K161:L162 K160 K246 K168:L169 K167 K175:K179 K238:K240 K242:K243 K190:K202 K183:K185 K187:K188 K227:K234 K217:K219 K221:K225" name="区域1_3"/>
    <protectedRange sqref="K174:L174" name="区域1_6"/>
    <protectedRange sqref="K172:L172 L167" name="区域1_7"/>
    <protectedRange sqref="L180" name="区域1_4"/>
    <protectedRange sqref="K181:L182" name="区域1_5"/>
    <protectedRange sqref="I180" name="区域1_8"/>
    <protectedRange sqref="K203:L204" name="区域1_9"/>
    <protectedRange sqref="K236 K226" name="区域1_3_1"/>
    <protectedRange sqref="K235" name="区域1_3_2"/>
  </protectedRanges>
  <autoFilter ref="A18:S291">
    <extLst/>
  </autoFilter>
  <mergeCells count="9">
    <mergeCell ref="A1:J1"/>
    <mergeCell ref="H2:J2"/>
    <mergeCell ref="C5:D5"/>
    <mergeCell ref="E5:F5"/>
    <mergeCell ref="H5:J5"/>
    <mergeCell ref="B289:D289"/>
    <mergeCell ref="A5:A6"/>
    <mergeCell ref="B5:B6"/>
    <mergeCell ref="G5:G6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原表</vt:lpstr>
      <vt:lpstr>吴总修改</vt:lpstr>
      <vt:lpstr>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2019-04-11T01:42:00Z</cp:lastPrinted>
  <dcterms:modified xsi:type="dcterms:W3CDTF">2021-08-17T01:35:25Z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A54C7B05808442B39B60B81B1085F35F</vt:lpwstr>
  </property>
</Properties>
</file>