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8448  甲供材 (新)" sheetId="6" r:id="rId1"/>
    <sheet name="8448  甲供材（旧）" sheetId="4" r:id="rId2"/>
    <sheet name="Sheet1" sheetId="5" r:id="rId3"/>
  </sheets>
  <definedNames>
    <definedName name="_xlnm._FilterDatabase" localSheetId="0" hidden="1">'8448  甲供材 (新)'!$A$18:$O$82</definedName>
    <definedName name="_xlnm._FilterDatabase" localSheetId="1" hidden="1">'8448  甲供材（旧）'!$A$16:$O$63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E2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A7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7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L79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D8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L8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A6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7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D7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<sst xmlns="http://schemas.openxmlformats.org/spreadsheetml/2006/main" count="472" uniqueCount="120">
  <si>
    <t>C9349  “亚太新天地”项目北区室外雨污水工程 +亚太新天地北区东入口左侧景观挡土墙施工工程</t>
  </si>
  <si>
    <t>涛城镇2017年生防工程（集凤路）</t>
  </si>
  <si>
    <t>中标日期</t>
  </si>
  <si>
    <t>2017.12.21</t>
  </si>
  <si>
    <t>中标价</t>
  </si>
  <si>
    <t>负责人</t>
  </si>
  <si>
    <t>建设单位</t>
  </si>
  <si>
    <t>郎溪亚太广场商业开发有限公司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</si>
  <si>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</si>
  <si>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</si>
  <si>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</si>
  <si>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</si>
  <si>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</si>
  <si>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</si>
  <si>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</si>
  <si>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</si>
  <si>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</si>
  <si>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</si>
  <si>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</si>
  <si>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</si>
  <si>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</si>
  <si>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</si>
  <si>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</si>
  <si>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亚太新天地北区东入口左侧景观挡土墙施工工程</t>
  </si>
  <si>
    <t>协议18年签</t>
  </si>
  <si>
    <t>挡土墙</t>
  </si>
  <si>
    <t>新中行电子承兑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</si>
  <si>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</si>
  <si>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</si>
  <si>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</si>
  <si>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</si>
  <si>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</si>
  <si>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</si>
  <si>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</si>
  <si>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</si>
  <si>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</si>
  <si>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</si>
  <si>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</si>
  <si>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</si>
  <si>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</si>
  <si>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</si>
  <si>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</si>
  <si>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六安市金安区椿树镇东升水泥制品厂</t>
  </si>
  <si>
    <t>水泥化粪池</t>
  </si>
  <si>
    <t>徽行</t>
  </si>
  <si>
    <t>熊俊义</t>
  </si>
  <si>
    <t>收代付材料款</t>
  </si>
  <si>
    <t>普代</t>
  </si>
  <si>
    <t>张宏</t>
  </si>
  <si>
    <t>砂石料</t>
  </si>
  <si>
    <t xml:space="preserve">张宝明  </t>
  </si>
  <si>
    <t>施工费</t>
  </si>
  <si>
    <t>郎溪县管通建材销售有限公司</t>
  </si>
  <si>
    <t>波纹管</t>
  </si>
  <si>
    <t>郎溪县祥云建材有限公司</t>
  </si>
  <si>
    <t>水泥</t>
  </si>
  <si>
    <t>退代付材料款</t>
  </si>
  <si>
    <t>专代</t>
  </si>
  <si>
    <t>肥西县花岗镇永胜水泥制品厂</t>
  </si>
  <si>
    <t>郎溪县建磊建筑装饰材料销售有限公司</t>
  </si>
  <si>
    <t>普</t>
  </si>
  <si>
    <t>郎溪县跃隆新型建筑材料有限公司</t>
  </si>
  <si>
    <t>标砖</t>
  </si>
  <si>
    <t>工时费</t>
  </si>
  <si>
    <t>作废</t>
  </si>
  <si>
    <t>地砖42707块</t>
  </si>
  <si>
    <t>郎溪县立鼎建筑工程劳务服务部</t>
  </si>
  <si>
    <t>劳务费</t>
  </si>
  <si>
    <t>水泥115吨</t>
  </si>
  <si>
    <t>郎溪天佑水利工程有限公司</t>
  </si>
  <si>
    <t>工程服务</t>
  </si>
  <si>
    <t>郎溪县王贵府工程机械租赁服务部</t>
  </si>
  <si>
    <t>机械租赁</t>
  </si>
  <si>
    <t>9349-2021-002#（2021-664号）-110000</t>
  </si>
  <si>
    <t>郎溪县力鼎建筑工程劳务服务部</t>
  </si>
  <si>
    <t>劳务</t>
  </si>
  <si>
    <t>9349-2021-001#（2021-663号）-85058</t>
  </si>
  <si>
    <t>何品亮</t>
  </si>
  <si>
    <t>黄沙、石子</t>
  </si>
  <si>
    <t>9349-2021-003#(2021-683号）-88471.57</t>
  </si>
  <si>
    <t>扣</t>
  </si>
  <si>
    <t>2021.11月增值税及附加</t>
  </si>
  <si>
    <t>2021.11月水利基金、印花税</t>
  </si>
  <si>
    <t>7次</t>
  </si>
  <si>
    <t>企税1.6%</t>
  </si>
  <si>
    <t xml:space="preserve">补扣 </t>
  </si>
  <si>
    <t>19年1月份开票扣税（有票红冲）</t>
  </si>
  <si>
    <t>预留</t>
  </si>
  <si>
    <t>损失准备金</t>
  </si>
  <si>
    <t>管理费</t>
  </si>
  <si>
    <t>6次</t>
  </si>
  <si>
    <t>增值税及附加</t>
  </si>
  <si>
    <t>损失准备金1%</t>
  </si>
  <si>
    <t>退回</t>
  </si>
  <si>
    <t>暂扣</t>
  </si>
  <si>
    <t>下次工程款到账再付</t>
  </si>
  <si>
    <t>代办费</t>
  </si>
  <si>
    <t>增值税</t>
  </si>
  <si>
    <t>成本差额</t>
  </si>
  <si>
    <t>可支付金额</t>
  </si>
  <si>
    <t>公司代缴税金：</t>
  </si>
  <si>
    <t>税种</t>
  </si>
  <si>
    <t>税额</t>
  </si>
  <si>
    <t>18.6月开票扣税</t>
  </si>
  <si>
    <t>18.9月开票扣税</t>
  </si>
  <si>
    <t>18.12月开票扣税</t>
  </si>
  <si>
    <t>19年1月开票扣税</t>
  </si>
  <si>
    <r>
      <rPr>
        <b/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9年8月开票扣税</t>
    </r>
  </si>
  <si>
    <t>2021年11月开票税金</t>
  </si>
  <si>
    <t>企业所得税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</si>
  <si>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</si>
  <si>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</si>
  <si>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</si>
  <si>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</si>
  <si>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</si>
  <si>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</si>
  <si>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</si>
  <si>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</si>
  <si>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“亚太新天地”项目北区室外雨污水工程 +亚太新天地北区东入口左侧景观挡土墙施工工程</t>
  </si>
  <si>
    <r>
      <rPr>
        <sz val="9"/>
        <rFont val="宋体"/>
        <charset val="134"/>
        <scheme val="minor"/>
      </rPr>
      <t>1</t>
    </r>
    <r>
      <rPr>
        <sz val="9"/>
        <color rgb="FFFF0000"/>
        <rFont val="宋体"/>
        <charset val="134"/>
        <scheme val="minor"/>
      </rPr>
      <t>9年1月份开票扣税（有票红冲）</t>
    </r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</si>
</sst>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yy/m/d;@"/>
    <numFmt numFmtId="178" formatCode="#,##0.00_ "/>
    <numFmt numFmtId="179" formatCode="yyyy&quot;年&quot;m&quot;月&quot;;@"/>
    <numFmt numFmtId="180" formatCode="#,##0.000_ "/>
    <numFmt numFmtId="181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4" borderId="6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4" fillId="33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27">
    <xf numFmtId="0" fontId="0" fillId="0" borderId="0" xfId="0"/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vertical="center"/>
    </xf>
    <xf numFmtId="176" fontId="0" fillId="0" borderId="0" xfId="0" applyNumberFormat="1"/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9" fontId="3" fillId="0" borderId="1" xfId="1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9" fontId="3" fillId="0" borderId="1" xfId="11" applyNumberFormat="1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9" fontId="1" fillId="6" borderId="1" xfId="11" applyNumberFormat="1" applyFont="1" applyFill="1" applyBorder="1" applyAlignment="1">
      <alignment horizontal="center" vertical="center"/>
    </xf>
    <xf numFmtId="9" fontId="1" fillId="6" borderId="1" xfId="1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181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9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vertical="center"/>
    </xf>
    <xf numFmtId="181" fontId="2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9" fontId="2" fillId="4" borderId="1" xfId="1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6" borderId="1" xfId="11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9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9" fontId="3" fillId="4" borderId="1" xfId="11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9" fontId="2" fillId="6" borderId="1" xfId="1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9" fontId="3" fillId="6" borderId="1" xfId="1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0" fontId="2" fillId="2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/>
    </xf>
    <xf numFmtId="178" fontId="1" fillId="3" borderId="1" xfId="0" applyNumberFormat="1" applyFont="1" applyFill="1" applyBorder="1" applyAlignment="1">
      <alignment vertical="center"/>
    </xf>
    <xf numFmtId="178" fontId="1" fillId="4" borderId="1" xfId="0" applyNumberFormat="1" applyFont="1" applyFill="1" applyBorder="1" applyAlignment="1">
      <alignment vertical="center"/>
    </xf>
    <xf numFmtId="178" fontId="3" fillId="3" borderId="1" xfId="0" applyNumberFormat="1" applyFont="1" applyFill="1" applyBorder="1" applyAlignment="1">
      <alignment vertical="center"/>
    </xf>
    <xf numFmtId="178" fontId="5" fillId="4" borderId="1" xfId="0" applyNumberFormat="1" applyFont="1" applyFill="1" applyBorder="1" applyAlignment="1">
      <alignment vertical="center"/>
    </xf>
    <xf numFmtId="178" fontId="5" fillId="5" borderId="1" xfId="0" applyNumberFormat="1" applyFont="1" applyFill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178" fontId="1" fillId="2" borderId="1" xfId="0" applyNumberFormat="1" applyFont="1" applyFill="1" applyBorder="1" applyAlignment="1">
      <alignment vertical="center"/>
    </xf>
    <xf numFmtId="178" fontId="2" fillId="4" borderId="1" xfId="0" applyNumberFormat="1" applyFont="1" applyFill="1" applyBorder="1" applyAlignment="1">
      <alignment vertical="center"/>
    </xf>
    <xf numFmtId="178" fontId="3" fillId="4" borderId="1" xfId="0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8" fontId="2" fillId="3" borderId="1" xfId="0" applyNumberFormat="1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178" fontId="5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14</xdr:col>
      <xdr:colOff>277495</xdr:colOff>
      <xdr:row>12</xdr:row>
      <xdr:rowOff>135890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63325" y="964565"/>
          <a:ext cx="4554220" cy="1964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7"/>
  <sheetViews>
    <sheetView tabSelected="1" topLeftCell="A52" workbookViewId="0">
      <selection activeCell="J61" sqref="J61"/>
    </sheetView>
  </sheetViews>
  <sheetFormatPr defaultColWidth="9" defaultRowHeight="11.25"/>
  <cols>
    <col min="1" max="1" width="9" style="9" customWidth="1"/>
    <col min="2" max="2" width="13.125" style="10" customWidth="1"/>
    <col min="3" max="3" width="6" style="11" customWidth="1"/>
    <col min="4" max="4" width="13.375" style="11" customWidth="1"/>
    <col min="5" max="5" width="7.625" style="11" customWidth="1"/>
    <col min="6" max="6" width="13.125" style="10" customWidth="1"/>
    <col min="7" max="7" width="14.125" style="10" customWidth="1"/>
    <col min="8" max="8" width="14.125" style="11" customWidth="1"/>
    <col min="9" max="9" width="13.875" style="10" customWidth="1"/>
    <col min="10" max="10" width="13.25" style="12" customWidth="1"/>
    <col min="11" max="11" width="31.5" style="8" customWidth="1"/>
    <col min="12" max="12" width="12.75" style="8" customWidth="1"/>
    <col min="13" max="13" width="37.75" style="8" customWidth="1"/>
    <col min="14" max="14" width="5.625" style="8" customWidth="1"/>
    <col min="15" max="15" width="13.125" style="8" customWidth="1"/>
    <col min="16" max="16384" width="9" style="8"/>
  </cols>
  <sheetData>
    <row r="1" ht="21.95" customHeight="1" spans="1:12">
      <c r="A1" s="13" t="s">
        <v>0</v>
      </c>
      <c r="B1" s="13" t="s">
        <v>1</v>
      </c>
      <c r="C1" s="13" t="s">
        <v>1</v>
      </c>
      <c r="D1" s="13" t="s">
        <v>1</v>
      </c>
      <c r="E1" s="13" t="s">
        <v>1</v>
      </c>
      <c r="F1" s="14" t="s">
        <v>1</v>
      </c>
      <c r="G1" s="14" t="s">
        <v>1</v>
      </c>
      <c r="H1" s="13" t="s">
        <v>1</v>
      </c>
      <c r="I1" s="14" t="s">
        <v>1</v>
      </c>
      <c r="J1" s="13" t="s">
        <v>1</v>
      </c>
      <c r="K1" s="22"/>
      <c r="L1" s="22"/>
    </row>
    <row r="2" ht="18" customHeight="1" spans="1:12">
      <c r="A2" s="15" t="s">
        <v>2</v>
      </c>
      <c r="B2" s="16" t="s">
        <v>3</v>
      </c>
      <c r="C2" s="17" t="s">
        <v>4</v>
      </c>
      <c r="D2" s="17">
        <v>1450000</v>
      </c>
      <c r="E2" s="19" t="s">
        <v>5</v>
      </c>
      <c r="F2" s="18"/>
      <c r="G2" s="20" t="s">
        <v>6</v>
      </c>
      <c r="H2" s="21" t="s">
        <v>7</v>
      </c>
      <c r="I2" s="79"/>
      <c r="J2" s="80"/>
      <c r="K2" s="22"/>
      <c r="L2" s="22"/>
    </row>
    <row r="3" ht="18" customHeight="1" spans="1:12">
      <c r="A3" s="15" t="s">
        <v>8</v>
      </c>
      <c r="B3" s="1"/>
      <c r="C3" s="17" t="s">
        <v>9</v>
      </c>
      <c r="D3" s="17">
        <v>1564406.48</v>
      </c>
      <c r="H3" s="22"/>
      <c r="I3" s="81"/>
      <c r="J3" s="22"/>
      <c r="K3" s="22"/>
      <c r="L3" s="22"/>
    </row>
    <row r="4" ht="18" customHeight="1" spans="1:12">
      <c r="A4" s="9" t="s">
        <v>10</v>
      </c>
      <c r="H4" s="22"/>
      <c r="I4" s="81"/>
      <c r="J4" s="22"/>
      <c r="K4" s="22"/>
      <c r="L4" s="22"/>
    </row>
    <row r="5" ht="18" customHeight="1" spans="1:10">
      <c r="A5" s="23" t="s">
        <v>11</v>
      </c>
      <c r="B5" s="24" t="s">
        <v>12</v>
      </c>
      <c r="C5" s="23" t="s">
        <v>13</v>
      </c>
      <c r="D5" s="23"/>
      <c r="E5" s="23" t="s">
        <v>14</v>
      </c>
      <c r="F5" s="24"/>
      <c r="G5" s="24" t="s">
        <v>15</v>
      </c>
      <c r="H5" s="25" t="s">
        <v>16</v>
      </c>
      <c r="I5" s="24"/>
      <c r="J5" s="25"/>
    </row>
    <row r="6" ht="18" customHeight="1" spans="1:10">
      <c r="A6" s="23"/>
      <c r="B6" s="24"/>
      <c r="C6" s="23" t="s">
        <v>17</v>
      </c>
      <c r="D6" s="23" t="s">
        <v>18</v>
      </c>
      <c r="E6" s="23" t="s">
        <v>17</v>
      </c>
      <c r="F6" s="24" t="s">
        <v>18</v>
      </c>
      <c r="G6" s="24"/>
      <c r="H6" s="25" t="s">
        <v>19</v>
      </c>
      <c r="I6" s="24" t="s">
        <v>20</v>
      </c>
      <c r="J6" s="25" t="s">
        <v>21</v>
      </c>
    </row>
    <row r="7" ht="18" customHeight="1" spans="1:10">
      <c r="A7" s="26">
        <v>43265</v>
      </c>
      <c r="B7" s="17">
        <f t="shared" ref="B7:B12" si="0">G7/(1+C7+E7)</f>
        <v>438570.909090909</v>
      </c>
      <c r="C7" s="27">
        <v>0.02</v>
      </c>
      <c r="D7" s="109">
        <f t="shared" ref="D7:D12" si="1">G7/(1+E7+C7)*C7</f>
        <v>8771.41818181818</v>
      </c>
      <c r="E7" s="27">
        <v>0.08</v>
      </c>
      <c r="F7" s="17">
        <f t="shared" ref="F7:F12" si="2">G7/(1+C7+E7)*E7</f>
        <v>35085.6727272727</v>
      </c>
      <c r="G7" s="110">
        <v>482428</v>
      </c>
      <c r="H7" s="26">
        <v>43263</v>
      </c>
      <c r="I7" s="17">
        <v>482428</v>
      </c>
      <c r="J7" s="82" t="s">
        <v>22</v>
      </c>
    </row>
    <row r="8" ht="18" customHeight="1" spans="1:10">
      <c r="A8" s="26">
        <v>43346</v>
      </c>
      <c r="B8" s="17">
        <f t="shared" si="0"/>
        <v>212256.818181818</v>
      </c>
      <c r="C8" s="30">
        <v>0.02</v>
      </c>
      <c r="D8" s="109">
        <f t="shared" si="1"/>
        <v>4245.13636363636</v>
      </c>
      <c r="E8" s="27">
        <v>0.08</v>
      </c>
      <c r="F8" s="17">
        <f t="shared" si="2"/>
        <v>16980.5454545455</v>
      </c>
      <c r="G8" s="110">
        <v>233482.5</v>
      </c>
      <c r="H8" s="26">
        <v>43368</v>
      </c>
      <c r="I8" s="17">
        <v>200000</v>
      </c>
      <c r="J8" s="82" t="s">
        <v>22</v>
      </c>
    </row>
    <row r="9" ht="18" customHeight="1" spans="1:10">
      <c r="A9" s="26">
        <v>43455</v>
      </c>
      <c r="B9" s="17">
        <f t="shared" si="0"/>
        <v>339954.545454545</v>
      </c>
      <c r="C9" s="27">
        <v>0.02</v>
      </c>
      <c r="D9" s="109">
        <f t="shared" si="1"/>
        <v>6799.09090909091</v>
      </c>
      <c r="E9" s="27">
        <v>0.08</v>
      </c>
      <c r="F9" s="17">
        <f t="shared" si="2"/>
        <v>27196.3636363636</v>
      </c>
      <c r="G9" s="110">
        <v>373950</v>
      </c>
      <c r="H9" s="26">
        <v>43388</v>
      </c>
      <c r="I9" s="17">
        <v>33482</v>
      </c>
      <c r="J9" s="82" t="s">
        <v>22</v>
      </c>
    </row>
    <row r="10" ht="18" customHeight="1" spans="1:12">
      <c r="A10" s="26">
        <v>43489</v>
      </c>
      <c r="B10" s="17">
        <f t="shared" si="0"/>
        <v>72727.2727272727</v>
      </c>
      <c r="C10" s="27">
        <v>0.02</v>
      </c>
      <c r="D10" s="109">
        <f t="shared" si="1"/>
        <v>1454.54545454545</v>
      </c>
      <c r="E10" s="27">
        <v>0.08</v>
      </c>
      <c r="F10" s="17">
        <f t="shared" si="2"/>
        <v>5818.18181818182</v>
      </c>
      <c r="G10" s="111">
        <v>80000</v>
      </c>
      <c r="H10" s="26">
        <v>43458</v>
      </c>
      <c r="I10" s="17">
        <v>290900</v>
      </c>
      <c r="J10" s="82" t="s">
        <v>22</v>
      </c>
      <c r="K10" s="7" t="s">
        <v>23</v>
      </c>
      <c r="L10" s="7" t="s">
        <v>24</v>
      </c>
    </row>
    <row r="11" ht="18" customHeight="1" spans="1:10">
      <c r="A11" s="26">
        <v>43706</v>
      </c>
      <c r="B11" s="17">
        <f t="shared" si="0"/>
        <v>153479.100917431</v>
      </c>
      <c r="C11" s="27">
        <v>0.02</v>
      </c>
      <c r="D11" s="109">
        <f t="shared" si="1"/>
        <v>3069.58201834862</v>
      </c>
      <c r="E11" s="30">
        <v>0.07</v>
      </c>
      <c r="F11" s="17">
        <f t="shared" si="2"/>
        <v>10743.5370642202</v>
      </c>
      <c r="G11" s="110">
        <v>167292.22</v>
      </c>
      <c r="H11" s="26">
        <v>43543</v>
      </c>
      <c r="I11" s="17">
        <v>76000</v>
      </c>
      <c r="J11" s="82" t="s">
        <v>22</v>
      </c>
    </row>
    <row r="12" ht="18" customHeight="1" spans="1:11">
      <c r="A12" s="26">
        <v>44502</v>
      </c>
      <c r="B12" s="17">
        <f t="shared" si="0"/>
        <v>264080.073394495</v>
      </c>
      <c r="C12" s="30">
        <v>0.02</v>
      </c>
      <c r="D12" s="109">
        <f t="shared" si="1"/>
        <v>5281.60146788991</v>
      </c>
      <c r="E12" s="30">
        <v>0.07</v>
      </c>
      <c r="F12" s="17">
        <f t="shared" si="2"/>
        <v>18485.6051376147</v>
      </c>
      <c r="G12" s="112">
        <v>287847.28</v>
      </c>
      <c r="H12" s="26">
        <v>43594</v>
      </c>
      <c r="I12" s="118">
        <v>83100</v>
      </c>
      <c r="J12" s="82" t="s">
        <v>22</v>
      </c>
      <c r="K12" s="8" t="s">
        <v>25</v>
      </c>
    </row>
    <row r="13" ht="18" customHeight="1" spans="1:10">
      <c r="A13" s="26"/>
      <c r="B13" s="17"/>
      <c r="C13" s="27"/>
      <c r="D13" s="109"/>
      <c r="E13" s="27"/>
      <c r="F13" s="17"/>
      <c r="G13" s="110"/>
      <c r="H13" s="26">
        <v>43719</v>
      </c>
      <c r="I13" s="17">
        <v>167292.22</v>
      </c>
      <c r="J13" s="82" t="s">
        <v>22</v>
      </c>
    </row>
    <row r="14" ht="18" customHeight="1" spans="1:11">
      <c r="A14" s="26"/>
      <c r="B14" s="17"/>
      <c r="C14" s="27"/>
      <c r="D14" s="109"/>
      <c r="E14" s="27"/>
      <c r="F14" s="17"/>
      <c r="G14" s="110"/>
      <c r="H14" s="26">
        <v>44032</v>
      </c>
      <c r="I14" s="17">
        <v>4000</v>
      </c>
      <c r="J14" s="82" t="s">
        <v>22</v>
      </c>
      <c r="K14" s="8" t="s">
        <v>25</v>
      </c>
    </row>
    <row r="15" ht="18" customHeight="1" spans="1:10">
      <c r="A15" s="26"/>
      <c r="B15" s="17"/>
      <c r="C15" s="27"/>
      <c r="D15" s="109"/>
      <c r="E15" s="27"/>
      <c r="F15" s="17"/>
      <c r="G15" s="110"/>
      <c r="H15" s="26">
        <v>44540</v>
      </c>
      <c r="I15" s="17">
        <f>80000+137797.78</f>
        <v>217797.78</v>
      </c>
      <c r="J15" s="82" t="s">
        <v>26</v>
      </c>
    </row>
    <row r="16" ht="18" customHeight="1" spans="1:10">
      <c r="A16" s="32" t="s">
        <v>27</v>
      </c>
      <c r="B16" s="113">
        <f>SUM(B7:B15)</f>
        <v>1481068.71976647</v>
      </c>
      <c r="C16" s="34"/>
      <c r="D16" s="34">
        <f>SUM(D7:D15)</f>
        <v>29621.3743953294</v>
      </c>
      <c r="E16" s="34"/>
      <c r="F16" s="114">
        <f>SUM(F7:F15)</f>
        <v>114309.905838199</v>
      </c>
      <c r="G16" s="34">
        <f>SUM(G7:G15)</f>
        <v>1625000</v>
      </c>
      <c r="H16" s="37"/>
      <c r="I16" s="34">
        <f>SUM(I7:I15)</f>
        <v>1555000</v>
      </c>
      <c r="J16" s="37"/>
    </row>
    <row r="17" ht="18" customHeight="1" spans="1:12">
      <c r="A17" s="9" t="s">
        <v>28</v>
      </c>
      <c r="J17" s="11"/>
      <c r="K17" s="11"/>
      <c r="L17" s="12"/>
    </row>
    <row r="18" ht="18" customHeight="1" spans="1:15">
      <c r="A18" s="38" t="s">
        <v>29</v>
      </c>
      <c r="B18" s="24" t="s">
        <v>30</v>
      </c>
      <c r="C18" s="23" t="s">
        <v>31</v>
      </c>
      <c r="D18" s="23" t="s">
        <v>32</v>
      </c>
      <c r="E18" s="23" t="s">
        <v>17</v>
      </c>
      <c r="F18" s="24" t="s">
        <v>33</v>
      </c>
      <c r="G18" s="24" t="s">
        <v>15</v>
      </c>
      <c r="H18" s="23" t="s">
        <v>34</v>
      </c>
      <c r="I18" s="24" t="s">
        <v>35</v>
      </c>
      <c r="J18" s="23" t="s">
        <v>21</v>
      </c>
      <c r="K18" s="83" t="s">
        <v>36</v>
      </c>
      <c r="L18" s="25" t="s">
        <v>37</v>
      </c>
      <c r="M18" s="25" t="s">
        <v>38</v>
      </c>
      <c r="N18" s="25" t="s">
        <v>39</v>
      </c>
      <c r="O18" s="25" t="s">
        <v>40</v>
      </c>
    </row>
    <row r="19" s="5" customFormat="1" ht="18" customHeight="1" spans="1:15">
      <c r="A19" s="39">
        <v>43160</v>
      </c>
      <c r="B19" s="115">
        <f t="shared" ref="B19:B63" si="3">ROUND(G19/(1+E19),2)</f>
        <v>69902.91</v>
      </c>
      <c r="C19" s="40">
        <v>1</v>
      </c>
      <c r="D19" s="41" t="s">
        <v>41</v>
      </c>
      <c r="E19" s="42">
        <v>0.03</v>
      </c>
      <c r="F19" s="115">
        <f t="shared" ref="F19:F63" si="4">ROUND(G19/(1+E19)*E19,2)</f>
        <v>2097.09</v>
      </c>
      <c r="G19" s="110">
        <v>72000</v>
      </c>
      <c r="H19" s="26">
        <v>43171</v>
      </c>
      <c r="I19" s="17">
        <v>72000</v>
      </c>
      <c r="J19" s="82" t="s">
        <v>22</v>
      </c>
      <c r="K19" s="3" t="s">
        <v>42</v>
      </c>
      <c r="L19" s="84" t="s">
        <v>43</v>
      </c>
      <c r="M19" s="2"/>
      <c r="N19" s="2"/>
      <c r="O19" s="84"/>
    </row>
    <row r="20" s="5" customFormat="1" ht="18" customHeight="1" spans="1:15">
      <c r="A20" s="39"/>
      <c r="B20" s="115"/>
      <c r="C20" s="40"/>
      <c r="D20" s="41"/>
      <c r="E20" s="42"/>
      <c r="F20" s="115"/>
      <c r="G20" s="110"/>
      <c r="H20" s="26">
        <v>43169</v>
      </c>
      <c r="I20" s="17">
        <v>-72000</v>
      </c>
      <c r="J20" s="82" t="s">
        <v>44</v>
      </c>
      <c r="K20" s="3" t="s">
        <v>45</v>
      </c>
      <c r="L20" s="84" t="s">
        <v>46</v>
      </c>
      <c r="M20" s="2"/>
      <c r="N20" s="2"/>
      <c r="O20" s="84"/>
    </row>
    <row r="21" s="5" customFormat="1" ht="18" customHeight="1" spans="1:15">
      <c r="A21" s="39">
        <v>43252</v>
      </c>
      <c r="B21" s="115">
        <f t="shared" si="3"/>
        <v>37000</v>
      </c>
      <c r="C21" s="40"/>
      <c r="D21" s="41" t="s">
        <v>47</v>
      </c>
      <c r="E21" s="43">
        <v>0</v>
      </c>
      <c r="F21" s="115">
        <f t="shared" si="4"/>
        <v>0</v>
      </c>
      <c r="G21" s="110">
        <v>37000</v>
      </c>
      <c r="H21" s="26">
        <v>43278</v>
      </c>
      <c r="I21" s="17">
        <v>37000</v>
      </c>
      <c r="J21" s="82" t="s">
        <v>44</v>
      </c>
      <c r="K21" s="3" t="s">
        <v>48</v>
      </c>
      <c r="L21" s="84" t="s">
        <v>49</v>
      </c>
      <c r="M21" s="2"/>
      <c r="N21" s="2"/>
      <c r="O21" s="84"/>
    </row>
    <row r="22" s="5" customFormat="1" ht="18" customHeight="1" spans="1:15">
      <c r="A22" s="39">
        <v>43252</v>
      </c>
      <c r="B22" s="115">
        <f t="shared" si="3"/>
        <v>142000</v>
      </c>
      <c r="C22" s="40"/>
      <c r="D22" s="41" t="s">
        <v>47</v>
      </c>
      <c r="E22" s="43">
        <v>0</v>
      </c>
      <c r="F22" s="115">
        <f t="shared" si="4"/>
        <v>0</v>
      </c>
      <c r="G22" s="110">
        <v>142000</v>
      </c>
      <c r="H22" s="26">
        <v>43276</v>
      </c>
      <c r="I22" s="17">
        <v>142000</v>
      </c>
      <c r="J22" s="82" t="s">
        <v>44</v>
      </c>
      <c r="K22" s="3" t="s">
        <v>50</v>
      </c>
      <c r="L22" s="84" t="s">
        <v>51</v>
      </c>
      <c r="M22" s="2"/>
      <c r="N22" s="2"/>
      <c r="O22" s="84"/>
    </row>
    <row r="23" s="5" customFormat="1" ht="18" customHeight="1" spans="1:15">
      <c r="A23" s="39">
        <v>43252</v>
      </c>
      <c r="B23" s="115">
        <f t="shared" si="3"/>
        <v>120370.02</v>
      </c>
      <c r="C23" s="40">
        <v>2</v>
      </c>
      <c r="D23" s="41" t="s">
        <v>41</v>
      </c>
      <c r="E23" s="42">
        <v>0.16</v>
      </c>
      <c r="F23" s="115">
        <f t="shared" si="4"/>
        <v>19259.2</v>
      </c>
      <c r="G23" s="110">
        <f>76854.85+62774.37</f>
        <v>139629.22</v>
      </c>
      <c r="H23" s="26">
        <v>43276</v>
      </c>
      <c r="I23" s="17">
        <v>139629.22</v>
      </c>
      <c r="J23" s="82" t="s">
        <v>22</v>
      </c>
      <c r="K23" s="3" t="s">
        <v>52</v>
      </c>
      <c r="L23" s="84" t="s">
        <v>53</v>
      </c>
      <c r="M23" s="2"/>
      <c r="N23" s="2"/>
      <c r="O23" s="84"/>
    </row>
    <row r="24" s="5" customFormat="1" ht="18" customHeight="1" spans="1:15">
      <c r="A24" s="39">
        <v>43252</v>
      </c>
      <c r="B24" s="115">
        <f t="shared" si="3"/>
        <v>70551.72</v>
      </c>
      <c r="C24" s="40">
        <v>1</v>
      </c>
      <c r="D24" s="41" t="s">
        <v>41</v>
      </c>
      <c r="E24" s="42">
        <v>0.16</v>
      </c>
      <c r="F24" s="115">
        <f t="shared" si="4"/>
        <v>11288.28</v>
      </c>
      <c r="G24" s="110">
        <v>81840</v>
      </c>
      <c r="H24" s="26">
        <v>43278</v>
      </c>
      <c r="I24" s="17">
        <v>81840</v>
      </c>
      <c r="J24" s="82" t="s">
        <v>22</v>
      </c>
      <c r="K24" s="3" t="s">
        <v>54</v>
      </c>
      <c r="L24" s="84" t="s">
        <v>55</v>
      </c>
      <c r="M24" s="2"/>
      <c r="N24" s="2"/>
      <c r="O24" s="84"/>
    </row>
    <row r="25" s="5" customFormat="1" ht="17.25" customHeight="1" spans="1:15">
      <c r="A25" s="39"/>
      <c r="B25" s="115">
        <f t="shared" si="3"/>
        <v>0</v>
      </c>
      <c r="C25" s="40"/>
      <c r="D25" s="41"/>
      <c r="E25" s="43"/>
      <c r="F25" s="115">
        <f t="shared" si="4"/>
        <v>0</v>
      </c>
      <c r="G25" s="110"/>
      <c r="H25" s="26">
        <v>43284</v>
      </c>
      <c r="I25" s="17">
        <v>71535.78</v>
      </c>
      <c r="J25" s="82" t="s">
        <v>44</v>
      </c>
      <c r="K25" s="3" t="s">
        <v>45</v>
      </c>
      <c r="L25" s="84" t="s">
        <v>56</v>
      </c>
      <c r="M25" s="2"/>
      <c r="N25" s="2"/>
      <c r="O25" s="84"/>
    </row>
    <row r="26" s="5" customFormat="1" ht="18" customHeight="1" spans="1:15">
      <c r="A26" s="39">
        <v>43344</v>
      </c>
      <c r="B26" s="115">
        <f t="shared" si="3"/>
        <v>13018.07</v>
      </c>
      <c r="C26" s="40">
        <v>1</v>
      </c>
      <c r="D26" s="41" t="s">
        <v>47</v>
      </c>
      <c r="E26" s="43"/>
      <c r="F26" s="115">
        <f t="shared" si="4"/>
        <v>0</v>
      </c>
      <c r="G26" s="110">
        <v>13018.07</v>
      </c>
      <c r="H26" s="26">
        <v>43368</v>
      </c>
      <c r="I26" s="17">
        <v>2171.07</v>
      </c>
      <c r="J26" s="82" t="s">
        <v>44</v>
      </c>
      <c r="K26" s="3" t="s">
        <v>48</v>
      </c>
      <c r="L26" s="84" t="s">
        <v>49</v>
      </c>
      <c r="M26" s="2"/>
      <c r="N26" s="2"/>
      <c r="O26" s="84"/>
    </row>
    <row r="27" s="5" customFormat="1" ht="18" customHeight="1" spans="1:15">
      <c r="A27" s="39">
        <v>43344</v>
      </c>
      <c r="B27" s="115">
        <f t="shared" si="3"/>
        <v>45631.07</v>
      </c>
      <c r="C27" s="40">
        <v>1</v>
      </c>
      <c r="D27" s="41" t="s">
        <v>57</v>
      </c>
      <c r="E27" s="43">
        <v>0.03</v>
      </c>
      <c r="F27" s="115">
        <f t="shared" si="4"/>
        <v>1368.93</v>
      </c>
      <c r="G27" s="110">
        <v>47000</v>
      </c>
      <c r="H27" s="26">
        <v>43368</v>
      </c>
      <c r="I27" s="17">
        <v>47000</v>
      </c>
      <c r="J27" s="82" t="s">
        <v>22</v>
      </c>
      <c r="K27" s="3" t="s">
        <v>58</v>
      </c>
      <c r="L27" s="84" t="s">
        <v>43</v>
      </c>
      <c r="M27" s="2"/>
      <c r="N27" s="2"/>
      <c r="O27" s="84"/>
    </row>
    <row r="28" s="5" customFormat="1" ht="18" customHeight="1" spans="1:15">
      <c r="A28" s="39">
        <v>43344</v>
      </c>
      <c r="B28" s="115">
        <f t="shared" si="3"/>
        <v>41368.97</v>
      </c>
      <c r="C28" s="40">
        <v>1</v>
      </c>
      <c r="D28" s="41" t="s">
        <v>41</v>
      </c>
      <c r="E28" s="43">
        <v>0.16</v>
      </c>
      <c r="F28" s="115">
        <f t="shared" si="4"/>
        <v>6619.03</v>
      </c>
      <c r="G28" s="110">
        <v>47988</v>
      </c>
      <c r="H28" s="26">
        <v>43368</v>
      </c>
      <c r="I28" s="17">
        <v>47988</v>
      </c>
      <c r="J28" s="82" t="s">
        <v>22</v>
      </c>
      <c r="K28" s="3" t="s">
        <v>52</v>
      </c>
      <c r="L28" s="84" t="s">
        <v>53</v>
      </c>
      <c r="M28" s="2"/>
      <c r="N28" s="2"/>
      <c r="O28" s="84"/>
    </row>
    <row r="29" s="5" customFormat="1" ht="18" customHeight="1" spans="1:15">
      <c r="A29" s="39">
        <v>43344</v>
      </c>
      <c r="B29" s="115">
        <f t="shared" si="3"/>
        <v>66984.4</v>
      </c>
      <c r="C29" s="40">
        <v>1</v>
      </c>
      <c r="D29" s="41" t="s">
        <v>41</v>
      </c>
      <c r="E29" s="43">
        <v>0.03</v>
      </c>
      <c r="F29" s="115">
        <f t="shared" si="4"/>
        <v>2009.53</v>
      </c>
      <c r="G29" s="110">
        <v>68993.93</v>
      </c>
      <c r="H29" s="26">
        <v>43368</v>
      </c>
      <c r="I29" s="17">
        <v>68993.93</v>
      </c>
      <c r="J29" s="82" t="s">
        <v>22</v>
      </c>
      <c r="K29" s="3" t="s">
        <v>59</v>
      </c>
      <c r="L29" s="84" t="s">
        <v>51</v>
      </c>
      <c r="M29" s="2"/>
      <c r="N29" s="2"/>
      <c r="O29" s="84"/>
    </row>
    <row r="30" s="6" customFormat="1" ht="18" customHeight="1" spans="1:15">
      <c r="A30" s="44">
        <v>43344</v>
      </c>
      <c r="B30" s="116">
        <f t="shared" si="3"/>
        <v>17241.38</v>
      </c>
      <c r="C30" s="46">
        <v>1</v>
      </c>
      <c r="D30" s="47"/>
      <c r="E30" s="43">
        <v>0.16</v>
      </c>
      <c r="F30" s="116">
        <f t="shared" si="4"/>
        <v>2758.62</v>
      </c>
      <c r="G30" s="110">
        <v>20000</v>
      </c>
      <c r="H30" s="48">
        <v>43368</v>
      </c>
      <c r="I30" s="121">
        <v>20000</v>
      </c>
      <c r="J30" s="86" t="s">
        <v>22</v>
      </c>
      <c r="K30" s="87" t="s">
        <v>54</v>
      </c>
      <c r="L30" s="88" t="s">
        <v>55</v>
      </c>
      <c r="M30" s="89"/>
      <c r="N30" s="89"/>
      <c r="O30" s="88"/>
    </row>
    <row r="31" s="5" customFormat="1" ht="18" customHeight="1" spans="1:15">
      <c r="A31" s="39">
        <v>43344</v>
      </c>
      <c r="B31" s="115">
        <f t="shared" si="3"/>
        <v>32979.77</v>
      </c>
      <c r="C31" s="40"/>
      <c r="D31" s="41" t="s">
        <v>60</v>
      </c>
      <c r="E31" s="43"/>
      <c r="F31" s="115">
        <f t="shared" si="4"/>
        <v>0</v>
      </c>
      <c r="G31" s="110">
        <v>32979.77</v>
      </c>
      <c r="H31" s="26">
        <v>43388</v>
      </c>
      <c r="I31" s="17">
        <v>32979.77</v>
      </c>
      <c r="J31" s="86" t="s">
        <v>22</v>
      </c>
      <c r="K31" s="3" t="s">
        <v>61</v>
      </c>
      <c r="L31" s="84" t="s">
        <v>62</v>
      </c>
      <c r="M31" s="2"/>
      <c r="N31" s="2"/>
      <c r="O31" s="84"/>
    </row>
    <row r="32" s="5" customFormat="1" ht="18" customHeight="1" spans="1:15">
      <c r="A32" s="39"/>
      <c r="B32" s="115">
        <f t="shared" si="3"/>
        <v>0</v>
      </c>
      <c r="C32" s="40"/>
      <c r="D32" s="41"/>
      <c r="E32" s="43"/>
      <c r="F32" s="115">
        <f t="shared" si="4"/>
        <v>0</v>
      </c>
      <c r="G32" s="110"/>
      <c r="H32" s="26">
        <v>43388</v>
      </c>
      <c r="I32" s="17">
        <v>3864.23</v>
      </c>
      <c r="J32" s="82" t="s">
        <v>44</v>
      </c>
      <c r="K32" s="3" t="s">
        <v>48</v>
      </c>
      <c r="L32" s="84"/>
      <c r="M32" s="2"/>
      <c r="N32" s="2"/>
      <c r="O32" s="84"/>
    </row>
    <row r="33" s="5" customFormat="1" ht="18" customHeight="1" spans="1:15">
      <c r="A33" s="39">
        <v>43435</v>
      </c>
      <c r="B33" s="115">
        <f t="shared" si="3"/>
        <v>84482.76</v>
      </c>
      <c r="C33" s="40"/>
      <c r="D33" s="41" t="s">
        <v>41</v>
      </c>
      <c r="E33" s="43">
        <v>0.16</v>
      </c>
      <c r="F33" s="115">
        <f t="shared" si="4"/>
        <v>13517.24</v>
      </c>
      <c r="G33" s="110">
        <v>98000</v>
      </c>
      <c r="H33" s="26">
        <v>43546</v>
      </c>
      <c r="I33" s="17">
        <v>86201.25</v>
      </c>
      <c r="J33" s="86" t="s">
        <v>22</v>
      </c>
      <c r="K33" s="3" t="s">
        <v>52</v>
      </c>
      <c r="L33" s="84" t="s">
        <v>53</v>
      </c>
      <c r="M33" s="2"/>
      <c r="N33" s="2"/>
      <c r="O33" s="84"/>
    </row>
    <row r="34" s="5" customFormat="1" ht="18" customHeight="1" spans="1:15">
      <c r="A34" s="39">
        <v>43436</v>
      </c>
      <c r="B34" s="115">
        <f t="shared" si="3"/>
        <v>107283.71</v>
      </c>
      <c r="C34" s="40"/>
      <c r="D34" s="41" t="s">
        <v>41</v>
      </c>
      <c r="E34" s="43">
        <v>0.03</v>
      </c>
      <c r="F34" s="115">
        <f t="shared" si="4"/>
        <v>3218.51</v>
      </c>
      <c r="G34" s="110">
        <f>80000+30502.22</f>
        <v>110502.22</v>
      </c>
      <c r="H34" s="26">
        <v>43481</v>
      </c>
      <c r="I34" s="17">
        <f>80000+30502.22</f>
        <v>110502.22</v>
      </c>
      <c r="J34" s="82" t="s">
        <v>22</v>
      </c>
      <c r="K34" s="3" t="s">
        <v>59</v>
      </c>
      <c r="L34" s="84" t="s">
        <v>51</v>
      </c>
      <c r="M34" s="2"/>
      <c r="N34" s="2"/>
      <c r="O34" s="84"/>
    </row>
    <row r="35" s="5" customFormat="1" ht="18" customHeight="1" spans="1:15">
      <c r="A35" s="39">
        <v>43437</v>
      </c>
      <c r="B35" s="115">
        <f t="shared" si="3"/>
        <v>68965.52</v>
      </c>
      <c r="C35" s="40"/>
      <c r="D35" s="41" t="s">
        <v>41</v>
      </c>
      <c r="E35" s="43">
        <v>0.16</v>
      </c>
      <c r="F35" s="115">
        <f t="shared" si="4"/>
        <v>11034.48</v>
      </c>
      <c r="G35" s="110">
        <v>80000</v>
      </c>
      <c r="H35" s="26">
        <v>43481</v>
      </c>
      <c r="I35" s="17">
        <v>80000</v>
      </c>
      <c r="J35" s="82" t="s">
        <v>22</v>
      </c>
      <c r="K35" s="87" t="s">
        <v>54</v>
      </c>
      <c r="L35" s="88" t="s">
        <v>55</v>
      </c>
      <c r="M35" s="2"/>
      <c r="N35" s="2"/>
      <c r="O35" s="84"/>
    </row>
    <row r="36" s="5" customFormat="1" ht="18" customHeight="1" spans="1:15">
      <c r="A36" s="39">
        <v>43438</v>
      </c>
      <c r="B36" s="115">
        <f t="shared" si="3"/>
        <v>79838.53</v>
      </c>
      <c r="C36" s="40"/>
      <c r="D36" s="41" t="s">
        <v>47</v>
      </c>
      <c r="E36" s="43"/>
      <c r="F36" s="115">
        <f t="shared" si="4"/>
        <v>0</v>
      </c>
      <c r="G36" s="110">
        <v>79838.53</v>
      </c>
      <c r="H36" s="26">
        <v>43481</v>
      </c>
      <c r="I36" s="17">
        <v>79838.53</v>
      </c>
      <c r="J36" s="82" t="s">
        <v>44</v>
      </c>
      <c r="K36" s="3" t="s">
        <v>48</v>
      </c>
      <c r="L36" s="84" t="s">
        <v>49</v>
      </c>
      <c r="M36" s="2"/>
      <c r="N36" s="2"/>
      <c r="O36" s="84"/>
    </row>
    <row r="37" s="7" customFormat="1" ht="18" customHeight="1" spans="1:15">
      <c r="A37" s="49">
        <v>43466</v>
      </c>
      <c r="B37" s="117">
        <f t="shared" si="3"/>
        <v>0</v>
      </c>
      <c r="C37" s="51"/>
      <c r="D37" s="52" t="s">
        <v>41</v>
      </c>
      <c r="E37" s="53">
        <v>0.03</v>
      </c>
      <c r="F37" s="117">
        <f t="shared" si="4"/>
        <v>0</v>
      </c>
      <c r="G37" s="117"/>
      <c r="H37" s="54"/>
      <c r="I37" s="117"/>
      <c r="J37" s="90"/>
      <c r="K37" s="91" t="s">
        <v>59</v>
      </c>
      <c r="L37" s="92" t="s">
        <v>63</v>
      </c>
      <c r="M37" s="90" t="s">
        <v>64</v>
      </c>
      <c r="N37" s="93"/>
      <c r="O37" s="29">
        <v>74860</v>
      </c>
    </row>
    <row r="38" s="7" customFormat="1" ht="18" customHeight="1" spans="1:15">
      <c r="A38" s="55">
        <v>43678</v>
      </c>
      <c r="B38" s="17">
        <f t="shared" si="3"/>
        <v>16585.24</v>
      </c>
      <c r="C38" s="56"/>
      <c r="D38" s="57" t="s">
        <v>57</v>
      </c>
      <c r="E38" s="58">
        <v>0.03</v>
      </c>
      <c r="F38" s="17">
        <f t="shared" si="4"/>
        <v>497.56</v>
      </c>
      <c r="G38" s="112">
        <v>17082.8</v>
      </c>
      <c r="H38" s="26">
        <v>43724</v>
      </c>
      <c r="I38" s="17">
        <v>17082.8</v>
      </c>
      <c r="J38" s="82" t="s">
        <v>22</v>
      </c>
      <c r="K38" s="94" t="s">
        <v>61</v>
      </c>
      <c r="L38" s="37" t="s">
        <v>65</v>
      </c>
      <c r="M38" s="93"/>
      <c r="N38" s="93"/>
      <c r="O38" s="95"/>
    </row>
    <row r="39" s="8" customFormat="1" ht="18" customHeight="1" spans="1:15">
      <c r="A39" s="55">
        <v>43678</v>
      </c>
      <c r="B39" s="17">
        <f t="shared" si="3"/>
        <v>47961.17</v>
      </c>
      <c r="C39" s="56"/>
      <c r="D39" s="57" t="s">
        <v>57</v>
      </c>
      <c r="E39" s="58">
        <v>0.03</v>
      </c>
      <c r="F39" s="17">
        <f t="shared" si="4"/>
        <v>1438.83</v>
      </c>
      <c r="G39" s="112">
        <v>49400</v>
      </c>
      <c r="H39" s="26">
        <v>43738</v>
      </c>
      <c r="I39" s="17">
        <v>43571.42</v>
      </c>
      <c r="J39" s="82" t="s">
        <v>22</v>
      </c>
      <c r="K39" s="94" t="s">
        <v>66</v>
      </c>
      <c r="L39" s="37" t="s">
        <v>67</v>
      </c>
      <c r="M39" s="82"/>
      <c r="N39" s="82"/>
      <c r="O39" s="37"/>
    </row>
    <row r="40" s="7" customFormat="1" ht="18" customHeight="1" spans="1:15">
      <c r="A40" s="55">
        <v>43678</v>
      </c>
      <c r="B40" s="17">
        <f t="shared" si="3"/>
        <v>42743.36</v>
      </c>
      <c r="C40" s="56"/>
      <c r="D40" s="57" t="s">
        <v>41</v>
      </c>
      <c r="E40" s="58">
        <v>0.13</v>
      </c>
      <c r="F40" s="17">
        <f t="shared" si="4"/>
        <v>5556.64</v>
      </c>
      <c r="G40" s="112">
        <v>48300</v>
      </c>
      <c r="H40" s="26">
        <v>43724</v>
      </c>
      <c r="I40" s="17">
        <v>48300</v>
      </c>
      <c r="J40" s="82" t="s">
        <v>22</v>
      </c>
      <c r="K40" s="94" t="s">
        <v>54</v>
      </c>
      <c r="L40" s="37" t="s">
        <v>68</v>
      </c>
      <c r="M40" s="93"/>
      <c r="N40" s="93"/>
      <c r="O40" s="95"/>
    </row>
    <row r="41" s="7" customFormat="1" ht="18" customHeight="1" spans="1:15">
      <c r="A41" s="55">
        <v>43678</v>
      </c>
      <c r="B41" s="17">
        <f t="shared" si="3"/>
        <v>44247.79</v>
      </c>
      <c r="C41" s="56"/>
      <c r="D41" s="57" t="s">
        <v>41</v>
      </c>
      <c r="E41" s="58">
        <v>0.13</v>
      </c>
      <c r="F41" s="17">
        <f t="shared" si="4"/>
        <v>5752.21</v>
      </c>
      <c r="G41" s="112">
        <v>50000</v>
      </c>
      <c r="H41" s="26">
        <v>43724</v>
      </c>
      <c r="I41" s="17">
        <v>50000</v>
      </c>
      <c r="J41" s="82" t="s">
        <v>22</v>
      </c>
      <c r="K41" s="94" t="s">
        <v>52</v>
      </c>
      <c r="L41" s="37" t="s">
        <v>53</v>
      </c>
      <c r="M41" s="93"/>
      <c r="N41" s="93"/>
      <c r="O41" s="95"/>
    </row>
    <row r="42" s="7" customFormat="1" ht="18" customHeight="1" spans="1:15">
      <c r="A42" s="60">
        <v>43709</v>
      </c>
      <c r="B42" s="118">
        <f t="shared" si="3"/>
        <v>78713.58</v>
      </c>
      <c r="C42" s="62"/>
      <c r="D42" s="63" t="s">
        <v>60</v>
      </c>
      <c r="E42" s="64"/>
      <c r="F42" s="118">
        <f t="shared" si="4"/>
        <v>0</v>
      </c>
      <c r="G42" s="118">
        <v>78713.58</v>
      </c>
      <c r="H42" s="65">
        <v>43734</v>
      </c>
      <c r="I42" s="118">
        <v>75788</v>
      </c>
      <c r="J42" s="96" t="s">
        <v>22</v>
      </c>
      <c r="K42" s="97" t="s">
        <v>69</v>
      </c>
      <c r="L42" s="98" t="s">
        <v>70</v>
      </c>
      <c r="M42" s="93"/>
      <c r="N42" s="93"/>
      <c r="O42" s="95" t="s">
        <v>25</v>
      </c>
    </row>
    <row r="43" s="7" customFormat="1" ht="18" customHeight="1" spans="1:15">
      <c r="A43" s="55">
        <v>44501</v>
      </c>
      <c r="B43" s="17">
        <f t="shared" si="3"/>
        <v>106796.12</v>
      </c>
      <c r="C43" s="56">
        <v>2</v>
      </c>
      <c r="D43" s="57" t="s">
        <v>41</v>
      </c>
      <c r="E43" s="58">
        <v>0.03</v>
      </c>
      <c r="F43" s="17">
        <f t="shared" si="4"/>
        <v>3203.88</v>
      </c>
      <c r="G43" s="112">
        <f>100000+10000</f>
        <v>110000</v>
      </c>
      <c r="H43" s="26"/>
      <c r="I43" s="17"/>
      <c r="J43" s="82"/>
      <c r="K43" s="94" t="s">
        <v>71</v>
      </c>
      <c r="L43" s="37" t="s">
        <v>72</v>
      </c>
      <c r="M43" s="82" t="s">
        <v>73</v>
      </c>
      <c r="N43" s="93"/>
      <c r="O43" s="95"/>
    </row>
    <row r="44" s="7" customFormat="1" ht="18" customHeight="1" spans="1:15">
      <c r="A44" s="55">
        <v>44501</v>
      </c>
      <c r="B44" s="17">
        <f t="shared" si="3"/>
        <v>82580.58</v>
      </c>
      <c r="C44" s="56">
        <v>1</v>
      </c>
      <c r="D44" s="57" t="s">
        <v>41</v>
      </c>
      <c r="E44" s="58">
        <v>0.03</v>
      </c>
      <c r="F44" s="17">
        <f t="shared" si="4"/>
        <v>2477.42</v>
      </c>
      <c r="G44" s="112">
        <v>85058</v>
      </c>
      <c r="H44" s="26"/>
      <c r="I44" s="17"/>
      <c r="J44" s="82"/>
      <c r="K44" s="94" t="s">
        <v>74</v>
      </c>
      <c r="L44" s="37" t="s">
        <v>75</v>
      </c>
      <c r="M44" s="82" t="s">
        <v>76</v>
      </c>
      <c r="N44" s="93"/>
      <c r="O44" s="95"/>
    </row>
    <row r="45" s="7" customFormat="1" ht="18" customHeight="1" spans="1:15">
      <c r="A45" s="55">
        <v>44501</v>
      </c>
      <c r="B45" s="17">
        <f t="shared" si="3"/>
        <v>88471.57</v>
      </c>
      <c r="C45" s="56">
        <v>1</v>
      </c>
      <c r="D45" s="41" t="s">
        <v>47</v>
      </c>
      <c r="E45" s="58"/>
      <c r="F45" s="17">
        <f t="shared" si="4"/>
        <v>0</v>
      </c>
      <c r="G45" s="112">
        <v>88471.57</v>
      </c>
      <c r="H45" s="26"/>
      <c r="I45" s="17"/>
      <c r="J45" s="82"/>
      <c r="K45" s="94" t="s">
        <v>77</v>
      </c>
      <c r="L45" s="37" t="s">
        <v>78</v>
      </c>
      <c r="M45" s="82" t="s">
        <v>79</v>
      </c>
      <c r="N45" s="93"/>
      <c r="O45" s="95"/>
    </row>
    <row r="46" s="7" customFormat="1" ht="18" customHeight="1" spans="1:15">
      <c r="A46" s="55"/>
      <c r="B46" s="17">
        <f t="shared" si="3"/>
        <v>0</v>
      </c>
      <c r="C46" s="56"/>
      <c r="D46" s="57"/>
      <c r="E46" s="58"/>
      <c r="F46" s="17">
        <f t="shared" si="4"/>
        <v>0</v>
      </c>
      <c r="G46" s="112"/>
      <c r="H46" s="26"/>
      <c r="I46" s="17"/>
      <c r="J46" s="82"/>
      <c r="K46" s="94"/>
      <c r="L46" s="37"/>
      <c r="M46" s="93"/>
      <c r="N46" s="93"/>
      <c r="O46" s="95"/>
    </row>
    <row r="47" s="7" customFormat="1" ht="18" customHeight="1" spans="1:15">
      <c r="A47" s="55"/>
      <c r="B47" s="17">
        <f t="shared" si="3"/>
        <v>0</v>
      </c>
      <c r="C47" s="56"/>
      <c r="D47" s="57"/>
      <c r="E47" s="58"/>
      <c r="F47" s="17">
        <f t="shared" si="4"/>
        <v>0</v>
      </c>
      <c r="G47" s="112"/>
      <c r="H47" s="26"/>
      <c r="I47" s="17"/>
      <c r="J47" s="82"/>
      <c r="K47" s="94"/>
      <c r="L47" s="37"/>
      <c r="M47" s="93"/>
      <c r="N47" s="93"/>
      <c r="O47" s="95"/>
    </row>
    <row r="48" s="7" customFormat="1" ht="18" customHeight="1" spans="1:15">
      <c r="A48" s="55"/>
      <c r="B48" s="17">
        <f t="shared" si="3"/>
        <v>0</v>
      </c>
      <c r="C48" s="56"/>
      <c r="D48" s="57"/>
      <c r="E48" s="58"/>
      <c r="F48" s="17">
        <f t="shared" si="4"/>
        <v>0</v>
      </c>
      <c r="G48" s="112"/>
      <c r="H48" s="26"/>
      <c r="I48" s="17"/>
      <c r="J48" s="82"/>
      <c r="K48" s="94"/>
      <c r="L48" s="37"/>
      <c r="M48" s="93"/>
      <c r="N48" s="93"/>
      <c r="O48" s="95"/>
    </row>
    <row r="49" s="7" customFormat="1" ht="18" customHeight="1" spans="1:15">
      <c r="A49" s="55"/>
      <c r="B49" s="17"/>
      <c r="C49" s="56"/>
      <c r="D49" s="57"/>
      <c r="E49" s="58"/>
      <c r="F49" s="17"/>
      <c r="G49" s="112"/>
      <c r="H49" s="26"/>
      <c r="I49" s="17"/>
      <c r="J49" s="82"/>
      <c r="K49" s="94"/>
      <c r="L49" s="37"/>
      <c r="M49" s="93"/>
      <c r="N49" s="93"/>
      <c r="O49" s="95"/>
    </row>
    <row r="50" s="7" customFormat="1" ht="18" customHeight="1" spans="1:15">
      <c r="A50" s="55"/>
      <c r="B50" s="17">
        <f t="shared" ref="B50:B68" si="5">ROUND(G50/(1+E50),2)</f>
        <v>0</v>
      </c>
      <c r="C50" s="56"/>
      <c r="D50" s="57"/>
      <c r="E50" s="58"/>
      <c r="F50" s="17">
        <f t="shared" ref="F50:F68" si="6">ROUND(G50/(1+E50)*E50,2)</f>
        <v>0</v>
      </c>
      <c r="G50" s="112"/>
      <c r="H50" s="26"/>
      <c r="I50" s="122">
        <v>14340.83</v>
      </c>
      <c r="J50" s="93" t="s">
        <v>80</v>
      </c>
      <c r="K50" s="123" t="s">
        <v>81</v>
      </c>
      <c r="L50" s="37"/>
      <c r="M50" s="93"/>
      <c r="N50" s="93"/>
      <c r="O50" s="95"/>
    </row>
    <row r="51" s="7" customFormat="1" ht="18" customHeight="1" spans="1:15">
      <c r="A51" s="55"/>
      <c r="B51" s="17">
        <f t="shared" si="5"/>
        <v>0</v>
      </c>
      <c r="C51" s="56"/>
      <c r="D51" s="57"/>
      <c r="E51" s="58"/>
      <c r="F51" s="17">
        <f t="shared" si="6"/>
        <v>0</v>
      </c>
      <c r="G51" s="112"/>
      <c r="H51" s="119"/>
      <c r="I51" s="122">
        <v>244.8</v>
      </c>
      <c r="J51" s="93" t="s">
        <v>80</v>
      </c>
      <c r="K51" s="123" t="s">
        <v>82</v>
      </c>
      <c r="L51" s="37"/>
      <c r="M51" s="93"/>
      <c r="N51" s="93"/>
      <c r="O51" s="95"/>
    </row>
    <row r="52" s="7" customFormat="1" ht="18" customHeight="1" spans="1:15">
      <c r="A52" s="66"/>
      <c r="B52" s="17">
        <f t="shared" si="5"/>
        <v>0</v>
      </c>
      <c r="C52" s="67"/>
      <c r="D52" s="68"/>
      <c r="E52" s="69"/>
      <c r="F52" s="17">
        <f t="shared" si="6"/>
        <v>0</v>
      </c>
      <c r="G52" s="120"/>
      <c r="H52" s="16" t="s">
        <v>83</v>
      </c>
      <c r="I52" s="115">
        <v>2456</v>
      </c>
      <c r="J52" s="2" t="s">
        <v>80</v>
      </c>
      <c r="K52" s="3" t="s">
        <v>84</v>
      </c>
      <c r="L52" s="95"/>
      <c r="M52" s="93"/>
      <c r="N52" s="93"/>
      <c r="O52" s="95"/>
    </row>
    <row r="53" s="7" customFormat="1" ht="18" customHeight="1" spans="1:15">
      <c r="A53" s="66"/>
      <c r="B53" s="17">
        <f t="shared" si="5"/>
        <v>0</v>
      </c>
      <c r="C53" s="56"/>
      <c r="D53" s="57"/>
      <c r="E53" s="71">
        <v>0.03</v>
      </c>
      <c r="F53" s="17">
        <f t="shared" si="6"/>
        <v>0</v>
      </c>
      <c r="G53" s="112"/>
      <c r="H53" s="16" t="s">
        <v>83</v>
      </c>
      <c r="I53" s="115">
        <v>1699</v>
      </c>
      <c r="J53" s="2" t="s">
        <v>85</v>
      </c>
      <c r="K53" s="94" t="s">
        <v>86</v>
      </c>
      <c r="L53" s="95"/>
      <c r="M53" s="93"/>
      <c r="N53" s="93"/>
      <c r="O53" s="95"/>
    </row>
    <row r="54" s="7" customFormat="1" ht="18" customHeight="1" spans="1:15">
      <c r="A54" s="66"/>
      <c r="B54" s="17">
        <f t="shared" si="5"/>
        <v>0</v>
      </c>
      <c r="C54" s="56"/>
      <c r="D54" s="57"/>
      <c r="E54" s="71"/>
      <c r="F54" s="17">
        <f t="shared" si="6"/>
        <v>0</v>
      </c>
      <c r="G54" s="112"/>
      <c r="H54" s="16" t="s">
        <v>83</v>
      </c>
      <c r="I54" s="115">
        <v>1673</v>
      </c>
      <c r="J54" s="2" t="s">
        <v>87</v>
      </c>
      <c r="K54" s="3" t="s">
        <v>88</v>
      </c>
      <c r="L54" s="95"/>
      <c r="M54" s="93"/>
      <c r="N54" s="93"/>
      <c r="O54" s="95"/>
    </row>
    <row r="55" s="7" customFormat="1" ht="18" customHeight="1" spans="1:15">
      <c r="A55" s="66"/>
      <c r="B55" s="115">
        <f t="shared" si="5"/>
        <v>2510</v>
      </c>
      <c r="C55" s="40"/>
      <c r="D55" s="41"/>
      <c r="E55" s="43"/>
      <c r="F55" s="115">
        <f t="shared" si="6"/>
        <v>0</v>
      </c>
      <c r="G55" s="112">
        <f>2510</f>
        <v>2510</v>
      </c>
      <c r="H55" s="16" t="s">
        <v>83</v>
      </c>
      <c r="I55" s="116">
        <f>G55</f>
        <v>2510</v>
      </c>
      <c r="J55" s="2" t="s">
        <v>80</v>
      </c>
      <c r="K55" s="3" t="s">
        <v>89</v>
      </c>
      <c r="L55" s="95"/>
      <c r="M55" s="93"/>
      <c r="N55" s="93"/>
      <c r="O55" s="95"/>
    </row>
    <row r="56" s="5" customFormat="1" ht="18" customHeight="1" spans="1:15">
      <c r="A56" s="39"/>
      <c r="B56" s="115">
        <f t="shared" si="5"/>
        <v>0</v>
      </c>
      <c r="C56" s="56"/>
      <c r="D56" s="57"/>
      <c r="E56" s="71"/>
      <c r="F56" s="17">
        <f t="shared" si="6"/>
        <v>0</v>
      </c>
      <c r="G56" s="112"/>
      <c r="H56" s="16" t="s">
        <v>90</v>
      </c>
      <c r="I56" s="116">
        <v>1164</v>
      </c>
      <c r="J56" s="2" t="s">
        <v>80</v>
      </c>
      <c r="K56" s="3" t="s">
        <v>84</v>
      </c>
      <c r="L56" s="84"/>
      <c r="M56" s="2"/>
      <c r="N56" s="2"/>
      <c r="O56" s="84"/>
    </row>
    <row r="57" s="5" customFormat="1" ht="18" customHeight="1" spans="1:15">
      <c r="A57" s="39"/>
      <c r="B57" s="115">
        <f t="shared" si="5"/>
        <v>0</v>
      </c>
      <c r="C57" s="56"/>
      <c r="D57" s="57"/>
      <c r="E57" s="71"/>
      <c r="F57" s="17">
        <f t="shared" si="6"/>
        <v>0</v>
      </c>
      <c r="G57" s="112"/>
      <c r="H57" s="26" t="s">
        <v>90</v>
      </c>
      <c r="I57" s="121">
        <v>4070</v>
      </c>
      <c r="J57" s="82" t="s">
        <v>80</v>
      </c>
      <c r="K57" s="3" t="s">
        <v>91</v>
      </c>
      <c r="L57" s="84"/>
      <c r="M57" s="2"/>
      <c r="N57" s="2"/>
      <c r="O57" s="84"/>
    </row>
    <row r="58" s="5" customFormat="1" ht="18" customHeight="1" spans="1:15">
      <c r="A58" s="39"/>
      <c r="B58" s="115">
        <f t="shared" si="5"/>
        <v>0</v>
      </c>
      <c r="C58" s="40"/>
      <c r="D58" s="41"/>
      <c r="E58" s="43"/>
      <c r="F58" s="115">
        <f t="shared" si="6"/>
        <v>0</v>
      </c>
      <c r="G58" s="110"/>
      <c r="H58" s="26"/>
      <c r="I58" s="121">
        <v>831</v>
      </c>
      <c r="J58" s="82" t="s">
        <v>87</v>
      </c>
      <c r="K58" s="3" t="s">
        <v>92</v>
      </c>
      <c r="L58" s="84"/>
      <c r="M58" s="2"/>
      <c r="N58" s="2"/>
      <c r="O58" s="84"/>
    </row>
    <row r="59" s="5" customFormat="1" ht="18" customHeight="1" spans="1:15">
      <c r="A59" s="39"/>
      <c r="B59" s="115">
        <f t="shared" si="5"/>
        <v>0</v>
      </c>
      <c r="C59" s="40"/>
      <c r="D59" s="41"/>
      <c r="E59" s="43"/>
      <c r="F59" s="115">
        <f t="shared" si="6"/>
        <v>0</v>
      </c>
      <c r="G59" s="110"/>
      <c r="H59" s="26"/>
      <c r="I59" s="121">
        <v>-12101.25</v>
      </c>
      <c r="J59" s="82" t="s">
        <v>93</v>
      </c>
      <c r="K59" s="94"/>
      <c r="L59" s="84"/>
      <c r="M59" s="2"/>
      <c r="N59" s="2"/>
      <c r="O59" s="84"/>
    </row>
    <row r="60" s="5" customFormat="1" ht="18" customHeight="1" spans="1:15">
      <c r="A60" s="39"/>
      <c r="B60" s="115">
        <f t="shared" si="5"/>
        <v>0</v>
      </c>
      <c r="C60" s="40"/>
      <c r="D60" s="41"/>
      <c r="E60" s="43"/>
      <c r="F60" s="115">
        <f t="shared" si="6"/>
        <v>0</v>
      </c>
      <c r="G60" s="110"/>
      <c r="H60" s="26"/>
      <c r="I60" s="121">
        <v>760</v>
      </c>
      <c r="J60" s="82" t="s">
        <v>87</v>
      </c>
      <c r="K60" s="124" t="s">
        <v>92</v>
      </c>
      <c r="L60" s="88"/>
      <c r="M60" s="2"/>
      <c r="N60" s="2"/>
      <c r="O60" s="84"/>
    </row>
    <row r="61" s="5" customFormat="1" ht="18" customHeight="1" spans="1:15">
      <c r="A61" s="39"/>
      <c r="B61" s="115">
        <f t="shared" si="5"/>
        <v>0</v>
      </c>
      <c r="C61" s="40"/>
      <c r="D61" s="41"/>
      <c r="E61" s="43"/>
      <c r="F61" s="115">
        <f t="shared" si="6"/>
        <v>0</v>
      </c>
      <c r="G61" s="110"/>
      <c r="H61" s="26"/>
      <c r="I61" s="121">
        <v>12101.25</v>
      </c>
      <c r="J61" s="82" t="s">
        <v>94</v>
      </c>
      <c r="K61" s="124" t="s">
        <v>95</v>
      </c>
      <c r="L61" s="88"/>
      <c r="M61" s="2"/>
      <c r="N61" s="2"/>
      <c r="O61" s="84"/>
    </row>
    <row r="62" s="5" customFormat="1" ht="18" customHeight="1" spans="1:15">
      <c r="A62" s="39"/>
      <c r="B62" s="115">
        <f t="shared" si="5"/>
        <v>0</v>
      </c>
      <c r="C62" s="40"/>
      <c r="D62" s="41"/>
      <c r="E62" s="43"/>
      <c r="F62" s="115">
        <f t="shared" si="6"/>
        <v>0</v>
      </c>
      <c r="G62" s="110"/>
      <c r="H62" s="26"/>
      <c r="I62" s="121">
        <v>685</v>
      </c>
      <c r="J62" s="82" t="s">
        <v>80</v>
      </c>
      <c r="K62" s="87" t="s">
        <v>91</v>
      </c>
      <c r="L62" s="88"/>
      <c r="M62" s="2"/>
      <c r="N62" s="2"/>
      <c r="O62" s="84"/>
    </row>
    <row r="63" s="5" customFormat="1" ht="18" customHeight="1" spans="1:15">
      <c r="A63" s="39"/>
      <c r="B63" s="115">
        <f t="shared" si="5"/>
        <v>0</v>
      </c>
      <c r="C63" s="40"/>
      <c r="D63" s="41"/>
      <c r="E63" s="43"/>
      <c r="F63" s="115">
        <f t="shared" si="6"/>
        <v>0</v>
      </c>
      <c r="G63" s="110"/>
      <c r="H63" s="26"/>
      <c r="I63" s="121">
        <v>2909</v>
      </c>
      <c r="J63" s="82" t="s">
        <v>94</v>
      </c>
      <c r="K63" s="3" t="s">
        <v>88</v>
      </c>
      <c r="L63" s="84"/>
      <c r="M63" s="2"/>
      <c r="N63" s="2"/>
      <c r="O63" s="84"/>
    </row>
    <row r="64" s="5" customFormat="1" ht="18" customHeight="1" spans="1:15">
      <c r="A64" s="39"/>
      <c r="B64" s="115">
        <f t="shared" si="5"/>
        <v>0</v>
      </c>
      <c r="C64" s="40"/>
      <c r="D64" s="41"/>
      <c r="E64" s="43"/>
      <c r="F64" s="115">
        <f t="shared" si="6"/>
        <v>0</v>
      </c>
      <c r="G64" s="110"/>
      <c r="H64" s="26"/>
      <c r="I64" s="121">
        <v>500</v>
      </c>
      <c r="J64" s="82" t="s">
        <v>80</v>
      </c>
      <c r="K64" s="3" t="s">
        <v>96</v>
      </c>
      <c r="L64" s="84"/>
      <c r="M64" s="2"/>
      <c r="N64" s="2"/>
      <c r="O64" s="84"/>
    </row>
    <row r="65" s="5" customFormat="1" ht="18" customHeight="1" spans="1:15">
      <c r="A65" s="39"/>
      <c r="B65" s="115">
        <f t="shared" si="5"/>
        <v>0</v>
      </c>
      <c r="C65" s="40"/>
      <c r="D65" s="41"/>
      <c r="E65" s="43"/>
      <c r="F65" s="115">
        <f t="shared" si="6"/>
        <v>0</v>
      </c>
      <c r="G65" s="110"/>
      <c r="H65" s="26"/>
      <c r="I65" s="121">
        <v>2335</v>
      </c>
      <c r="J65" s="82" t="s">
        <v>94</v>
      </c>
      <c r="K65" s="3" t="s">
        <v>88</v>
      </c>
      <c r="L65" s="84"/>
      <c r="M65" s="2"/>
      <c r="N65" s="2"/>
      <c r="O65" s="84"/>
    </row>
    <row r="66" s="5" customFormat="1" ht="18" customHeight="1" spans="1:15">
      <c r="A66" s="39"/>
      <c r="B66" s="115">
        <f t="shared" si="5"/>
        <v>0</v>
      </c>
      <c r="C66" s="40"/>
      <c r="D66" s="41"/>
      <c r="E66" s="43"/>
      <c r="F66" s="115">
        <f t="shared" si="6"/>
        <v>0</v>
      </c>
      <c r="G66" s="110"/>
      <c r="H66" s="26"/>
      <c r="I66" s="121">
        <f>2686+4647</f>
        <v>7333</v>
      </c>
      <c r="J66" s="82" t="s">
        <v>80</v>
      </c>
      <c r="K66" s="3" t="s">
        <v>97</v>
      </c>
      <c r="L66" s="84"/>
      <c r="M66" s="2"/>
      <c r="N66" s="2"/>
      <c r="O66" s="84"/>
    </row>
    <row r="67" s="5" customFormat="1" ht="18" customHeight="1" spans="1:15">
      <c r="A67" s="39"/>
      <c r="B67" s="115">
        <f t="shared" si="5"/>
        <v>0</v>
      </c>
      <c r="C67" s="40"/>
      <c r="D67" s="41"/>
      <c r="E67" s="43"/>
      <c r="F67" s="115">
        <f t="shared" si="6"/>
        <v>0</v>
      </c>
      <c r="G67" s="110"/>
      <c r="H67" s="26"/>
      <c r="I67" s="121">
        <v>500</v>
      </c>
      <c r="J67" s="82" t="s">
        <v>80</v>
      </c>
      <c r="K67" s="3" t="s">
        <v>96</v>
      </c>
      <c r="L67" s="84"/>
      <c r="M67" s="2"/>
      <c r="N67" s="2"/>
      <c r="O67" s="84"/>
    </row>
    <row r="68" s="5" customFormat="1" ht="18" customHeight="1" spans="1:15">
      <c r="A68" s="39"/>
      <c r="B68" s="115">
        <f t="shared" si="5"/>
        <v>17491</v>
      </c>
      <c r="C68" s="40"/>
      <c r="D68" s="41"/>
      <c r="E68" s="43"/>
      <c r="F68" s="115">
        <f t="shared" si="6"/>
        <v>0</v>
      </c>
      <c r="G68" s="110">
        <f>7237+3000+503+4364+1140+1247</f>
        <v>17491</v>
      </c>
      <c r="H68" s="26"/>
      <c r="I68" s="17">
        <f>G68</f>
        <v>17491</v>
      </c>
      <c r="J68" s="82" t="s">
        <v>80</v>
      </c>
      <c r="K68" s="3" t="s">
        <v>89</v>
      </c>
      <c r="L68" s="84"/>
      <c r="M68" s="2"/>
      <c r="N68" s="2"/>
      <c r="O68" s="84"/>
    </row>
    <row r="69" ht="18" customHeight="1" spans="1:17">
      <c r="A69" s="34" t="s">
        <v>27</v>
      </c>
      <c r="B69" s="113">
        <f>SUM(B19:B68)</f>
        <v>1525719.24</v>
      </c>
      <c r="C69" s="34"/>
      <c r="D69" s="72"/>
      <c r="E69" s="72"/>
      <c r="F69" s="114">
        <f>SUM(F19:F68)</f>
        <v>92097.45</v>
      </c>
      <c r="G69" s="125">
        <f>SUM(G19:G68)</f>
        <v>1617816.69</v>
      </c>
      <c r="H69" s="74"/>
      <c r="I69" s="34">
        <f>SUM(I19:I68)</f>
        <v>1347787.85</v>
      </c>
      <c r="J69" s="101"/>
      <c r="K69" s="102"/>
      <c r="L69" s="37"/>
      <c r="M69" s="82"/>
      <c r="N69" s="82"/>
      <c r="O69" s="37"/>
      <c r="Q69" s="10"/>
    </row>
    <row r="70" ht="18" customHeight="1" spans="1:21">
      <c r="A70" s="75" t="s">
        <v>98</v>
      </c>
      <c r="B70" s="75">
        <f>B16-B69</f>
        <v>-44650.5202335292</v>
      </c>
      <c r="C70" s="75"/>
      <c r="D70" s="77"/>
      <c r="E70" s="77"/>
      <c r="F70" s="76"/>
      <c r="G70" s="75">
        <f>G16-G69</f>
        <v>7183.31000000006</v>
      </c>
      <c r="H70" s="25" t="s">
        <v>99</v>
      </c>
      <c r="I70" s="34">
        <f>I16-I69</f>
        <v>207212.15</v>
      </c>
      <c r="J70" s="8"/>
      <c r="K70" s="103"/>
      <c r="M70" s="104"/>
      <c r="N70" s="104"/>
      <c r="S70" s="18">
        <v>1164</v>
      </c>
      <c r="T70" s="82" t="s">
        <v>80</v>
      </c>
      <c r="U70" s="3" t="s">
        <v>84</v>
      </c>
    </row>
    <row r="71" ht="18" customHeight="1" spans="1:21">
      <c r="A71" s="75"/>
      <c r="B71" s="76"/>
      <c r="C71" s="75"/>
      <c r="D71" s="77"/>
      <c r="E71" s="77"/>
      <c r="F71" s="76"/>
      <c r="G71" s="76">
        <f>G69-1314286.12</f>
        <v>303530.57</v>
      </c>
      <c r="H71" s="78"/>
      <c r="I71" s="76"/>
      <c r="J71" s="8"/>
      <c r="K71" s="103"/>
      <c r="M71" s="104"/>
      <c r="N71" s="104"/>
      <c r="Q71" s="10">
        <f>I53+I57</f>
        <v>5769</v>
      </c>
      <c r="S71" s="18">
        <v>4070</v>
      </c>
      <c r="T71" s="82" t="s">
        <v>80</v>
      </c>
      <c r="U71" s="3" t="s">
        <v>91</v>
      </c>
    </row>
    <row r="72" ht="18" customHeight="1" spans="1:19">
      <c r="A72" s="9" t="s">
        <v>100</v>
      </c>
      <c r="C72" s="9"/>
      <c r="S72" s="76">
        <f>S70+S71</f>
        <v>5234</v>
      </c>
    </row>
    <row r="73" ht="18" customHeight="1" spans="1:12">
      <c r="A73" s="25" t="s">
        <v>101</v>
      </c>
      <c r="B73" s="24" t="s">
        <v>102</v>
      </c>
      <c r="C73" s="37"/>
      <c r="D73" s="25" t="s">
        <v>101</v>
      </c>
      <c r="E73" s="23" t="s">
        <v>17</v>
      </c>
      <c r="F73" s="24" t="s">
        <v>102</v>
      </c>
      <c r="G73" s="24" t="s">
        <v>103</v>
      </c>
      <c r="H73" s="23" t="s">
        <v>104</v>
      </c>
      <c r="I73" s="23" t="s">
        <v>105</v>
      </c>
      <c r="J73" s="23" t="s">
        <v>106</v>
      </c>
      <c r="K73" s="23" t="s">
        <v>107</v>
      </c>
      <c r="L73" s="17" t="s">
        <v>108</v>
      </c>
    </row>
    <row r="74" ht="18" customHeight="1" spans="1:12">
      <c r="A74" s="37" t="s">
        <v>109</v>
      </c>
      <c r="B74" s="1">
        <f>(B16-B69)*0.25</f>
        <v>-11162.6300583823</v>
      </c>
      <c r="C74" s="37"/>
      <c r="D74" s="105" t="s">
        <v>97</v>
      </c>
      <c r="E74" s="106" t="s">
        <v>110</v>
      </c>
      <c r="F74" s="114">
        <f>F16-F69</f>
        <v>22212.4558381985</v>
      </c>
      <c r="G74" s="114">
        <f>F7-F19-F23-F24</f>
        <v>2441.1027272727</v>
      </c>
      <c r="H74" s="114">
        <f>F8-F27-F28-F29-F30</f>
        <v>4224.4354545455</v>
      </c>
      <c r="I74" s="114">
        <f>F9-F33-F34-F35</f>
        <v>-573.8663636364</v>
      </c>
      <c r="J74" s="114">
        <f>F9+F10-F33-F34-F35-F37</f>
        <v>5244.31545454542</v>
      </c>
      <c r="K74" s="114">
        <f>F11-F38-F39-F40-F41</f>
        <v>-2501.7029357798</v>
      </c>
      <c r="L74" s="114">
        <f>F12-F43-F44</f>
        <v>12804.3051376147</v>
      </c>
    </row>
    <row r="75" ht="18" customHeight="1" spans="1:12">
      <c r="A75" s="37" t="s">
        <v>111</v>
      </c>
      <c r="B75" s="20" t="s">
        <v>112</v>
      </c>
      <c r="C75" s="37"/>
      <c r="D75" s="107" t="s">
        <v>113</v>
      </c>
      <c r="E75" s="19">
        <v>0.05</v>
      </c>
      <c r="F75" s="17">
        <f>F$74*$E$75</f>
        <v>1110.62279190993</v>
      </c>
      <c r="G75" s="17">
        <f>G$74*$E$75</f>
        <v>122.055136363635</v>
      </c>
      <c r="H75" s="17">
        <v>211.221909090909</v>
      </c>
      <c r="I75" s="17">
        <v>31.1281396396396</v>
      </c>
      <c r="J75" s="17">
        <f>J74*E75</f>
        <v>262.215772727271</v>
      </c>
      <c r="K75" s="17">
        <v>0</v>
      </c>
      <c r="L75" s="17">
        <f>L74*0.07</f>
        <v>896.301359633029</v>
      </c>
    </row>
    <row r="76" ht="18" customHeight="1" spans="1:12">
      <c r="A76" s="37" t="s">
        <v>114</v>
      </c>
      <c r="B76" s="20" t="s">
        <v>112</v>
      </c>
      <c r="C76" s="37"/>
      <c r="D76" s="107" t="s">
        <v>115</v>
      </c>
      <c r="E76" s="19">
        <v>0.03</v>
      </c>
      <c r="F76" s="17">
        <f>F$74*$E$76</f>
        <v>666.373675145956</v>
      </c>
      <c r="G76" s="17">
        <f>G$74*$E$76</f>
        <v>73.2330818181811</v>
      </c>
      <c r="H76" s="17">
        <v>126.733145454545</v>
      </c>
      <c r="I76" s="17">
        <v>18.6768837837838</v>
      </c>
      <c r="J76" s="17">
        <f>J74*E76</f>
        <v>157.329463636363</v>
      </c>
      <c r="K76" s="17">
        <v>0</v>
      </c>
      <c r="L76" s="17">
        <f>L74*0.03</f>
        <v>384.129154128441</v>
      </c>
    </row>
    <row r="77" ht="18" customHeight="1" spans="1:12">
      <c r="A77" s="37"/>
      <c r="B77" s="18"/>
      <c r="C77" s="37"/>
      <c r="D77" s="107" t="s">
        <v>116</v>
      </c>
      <c r="E77" s="19">
        <v>0.02</v>
      </c>
      <c r="F77" s="17">
        <f>F$74*$E$77</f>
        <v>444.249116763971</v>
      </c>
      <c r="G77" s="17">
        <f>G$74*$E$77</f>
        <v>48.8220545454541</v>
      </c>
      <c r="H77" s="17">
        <v>84.4887636363635</v>
      </c>
      <c r="I77" s="17">
        <v>12.4512558558559</v>
      </c>
      <c r="J77" s="17">
        <f>J74*E77</f>
        <v>104.886309090908</v>
      </c>
      <c r="K77" s="17">
        <v>0</v>
      </c>
      <c r="L77" s="17">
        <f>L74*0.02</f>
        <v>256.086102752294</v>
      </c>
    </row>
    <row r="78" ht="18" customHeight="1" spans="1:12">
      <c r="A78" s="32" t="s">
        <v>117</v>
      </c>
      <c r="B78" s="33">
        <f t="shared" ref="B78:H78" si="7">SUM(B74:B77)</f>
        <v>-11162.6300583823</v>
      </c>
      <c r="C78" s="37"/>
      <c r="D78" s="105" t="s">
        <v>117</v>
      </c>
      <c r="E78" s="105"/>
      <c r="F78" s="114">
        <f t="shared" si="7"/>
        <v>24433.7014220184</v>
      </c>
      <c r="G78" s="114">
        <f t="shared" si="7"/>
        <v>2685.21299999997</v>
      </c>
      <c r="H78" s="114">
        <f t="shared" si="7"/>
        <v>4646.87927272732</v>
      </c>
      <c r="I78" s="114">
        <v>684.819072072072</v>
      </c>
      <c r="J78" s="114">
        <f>SUM(J74:J77)</f>
        <v>5768.74699999996</v>
      </c>
      <c r="K78" s="114">
        <v>0</v>
      </c>
      <c r="L78" s="114">
        <f>SUM(L74:L77)</f>
        <v>14340.8217541285</v>
      </c>
    </row>
    <row r="79" ht="18" customHeight="1" spans="3:12">
      <c r="C79" s="9"/>
      <c r="D79" s="107" t="s">
        <v>111</v>
      </c>
      <c r="E79" s="19">
        <v>0.0003</v>
      </c>
      <c r="F79" s="19"/>
      <c r="G79" s="19"/>
      <c r="H79" s="19"/>
      <c r="I79" s="19"/>
      <c r="J79" s="17">
        <f>G10*E79</f>
        <v>24</v>
      </c>
      <c r="K79" s="17">
        <v>0</v>
      </c>
      <c r="L79" s="17">
        <f>G12*0.0003</f>
        <v>86.354184</v>
      </c>
    </row>
    <row r="80" ht="18" customHeight="1" spans="3:12">
      <c r="C80" s="9"/>
      <c r="D80" s="107" t="s">
        <v>114</v>
      </c>
      <c r="E80" s="19">
        <v>0.0006</v>
      </c>
      <c r="F80" s="19"/>
      <c r="G80" s="19"/>
      <c r="H80" s="19"/>
      <c r="I80" s="19"/>
      <c r="J80" s="17">
        <f>B10*E80</f>
        <v>43.6363636363636</v>
      </c>
      <c r="K80" s="17">
        <v>0</v>
      </c>
      <c r="L80" s="17">
        <f>B12*0.0006</f>
        <v>158.448044036697</v>
      </c>
    </row>
    <row r="81" ht="18" customHeight="1" spans="3:12">
      <c r="C81" s="9"/>
      <c r="D81" s="107" t="s">
        <v>117</v>
      </c>
      <c r="E81" s="19"/>
      <c r="F81" s="19"/>
      <c r="G81" s="19"/>
      <c r="H81" s="19"/>
      <c r="I81" s="19"/>
      <c r="J81" s="126">
        <f>J79+J80</f>
        <v>67.6363636363636</v>
      </c>
      <c r="K81" s="126"/>
      <c r="L81" s="34">
        <f>SUM(L79:L80)</f>
        <v>244.802228036697</v>
      </c>
    </row>
    <row r="82" ht="18" customHeight="1" spans="3:12">
      <c r="C82" s="9"/>
      <c r="D82" s="107" t="s">
        <v>27</v>
      </c>
      <c r="E82" s="19"/>
      <c r="F82" s="19"/>
      <c r="G82" s="19"/>
      <c r="H82" s="19"/>
      <c r="I82" s="19"/>
      <c r="J82" s="126">
        <f>J78+J81</f>
        <v>5836.38336363633</v>
      </c>
      <c r="K82" s="126"/>
      <c r="L82" s="34">
        <f>L78+L81</f>
        <v>14585.6239821652</v>
      </c>
    </row>
    <row r="83" spans="3:3">
      <c r="C83" s="9"/>
    </row>
    <row r="84" spans="3:3">
      <c r="C84" s="9"/>
    </row>
    <row r="85" spans="3:10">
      <c r="C85" s="9"/>
      <c r="J85" s="10"/>
    </row>
    <row r="86" spans="3:10">
      <c r="C86" s="9"/>
      <c r="J86" s="10"/>
    </row>
    <row r="87" spans="3:10">
      <c r="C87" s="9"/>
      <c r="J87" s="10"/>
    </row>
    <row r="88" spans="3:10">
      <c r="C88" s="9"/>
      <c r="J88" s="10"/>
    </row>
    <row r="89" spans="3:10">
      <c r="C89" s="9"/>
      <c r="J89" s="10"/>
    </row>
    <row r="90" spans="3:10">
      <c r="C90" s="9"/>
      <c r="J90" s="10"/>
    </row>
    <row r="91" spans="3:10">
      <c r="C91" s="9"/>
      <c r="J91" s="10"/>
    </row>
    <row r="92" spans="3:3">
      <c r="C92" s="9"/>
    </row>
    <row r="93" spans="3:3">
      <c r="C93" s="9"/>
    </row>
    <row r="94" spans="3:3">
      <c r="C94" s="9"/>
    </row>
    <row r="95" spans="3:3">
      <c r="C95" s="9"/>
    </row>
    <row r="96" spans="3:3">
      <c r="C96" s="9"/>
    </row>
    <row r="97" spans="3:3">
      <c r="C97" s="9"/>
    </row>
  </sheetData>
  <autoFilter ref="A18:O82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1"/>
  <sheetViews>
    <sheetView topLeftCell="A49" workbookViewId="0">
      <selection activeCell="G67" sqref="G67"/>
    </sheetView>
  </sheetViews>
  <sheetFormatPr defaultColWidth="9" defaultRowHeight="11.25"/>
  <cols>
    <col min="1" max="1" width="9" style="9" customWidth="1"/>
    <col min="2" max="2" width="13.125" style="10" customWidth="1"/>
    <col min="3" max="3" width="6" style="11" customWidth="1"/>
    <col min="4" max="4" width="13.375" style="11" customWidth="1"/>
    <col min="5" max="5" width="11.5" style="11" customWidth="1"/>
    <col min="6" max="6" width="13.125" style="10" customWidth="1"/>
    <col min="7" max="7" width="14.125" style="10" customWidth="1"/>
    <col min="8" max="8" width="14.125" style="11" customWidth="1"/>
    <col min="9" max="9" width="13.875" style="10" customWidth="1"/>
    <col min="10" max="10" width="13.25" style="12" customWidth="1"/>
    <col min="11" max="11" width="31.5" style="8" customWidth="1"/>
    <col min="12" max="12" width="12.75" style="8" customWidth="1"/>
    <col min="13" max="13" width="6" style="8" customWidth="1"/>
    <col min="14" max="14" width="5.625" style="8" customWidth="1"/>
    <col min="15" max="15" width="13.125" style="8" customWidth="1"/>
    <col min="16" max="16384" width="9" style="8"/>
  </cols>
  <sheetData>
    <row r="1" ht="21.95" customHeight="1" spans="1:12">
      <c r="A1" s="13" t="s">
        <v>118</v>
      </c>
      <c r="B1" s="13" t="s">
        <v>1</v>
      </c>
      <c r="C1" s="13" t="s">
        <v>1</v>
      </c>
      <c r="D1" s="13" t="s">
        <v>1</v>
      </c>
      <c r="E1" s="13" t="s">
        <v>1</v>
      </c>
      <c r="F1" s="14" t="s">
        <v>1</v>
      </c>
      <c r="G1" s="14" t="s">
        <v>1</v>
      </c>
      <c r="H1" s="13" t="s">
        <v>1</v>
      </c>
      <c r="I1" s="14" t="s">
        <v>1</v>
      </c>
      <c r="J1" s="13" t="s">
        <v>1</v>
      </c>
      <c r="K1" s="22"/>
      <c r="L1" s="22"/>
    </row>
    <row r="2" ht="18" customHeight="1" spans="1:12">
      <c r="A2" s="15" t="s">
        <v>2</v>
      </c>
      <c r="B2" s="16" t="s">
        <v>3</v>
      </c>
      <c r="C2" s="17" t="s">
        <v>4</v>
      </c>
      <c r="D2" s="18">
        <v>1450000</v>
      </c>
      <c r="E2" s="19" t="s">
        <v>5</v>
      </c>
      <c r="F2" s="18"/>
      <c r="G2" s="20" t="s">
        <v>6</v>
      </c>
      <c r="H2" s="21" t="s">
        <v>7</v>
      </c>
      <c r="I2" s="79"/>
      <c r="J2" s="80"/>
      <c r="K2" s="22"/>
      <c r="L2" s="22"/>
    </row>
    <row r="3" ht="18" customHeight="1" spans="1:12">
      <c r="A3" s="15" t="s">
        <v>8</v>
      </c>
      <c r="B3" s="1"/>
      <c r="C3" s="17" t="s">
        <v>9</v>
      </c>
      <c r="D3" s="17"/>
      <c r="H3" s="22"/>
      <c r="I3" s="81"/>
      <c r="J3" s="22"/>
      <c r="K3" s="22"/>
      <c r="L3" s="22"/>
    </row>
    <row r="4" ht="18" customHeight="1" spans="1:12">
      <c r="A4" s="9" t="s">
        <v>10</v>
      </c>
      <c r="H4" s="22"/>
      <c r="I4" s="81"/>
      <c r="J4" s="22"/>
      <c r="K4" s="22"/>
      <c r="L4" s="22"/>
    </row>
    <row r="5" ht="18" customHeight="1" spans="1:10">
      <c r="A5" s="23" t="s">
        <v>11</v>
      </c>
      <c r="B5" s="24" t="s">
        <v>12</v>
      </c>
      <c r="C5" s="23" t="s">
        <v>13</v>
      </c>
      <c r="D5" s="23"/>
      <c r="E5" s="23" t="s">
        <v>14</v>
      </c>
      <c r="F5" s="24"/>
      <c r="G5" s="24" t="s">
        <v>15</v>
      </c>
      <c r="H5" s="25" t="s">
        <v>16</v>
      </c>
      <c r="I5" s="24"/>
      <c r="J5" s="25"/>
    </row>
    <row r="6" ht="18" customHeight="1" spans="1:10">
      <c r="A6" s="23"/>
      <c r="B6" s="24"/>
      <c r="C6" s="23" t="s">
        <v>17</v>
      </c>
      <c r="D6" s="23" t="s">
        <v>18</v>
      </c>
      <c r="E6" s="23" t="s">
        <v>17</v>
      </c>
      <c r="F6" s="24" t="s">
        <v>18</v>
      </c>
      <c r="G6" s="24"/>
      <c r="H6" s="25" t="s">
        <v>19</v>
      </c>
      <c r="I6" s="24" t="s">
        <v>20</v>
      </c>
      <c r="J6" s="25" t="s">
        <v>21</v>
      </c>
    </row>
    <row r="7" ht="18" customHeight="1" spans="1:10">
      <c r="A7" s="26">
        <v>43265</v>
      </c>
      <c r="B7" s="18">
        <f>G7/(1+C7+E7)</f>
        <v>438570.909090909</v>
      </c>
      <c r="C7" s="27">
        <v>0.02</v>
      </c>
      <c r="D7" s="28">
        <f>G7/(1+E7+C7)*C7</f>
        <v>8771.41818181818</v>
      </c>
      <c r="E7" s="27">
        <v>0.08</v>
      </c>
      <c r="F7" s="18">
        <f>G7/(1+C7+E7)*E7</f>
        <v>35085.6727272727</v>
      </c>
      <c r="G7" s="29">
        <v>482428</v>
      </c>
      <c r="H7" s="26">
        <v>43263</v>
      </c>
      <c r="I7" s="18">
        <v>482428</v>
      </c>
      <c r="J7" s="82" t="s">
        <v>22</v>
      </c>
    </row>
    <row r="8" ht="18" customHeight="1" spans="1:10">
      <c r="A8" s="26">
        <v>43346</v>
      </c>
      <c r="B8" s="18">
        <f>G8/(1+C8+E8)</f>
        <v>212256.818181818</v>
      </c>
      <c r="C8" s="30">
        <v>0.02</v>
      </c>
      <c r="D8" s="28">
        <f>G8/(1+E8+C8)*C8</f>
        <v>4245.13636363636</v>
      </c>
      <c r="E8" s="27">
        <v>0.08</v>
      </c>
      <c r="F8" s="18">
        <f>G8/(1+C8+E8)*E8</f>
        <v>16980.5454545455</v>
      </c>
      <c r="G8" s="29">
        <v>233482.5</v>
      </c>
      <c r="H8" s="26">
        <v>43368</v>
      </c>
      <c r="I8" s="18">
        <v>200000</v>
      </c>
      <c r="J8" s="82" t="s">
        <v>22</v>
      </c>
    </row>
    <row r="9" ht="18" customHeight="1" spans="1:10">
      <c r="A9" s="26">
        <v>43455</v>
      </c>
      <c r="B9" s="18">
        <f t="shared" ref="B9:B11" si="0">G9/(1+C9+E9)</f>
        <v>339954.545454545</v>
      </c>
      <c r="C9" s="27">
        <v>0.02</v>
      </c>
      <c r="D9" s="28">
        <f t="shared" ref="D9:D11" si="1">G9/(1+E9+C9)*C9</f>
        <v>6799.09090909091</v>
      </c>
      <c r="E9" s="27">
        <v>0.08</v>
      </c>
      <c r="F9" s="18">
        <f t="shared" ref="F9:F11" si="2">G9/(1+C9+E9)*E9</f>
        <v>27196.3636363636</v>
      </c>
      <c r="G9" s="29">
        <v>373950</v>
      </c>
      <c r="H9" s="26">
        <v>43388</v>
      </c>
      <c r="I9" s="18">
        <v>33482</v>
      </c>
      <c r="J9" s="82" t="s">
        <v>22</v>
      </c>
    </row>
    <row r="10" ht="18" customHeight="1" spans="1:12">
      <c r="A10" s="26">
        <v>43489</v>
      </c>
      <c r="B10" s="18">
        <f t="shared" si="0"/>
        <v>72727.2727272727</v>
      </c>
      <c r="C10" s="27">
        <v>0.02</v>
      </c>
      <c r="D10" s="28">
        <f t="shared" si="1"/>
        <v>1454.54545454545</v>
      </c>
      <c r="E10" s="27">
        <v>0.08</v>
      </c>
      <c r="F10" s="18">
        <f t="shared" si="2"/>
        <v>5818.18181818182</v>
      </c>
      <c r="G10" s="31">
        <v>80000</v>
      </c>
      <c r="H10" s="26">
        <v>43458</v>
      </c>
      <c r="I10" s="18">
        <v>290900</v>
      </c>
      <c r="J10" s="82" t="s">
        <v>22</v>
      </c>
      <c r="K10" s="7" t="s">
        <v>23</v>
      </c>
      <c r="L10" s="7" t="s">
        <v>24</v>
      </c>
    </row>
    <row r="11" ht="18" customHeight="1" spans="1:10">
      <c r="A11" s="26">
        <v>43706</v>
      </c>
      <c r="B11" s="18">
        <f t="shared" si="0"/>
        <v>153479.100917431</v>
      </c>
      <c r="C11" s="27">
        <v>0.02</v>
      </c>
      <c r="D11" s="28">
        <f t="shared" si="1"/>
        <v>3069.58201834862</v>
      </c>
      <c r="E11" s="30">
        <v>0.07</v>
      </c>
      <c r="F11" s="18">
        <f t="shared" si="2"/>
        <v>10743.5370642202</v>
      </c>
      <c r="G11" s="29">
        <v>167292.22</v>
      </c>
      <c r="H11" s="26">
        <v>43543</v>
      </c>
      <c r="I11" s="18">
        <v>76000</v>
      </c>
      <c r="J11" s="82" t="s">
        <v>22</v>
      </c>
    </row>
    <row r="12" ht="18" customHeight="1" spans="1:11">
      <c r="A12" s="26"/>
      <c r="B12" s="18">
        <f t="shared" ref="B12" si="3">G12/(1+C12+E12)</f>
        <v>0</v>
      </c>
      <c r="C12" s="27">
        <v>0.03</v>
      </c>
      <c r="D12" s="28">
        <f t="shared" ref="D12" si="4">G12/(1+E12+C12)*C12</f>
        <v>0</v>
      </c>
      <c r="E12" s="27">
        <v>0.08</v>
      </c>
      <c r="F12" s="18">
        <f t="shared" ref="F12" si="5">G12/(1+C12+E12)*E12</f>
        <v>0</v>
      </c>
      <c r="G12" s="29"/>
      <c r="H12" s="26">
        <v>43594</v>
      </c>
      <c r="I12" s="61">
        <v>83100</v>
      </c>
      <c r="J12" s="82" t="s">
        <v>22</v>
      </c>
      <c r="K12" s="8" t="s">
        <v>25</v>
      </c>
    </row>
    <row r="13" ht="18" customHeight="1" spans="1:10">
      <c r="A13" s="26"/>
      <c r="B13" s="18"/>
      <c r="C13" s="27"/>
      <c r="D13" s="28"/>
      <c r="E13" s="27"/>
      <c r="F13" s="18"/>
      <c r="G13" s="29"/>
      <c r="H13" s="26">
        <v>43719</v>
      </c>
      <c r="I13" s="18">
        <v>167292.22</v>
      </c>
      <c r="J13" s="82" t="s">
        <v>22</v>
      </c>
    </row>
    <row r="14" ht="18" customHeight="1" spans="1:10">
      <c r="A14" s="32" t="s">
        <v>27</v>
      </c>
      <c r="B14" s="33">
        <f>SUM(B7:B12)</f>
        <v>1216988.64637198</v>
      </c>
      <c r="C14" s="34"/>
      <c r="D14" s="35">
        <f t="shared" ref="D14:G14" si="6">SUM(D7:D12)</f>
        <v>24339.7729274395</v>
      </c>
      <c r="E14" s="34"/>
      <c r="F14" s="36">
        <f t="shared" si="6"/>
        <v>95824.3007005838</v>
      </c>
      <c r="G14" s="35">
        <f t="shared" si="6"/>
        <v>1337152.72</v>
      </c>
      <c r="H14" s="37"/>
      <c r="I14" s="35">
        <f>SUM(I7:I13)</f>
        <v>1333202.22</v>
      </c>
      <c r="J14" s="37"/>
    </row>
    <row r="15" ht="18" customHeight="1" spans="1:12">
      <c r="A15" s="9" t="s">
        <v>28</v>
      </c>
      <c r="J15" s="11"/>
      <c r="K15" s="11"/>
      <c r="L15" s="12"/>
    </row>
    <row r="16" ht="18" customHeight="1" spans="1:15">
      <c r="A16" s="38" t="s">
        <v>29</v>
      </c>
      <c r="B16" s="24" t="s">
        <v>30</v>
      </c>
      <c r="C16" s="23" t="s">
        <v>31</v>
      </c>
      <c r="D16" s="23" t="s">
        <v>32</v>
      </c>
      <c r="E16" s="23" t="s">
        <v>17</v>
      </c>
      <c r="F16" s="24" t="s">
        <v>33</v>
      </c>
      <c r="G16" s="24" t="s">
        <v>15</v>
      </c>
      <c r="H16" s="23" t="s">
        <v>34</v>
      </c>
      <c r="I16" s="24" t="s">
        <v>35</v>
      </c>
      <c r="J16" s="23" t="s">
        <v>21</v>
      </c>
      <c r="K16" s="83" t="s">
        <v>36</v>
      </c>
      <c r="L16" s="25" t="s">
        <v>37</v>
      </c>
      <c r="M16" s="25" t="s">
        <v>38</v>
      </c>
      <c r="N16" s="25" t="s">
        <v>39</v>
      </c>
      <c r="O16" s="25" t="s">
        <v>40</v>
      </c>
    </row>
    <row r="17" s="5" customFormat="1" ht="18" customHeight="1" spans="1:15">
      <c r="A17" s="39">
        <v>43160</v>
      </c>
      <c r="B17" s="1">
        <f>ROUND(G17/(1+E17),2)</f>
        <v>69902.91</v>
      </c>
      <c r="C17" s="40">
        <v>1</v>
      </c>
      <c r="D17" s="41" t="s">
        <v>41</v>
      </c>
      <c r="E17" s="42">
        <v>0.03</v>
      </c>
      <c r="F17" s="1">
        <f>ROUND(G17/(1+E17)*E17,2)</f>
        <v>2097.09</v>
      </c>
      <c r="G17" s="29">
        <v>72000</v>
      </c>
      <c r="H17" s="26">
        <v>43171</v>
      </c>
      <c r="I17" s="18">
        <v>72000</v>
      </c>
      <c r="J17" s="82" t="s">
        <v>22</v>
      </c>
      <c r="K17" s="3" t="s">
        <v>42</v>
      </c>
      <c r="L17" s="84" t="s">
        <v>43</v>
      </c>
      <c r="M17" s="2"/>
      <c r="N17" s="2"/>
      <c r="O17" s="84"/>
    </row>
    <row r="18" s="5" customFormat="1" ht="18" customHeight="1" spans="1:15">
      <c r="A18" s="39"/>
      <c r="B18" s="1"/>
      <c r="C18" s="40"/>
      <c r="D18" s="41"/>
      <c r="E18" s="42"/>
      <c r="F18" s="1"/>
      <c r="G18" s="29"/>
      <c r="H18" s="26">
        <v>43169</v>
      </c>
      <c r="I18" s="18">
        <v>-72000</v>
      </c>
      <c r="J18" s="82" t="s">
        <v>44</v>
      </c>
      <c r="K18" s="3" t="s">
        <v>45</v>
      </c>
      <c r="L18" s="84" t="s">
        <v>46</v>
      </c>
      <c r="M18" s="2"/>
      <c r="N18" s="2"/>
      <c r="O18" s="84"/>
    </row>
    <row r="19" s="5" customFormat="1" ht="18" customHeight="1" spans="1:15">
      <c r="A19" s="39">
        <v>43252</v>
      </c>
      <c r="B19" s="1">
        <f>ROUND(G19/(1+E19),2)</f>
        <v>37000</v>
      </c>
      <c r="C19" s="40"/>
      <c r="D19" s="41" t="s">
        <v>47</v>
      </c>
      <c r="E19" s="43">
        <v>0</v>
      </c>
      <c r="F19" s="1">
        <f>ROUND(G19/(1+E19)*E19,2)</f>
        <v>0</v>
      </c>
      <c r="G19" s="29">
        <v>37000</v>
      </c>
      <c r="H19" s="26">
        <v>43278</v>
      </c>
      <c r="I19" s="18">
        <v>37000</v>
      </c>
      <c r="J19" s="82" t="s">
        <v>44</v>
      </c>
      <c r="K19" s="3" t="s">
        <v>48</v>
      </c>
      <c r="L19" s="84" t="s">
        <v>49</v>
      </c>
      <c r="M19" s="2"/>
      <c r="N19" s="2"/>
      <c r="O19" s="84"/>
    </row>
    <row r="20" s="5" customFormat="1" ht="18" customHeight="1" spans="1:15">
      <c r="A20" s="39">
        <v>43252</v>
      </c>
      <c r="B20" s="1">
        <f t="shared" ref="B20:B22" si="7">ROUND(G20/(1+E20),2)</f>
        <v>142000</v>
      </c>
      <c r="C20" s="40"/>
      <c r="D20" s="41" t="s">
        <v>47</v>
      </c>
      <c r="E20" s="43">
        <v>0</v>
      </c>
      <c r="F20" s="1">
        <f t="shared" ref="F20:F22" si="8">ROUND(G20/(1+E20)*E20,2)</f>
        <v>0</v>
      </c>
      <c r="G20" s="29">
        <v>142000</v>
      </c>
      <c r="H20" s="26">
        <v>43276</v>
      </c>
      <c r="I20" s="18">
        <v>142000</v>
      </c>
      <c r="J20" s="82" t="s">
        <v>44</v>
      </c>
      <c r="K20" s="3" t="s">
        <v>50</v>
      </c>
      <c r="L20" s="84" t="s">
        <v>51</v>
      </c>
      <c r="M20" s="2"/>
      <c r="N20" s="2"/>
      <c r="O20" s="84"/>
    </row>
    <row r="21" s="5" customFormat="1" ht="18" customHeight="1" spans="1:15">
      <c r="A21" s="39">
        <v>43252</v>
      </c>
      <c r="B21" s="1">
        <f t="shared" si="7"/>
        <v>120370.02</v>
      </c>
      <c r="C21" s="40">
        <v>2</v>
      </c>
      <c r="D21" s="41" t="s">
        <v>41</v>
      </c>
      <c r="E21" s="42">
        <v>0.16</v>
      </c>
      <c r="F21" s="1">
        <f t="shared" si="8"/>
        <v>19259.2</v>
      </c>
      <c r="G21" s="29">
        <f>76854.85+62774.37</f>
        <v>139629.22</v>
      </c>
      <c r="H21" s="26">
        <v>43276</v>
      </c>
      <c r="I21" s="18">
        <v>139629.22</v>
      </c>
      <c r="J21" s="82" t="s">
        <v>22</v>
      </c>
      <c r="K21" s="3" t="s">
        <v>52</v>
      </c>
      <c r="L21" s="84" t="s">
        <v>53</v>
      </c>
      <c r="M21" s="2"/>
      <c r="N21" s="2"/>
      <c r="O21" s="84"/>
    </row>
    <row r="22" s="5" customFormat="1" ht="18" customHeight="1" spans="1:15">
      <c r="A22" s="39">
        <v>43252</v>
      </c>
      <c r="B22" s="1">
        <f t="shared" si="7"/>
        <v>70551.72</v>
      </c>
      <c r="C22" s="40">
        <v>1</v>
      </c>
      <c r="D22" s="41" t="s">
        <v>41</v>
      </c>
      <c r="E22" s="42">
        <v>0.16</v>
      </c>
      <c r="F22" s="1">
        <f t="shared" si="8"/>
        <v>11288.28</v>
      </c>
      <c r="G22" s="29">
        <v>81840</v>
      </c>
      <c r="H22" s="26">
        <v>43278</v>
      </c>
      <c r="I22" s="18">
        <v>81840</v>
      </c>
      <c r="J22" s="82" t="s">
        <v>22</v>
      </c>
      <c r="K22" s="3" t="s">
        <v>54</v>
      </c>
      <c r="L22" s="84" t="s">
        <v>55</v>
      </c>
      <c r="M22" s="2"/>
      <c r="N22" s="2"/>
      <c r="O22" s="84"/>
    </row>
    <row r="23" s="5" customFormat="1" ht="17.25" customHeight="1" spans="1:15">
      <c r="A23" s="39"/>
      <c r="B23" s="1">
        <f t="shared" ref="B23:B41" si="9">ROUND(G23/(1+E23),2)</f>
        <v>0</v>
      </c>
      <c r="C23" s="40"/>
      <c r="D23" s="41"/>
      <c r="E23" s="43"/>
      <c r="F23" s="1">
        <f t="shared" ref="F23:F40" si="10">ROUND(G23/(1+E23)*E23,2)</f>
        <v>0</v>
      </c>
      <c r="G23" s="29"/>
      <c r="H23" s="26">
        <v>43284</v>
      </c>
      <c r="I23" s="18">
        <v>71535.78</v>
      </c>
      <c r="J23" s="82" t="s">
        <v>44</v>
      </c>
      <c r="K23" s="3" t="s">
        <v>45</v>
      </c>
      <c r="L23" s="84" t="s">
        <v>56</v>
      </c>
      <c r="M23" s="2"/>
      <c r="N23" s="2"/>
      <c r="O23" s="84"/>
    </row>
    <row r="24" s="5" customFormat="1" ht="18" customHeight="1" spans="1:15">
      <c r="A24" s="39">
        <v>43344</v>
      </c>
      <c r="B24" s="1">
        <f t="shared" si="9"/>
        <v>13018.07</v>
      </c>
      <c r="C24" s="40">
        <v>1</v>
      </c>
      <c r="D24" s="41" t="s">
        <v>47</v>
      </c>
      <c r="E24" s="43"/>
      <c r="F24" s="1">
        <f t="shared" si="10"/>
        <v>0</v>
      </c>
      <c r="G24" s="29">
        <v>13018.07</v>
      </c>
      <c r="H24" s="26">
        <v>43368</v>
      </c>
      <c r="I24" s="18">
        <v>2171.07</v>
      </c>
      <c r="J24" s="82" t="s">
        <v>44</v>
      </c>
      <c r="K24" s="3" t="s">
        <v>48</v>
      </c>
      <c r="L24" s="84" t="s">
        <v>49</v>
      </c>
      <c r="M24" s="2"/>
      <c r="N24" s="2"/>
      <c r="O24" s="84"/>
    </row>
    <row r="25" s="5" customFormat="1" ht="18" customHeight="1" spans="1:15">
      <c r="A25" s="39">
        <v>43344</v>
      </c>
      <c r="B25" s="1">
        <f t="shared" si="9"/>
        <v>45631.07</v>
      </c>
      <c r="C25" s="40">
        <v>1</v>
      </c>
      <c r="D25" s="41" t="s">
        <v>57</v>
      </c>
      <c r="E25" s="43">
        <v>0.03</v>
      </c>
      <c r="F25" s="1">
        <f t="shared" si="10"/>
        <v>1368.93</v>
      </c>
      <c r="G25" s="29">
        <v>47000</v>
      </c>
      <c r="H25" s="26">
        <v>43368</v>
      </c>
      <c r="I25" s="18">
        <v>47000</v>
      </c>
      <c r="J25" s="82" t="s">
        <v>22</v>
      </c>
      <c r="K25" s="3" t="s">
        <v>58</v>
      </c>
      <c r="L25" s="84" t="s">
        <v>43</v>
      </c>
      <c r="M25" s="2"/>
      <c r="N25" s="2"/>
      <c r="O25" s="84"/>
    </row>
    <row r="26" s="5" customFormat="1" ht="18" customHeight="1" spans="1:15">
      <c r="A26" s="39">
        <v>43344</v>
      </c>
      <c r="B26" s="1">
        <f t="shared" si="9"/>
        <v>41368.97</v>
      </c>
      <c r="C26" s="40">
        <v>1</v>
      </c>
      <c r="D26" s="41" t="s">
        <v>41</v>
      </c>
      <c r="E26" s="43">
        <v>0.16</v>
      </c>
      <c r="F26" s="1">
        <f t="shared" si="10"/>
        <v>6619.03</v>
      </c>
      <c r="G26" s="29">
        <v>47988</v>
      </c>
      <c r="H26" s="26">
        <v>43368</v>
      </c>
      <c r="I26" s="18">
        <v>47988</v>
      </c>
      <c r="J26" s="82" t="s">
        <v>22</v>
      </c>
      <c r="K26" s="3" t="s">
        <v>52</v>
      </c>
      <c r="L26" s="84" t="s">
        <v>53</v>
      </c>
      <c r="M26" s="2"/>
      <c r="N26" s="2"/>
      <c r="O26" s="84"/>
    </row>
    <row r="27" s="5" customFormat="1" ht="18" customHeight="1" spans="1:15">
      <c r="A27" s="39">
        <v>43344</v>
      </c>
      <c r="B27" s="1">
        <f t="shared" si="9"/>
        <v>66984.4</v>
      </c>
      <c r="C27" s="40">
        <v>1</v>
      </c>
      <c r="D27" s="41" t="s">
        <v>41</v>
      </c>
      <c r="E27" s="43">
        <v>0.03</v>
      </c>
      <c r="F27" s="1">
        <f t="shared" si="10"/>
        <v>2009.53</v>
      </c>
      <c r="G27" s="29">
        <v>68993.93</v>
      </c>
      <c r="H27" s="26">
        <v>43368</v>
      </c>
      <c r="I27" s="18">
        <v>68993.93</v>
      </c>
      <c r="J27" s="82" t="s">
        <v>22</v>
      </c>
      <c r="K27" s="3" t="s">
        <v>59</v>
      </c>
      <c r="L27" s="84" t="s">
        <v>51</v>
      </c>
      <c r="M27" s="2"/>
      <c r="N27" s="2"/>
      <c r="O27" s="84"/>
    </row>
    <row r="28" s="6" customFormat="1" ht="18" customHeight="1" spans="1:15">
      <c r="A28" s="44">
        <v>43344</v>
      </c>
      <c r="B28" s="45">
        <f t="shared" si="9"/>
        <v>17241.38</v>
      </c>
      <c r="C28" s="46">
        <v>1</v>
      </c>
      <c r="D28" s="47"/>
      <c r="E28" s="43">
        <v>0.16</v>
      </c>
      <c r="F28" s="45">
        <f t="shared" si="10"/>
        <v>2758.62</v>
      </c>
      <c r="G28" s="29">
        <v>20000</v>
      </c>
      <c r="H28" s="48">
        <v>43368</v>
      </c>
      <c r="I28" s="85">
        <v>20000</v>
      </c>
      <c r="J28" s="86" t="s">
        <v>22</v>
      </c>
      <c r="K28" s="87" t="s">
        <v>54</v>
      </c>
      <c r="L28" s="88" t="s">
        <v>55</v>
      </c>
      <c r="M28" s="89"/>
      <c r="N28" s="89"/>
      <c r="O28" s="88"/>
    </row>
    <row r="29" s="5" customFormat="1" ht="18" customHeight="1" spans="1:15">
      <c r="A29" s="39">
        <v>43344</v>
      </c>
      <c r="B29" s="1">
        <f t="shared" si="9"/>
        <v>32979.77</v>
      </c>
      <c r="C29" s="40"/>
      <c r="D29" s="41" t="s">
        <v>60</v>
      </c>
      <c r="E29" s="43"/>
      <c r="F29" s="1">
        <f t="shared" si="10"/>
        <v>0</v>
      </c>
      <c r="G29" s="29">
        <v>32979.77</v>
      </c>
      <c r="H29" s="26">
        <v>43388</v>
      </c>
      <c r="I29" s="18">
        <v>32979.77</v>
      </c>
      <c r="J29" s="86" t="s">
        <v>22</v>
      </c>
      <c r="K29" s="3" t="s">
        <v>61</v>
      </c>
      <c r="L29" s="84" t="s">
        <v>62</v>
      </c>
      <c r="M29" s="2"/>
      <c r="N29" s="2"/>
      <c r="O29" s="84"/>
    </row>
    <row r="30" s="5" customFormat="1" ht="18" customHeight="1" spans="1:15">
      <c r="A30" s="39"/>
      <c r="B30" s="1">
        <f t="shared" si="9"/>
        <v>0</v>
      </c>
      <c r="C30" s="40"/>
      <c r="D30" s="41"/>
      <c r="E30" s="43"/>
      <c r="F30" s="1">
        <f t="shared" si="10"/>
        <v>0</v>
      </c>
      <c r="G30" s="29"/>
      <c r="H30" s="26">
        <v>43388</v>
      </c>
      <c r="I30" s="18">
        <v>3864.23</v>
      </c>
      <c r="J30" s="82" t="s">
        <v>44</v>
      </c>
      <c r="K30" s="3" t="s">
        <v>48</v>
      </c>
      <c r="L30" s="84"/>
      <c r="M30" s="2"/>
      <c r="N30" s="2"/>
      <c r="O30" s="84"/>
    </row>
    <row r="31" s="5" customFormat="1" ht="18" customHeight="1" spans="1:15">
      <c r="A31" s="39">
        <v>43435</v>
      </c>
      <c r="B31" s="1">
        <f t="shared" si="9"/>
        <v>84482.76</v>
      </c>
      <c r="C31" s="40"/>
      <c r="D31" s="41" t="s">
        <v>41</v>
      </c>
      <c r="E31" s="43">
        <v>0.16</v>
      </c>
      <c r="F31" s="1">
        <f t="shared" si="10"/>
        <v>13517.24</v>
      </c>
      <c r="G31" s="29">
        <v>98000</v>
      </c>
      <c r="H31" s="26">
        <v>43546</v>
      </c>
      <c r="I31" s="18">
        <v>86201.25</v>
      </c>
      <c r="J31" s="86" t="s">
        <v>22</v>
      </c>
      <c r="K31" s="3" t="s">
        <v>52</v>
      </c>
      <c r="L31" s="84" t="s">
        <v>53</v>
      </c>
      <c r="M31" s="2"/>
      <c r="N31" s="2"/>
      <c r="O31" s="84"/>
    </row>
    <row r="32" s="5" customFormat="1" ht="18" customHeight="1" spans="1:15">
      <c r="A32" s="39">
        <v>43436</v>
      </c>
      <c r="B32" s="1">
        <f t="shared" si="9"/>
        <v>107283.71</v>
      </c>
      <c r="C32" s="40"/>
      <c r="D32" s="41" t="s">
        <v>41</v>
      </c>
      <c r="E32" s="43">
        <v>0.03</v>
      </c>
      <c r="F32" s="1">
        <f t="shared" si="10"/>
        <v>3218.51</v>
      </c>
      <c r="G32" s="29">
        <f>80000+30502.22</f>
        <v>110502.22</v>
      </c>
      <c r="H32" s="26">
        <v>43481</v>
      </c>
      <c r="I32" s="18">
        <f>80000+30502.22</f>
        <v>110502.22</v>
      </c>
      <c r="J32" s="82" t="s">
        <v>22</v>
      </c>
      <c r="K32" s="3" t="s">
        <v>59</v>
      </c>
      <c r="L32" s="84" t="s">
        <v>51</v>
      </c>
      <c r="M32" s="2"/>
      <c r="N32" s="2"/>
      <c r="O32" s="84"/>
    </row>
    <row r="33" s="5" customFormat="1" ht="18" customHeight="1" spans="1:15">
      <c r="A33" s="39">
        <v>43437</v>
      </c>
      <c r="B33" s="1">
        <f t="shared" si="9"/>
        <v>68965.52</v>
      </c>
      <c r="C33" s="40"/>
      <c r="D33" s="41" t="s">
        <v>41</v>
      </c>
      <c r="E33" s="43">
        <v>0.16</v>
      </c>
      <c r="F33" s="1">
        <f t="shared" si="10"/>
        <v>11034.48</v>
      </c>
      <c r="G33" s="29">
        <v>80000</v>
      </c>
      <c r="H33" s="26">
        <v>43481</v>
      </c>
      <c r="I33" s="18">
        <v>80000</v>
      </c>
      <c r="J33" s="82" t="s">
        <v>22</v>
      </c>
      <c r="K33" s="87" t="s">
        <v>54</v>
      </c>
      <c r="L33" s="88" t="s">
        <v>55</v>
      </c>
      <c r="M33" s="2"/>
      <c r="N33" s="2"/>
      <c r="O33" s="84"/>
    </row>
    <row r="34" s="5" customFormat="1" ht="18" customHeight="1" spans="1:15">
      <c r="A34" s="39">
        <v>43438</v>
      </c>
      <c r="B34" s="1">
        <f t="shared" si="9"/>
        <v>79838.53</v>
      </c>
      <c r="C34" s="40"/>
      <c r="D34" s="41" t="s">
        <v>47</v>
      </c>
      <c r="E34" s="43"/>
      <c r="F34" s="1">
        <f t="shared" si="10"/>
        <v>0</v>
      </c>
      <c r="G34" s="29">
        <v>79838.53</v>
      </c>
      <c r="H34" s="26">
        <v>43481</v>
      </c>
      <c r="I34" s="18">
        <v>79838.53</v>
      </c>
      <c r="J34" s="82" t="s">
        <v>44</v>
      </c>
      <c r="K34" s="3" t="s">
        <v>48</v>
      </c>
      <c r="L34" s="84" t="s">
        <v>49</v>
      </c>
      <c r="M34" s="2"/>
      <c r="N34" s="2"/>
      <c r="O34" s="84"/>
    </row>
    <row r="35" s="7" customFormat="1" ht="18" customHeight="1" spans="1:15">
      <c r="A35" s="49">
        <v>43466</v>
      </c>
      <c r="B35" s="50">
        <f t="shared" si="9"/>
        <v>0</v>
      </c>
      <c r="C35" s="51"/>
      <c r="D35" s="52" t="s">
        <v>41</v>
      </c>
      <c r="E35" s="53">
        <v>0.03</v>
      </c>
      <c r="F35" s="50">
        <f t="shared" si="10"/>
        <v>0</v>
      </c>
      <c r="G35" s="50"/>
      <c r="H35" s="54"/>
      <c r="I35" s="50"/>
      <c r="J35" s="90"/>
      <c r="K35" s="91" t="s">
        <v>59</v>
      </c>
      <c r="L35" s="92" t="s">
        <v>63</v>
      </c>
      <c r="M35" s="90" t="s">
        <v>64</v>
      </c>
      <c r="N35" s="93"/>
      <c r="O35" s="29">
        <v>74860</v>
      </c>
    </row>
    <row r="36" s="7" customFormat="1" ht="18" customHeight="1" spans="1:15">
      <c r="A36" s="55">
        <v>43678</v>
      </c>
      <c r="B36" s="18">
        <f t="shared" si="9"/>
        <v>16585.24</v>
      </c>
      <c r="C36" s="56"/>
      <c r="D36" s="57" t="s">
        <v>57</v>
      </c>
      <c r="E36" s="58">
        <v>0.03</v>
      </c>
      <c r="F36" s="18">
        <f t="shared" si="10"/>
        <v>497.56</v>
      </c>
      <c r="G36" s="59">
        <v>17082.8</v>
      </c>
      <c r="H36" s="26">
        <v>43724</v>
      </c>
      <c r="I36" s="18">
        <v>17082.8</v>
      </c>
      <c r="J36" s="82" t="s">
        <v>22</v>
      </c>
      <c r="K36" s="94" t="s">
        <v>61</v>
      </c>
      <c r="L36" s="37" t="s">
        <v>65</v>
      </c>
      <c r="M36" s="93"/>
      <c r="N36" s="93"/>
      <c r="O36" s="95"/>
    </row>
    <row r="37" s="8" customFormat="1" ht="18" customHeight="1" spans="1:15">
      <c r="A37" s="55">
        <v>43678</v>
      </c>
      <c r="B37" s="18">
        <f t="shared" si="9"/>
        <v>47961.17</v>
      </c>
      <c r="C37" s="56"/>
      <c r="D37" s="57" t="s">
        <v>57</v>
      </c>
      <c r="E37" s="58">
        <v>0.03</v>
      </c>
      <c r="F37" s="18">
        <f t="shared" si="10"/>
        <v>1438.83</v>
      </c>
      <c r="G37" s="59">
        <v>49400</v>
      </c>
      <c r="H37" s="26">
        <v>43738</v>
      </c>
      <c r="I37" s="18">
        <v>43571.42</v>
      </c>
      <c r="J37" s="82" t="s">
        <v>22</v>
      </c>
      <c r="K37" s="94" t="s">
        <v>66</v>
      </c>
      <c r="L37" s="37" t="s">
        <v>67</v>
      </c>
      <c r="M37" s="82"/>
      <c r="N37" s="82"/>
      <c r="O37" s="37"/>
    </row>
    <row r="38" s="7" customFormat="1" ht="18" customHeight="1" spans="1:15">
      <c r="A38" s="55">
        <v>43678</v>
      </c>
      <c r="B38" s="18">
        <f t="shared" si="9"/>
        <v>42743.36</v>
      </c>
      <c r="C38" s="56"/>
      <c r="D38" s="57" t="s">
        <v>41</v>
      </c>
      <c r="E38" s="58">
        <v>0.13</v>
      </c>
      <c r="F38" s="18">
        <f t="shared" si="10"/>
        <v>5556.64</v>
      </c>
      <c r="G38" s="59">
        <v>48300</v>
      </c>
      <c r="H38" s="26">
        <v>43724</v>
      </c>
      <c r="I38" s="18">
        <v>48300</v>
      </c>
      <c r="J38" s="82" t="s">
        <v>22</v>
      </c>
      <c r="K38" s="94" t="s">
        <v>54</v>
      </c>
      <c r="L38" s="37" t="s">
        <v>68</v>
      </c>
      <c r="M38" s="93"/>
      <c r="N38" s="93"/>
      <c r="O38" s="95"/>
    </row>
    <row r="39" s="7" customFormat="1" ht="18" customHeight="1" spans="1:15">
      <c r="A39" s="55">
        <v>43678</v>
      </c>
      <c r="B39" s="18">
        <f t="shared" si="9"/>
        <v>44247.79</v>
      </c>
      <c r="C39" s="56"/>
      <c r="D39" s="57" t="s">
        <v>41</v>
      </c>
      <c r="E39" s="58">
        <v>0.13</v>
      </c>
      <c r="F39" s="18">
        <f t="shared" si="10"/>
        <v>5752.21</v>
      </c>
      <c r="G39" s="59">
        <v>50000</v>
      </c>
      <c r="H39" s="26">
        <v>43724</v>
      </c>
      <c r="I39" s="18">
        <v>50000</v>
      </c>
      <c r="J39" s="82" t="s">
        <v>22</v>
      </c>
      <c r="K39" s="94" t="s">
        <v>52</v>
      </c>
      <c r="L39" s="37" t="s">
        <v>53</v>
      </c>
      <c r="M39" s="93"/>
      <c r="N39" s="93"/>
      <c r="O39" s="95"/>
    </row>
    <row r="40" s="7" customFormat="1" ht="18" customHeight="1" spans="1:15">
      <c r="A40" s="60">
        <v>43709</v>
      </c>
      <c r="B40" s="61">
        <f t="shared" si="9"/>
        <v>78713.58</v>
      </c>
      <c r="C40" s="62"/>
      <c r="D40" s="63" t="s">
        <v>60</v>
      </c>
      <c r="E40" s="64"/>
      <c r="F40" s="61">
        <f t="shared" si="10"/>
        <v>0</v>
      </c>
      <c r="G40" s="61">
        <v>78713.58</v>
      </c>
      <c r="H40" s="65">
        <v>43734</v>
      </c>
      <c r="I40" s="61">
        <v>75788</v>
      </c>
      <c r="J40" s="96" t="s">
        <v>22</v>
      </c>
      <c r="K40" s="97" t="s">
        <v>69</v>
      </c>
      <c r="L40" s="98" t="s">
        <v>70</v>
      </c>
      <c r="M40" s="93"/>
      <c r="N40" s="93"/>
      <c r="O40" s="95" t="s">
        <v>25</v>
      </c>
    </row>
    <row r="41" s="7" customFormat="1" ht="18" customHeight="1" spans="1:15">
      <c r="A41" s="55"/>
      <c r="B41" s="18">
        <f t="shared" si="9"/>
        <v>0</v>
      </c>
      <c r="C41" s="56"/>
      <c r="D41" s="57"/>
      <c r="E41" s="58"/>
      <c r="F41" s="18">
        <f t="shared" ref="F41:F48" si="11">ROUND(G41/(1+E41)*E41,2)</f>
        <v>0</v>
      </c>
      <c r="G41" s="59"/>
      <c r="H41" s="26"/>
      <c r="I41" s="18"/>
      <c r="J41" s="82"/>
      <c r="K41" s="94"/>
      <c r="L41" s="37"/>
      <c r="M41" s="93"/>
      <c r="N41" s="93"/>
      <c r="O41" s="95"/>
    </row>
    <row r="42" s="7" customFormat="1" ht="18" customHeight="1" spans="1:15">
      <c r="A42" s="55"/>
      <c r="B42" s="18">
        <f t="shared" ref="B42:B49" si="12">ROUND(G42/(1+E42),2)</f>
        <v>0</v>
      </c>
      <c r="C42" s="56"/>
      <c r="D42" s="57"/>
      <c r="E42" s="58"/>
      <c r="F42" s="18">
        <f t="shared" si="11"/>
        <v>0</v>
      </c>
      <c r="G42" s="59"/>
      <c r="H42" s="26"/>
      <c r="I42" s="18"/>
      <c r="J42" s="82"/>
      <c r="K42" s="94"/>
      <c r="L42" s="37"/>
      <c r="M42" s="93"/>
      <c r="N42" s="93"/>
      <c r="O42" s="95"/>
    </row>
    <row r="43" s="7" customFormat="1" ht="18" customHeight="1" spans="1:15">
      <c r="A43" s="55"/>
      <c r="B43" s="18">
        <f t="shared" si="12"/>
        <v>0</v>
      </c>
      <c r="C43" s="56"/>
      <c r="D43" s="57"/>
      <c r="E43" s="58"/>
      <c r="F43" s="18">
        <f t="shared" si="11"/>
        <v>0</v>
      </c>
      <c r="G43" s="59"/>
      <c r="H43" s="26"/>
      <c r="I43" s="18"/>
      <c r="J43" s="82"/>
      <c r="K43" s="94"/>
      <c r="L43" s="37"/>
      <c r="M43" s="93"/>
      <c r="N43" s="93"/>
      <c r="O43" s="95"/>
    </row>
    <row r="44" s="7" customFormat="1" ht="18" customHeight="1" spans="1:15">
      <c r="A44" s="55"/>
      <c r="B44" s="18">
        <f t="shared" si="12"/>
        <v>0</v>
      </c>
      <c r="C44" s="56"/>
      <c r="D44" s="57"/>
      <c r="E44" s="58"/>
      <c r="F44" s="18">
        <f t="shared" si="11"/>
        <v>0</v>
      </c>
      <c r="G44" s="59"/>
      <c r="H44" s="26"/>
      <c r="I44" s="18"/>
      <c r="J44" s="82"/>
      <c r="K44" s="94"/>
      <c r="L44" s="37"/>
      <c r="M44" s="93"/>
      <c r="N44" s="93"/>
      <c r="O44" s="95"/>
    </row>
    <row r="45" s="7" customFormat="1" ht="18" customHeight="1" spans="1:15">
      <c r="A45" s="66"/>
      <c r="B45" s="18">
        <f t="shared" si="12"/>
        <v>0</v>
      </c>
      <c r="C45" s="67"/>
      <c r="D45" s="68"/>
      <c r="E45" s="69"/>
      <c r="F45" s="18">
        <f t="shared" si="11"/>
        <v>0</v>
      </c>
      <c r="G45" s="70"/>
      <c r="H45" s="16" t="s">
        <v>83</v>
      </c>
      <c r="I45" s="1">
        <v>2456</v>
      </c>
      <c r="J45" s="2" t="s">
        <v>80</v>
      </c>
      <c r="K45" s="3" t="s">
        <v>84</v>
      </c>
      <c r="L45" s="95"/>
      <c r="M45" s="93"/>
      <c r="N45" s="93"/>
      <c r="O45" s="95"/>
    </row>
    <row r="46" s="7" customFormat="1" ht="18" customHeight="1" spans="1:15">
      <c r="A46" s="66"/>
      <c r="B46" s="18">
        <f t="shared" si="12"/>
        <v>0</v>
      </c>
      <c r="C46" s="56"/>
      <c r="D46" s="57"/>
      <c r="E46" s="71">
        <v>0.03</v>
      </c>
      <c r="F46" s="18">
        <f t="shared" si="11"/>
        <v>0</v>
      </c>
      <c r="G46" s="59"/>
      <c r="H46" s="16" t="s">
        <v>83</v>
      </c>
      <c r="I46" s="1">
        <v>1699</v>
      </c>
      <c r="J46" s="2" t="s">
        <v>85</v>
      </c>
      <c r="K46" s="3" t="s">
        <v>119</v>
      </c>
      <c r="L46" s="95"/>
      <c r="M46" s="93"/>
      <c r="N46" s="93"/>
      <c r="O46" s="95"/>
    </row>
    <row r="47" s="7" customFormat="1" ht="18" customHeight="1" spans="1:15">
      <c r="A47" s="66"/>
      <c r="B47" s="18">
        <f t="shared" si="12"/>
        <v>0</v>
      </c>
      <c r="C47" s="56"/>
      <c r="D47" s="57"/>
      <c r="E47" s="71"/>
      <c r="F47" s="18">
        <f t="shared" si="11"/>
        <v>0</v>
      </c>
      <c r="G47" s="59"/>
      <c r="H47" s="16" t="s">
        <v>83</v>
      </c>
      <c r="I47" s="1">
        <v>1673</v>
      </c>
      <c r="J47" s="2" t="s">
        <v>87</v>
      </c>
      <c r="K47" s="3" t="s">
        <v>88</v>
      </c>
      <c r="L47" s="95"/>
      <c r="M47" s="93"/>
      <c r="N47" s="93"/>
      <c r="O47" s="95"/>
    </row>
    <row r="48" s="7" customFormat="1" ht="18" customHeight="1" spans="1:15">
      <c r="A48" s="66"/>
      <c r="B48" s="1">
        <f t="shared" si="12"/>
        <v>2510</v>
      </c>
      <c r="C48" s="40"/>
      <c r="D48" s="41"/>
      <c r="E48" s="43"/>
      <c r="F48" s="1">
        <f t="shared" si="11"/>
        <v>0</v>
      </c>
      <c r="G48" s="59">
        <f>2510</f>
        <v>2510</v>
      </c>
      <c r="H48" s="16" t="s">
        <v>83</v>
      </c>
      <c r="I48" s="1">
        <f>G48</f>
        <v>2510</v>
      </c>
      <c r="J48" s="2" t="s">
        <v>80</v>
      </c>
      <c r="K48" s="3" t="s">
        <v>89</v>
      </c>
      <c r="L48" s="95"/>
      <c r="M48" s="93"/>
      <c r="N48" s="93"/>
      <c r="O48" s="95"/>
    </row>
    <row r="49" s="5" customFormat="1" ht="18" customHeight="1" spans="1:15">
      <c r="A49" s="39"/>
      <c r="B49" s="1">
        <f t="shared" si="12"/>
        <v>0</v>
      </c>
      <c r="C49" s="56"/>
      <c r="D49" s="57"/>
      <c r="E49" s="71"/>
      <c r="F49" s="18">
        <f t="shared" ref="F49:F61" si="13">ROUND(G49/(1+E49)*E49,2)</f>
        <v>0</v>
      </c>
      <c r="G49" s="59"/>
      <c r="H49" s="16" t="s">
        <v>90</v>
      </c>
      <c r="I49" s="1">
        <v>1164</v>
      </c>
      <c r="J49" s="2" t="s">
        <v>80</v>
      </c>
      <c r="K49" s="3" t="s">
        <v>84</v>
      </c>
      <c r="L49" s="84"/>
      <c r="M49" s="2"/>
      <c r="N49" s="2"/>
      <c r="O49" s="84"/>
    </row>
    <row r="50" s="5" customFormat="1" ht="18" customHeight="1" spans="1:15">
      <c r="A50" s="39"/>
      <c r="B50" s="1">
        <f t="shared" ref="B50:B61" si="14">ROUND(G50/(1+E50),2)</f>
        <v>0</v>
      </c>
      <c r="C50" s="56"/>
      <c r="D50" s="57"/>
      <c r="E50" s="71"/>
      <c r="F50" s="18">
        <f t="shared" si="13"/>
        <v>0</v>
      </c>
      <c r="G50" s="59"/>
      <c r="H50" s="26" t="s">
        <v>90</v>
      </c>
      <c r="I50" s="18">
        <v>4070</v>
      </c>
      <c r="J50" s="82" t="s">
        <v>80</v>
      </c>
      <c r="K50" s="3" t="s">
        <v>91</v>
      </c>
      <c r="L50" s="84"/>
      <c r="M50" s="2"/>
      <c r="N50" s="2"/>
      <c r="O50" s="84"/>
    </row>
    <row r="51" s="5" customFormat="1" ht="18" customHeight="1" spans="1:15">
      <c r="A51" s="39"/>
      <c r="B51" s="1">
        <f t="shared" si="14"/>
        <v>0</v>
      </c>
      <c r="C51" s="40"/>
      <c r="D51" s="41"/>
      <c r="E51" s="43"/>
      <c r="F51" s="1">
        <f t="shared" si="13"/>
        <v>0</v>
      </c>
      <c r="G51" s="29"/>
      <c r="H51" s="26"/>
      <c r="I51" s="18">
        <v>831</v>
      </c>
      <c r="J51" s="82" t="s">
        <v>87</v>
      </c>
      <c r="K51" s="3" t="s">
        <v>92</v>
      </c>
      <c r="L51" s="84"/>
      <c r="M51" s="2"/>
      <c r="N51" s="2"/>
      <c r="O51" s="84"/>
    </row>
    <row r="52" s="5" customFormat="1" ht="18" customHeight="1" spans="1:15">
      <c r="A52" s="39"/>
      <c r="B52" s="1">
        <f t="shared" si="14"/>
        <v>0</v>
      </c>
      <c r="C52" s="40"/>
      <c r="D52" s="41"/>
      <c r="E52" s="43"/>
      <c r="F52" s="1">
        <f t="shared" si="13"/>
        <v>0</v>
      </c>
      <c r="G52" s="29"/>
      <c r="H52" s="26"/>
      <c r="I52" s="99">
        <v>-12101.25</v>
      </c>
      <c r="J52" s="93" t="s">
        <v>93</v>
      </c>
      <c r="K52" s="3"/>
      <c r="L52" s="84"/>
      <c r="M52" s="2"/>
      <c r="N52" s="2"/>
      <c r="O52" s="84"/>
    </row>
    <row r="53" s="5" customFormat="1" ht="18" customHeight="1" spans="1:15">
      <c r="A53" s="39"/>
      <c r="B53" s="1">
        <f t="shared" si="14"/>
        <v>0</v>
      </c>
      <c r="C53" s="40"/>
      <c r="D53" s="41"/>
      <c r="E53" s="43"/>
      <c r="F53" s="1">
        <f t="shared" si="13"/>
        <v>0</v>
      </c>
      <c r="G53" s="29"/>
      <c r="H53" s="26"/>
      <c r="I53" s="18">
        <v>760</v>
      </c>
      <c r="J53" s="82" t="s">
        <v>87</v>
      </c>
      <c r="K53" s="87" t="s">
        <v>92</v>
      </c>
      <c r="L53" s="88"/>
      <c r="M53" s="2"/>
      <c r="N53" s="2"/>
      <c r="O53" s="84"/>
    </row>
    <row r="54" s="5" customFormat="1" ht="18" customHeight="1" spans="1:15">
      <c r="A54" s="39"/>
      <c r="B54" s="1">
        <f t="shared" si="14"/>
        <v>0</v>
      </c>
      <c r="C54" s="40"/>
      <c r="D54" s="41"/>
      <c r="E54" s="43"/>
      <c r="F54" s="1">
        <f t="shared" si="13"/>
        <v>0</v>
      </c>
      <c r="G54" s="29"/>
      <c r="H54" s="26"/>
      <c r="I54" s="99">
        <v>12101.25</v>
      </c>
      <c r="J54" s="82"/>
      <c r="K54" s="100" t="s">
        <v>95</v>
      </c>
      <c r="L54" s="88"/>
      <c r="M54" s="2"/>
      <c r="N54" s="2"/>
      <c r="O54" s="84"/>
    </row>
    <row r="55" s="5" customFormat="1" ht="18" customHeight="1" spans="1:15">
      <c r="A55" s="39"/>
      <c r="B55" s="1">
        <f t="shared" si="14"/>
        <v>0</v>
      </c>
      <c r="C55" s="40"/>
      <c r="D55" s="41"/>
      <c r="E55" s="43"/>
      <c r="F55" s="1">
        <f t="shared" si="13"/>
        <v>0</v>
      </c>
      <c r="G55" s="29"/>
      <c r="H55" s="26"/>
      <c r="I55" s="18">
        <v>685</v>
      </c>
      <c r="J55" s="82" t="s">
        <v>80</v>
      </c>
      <c r="K55" s="87" t="s">
        <v>91</v>
      </c>
      <c r="L55" s="88"/>
      <c r="M55" s="2"/>
      <c r="N55" s="2"/>
      <c r="O55" s="84"/>
    </row>
    <row r="56" s="5" customFormat="1" ht="18" customHeight="1" spans="1:15">
      <c r="A56" s="39"/>
      <c r="B56" s="1">
        <f t="shared" si="14"/>
        <v>0</v>
      </c>
      <c r="C56" s="40"/>
      <c r="D56" s="41"/>
      <c r="E56" s="43"/>
      <c r="F56" s="1">
        <f t="shared" si="13"/>
        <v>0</v>
      </c>
      <c r="G56" s="29"/>
      <c r="H56" s="26"/>
      <c r="I56" s="18">
        <v>2909</v>
      </c>
      <c r="J56" s="82" t="s">
        <v>94</v>
      </c>
      <c r="K56" s="3" t="s">
        <v>88</v>
      </c>
      <c r="L56" s="84"/>
      <c r="M56" s="2"/>
      <c r="N56" s="2"/>
      <c r="O56" s="84"/>
    </row>
    <row r="57" s="5" customFormat="1" ht="18" customHeight="1" spans="1:15">
      <c r="A57" s="39"/>
      <c r="B57" s="1">
        <f t="shared" si="14"/>
        <v>0</v>
      </c>
      <c r="C57" s="40"/>
      <c r="D57" s="41"/>
      <c r="E57" s="43"/>
      <c r="F57" s="1">
        <f t="shared" si="13"/>
        <v>0</v>
      </c>
      <c r="G57" s="29"/>
      <c r="H57" s="26"/>
      <c r="I57" s="18">
        <v>500</v>
      </c>
      <c r="J57" s="82" t="s">
        <v>80</v>
      </c>
      <c r="K57" s="3" t="s">
        <v>96</v>
      </c>
      <c r="L57" s="84"/>
      <c r="M57" s="2"/>
      <c r="N57" s="2"/>
      <c r="O57" s="84"/>
    </row>
    <row r="58" s="5" customFormat="1" ht="18" customHeight="1" spans="1:15">
      <c r="A58" s="39"/>
      <c r="B58" s="1">
        <f t="shared" si="14"/>
        <v>0</v>
      </c>
      <c r="C58" s="40"/>
      <c r="D58" s="41"/>
      <c r="E58" s="43"/>
      <c r="F58" s="1">
        <f t="shared" si="13"/>
        <v>0</v>
      </c>
      <c r="G58" s="29"/>
      <c r="H58" s="26"/>
      <c r="I58" s="18">
        <v>2335</v>
      </c>
      <c r="J58" s="82" t="s">
        <v>94</v>
      </c>
      <c r="K58" s="3" t="s">
        <v>88</v>
      </c>
      <c r="L58" s="84"/>
      <c r="M58" s="2"/>
      <c r="N58" s="2"/>
      <c r="O58" s="84"/>
    </row>
    <row r="59" s="5" customFormat="1" ht="18" customHeight="1" spans="1:15">
      <c r="A59" s="39"/>
      <c r="B59" s="1">
        <f t="shared" si="14"/>
        <v>0</v>
      </c>
      <c r="C59" s="40"/>
      <c r="D59" s="41"/>
      <c r="E59" s="43"/>
      <c r="F59" s="1">
        <f t="shared" si="13"/>
        <v>0</v>
      </c>
      <c r="G59" s="29"/>
      <c r="H59" s="26"/>
      <c r="I59" s="18">
        <f>2686+4647</f>
        <v>7333</v>
      </c>
      <c r="J59" s="82" t="s">
        <v>80</v>
      </c>
      <c r="K59" s="3" t="s">
        <v>97</v>
      </c>
      <c r="L59" s="84"/>
      <c r="M59" s="2"/>
      <c r="N59" s="2"/>
      <c r="O59" s="84"/>
    </row>
    <row r="60" s="5" customFormat="1" ht="18" customHeight="1" spans="1:15">
      <c r="A60" s="39"/>
      <c r="B60" s="1">
        <f t="shared" si="14"/>
        <v>0</v>
      </c>
      <c r="C60" s="40"/>
      <c r="D60" s="41"/>
      <c r="E60" s="43"/>
      <c r="F60" s="1">
        <f t="shared" si="13"/>
        <v>0</v>
      </c>
      <c r="G60" s="29"/>
      <c r="H60" s="26"/>
      <c r="I60" s="18">
        <v>500</v>
      </c>
      <c r="J60" s="82" t="s">
        <v>80</v>
      </c>
      <c r="K60" s="3" t="s">
        <v>96</v>
      </c>
      <c r="L60" s="84"/>
      <c r="M60" s="2"/>
      <c r="N60" s="2"/>
      <c r="O60" s="84"/>
    </row>
    <row r="61" s="5" customFormat="1" ht="18" customHeight="1" spans="1:15">
      <c r="A61" s="39"/>
      <c r="B61" s="1">
        <f t="shared" si="14"/>
        <v>17491</v>
      </c>
      <c r="C61" s="40"/>
      <c r="D61" s="41"/>
      <c r="E61" s="43"/>
      <c r="F61" s="1">
        <f t="shared" si="13"/>
        <v>0</v>
      </c>
      <c r="G61" s="29">
        <f>7237+3000+503+4364+1140+1247</f>
        <v>17491</v>
      </c>
      <c r="H61" s="26"/>
      <c r="I61" s="18">
        <f>G61</f>
        <v>17491</v>
      </c>
      <c r="J61" s="82" t="s">
        <v>80</v>
      </c>
      <c r="K61" s="3" t="s">
        <v>89</v>
      </c>
      <c r="L61" s="84"/>
      <c r="M61" s="2"/>
      <c r="N61" s="2"/>
      <c r="O61" s="84"/>
    </row>
    <row r="62" ht="18" customHeight="1" spans="1:17">
      <c r="A62" s="34" t="s">
        <v>27</v>
      </c>
      <c r="B62" s="33">
        <f>SUM(B17:B61)</f>
        <v>1247870.97</v>
      </c>
      <c r="C62" s="34"/>
      <c r="D62" s="72"/>
      <c r="E62" s="72"/>
      <c r="F62" s="36">
        <f>SUM(F17:F61)</f>
        <v>86416.15</v>
      </c>
      <c r="G62" s="73">
        <f>SUM(G17:G61)</f>
        <v>1334287.12</v>
      </c>
      <c r="H62" s="74"/>
      <c r="I62" s="35">
        <f>SUM(I17:I61)</f>
        <v>1333202.22</v>
      </c>
      <c r="J62" s="101"/>
      <c r="K62" s="102"/>
      <c r="L62" s="37"/>
      <c r="M62" s="82"/>
      <c r="N62" s="82"/>
      <c r="O62" s="37"/>
      <c r="Q62" s="10"/>
    </row>
    <row r="63" ht="18" customHeight="1" spans="1:21">
      <c r="A63" s="75" t="s">
        <v>98</v>
      </c>
      <c r="B63" s="76">
        <f>B14-B62</f>
        <v>-30882.3236280202</v>
      </c>
      <c r="C63" s="75"/>
      <c r="D63" s="77"/>
      <c r="E63" s="77"/>
      <c r="F63" s="76"/>
      <c r="G63" s="76">
        <f>G14-G62</f>
        <v>2865.59999999986</v>
      </c>
      <c r="H63" s="25" t="s">
        <v>99</v>
      </c>
      <c r="I63" s="35">
        <f>I14-I62</f>
        <v>0</v>
      </c>
      <c r="J63" s="8"/>
      <c r="K63" s="103"/>
      <c r="M63" s="104"/>
      <c r="N63" s="104"/>
      <c r="S63" s="18">
        <v>1164</v>
      </c>
      <c r="T63" s="82" t="s">
        <v>80</v>
      </c>
      <c r="U63" s="3" t="s">
        <v>84</v>
      </c>
    </row>
    <row r="64" ht="18" customHeight="1" spans="1:21">
      <c r="A64" s="75"/>
      <c r="B64" s="76"/>
      <c r="C64" s="75"/>
      <c r="D64" s="77"/>
      <c r="E64" s="77"/>
      <c r="F64" s="76"/>
      <c r="G64" s="76"/>
      <c r="H64" s="78"/>
      <c r="I64" s="76"/>
      <c r="J64" s="8"/>
      <c r="K64" s="103"/>
      <c r="M64" s="104"/>
      <c r="N64" s="104"/>
      <c r="Q64" s="10">
        <f>I46+I50</f>
        <v>5769</v>
      </c>
      <c r="S64" s="18">
        <v>4070</v>
      </c>
      <c r="T64" s="82" t="s">
        <v>80</v>
      </c>
      <c r="U64" s="3" t="s">
        <v>91</v>
      </c>
    </row>
    <row r="65" ht="18" customHeight="1" spans="1:19">
      <c r="A65" s="9" t="s">
        <v>100</v>
      </c>
      <c r="C65" s="9"/>
      <c r="S65" s="76">
        <f>S63+S64</f>
        <v>5234</v>
      </c>
    </row>
    <row r="66" ht="18" customHeight="1" spans="1:11">
      <c r="A66" s="25" t="s">
        <v>101</v>
      </c>
      <c r="B66" s="24" t="s">
        <v>102</v>
      </c>
      <c r="C66" s="37"/>
      <c r="D66" s="25" t="s">
        <v>101</v>
      </c>
      <c r="E66" s="23" t="s">
        <v>17</v>
      </c>
      <c r="F66" s="24" t="s">
        <v>102</v>
      </c>
      <c r="G66" s="24" t="s">
        <v>103</v>
      </c>
      <c r="H66" s="23" t="s">
        <v>104</v>
      </c>
      <c r="I66" s="23" t="s">
        <v>105</v>
      </c>
      <c r="J66" s="23" t="s">
        <v>106</v>
      </c>
      <c r="K66" s="23" t="s">
        <v>107</v>
      </c>
    </row>
    <row r="67" ht="18" customHeight="1" spans="1:11">
      <c r="A67" s="37" t="s">
        <v>109</v>
      </c>
      <c r="B67" s="1">
        <f>(B14-B62)*0.25</f>
        <v>-7720.58090700506</v>
      </c>
      <c r="C67" s="37"/>
      <c r="D67" s="105" t="s">
        <v>97</v>
      </c>
      <c r="E67" s="106" t="s">
        <v>110</v>
      </c>
      <c r="F67" s="36">
        <f>F14-F62</f>
        <v>9408.15070058379</v>
      </c>
      <c r="G67" s="18">
        <v>2441.1</v>
      </c>
      <c r="H67" s="17">
        <v>4224.43818181818</v>
      </c>
      <c r="I67" s="17"/>
      <c r="J67" s="17">
        <f>F9+F10-F31-F32-F33-F35</f>
        <v>5244.31545454545</v>
      </c>
      <c r="K67" s="17">
        <f>F11-F36-F37-F38-F39</f>
        <v>-2501.7029357798</v>
      </c>
    </row>
    <row r="68" ht="18" customHeight="1" spans="1:11">
      <c r="A68" s="37" t="s">
        <v>111</v>
      </c>
      <c r="B68" s="20" t="s">
        <v>112</v>
      </c>
      <c r="C68" s="37"/>
      <c r="D68" s="107" t="s">
        <v>113</v>
      </c>
      <c r="E68" s="19">
        <v>0.05</v>
      </c>
      <c r="F68" s="18">
        <f>F$67*$E$68</f>
        <v>470.40753502919</v>
      </c>
      <c r="G68" s="18">
        <f>G$67*$E$68</f>
        <v>122.055</v>
      </c>
      <c r="H68" s="18">
        <v>211.221909090909</v>
      </c>
      <c r="I68" s="18">
        <v>31.1281396396396</v>
      </c>
      <c r="J68" s="18">
        <f>J67*E68</f>
        <v>262.215772727273</v>
      </c>
      <c r="K68" s="18">
        <v>0</v>
      </c>
    </row>
    <row r="69" ht="18" customHeight="1" spans="1:11">
      <c r="A69" s="37" t="s">
        <v>114</v>
      </c>
      <c r="B69" s="20" t="s">
        <v>112</v>
      </c>
      <c r="C69" s="37"/>
      <c r="D69" s="107" t="s">
        <v>115</v>
      </c>
      <c r="E69" s="19">
        <v>0.03</v>
      </c>
      <c r="F69" s="18">
        <f>F$67*$E$69</f>
        <v>282.244521017514</v>
      </c>
      <c r="G69" s="18">
        <f>G$67*$E$69</f>
        <v>73.233</v>
      </c>
      <c r="H69" s="18">
        <v>126.733145454545</v>
      </c>
      <c r="I69" s="18">
        <v>18.6768837837838</v>
      </c>
      <c r="J69" s="18">
        <f>J67*E69</f>
        <v>157.329463636364</v>
      </c>
      <c r="K69" s="18">
        <v>0</v>
      </c>
    </row>
    <row r="70" ht="18" customHeight="1" spans="1:11">
      <c r="A70" s="37"/>
      <c r="B70" s="18"/>
      <c r="C70" s="37"/>
      <c r="D70" s="107" t="s">
        <v>116</v>
      </c>
      <c r="E70" s="19">
        <v>0.02</v>
      </c>
      <c r="F70" s="18">
        <f>F$67*$E$70</f>
        <v>188.163014011676</v>
      </c>
      <c r="G70" s="18">
        <f>G$67*$E$70</f>
        <v>48.822</v>
      </c>
      <c r="H70" s="18">
        <v>84.4887636363635</v>
      </c>
      <c r="I70" s="18">
        <v>12.4512558558559</v>
      </c>
      <c r="J70" s="18">
        <f>J67*E70</f>
        <v>104.886309090909</v>
      </c>
      <c r="K70" s="18">
        <v>0</v>
      </c>
    </row>
    <row r="71" ht="18" customHeight="1" spans="1:11">
      <c r="A71" s="32" t="s">
        <v>117</v>
      </c>
      <c r="B71" s="33">
        <f>SUM(B67:B70)</f>
        <v>-7720.58090700506</v>
      </c>
      <c r="C71" s="37"/>
      <c r="D71" s="105" t="s">
        <v>117</v>
      </c>
      <c r="E71" s="105"/>
      <c r="F71" s="36">
        <f>SUM(F67:F70)</f>
        <v>10348.9657706422</v>
      </c>
      <c r="G71" s="36">
        <f>SUM(G67:G70)</f>
        <v>2685.21</v>
      </c>
      <c r="H71" s="36">
        <f>SUM(H67:H70)</f>
        <v>4646.882</v>
      </c>
      <c r="I71" s="36">
        <v>684.819072072072</v>
      </c>
      <c r="J71" s="36">
        <f>SUM(J67:J70)</f>
        <v>5768.747</v>
      </c>
      <c r="K71" s="36">
        <v>0</v>
      </c>
    </row>
    <row r="72" ht="18" customHeight="1" spans="3:11">
      <c r="C72" s="9"/>
      <c r="D72" s="107" t="s">
        <v>111</v>
      </c>
      <c r="E72" s="19">
        <v>0.0003</v>
      </c>
      <c r="F72" s="19"/>
      <c r="G72" s="19"/>
      <c r="H72" s="19"/>
      <c r="I72" s="19">
        <f>F9-F31-F32-F33</f>
        <v>-573.866363636367</v>
      </c>
      <c r="J72" s="18">
        <f>G10*E72</f>
        <v>24</v>
      </c>
      <c r="K72" s="18">
        <v>0</v>
      </c>
    </row>
    <row r="73" ht="18" customHeight="1" spans="3:11">
      <c r="C73" s="9"/>
      <c r="D73" s="107" t="s">
        <v>114</v>
      </c>
      <c r="E73" s="19">
        <v>0.0006</v>
      </c>
      <c r="F73" s="19"/>
      <c r="G73" s="19"/>
      <c r="H73" s="19"/>
      <c r="I73" s="19"/>
      <c r="J73" s="18">
        <f>B10*E73</f>
        <v>43.6363636363636</v>
      </c>
      <c r="K73" s="18">
        <v>0</v>
      </c>
    </row>
    <row r="74" ht="18" customHeight="1" spans="3:11">
      <c r="C74" s="9"/>
      <c r="D74" s="107" t="s">
        <v>117</v>
      </c>
      <c r="E74" s="19"/>
      <c r="F74" s="19"/>
      <c r="G74" s="19"/>
      <c r="H74" s="19"/>
      <c r="I74" s="19"/>
      <c r="J74" s="36">
        <f>J72+J73</f>
        <v>67.6363636363636</v>
      </c>
      <c r="K74" s="36"/>
    </row>
    <row r="75" ht="18" customHeight="1" spans="3:11">
      <c r="C75" s="9"/>
      <c r="D75" s="107" t="s">
        <v>27</v>
      </c>
      <c r="E75" s="19"/>
      <c r="F75" s="19"/>
      <c r="G75" s="19"/>
      <c r="H75" s="19"/>
      <c r="I75" s="19"/>
      <c r="J75" s="36">
        <f>J71+J74</f>
        <v>5836.38336363636</v>
      </c>
      <c r="K75" s="36"/>
    </row>
    <row r="76" spans="3:11">
      <c r="C76" s="9"/>
      <c r="D76" s="107" t="s">
        <v>84</v>
      </c>
      <c r="E76" s="108">
        <v>0.016</v>
      </c>
      <c r="F76" s="19"/>
      <c r="G76" s="19"/>
      <c r="H76" s="19"/>
      <c r="I76" s="19"/>
      <c r="J76" s="18">
        <f>B10*E76</f>
        <v>1163.63636363636</v>
      </c>
      <c r="K76" s="18">
        <f>B11*E76</f>
        <v>2455.6656146789</v>
      </c>
    </row>
    <row r="77" spans="3:3">
      <c r="C77" s="9"/>
    </row>
    <row r="78" spans="3:9">
      <c r="C78" s="9"/>
      <c r="G78" s="10">
        <f>F7-F17-F21-F22</f>
        <v>2441.1027272727</v>
      </c>
      <c r="H78" s="11">
        <f>F8-F25-F26-F27-F28</f>
        <v>4224.4354545455</v>
      </c>
      <c r="I78" s="10">
        <f>F9-F31-F32-F33</f>
        <v>-573.866363636367</v>
      </c>
    </row>
    <row r="79" spans="3:10">
      <c r="C79" s="9"/>
      <c r="J79" s="10">
        <f>J71-I50</f>
        <v>1698.747</v>
      </c>
    </row>
    <row r="80" spans="3:10">
      <c r="C80" s="9"/>
      <c r="J80" s="10"/>
    </row>
    <row r="81" spans="3:10">
      <c r="C81" s="9"/>
      <c r="J81" s="10"/>
    </row>
    <row r="82" spans="3:10">
      <c r="C82" s="9"/>
      <c r="J82" s="10"/>
    </row>
    <row r="83" spans="3:10">
      <c r="C83" s="9"/>
      <c r="I83" s="10">
        <f>F9-I67</f>
        <v>27196.3636363636</v>
      </c>
      <c r="J83" s="10"/>
    </row>
    <row r="84" spans="3:10">
      <c r="C84" s="9"/>
      <c r="J84" s="10"/>
    </row>
    <row r="85" spans="3:10">
      <c r="C85" s="9"/>
      <c r="J85" s="10">
        <f>J71-I50</f>
        <v>1698.747</v>
      </c>
    </row>
    <row r="86" spans="3:3">
      <c r="C86" s="9"/>
    </row>
    <row r="87" spans="3:3">
      <c r="C87" s="9"/>
    </row>
    <row r="88" spans="3:3">
      <c r="C88" s="9"/>
    </row>
    <row r="89" spans="3:3">
      <c r="C89" s="9"/>
    </row>
    <row r="90" spans="3:3">
      <c r="C90" s="9"/>
    </row>
    <row r="91" spans="3:3">
      <c r="C91" s="9"/>
    </row>
  </sheetData>
  <autoFilter ref="A16:O6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K36" sqref="K36"/>
    </sheetView>
  </sheetViews>
  <sheetFormatPr defaultColWidth="9" defaultRowHeight="13.5" outlineLevelRow="2" outlineLevelCol="2"/>
  <cols>
    <col min="1" max="1" width="9.5" customWidth="1"/>
    <col min="2" max="2" width="6.625" customWidth="1"/>
    <col min="3" max="3" width="21.25" customWidth="1"/>
  </cols>
  <sheetData>
    <row r="1" spans="1:3">
      <c r="A1" s="1">
        <v>2456</v>
      </c>
      <c r="B1" s="2" t="s">
        <v>80</v>
      </c>
      <c r="C1" s="3" t="s">
        <v>84</v>
      </c>
    </row>
    <row r="2" spans="1:3">
      <c r="A2" s="1">
        <v>1699</v>
      </c>
      <c r="B2" s="2" t="s">
        <v>85</v>
      </c>
      <c r="C2" s="3" t="s">
        <v>86</v>
      </c>
    </row>
    <row r="3" spans="1:1">
      <c r="A3" s="4">
        <f>A1+A2</f>
        <v>4155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8448  甲供材 (新)</vt:lpstr>
      <vt:lpstr>8448  甲供材（旧）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2021-12-14T01:27:51Z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AA936CAF75964A2DA64B57AEF7A70D41</vt:lpwstr>
  </property>
</Properties>
</file>