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5" r:id="rId1"/>
    <sheet name="旧" sheetId="4" r:id="rId2"/>
  </sheets>
  <definedNames>
    <definedName name="_xlnm._FilterDatabase" localSheetId="0" hidden="1">新!$A$13:$O$63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qyr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5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5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I59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I60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异地已预缴385.32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<sst xmlns="http://schemas.openxmlformats.org/spreadsheetml/2006/main" count="260" uniqueCount="91">
  <si>
    <t>C9311  六安市叶集区姚李镇2018年农村道路畅通工程</t>
  </si>
  <si>
    <t>中标日期</t>
  </si>
  <si>
    <t>中标价</t>
  </si>
  <si>
    <t>负责人</t>
  </si>
  <si>
    <t>六安办事处高翔</t>
  </si>
  <si>
    <t>建设单位</t>
  </si>
  <si>
    <t>六安市叶集区姚李镇人民政府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</si>
  <si>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</si>
  <si>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</si>
  <si>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</si>
  <si>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</si>
  <si>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</si>
  <si>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</si>
  <si>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</si>
  <si>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</si>
  <si>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</si>
  <si>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</si>
  <si>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</si>
  <si>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</si>
  <si>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</si>
  <si>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</si>
  <si>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</si>
  <si>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</si>
  <si>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</si>
  <si>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</si>
  <si>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</si>
  <si>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</si>
  <si>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</si>
  <si>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</si>
  <si>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</si>
  <si>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</si>
  <si>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</si>
  <si>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</si>
  <si>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</si>
  <si>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</si>
  <si>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</si>
  <si>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</si>
  <si>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普票</t>
  </si>
  <si>
    <t>安徽常建建筑劳务有限公司</t>
  </si>
  <si>
    <t>劳务</t>
  </si>
  <si>
    <t>专</t>
  </si>
  <si>
    <t>亳州海中贸易有限责任公司</t>
  </si>
  <si>
    <t>水泥</t>
  </si>
  <si>
    <t>2018-367#-100万</t>
  </si>
  <si>
    <t>9311-2022-003#-269000</t>
  </si>
  <si>
    <t>2份</t>
  </si>
  <si>
    <t>1份</t>
  </si>
  <si>
    <t>罗乃琴</t>
  </si>
  <si>
    <t>机械费</t>
  </si>
  <si>
    <t>2021-259#-10万</t>
  </si>
  <si>
    <t>普代</t>
  </si>
  <si>
    <t>杨兆林</t>
  </si>
  <si>
    <t>2021-257#-10万</t>
  </si>
  <si>
    <t>邵贤丽</t>
  </si>
  <si>
    <t>2021-258#-10万</t>
  </si>
  <si>
    <t>张传红</t>
  </si>
  <si>
    <t>2021-260#-10万</t>
  </si>
  <si>
    <t>徽行</t>
  </si>
  <si>
    <t>供应商退回的材料款</t>
  </si>
  <si>
    <t>扣</t>
  </si>
  <si>
    <t>转账手续费</t>
  </si>
  <si>
    <t>补扣</t>
  </si>
  <si>
    <t>1.6%企税</t>
  </si>
  <si>
    <t>外经证</t>
  </si>
  <si>
    <t>管理费</t>
  </si>
  <si>
    <t>企税1.6%</t>
  </si>
  <si>
    <t>印花税</t>
  </si>
  <si>
    <t>退</t>
  </si>
  <si>
    <t>企税</t>
  </si>
  <si>
    <t>增值税及附加</t>
  </si>
  <si>
    <t>暂扣</t>
  </si>
  <si>
    <t>代办费</t>
  </si>
  <si>
    <t>应提供成本</t>
  </si>
  <si>
    <t>可支付金额</t>
  </si>
  <si>
    <t>尚需提供成本</t>
  </si>
  <si>
    <t>公司代缴税金：</t>
  </si>
  <si>
    <t>税种</t>
  </si>
  <si>
    <t>税额</t>
  </si>
  <si>
    <t>18.12月开票扣税</t>
  </si>
  <si>
    <t>退12月增值税</t>
  </si>
  <si>
    <t>2021年4月开票税金</t>
  </si>
  <si>
    <t>企业所得税</t>
  </si>
  <si>
    <t>增值税</t>
  </si>
  <si>
    <t>差额</t>
  </si>
  <si>
    <t>已交</t>
  </si>
  <si>
    <t>城市维护建设税</t>
  </si>
  <si>
    <t>水利基金</t>
  </si>
  <si>
    <t>教育费附加</t>
  </si>
  <si>
    <t>地方教育费附加</t>
  </si>
  <si>
    <t>小计</t>
  </si>
  <si>
    <t>六安市叶集区姚李镇2018年农村道路畅通工程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</si>
</sst>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16" fillId="19" borderId="1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82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8" fontId="2" fillId="0" borderId="2" xfId="0" applyNumberFormat="1" applyFont="1" applyBorder="1" applyAlignment="1">
      <alignment vertical="center"/>
    </xf>
    <xf numFmtId="0" fontId="4" fillId="0" borderId="0" xfId="0" applyFont="1"/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 applyProtection="1">
      <alignment horizontal="center" vertical="center" wrapText="1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4" fillId="0" borderId="0" xfId="0" applyNumberFormat="1" applyFont="1"/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8" fontId="5" fillId="3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2" fillId="2" borderId="2" xfId="0" applyNumberFormat="1" applyFont="1" applyFill="1" applyBorder="1" applyAlignment="1">
      <alignment vertical="center"/>
    </xf>
    <xf numFmtId="9" fontId="1" fillId="5" borderId="2" xfId="11" applyNumberFormat="1" applyFont="1" applyFill="1" applyBorder="1" applyAlignment="1">
      <alignment horizontal="center" vertical="center"/>
    </xf>
    <xf numFmtId="178" fontId="5" fillId="0" borderId="3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vertical="center"/>
    </xf>
    <xf numFmtId="0" fontId="5" fillId="0" borderId="6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 applyProtection="1">
      <alignment horizontal="right" vertical="center" wrapText="1"/>
    </xf>
    <xf numFmtId="178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57150</xdr:colOff>
      <xdr:row>0</xdr:row>
      <xdr:rowOff>273050</xdr:rowOff>
    </xdr:from>
    <xdr:to>
      <xdr:col>12</xdr:col>
      <xdr:colOff>1752600</xdr:colOff>
      <xdr:row>11</xdr:row>
      <xdr:rowOff>226060</xdr:rowOff>
    </xdr:to>
    <xdr:pic>
      <xdr:nvPicPr>
        <xdr:cNvPr id="2" name="图片 1" descr="E8X}R(WJG}G%T3NLV]A3M)J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77275" y="273050"/>
          <a:ext cx="5067300" cy="251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7"/>
  <sheetViews>
    <sheetView tabSelected="1" topLeftCell="A22" workbookViewId="0">
      <selection activeCell="I45" sqref="I4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6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24.625" style="6" customWidth="1"/>
    <col min="14" max="14" width="5.625" style="6" customWidth="1"/>
    <col min="15" max="15" width="27.5" style="6" customWidth="1"/>
    <col min="16" max="16" width="9" style="6"/>
    <col min="17" max="17" width="13.25" style="6" customWidth="1"/>
    <col min="18" max="18" width="9" style="6"/>
    <col min="19" max="19" width="10.625" style="6" customWidth="1"/>
    <col min="20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43165</v>
      </c>
      <c r="C2" s="11" t="s">
        <v>2</v>
      </c>
      <c r="D2" s="64">
        <v>3941889.73</v>
      </c>
      <c r="E2" s="13" t="s">
        <v>3</v>
      </c>
      <c r="F2" s="12" t="s">
        <v>4</v>
      </c>
      <c r="G2" s="14" t="s">
        <v>5</v>
      </c>
      <c r="H2" s="15" t="s">
        <v>6</v>
      </c>
      <c r="I2" s="51"/>
      <c r="J2" s="52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>
        <v>3249102.49</v>
      </c>
      <c r="H3" s="17"/>
      <c r="I3" s="53"/>
      <c r="J3" s="17"/>
      <c r="K3" s="17"/>
      <c r="L3" s="17"/>
    </row>
    <row r="4" ht="18" customHeight="1" spans="1:12">
      <c r="A4" s="2" t="s">
        <v>9</v>
      </c>
      <c r="H4" s="17"/>
      <c r="I4" s="53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43439</v>
      </c>
      <c r="B7" s="11">
        <f t="shared" ref="B7:B10" si="0">G7/(1+C7+E7)</f>
        <v>1432727.27272727</v>
      </c>
      <c r="C7" s="23">
        <v>0.02</v>
      </c>
      <c r="D7" s="65">
        <f t="shared" ref="D7:D10" si="1">G7/(1+E7+C7)*C7</f>
        <v>28654.5454545455</v>
      </c>
      <c r="E7" s="23">
        <v>0.08</v>
      </c>
      <c r="F7" s="11">
        <f t="shared" ref="F7:F10" si="2">G7/(1+C7+E7)*E7</f>
        <v>114618.181818182</v>
      </c>
      <c r="G7" s="66">
        <v>1576000</v>
      </c>
      <c r="H7" s="21">
        <v>43441</v>
      </c>
      <c r="I7" s="11">
        <v>1576000</v>
      </c>
      <c r="J7" s="54" t="s">
        <v>21</v>
      </c>
    </row>
    <row r="8" ht="18" customHeight="1" spans="1:10">
      <c r="A8" s="21">
        <v>44309</v>
      </c>
      <c r="B8" s="11">
        <f t="shared" si="0"/>
        <v>642201.834862385</v>
      </c>
      <c r="C8" s="23">
        <v>0.02</v>
      </c>
      <c r="D8" s="65">
        <f t="shared" si="1"/>
        <v>12844.0366972477</v>
      </c>
      <c r="E8" s="67">
        <v>0.07</v>
      </c>
      <c r="F8" s="11">
        <f t="shared" si="2"/>
        <v>44954.128440367</v>
      </c>
      <c r="G8" s="66">
        <v>700000</v>
      </c>
      <c r="H8" s="21">
        <v>44327</v>
      </c>
      <c r="I8" s="11">
        <v>700000</v>
      </c>
      <c r="J8" s="54" t="s">
        <v>22</v>
      </c>
    </row>
    <row r="9" ht="18" customHeight="1" spans="1:10">
      <c r="A9" s="21"/>
      <c r="B9" s="11">
        <f t="shared" si="0"/>
        <v>0</v>
      </c>
      <c r="C9" s="23">
        <v>0.02</v>
      </c>
      <c r="D9" s="65">
        <f t="shared" si="1"/>
        <v>0</v>
      </c>
      <c r="E9" s="23">
        <v>0.08</v>
      </c>
      <c r="F9" s="11">
        <f t="shared" si="2"/>
        <v>0</v>
      </c>
      <c r="G9" s="66"/>
      <c r="H9" s="21"/>
      <c r="I9" s="11"/>
      <c r="J9" s="54"/>
    </row>
    <row r="10" ht="18" customHeight="1" spans="1:10">
      <c r="A10" s="21"/>
      <c r="B10" s="11">
        <f t="shared" si="0"/>
        <v>0</v>
      </c>
      <c r="C10" s="23">
        <v>0.02</v>
      </c>
      <c r="D10" s="65">
        <f t="shared" si="1"/>
        <v>0</v>
      </c>
      <c r="E10" s="23">
        <v>0.08</v>
      </c>
      <c r="F10" s="11">
        <f t="shared" si="2"/>
        <v>0</v>
      </c>
      <c r="G10" s="66"/>
      <c r="H10" s="21"/>
      <c r="I10" s="11"/>
      <c r="J10" s="54"/>
    </row>
    <row r="11" ht="18" customHeight="1" spans="1:10">
      <c r="A11" s="26" t="s">
        <v>23</v>
      </c>
      <c r="B11" s="68">
        <f t="shared" ref="B11:G11" si="3">SUM(B7:B10)</f>
        <v>2074929.10758966</v>
      </c>
      <c r="C11" s="28"/>
      <c r="D11" s="28">
        <f t="shared" si="3"/>
        <v>41498.5821517932</v>
      </c>
      <c r="E11" s="28"/>
      <c r="F11" s="69">
        <f t="shared" si="3"/>
        <v>159572.310258549</v>
      </c>
      <c r="G11" s="28">
        <f t="shared" si="3"/>
        <v>2276000</v>
      </c>
      <c r="H11" s="31"/>
      <c r="I11" s="28">
        <f>SUM(I7:I10)</f>
        <v>2276000</v>
      </c>
      <c r="J11" s="31"/>
    </row>
    <row r="12" ht="18" customHeight="1" spans="1:12">
      <c r="A12" s="2" t="s">
        <v>24</v>
      </c>
      <c r="G12" s="3">
        <f>D3-G11</f>
        <v>973102.49</v>
      </c>
      <c r="J12" s="4"/>
      <c r="K12" s="4"/>
      <c r="L12" s="5"/>
    </row>
    <row r="13" ht="18" customHeight="1" spans="1:15">
      <c r="A13" s="32" t="s">
        <v>25</v>
      </c>
      <c r="B13" s="19" t="s">
        <v>26</v>
      </c>
      <c r="C13" s="18" t="s">
        <v>27</v>
      </c>
      <c r="D13" s="18" t="s">
        <v>28</v>
      </c>
      <c r="E13" s="18" t="s">
        <v>16</v>
      </c>
      <c r="F13" s="19" t="s">
        <v>29</v>
      </c>
      <c r="G13" s="19" t="s">
        <v>14</v>
      </c>
      <c r="H13" s="18" t="s">
        <v>30</v>
      </c>
      <c r="I13" s="19" t="s">
        <v>31</v>
      </c>
      <c r="J13" s="18" t="s">
        <v>20</v>
      </c>
      <c r="K13" s="55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</row>
    <row r="14" s="1" customFormat="1" ht="18" customHeight="1" spans="1:15">
      <c r="A14" s="33">
        <v>43435</v>
      </c>
      <c r="B14" s="70">
        <f t="shared" ref="B14:B31" si="4">ROUND(G14/(1+E14),2)</f>
        <v>700000</v>
      </c>
      <c r="C14" s="34"/>
      <c r="D14" s="35" t="s">
        <v>37</v>
      </c>
      <c r="E14" s="36"/>
      <c r="F14" s="70">
        <f>ROUND(G14/(1+E14)*E14,2)</f>
        <v>0</v>
      </c>
      <c r="G14" s="66">
        <v>700000</v>
      </c>
      <c r="H14" s="21">
        <v>43448</v>
      </c>
      <c r="I14" s="77">
        <v>388597</v>
      </c>
      <c r="J14" s="54" t="s">
        <v>21</v>
      </c>
      <c r="K14" s="57" t="s">
        <v>38</v>
      </c>
      <c r="L14" s="58" t="s">
        <v>39</v>
      </c>
      <c r="M14" s="54"/>
      <c r="N14" s="59"/>
      <c r="O14" s="58"/>
    </row>
    <row r="15" ht="18" customHeight="1" spans="1:15">
      <c r="A15" s="37">
        <v>43435</v>
      </c>
      <c r="B15" s="11">
        <f t="shared" si="4"/>
        <v>409511.12</v>
      </c>
      <c r="C15" s="38"/>
      <c r="D15" s="39" t="s">
        <v>40</v>
      </c>
      <c r="E15" s="40">
        <v>0.16</v>
      </c>
      <c r="F15" s="11">
        <f t="shared" ref="F14:F31" si="5">ROUND(G15/(1+E15)*E15,2)</f>
        <v>65521.78</v>
      </c>
      <c r="G15" s="71">
        <v>475032.9</v>
      </c>
      <c r="H15" s="21">
        <v>43446</v>
      </c>
      <c r="I15" s="11">
        <v>850000</v>
      </c>
      <c r="J15" s="54" t="s">
        <v>21</v>
      </c>
      <c r="K15" s="60" t="s">
        <v>41</v>
      </c>
      <c r="L15" s="31" t="s">
        <v>42</v>
      </c>
      <c r="M15" s="54" t="s">
        <v>43</v>
      </c>
      <c r="N15" s="54"/>
      <c r="O15" s="31"/>
    </row>
    <row r="16" s="1" customFormat="1" ht="18" customHeight="1" spans="1:15">
      <c r="A16" s="33"/>
      <c r="B16" s="70">
        <f t="shared" si="4"/>
        <v>0</v>
      </c>
      <c r="C16" s="34"/>
      <c r="D16" s="35"/>
      <c r="E16" s="36"/>
      <c r="F16" s="70">
        <f t="shared" si="5"/>
        <v>0</v>
      </c>
      <c r="G16" s="66"/>
      <c r="H16" s="21">
        <v>43469</v>
      </c>
      <c r="I16" s="11">
        <v>991.8</v>
      </c>
      <c r="J16" s="54" t="s">
        <v>21</v>
      </c>
      <c r="K16" s="57" t="s">
        <v>41</v>
      </c>
      <c r="L16" s="58" t="s">
        <v>42</v>
      </c>
      <c r="M16" s="54"/>
      <c r="N16" s="59"/>
      <c r="O16" s="58"/>
    </row>
    <row r="17" ht="18" customHeight="1" spans="1:15">
      <c r="A17" s="37">
        <v>43435</v>
      </c>
      <c r="B17" s="11">
        <f t="shared" si="4"/>
        <v>269000</v>
      </c>
      <c r="C17" s="38"/>
      <c r="D17" s="39" t="s">
        <v>37</v>
      </c>
      <c r="E17" s="40"/>
      <c r="F17" s="11">
        <f t="shared" si="5"/>
        <v>0</v>
      </c>
      <c r="G17" s="71">
        <v>269000</v>
      </c>
      <c r="H17" s="21">
        <v>43476</v>
      </c>
      <c r="I17" s="11">
        <v>223461.2</v>
      </c>
      <c r="J17" s="54" t="s">
        <v>21</v>
      </c>
      <c r="K17" s="60" t="s">
        <v>38</v>
      </c>
      <c r="L17" s="31" t="s">
        <v>39</v>
      </c>
      <c r="M17" s="59" t="s">
        <v>44</v>
      </c>
      <c r="N17" s="54"/>
      <c r="O17" s="31"/>
    </row>
    <row r="18" s="1" customFormat="1" ht="18" customHeight="1" spans="1:15">
      <c r="A18" s="33">
        <v>44317</v>
      </c>
      <c r="B18" s="70">
        <f t="shared" si="4"/>
        <v>315103.97</v>
      </c>
      <c r="C18" s="34" t="s">
        <v>45</v>
      </c>
      <c r="D18" s="35" t="s">
        <v>40</v>
      </c>
      <c r="E18" s="72">
        <v>0.16</v>
      </c>
      <c r="F18" s="70">
        <f t="shared" si="5"/>
        <v>50416.63</v>
      </c>
      <c r="G18" s="66">
        <f>222785.1+142735.5</f>
        <v>365520.6</v>
      </c>
      <c r="H18" s="21"/>
      <c r="I18" s="11"/>
      <c r="J18" s="54"/>
      <c r="K18" s="60" t="s">
        <v>41</v>
      </c>
      <c r="L18" s="31" t="s">
        <v>42</v>
      </c>
      <c r="M18" s="54" t="s">
        <v>43</v>
      </c>
      <c r="N18" s="59"/>
      <c r="O18" s="58"/>
    </row>
    <row r="19" s="1" customFormat="1" ht="18" customHeight="1" spans="1:15">
      <c r="A19" s="33">
        <v>44317</v>
      </c>
      <c r="B19" s="70">
        <f t="shared" si="4"/>
        <v>100000</v>
      </c>
      <c r="C19" s="34" t="s">
        <v>46</v>
      </c>
      <c r="D19" s="39" t="s">
        <v>37</v>
      </c>
      <c r="E19" s="36"/>
      <c r="F19" s="70">
        <f t="shared" si="5"/>
        <v>0</v>
      </c>
      <c r="G19" s="66">
        <v>100000</v>
      </c>
      <c r="H19" s="21"/>
      <c r="I19" s="11"/>
      <c r="J19" s="54"/>
      <c r="K19" s="57" t="s">
        <v>47</v>
      </c>
      <c r="L19" s="58" t="s">
        <v>48</v>
      </c>
      <c r="M19" s="54" t="s">
        <v>49</v>
      </c>
      <c r="N19" s="59"/>
      <c r="O19" s="58"/>
    </row>
    <row r="20" s="1" customFormat="1" ht="18" customHeight="1" spans="1:15">
      <c r="A20" s="33">
        <v>44317</v>
      </c>
      <c r="B20" s="70">
        <f t="shared" si="4"/>
        <v>100000</v>
      </c>
      <c r="C20" s="34" t="s">
        <v>46</v>
      </c>
      <c r="D20" s="39" t="s">
        <v>50</v>
      </c>
      <c r="E20" s="36"/>
      <c r="F20" s="70">
        <f t="shared" si="5"/>
        <v>0</v>
      </c>
      <c r="G20" s="66">
        <v>100000</v>
      </c>
      <c r="H20" s="21"/>
      <c r="I20" s="11"/>
      <c r="J20" s="54"/>
      <c r="K20" s="57" t="s">
        <v>51</v>
      </c>
      <c r="L20" s="58" t="s">
        <v>48</v>
      </c>
      <c r="M20" s="54" t="s">
        <v>52</v>
      </c>
      <c r="N20" s="59"/>
      <c r="O20" s="58"/>
    </row>
    <row r="21" s="1" customFormat="1" ht="18" customHeight="1" spans="1:15">
      <c r="A21" s="33">
        <v>44317</v>
      </c>
      <c r="B21" s="70">
        <f t="shared" si="4"/>
        <v>100000</v>
      </c>
      <c r="C21" s="34" t="s">
        <v>46</v>
      </c>
      <c r="D21" s="39" t="s">
        <v>50</v>
      </c>
      <c r="E21" s="36"/>
      <c r="F21" s="70">
        <f t="shared" si="5"/>
        <v>0</v>
      </c>
      <c r="G21" s="66">
        <v>100000</v>
      </c>
      <c r="H21" s="21"/>
      <c r="I21" s="11"/>
      <c r="J21" s="54"/>
      <c r="K21" s="57" t="s">
        <v>53</v>
      </c>
      <c r="L21" s="58" t="s">
        <v>48</v>
      </c>
      <c r="M21" s="54" t="s">
        <v>54</v>
      </c>
      <c r="N21" s="59"/>
      <c r="O21" s="58"/>
    </row>
    <row r="22" s="1" customFormat="1" ht="18" customHeight="1" spans="1:15">
      <c r="A22" s="33">
        <v>44317</v>
      </c>
      <c r="B22" s="70">
        <f t="shared" si="4"/>
        <v>100000</v>
      </c>
      <c r="C22" s="34" t="s">
        <v>46</v>
      </c>
      <c r="D22" s="39" t="s">
        <v>50</v>
      </c>
      <c r="E22" s="36"/>
      <c r="F22" s="70">
        <f t="shared" si="5"/>
        <v>0</v>
      </c>
      <c r="G22" s="66">
        <v>100000</v>
      </c>
      <c r="H22" s="21"/>
      <c r="I22" s="11"/>
      <c r="J22" s="54"/>
      <c r="K22" s="57" t="s">
        <v>55</v>
      </c>
      <c r="L22" s="58" t="s">
        <v>48</v>
      </c>
      <c r="M22" s="54" t="s">
        <v>56</v>
      </c>
      <c r="N22" s="59"/>
      <c r="O22" s="58"/>
    </row>
    <row r="23" s="1" customFormat="1" ht="18" customHeight="1" spans="1:15">
      <c r="A23" s="33"/>
      <c r="B23" s="70"/>
      <c r="C23" s="34"/>
      <c r="D23" s="35"/>
      <c r="E23" s="36"/>
      <c r="F23" s="70"/>
      <c r="G23" s="66"/>
      <c r="H23" s="21">
        <v>44335</v>
      </c>
      <c r="I23" s="11">
        <v>100000</v>
      </c>
      <c r="J23" s="54" t="s">
        <v>57</v>
      </c>
      <c r="K23" s="60" t="s">
        <v>47</v>
      </c>
      <c r="L23" s="58" t="s">
        <v>48</v>
      </c>
      <c r="M23" s="54"/>
      <c r="N23" s="59"/>
      <c r="O23" s="58"/>
    </row>
    <row r="24" s="1" customFormat="1" ht="18" customHeight="1" spans="1:15">
      <c r="A24" s="33"/>
      <c r="B24" s="70"/>
      <c r="C24" s="34"/>
      <c r="D24" s="35"/>
      <c r="E24" s="36"/>
      <c r="F24" s="70"/>
      <c r="G24" s="66"/>
      <c r="H24" s="21">
        <v>44335</v>
      </c>
      <c r="I24" s="11">
        <v>100000</v>
      </c>
      <c r="J24" s="54" t="s">
        <v>57</v>
      </c>
      <c r="K24" s="60" t="s">
        <v>51</v>
      </c>
      <c r="L24" s="58" t="s">
        <v>48</v>
      </c>
      <c r="M24" s="59"/>
      <c r="N24" s="59"/>
      <c r="O24" s="58"/>
    </row>
    <row r="25" s="1" customFormat="1" ht="18" customHeight="1" spans="1:15">
      <c r="A25" s="33"/>
      <c r="B25" s="70"/>
      <c r="C25" s="34"/>
      <c r="D25" s="35"/>
      <c r="E25" s="36"/>
      <c r="F25" s="70"/>
      <c r="G25" s="66"/>
      <c r="H25" s="21">
        <v>44335</v>
      </c>
      <c r="I25" s="11">
        <v>100000</v>
      </c>
      <c r="J25" s="54" t="s">
        <v>57</v>
      </c>
      <c r="K25" s="60" t="s">
        <v>53</v>
      </c>
      <c r="L25" s="58" t="s">
        <v>48</v>
      </c>
      <c r="M25" s="59"/>
      <c r="N25" s="59"/>
      <c r="O25" s="58"/>
    </row>
    <row r="26" s="1" customFormat="1" ht="18" customHeight="1" spans="1:15">
      <c r="A26" s="33"/>
      <c r="B26" s="70"/>
      <c r="C26" s="34"/>
      <c r="D26" s="35"/>
      <c r="E26" s="36"/>
      <c r="F26" s="70"/>
      <c r="G26" s="66"/>
      <c r="H26" s="21">
        <v>44335</v>
      </c>
      <c r="I26" s="11">
        <v>100000</v>
      </c>
      <c r="J26" s="54" t="s">
        <v>57</v>
      </c>
      <c r="K26" s="60" t="s">
        <v>55</v>
      </c>
      <c r="L26" s="58" t="s">
        <v>48</v>
      </c>
      <c r="M26" s="59"/>
      <c r="N26" s="59"/>
      <c r="O26" s="58"/>
    </row>
    <row r="27" s="1" customFormat="1" ht="18" customHeight="1" spans="1:15">
      <c r="A27" s="33"/>
      <c r="B27" s="70"/>
      <c r="C27" s="34"/>
      <c r="D27" s="35"/>
      <c r="E27" s="36"/>
      <c r="F27" s="70"/>
      <c r="G27" s="66"/>
      <c r="H27" s="21">
        <v>44335</v>
      </c>
      <c r="I27" s="11">
        <v>251835.95</v>
      </c>
      <c r="J27" s="54" t="s">
        <v>21</v>
      </c>
      <c r="K27" s="60" t="s">
        <v>38</v>
      </c>
      <c r="L27" s="31" t="s">
        <v>39</v>
      </c>
      <c r="M27" s="59"/>
      <c r="N27" s="59"/>
      <c r="O27" s="58"/>
    </row>
    <row r="28" s="1" customFormat="1" ht="18" customHeight="1" spans="1:15">
      <c r="A28" s="33"/>
      <c r="B28" s="70"/>
      <c r="C28" s="34"/>
      <c r="D28" s="35"/>
      <c r="E28" s="36"/>
      <c r="F28" s="70"/>
      <c r="G28" s="66"/>
      <c r="H28" s="21">
        <v>44576</v>
      </c>
      <c r="I28" s="11">
        <v>-10438.3</v>
      </c>
      <c r="J28" s="54" t="s">
        <v>22</v>
      </c>
      <c r="K28" s="60" t="s">
        <v>41</v>
      </c>
      <c r="L28" s="58" t="s">
        <v>42</v>
      </c>
      <c r="M28" s="59"/>
      <c r="N28" s="59"/>
      <c r="O28" s="58" t="s">
        <v>58</v>
      </c>
    </row>
    <row r="29" s="1" customFormat="1" ht="18" customHeight="1" spans="1:15">
      <c r="A29" s="33"/>
      <c r="B29" s="70"/>
      <c r="C29" s="34"/>
      <c r="D29" s="35"/>
      <c r="E29" s="36"/>
      <c r="F29" s="70"/>
      <c r="G29" s="66"/>
      <c r="H29" s="21"/>
      <c r="I29" s="78">
        <v>10388.3</v>
      </c>
      <c r="J29" s="79" t="s">
        <v>22</v>
      </c>
      <c r="K29" s="80" t="s">
        <v>38</v>
      </c>
      <c r="L29" s="31" t="s">
        <v>39</v>
      </c>
      <c r="M29" s="59" t="s">
        <v>44</v>
      </c>
      <c r="N29" s="59"/>
      <c r="O29" s="58"/>
    </row>
    <row r="30" s="1" customFormat="1" ht="18" customHeight="1" spans="1:15">
      <c r="A30" s="33"/>
      <c r="B30" s="70"/>
      <c r="C30" s="34"/>
      <c r="D30" s="35"/>
      <c r="E30" s="36"/>
      <c r="F30" s="70"/>
      <c r="G30" s="66"/>
      <c r="H30" s="21"/>
      <c r="I30" s="11"/>
      <c r="J30" s="54"/>
      <c r="K30" s="60"/>
      <c r="L30" s="58"/>
      <c r="M30" s="59"/>
      <c r="N30" s="59"/>
      <c r="O30" s="58"/>
    </row>
    <row r="31" s="1" customFormat="1" ht="18" customHeight="1" spans="1:15">
      <c r="A31" s="33"/>
      <c r="B31" s="70"/>
      <c r="C31" s="34"/>
      <c r="D31" s="35"/>
      <c r="E31" s="36"/>
      <c r="F31" s="70"/>
      <c r="G31" s="66"/>
      <c r="H31" s="21"/>
      <c r="I31" s="11"/>
      <c r="J31" s="54"/>
      <c r="K31" s="60"/>
      <c r="L31" s="58"/>
      <c r="M31" s="59"/>
      <c r="N31" s="59"/>
      <c r="O31" s="58"/>
    </row>
    <row r="32" s="1" customFormat="1" ht="18" customHeight="1" spans="1:15">
      <c r="A32" s="33"/>
      <c r="B32" s="70"/>
      <c r="C32" s="34"/>
      <c r="D32" s="35"/>
      <c r="E32" s="36"/>
      <c r="F32" s="70"/>
      <c r="G32" s="66"/>
      <c r="H32" s="21"/>
      <c r="I32" s="11"/>
      <c r="J32" s="54"/>
      <c r="K32" s="60"/>
      <c r="L32" s="58"/>
      <c r="M32" s="59"/>
      <c r="N32" s="59"/>
      <c r="O32" s="58"/>
    </row>
    <row r="33" s="1" customFormat="1" ht="18" customHeight="1" spans="1:15">
      <c r="A33" s="33"/>
      <c r="B33" s="70"/>
      <c r="C33" s="34"/>
      <c r="D33" s="35"/>
      <c r="E33" s="36"/>
      <c r="F33" s="70"/>
      <c r="G33" s="66"/>
      <c r="H33" s="21"/>
      <c r="I33" s="78"/>
      <c r="J33" s="79"/>
      <c r="K33" s="80"/>
      <c r="L33" s="58"/>
      <c r="M33" s="59"/>
      <c r="N33" s="59"/>
      <c r="O33" s="58"/>
    </row>
    <row r="34" s="1" customFormat="1" ht="18" customHeight="1" spans="1:15">
      <c r="A34" s="33"/>
      <c r="B34" s="70"/>
      <c r="C34" s="34"/>
      <c r="D34" s="35"/>
      <c r="E34" s="36"/>
      <c r="F34" s="70"/>
      <c r="G34" s="66"/>
      <c r="H34" s="21"/>
      <c r="I34" s="78">
        <v>50</v>
      </c>
      <c r="J34" s="79" t="s">
        <v>59</v>
      </c>
      <c r="K34" s="80" t="s">
        <v>60</v>
      </c>
      <c r="L34" s="58"/>
      <c r="M34" s="59"/>
      <c r="N34" s="59"/>
      <c r="O34" s="58"/>
    </row>
    <row r="35" s="1" customFormat="1" ht="18" customHeight="1" spans="1:18">
      <c r="A35" s="33"/>
      <c r="B35" s="70">
        <f t="shared" ref="B35:B47" si="6">ROUND(G35/(1+E35),2)</f>
        <v>0</v>
      </c>
      <c r="C35" s="34"/>
      <c r="D35" s="35"/>
      <c r="E35" s="36"/>
      <c r="F35" s="70">
        <f t="shared" ref="F35:F47" si="7">ROUND(G35/(1+E35)*E35,2)</f>
        <v>0</v>
      </c>
      <c r="G35" s="66"/>
      <c r="H35" s="21">
        <v>44328</v>
      </c>
      <c r="I35" s="11">
        <v>2292</v>
      </c>
      <c r="J35" s="54" t="s">
        <v>61</v>
      </c>
      <c r="K35" s="57" t="s">
        <v>62</v>
      </c>
      <c r="L35" s="58"/>
      <c r="M35" s="59"/>
      <c r="N35" s="59"/>
      <c r="O35" s="58"/>
      <c r="P35" s="4"/>
      <c r="Q35" s="63"/>
      <c r="R35" s="81"/>
    </row>
    <row r="36" s="1" customFormat="1" ht="18" customHeight="1" spans="1:15">
      <c r="A36" s="33"/>
      <c r="B36" s="70">
        <f t="shared" si="6"/>
        <v>0</v>
      </c>
      <c r="C36" s="34"/>
      <c r="D36" s="35"/>
      <c r="E36" s="36"/>
      <c r="F36" s="70">
        <f t="shared" si="7"/>
        <v>0</v>
      </c>
      <c r="G36" s="66"/>
      <c r="H36" s="21">
        <v>44328</v>
      </c>
      <c r="I36" s="11">
        <v>500</v>
      </c>
      <c r="J36" s="54" t="s">
        <v>59</v>
      </c>
      <c r="K36" s="57" t="s">
        <v>63</v>
      </c>
      <c r="L36" s="58"/>
      <c r="M36" s="59"/>
      <c r="N36" s="59"/>
      <c r="O36" s="58"/>
    </row>
    <row r="37" s="1" customFormat="1" ht="18" customHeight="1" spans="1:15">
      <c r="A37" s="33"/>
      <c r="B37" s="70">
        <f t="shared" si="6"/>
        <v>0</v>
      </c>
      <c r="C37" s="34"/>
      <c r="D37" s="35"/>
      <c r="E37" s="36"/>
      <c r="F37" s="70">
        <f t="shared" si="7"/>
        <v>0</v>
      </c>
      <c r="G37" s="66"/>
      <c r="H37" s="21">
        <v>44328</v>
      </c>
      <c r="I37" s="11">
        <v>500</v>
      </c>
      <c r="J37" s="54" t="s">
        <v>59</v>
      </c>
      <c r="K37" s="57" t="s">
        <v>60</v>
      </c>
      <c r="L37" s="58"/>
      <c r="M37" s="59"/>
      <c r="N37" s="59"/>
      <c r="O37" s="58"/>
    </row>
    <row r="38" s="1" customFormat="1" ht="18" customHeight="1" spans="1:15">
      <c r="A38" s="33"/>
      <c r="B38" s="70">
        <f t="shared" si="6"/>
        <v>0</v>
      </c>
      <c r="C38" s="34"/>
      <c r="D38" s="35"/>
      <c r="E38" s="36"/>
      <c r="F38" s="70">
        <f t="shared" si="7"/>
        <v>0</v>
      </c>
      <c r="G38" s="66"/>
      <c r="H38" s="21">
        <v>44328</v>
      </c>
      <c r="I38" s="11">
        <v>33462.05</v>
      </c>
      <c r="J38" s="54" t="s">
        <v>59</v>
      </c>
      <c r="K38" s="57" t="s">
        <v>64</v>
      </c>
      <c r="L38" s="58"/>
      <c r="M38" s="59"/>
      <c r="N38" s="59"/>
      <c r="O38" s="58"/>
    </row>
    <row r="39" s="1" customFormat="1" ht="18" customHeight="1" spans="1:15">
      <c r="A39" s="33"/>
      <c r="B39" s="70">
        <f t="shared" si="6"/>
        <v>0</v>
      </c>
      <c r="C39" s="34"/>
      <c r="D39" s="35"/>
      <c r="E39" s="36"/>
      <c r="F39" s="70">
        <f t="shared" si="7"/>
        <v>0</v>
      </c>
      <c r="G39" s="66"/>
      <c r="H39" s="21">
        <v>44328</v>
      </c>
      <c r="I39" s="11">
        <v>11200</v>
      </c>
      <c r="J39" s="54" t="s">
        <v>59</v>
      </c>
      <c r="K39" s="57" t="s">
        <v>65</v>
      </c>
      <c r="L39" s="58"/>
      <c r="M39" s="59"/>
      <c r="N39" s="59"/>
      <c r="O39" s="58"/>
    </row>
    <row r="40" s="1" customFormat="1" ht="18" customHeight="1" spans="1:15">
      <c r="A40" s="33"/>
      <c r="B40" s="70">
        <f t="shared" si="6"/>
        <v>0</v>
      </c>
      <c r="C40" s="34"/>
      <c r="D40" s="35"/>
      <c r="E40" s="36"/>
      <c r="F40" s="70">
        <f t="shared" si="7"/>
        <v>0</v>
      </c>
      <c r="G40" s="66"/>
      <c r="H40" s="21">
        <v>44328</v>
      </c>
      <c r="I40" s="11">
        <v>210</v>
      </c>
      <c r="J40" s="54" t="s">
        <v>59</v>
      </c>
      <c r="K40" s="57" t="s">
        <v>66</v>
      </c>
      <c r="L40" s="58"/>
      <c r="M40" s="59"/>
      <c r="N40" s="59"/>
      <c r="O40" s="58"/>
    </row>
    <row r="41" s="1" customFormat="1" ht="18" customHeight="1" spans="1:15">
      <c r="A41" s="33"/>
      <c r="B41" s="70">
        <f t="shared" si="6"/>
        <v>0</v>
      </c>
      <c r="C41" s="34"/>
      <c r="D41" s="35"/>
      <c r="E41" s="36"/>
      <c r="F41" s="70">
        <f t="shared" si="7"/>
        <v>0</v>
      </c>
      <c r="G41" s="66"/>
      <c r="H41" s="21"/>
      <c r="I41" s="11">
        <v>-152379</v>
      </c>
      <c r="J41" s="54" t="s">
        <v>67</v>
      </c>
      <c r="K41" s="57" t="s">
        <v>68</v>
      </c>
      <c r="L41" s="58"/>
      <c r="M41" s="59"/>
      <c r="N41" s="59"/>
      <c r="O41" s="58"/>
    </row>
    <row r="42" s="1" customFormat="1" ht="18" customHeight="1" spans="1:15">
      <c r="A42" s="33"/>
      <c r="B42" s="70">
        <f t="shared" si="6"/>
        <v>0</v>
      </c>
      <c r="C42" s="34"/>
      <c r="D42" s="35"/>
      <c r="E42" s="36"/>
      <c r="F42" s="70">
        <f t="shared" si="7"/>
        <v>0</v>
      </c>
      <c r="G42" s="66"/>
      <c r="H42" s="21"/>
      <c r="I42" s="11">
        <v>-72074</v>
      </c>
      <c r="J42" s="54" t="s">
        <v>67</v>
      </c>
      <c r="K42" s="57" t="s">
        <v>69</v>
      </c>
      <c r="L42" s="58"/>
      <c r="M42" s="59"/>
      <c r="N42" s="59"/>
      <c r="O42" s="58"/>
    </row>
    <row r="43" s="1" customFormat="1" ht="18" customHeight="1" spans="1:15">
      <c r="A43" s="33"/>
      <c r="B43" s="70">
        <f t="shared" si="6"/>
        <v>0</v>
      </c>
      <c r="C43" s="34"/>
      <c r="D43" s="35"/>
      <c r="E43" s="36"/>
      <c r="F43" s="70">
        <f t="shared" si="7"/>
        <v>0</v>
      </c>
      <c r="G43" s="66"/>
      <c r="H43" s="21"/>
      <c r="I43" s="11">
        <v>22924</v>
      </c>
      <c r="J43" s="54" t="s">
        <v>59</v>
      </c>
      <c r="K43" s="57" t="s">
        <v>65</v>
      </c>
      <c r="L43" s="58"/>
      <c r="M43" s="59"/>
      <c r="N43" s="59"/>
      <c r="O43" s="58"/>
    </row>
    <row r="44" s="1" customFormat="1" ht="18" customHeight="1" spans="1:15">
      <c r="A44" s="33"/>
      <c r="B44" s="70">
        <f t="shared" si="6"/>
        <v>0</v>
      </c>
      <c r="C44" s="34"/>
      <c r="D44" s="35"/>
      <c r="E44" s="36"/>
      <c r="F44" s="70">
        <f t="shared" si="7"/>
        <v>0</v>
      </c>
      <c r="G44" s="66"/>
      <c r="H44" s="21"/>
      <c r="I44" s="11">
        <v>152379</v>
      </c>
      <c r="J44" s="54" t="s">
        <v>70</v>
      </c>
      <c r="K44" s="57" t="s">
        <v>68</v>
      </c>
      <c r="L44" s="58"/>
      <c r="M44" s="59"/>
      <c r="N44" s="59"/>
      <c r="O44" s="58"/>
    </row>
    <row r="45" s="1" customFormat="1" ht="18" customHeight="1" spans="1:15">
      <c r="A45" s="33"/>
      <c r="B45" s="70">
        <f t="shared" si="6"/>
        <v>0</v>
      </c>
      <c r="C45" s="34"/>
      <c r="D45" s="35"/>
      <c r="E45" s="36"/>
      <c r="F45" s="70">
        <f t="shared" si="7"/>
        <v>0</v>
      </c>
      <c r="G45" s="66"/>
      <c r="H45" s="21"/>
      <c r="I45" s="11">
        <v>126080</v>
      </c>
      <c r="J45" s="54" t="s">
        <v>59</v>
      </c>
      <c r="K45" s="57" t="s">
        <v>69</v>
      </c>
      <c r="L45" s="58"/>
      <c r="M45" s="59"/>
      <c r="N45" s="59"/>
      <c r="O45" s="58"/>
    </row>
    <row r="46" s="1" customFormat="1" ht="18" customHeight="1" spans="1:15">
      <c r="A46" s="33"/>
      <c r="B46" s="70">
        <f t="shared" si="6"/>
        <v>0</v>
      </c>
      <c r="C46" s="34"/>
      <c r="D46" s="35"/>
      <c r="E46" s="36"/>
      <c r="F46" s="70">
        <f t="shared" si="7"/>
        <v>0</v>
      </c>
      <c r="G46" s="66"/>
      <c r="H46" s="21"/>
      <c r="I46" s="11">
        <v>4500</v>
      </c>
      <c r="J46" s="54" t="s">
        <v>59</v>
      </c>
      <c r="K46" s="57" t="s">
        <v>71</v>
      </c>
      <c r="L46" s="58"/>
      <c r="M46" s="59"/>
      <c r="N46" s="59"/>
      <c r="O46" s="58"/>
    </row>
    <row r="47" s="1" customFormat="1" ht="18" customHeight="1" spans="1:15">
      <c r="A47" s="33"/>
      <c r="B47" s="70">
        <f t="shared" si="6"/>
        <v>31520</v>
      </c>
      <c r="C47" s="34"/>
      <c r="D47" s="35"/>
      <c r="E47" s="36"/>
      <c r="F47" s="70">
        <f t="shared" si="7"/>
        <v>0</v>
      </c>
      <c r="G47" s="66">
        <f>31520</f>
        <v>31520</v>
      </c>
      <c r="H47" s="21"/>
      <c r="I47" s="11">
        <f>G47</f>
        <v>31520</v>
      </c>
      <c r="J47" s="54" t="s">
        <v>59</v>
      </c>
      <c r="K47" s="57" t="s">
        <v>64</v>
      </c>
      <c r="L47" s="58"/>
      <c r="M47" s="59"/>
      <c r="N47" s="59"/>
      <c r="O47" s="58"/>
    </row>
    <row r="48" ht="18" customHeight="1" spans="1:15">
      <c r="A48" s="28" t="s">
        <v>23</v>
      </c>
      <c r="B48" s="68">
        <f>SUM(B14:B47)</f>
        <v>2125135.09</v>
      </c>
      <c r="C48" s="28"/>
      <c r="D48" s="42"/>
      <c r="E48" s="42"/>
      <c r="F48" s="69">
        <f>SUM(F14:F47)</f>
        <v>115938.41</v>
      </c>
      <c r="G48" s="73">
        <f>SUM(G14:G47)</f>
        <v>2241073.5</v>
      </c>
      <c r="H48" s="44"/>
      <c r="I48" s="28">
        <f>SUM(I14:I47)</f>
        <v>2276000</v>
      </c>
      <c r="J48" s="61"/>
      <c r="K48" s="42"/>
      <c r="L48" s="31"/>
      <c r="M48" s="54"/>
      <c r="N48" s="54"/>
      <c r="O48" s="31"/>
    </row>
    <row r="49" ht="18" customHeight="1" spans="1:19">
      <c r="A49" s="45" t="s">
        <v>72</v>
      </c>
      <c r="B49" s="45">
        <f>B11*0.984</f>
        <v>2041730.24186822</v>
      </c>
      <c r="C49" s="45"/>
      <c r="D49" s="47"/>
      <c r="E49" s="47"/>
      <c r="F49" s="46"/>
      <c r="G49" s="45">
        <f>G11-G48</f>
        <v>34926.5</v>
      </c>
      <c r="H49" s="20" t="s">
        <v>73</v>
      </c>
      <c r="I49" s="28">
        <f>I11-I48</f>
        <v>0</v>
      </c>
      <c r="J49" s="6"/>
      <c r="K49" s="62"/>
      <c r="M49" s="63"/>
      <c r="N49" s="63"/>
      <c r="Q49" s="1"/>
      <c r="R49" s="1"/>
      <c r="S49" s="1"/>
    </row>
    <row r="50" ht="18" customHeight="1" spans="1:14">
      <c r="A50" s="45" t="s">
        <v>74</v>
      </c>
      <c r="B50" s="45">
        <f>B49-B48</f>
        <v>-83404.8481317798</v>
      </c>
      <c r="C50" s="45"/>
      <c r="D50" s="47"/>
      <c r="E50" s="47"/>
      <c r="F50" s="46"/>
      <c r="G50" s="46"/>
      <c r="H50" s="48"/>
      <c r="I50" s="46">
        <f>I45+I42</f>
        <v>54006</v>
      </c>
      <c r="J50" s="6"/>
      <c r="K50" s="62"/>
      <c r="M50" s="63"/>
      <c r="N50" s="63"/>
    </row>
    <row r="51" ht="18" customHeight="1" spans="1:17">
      <c r="A51" s="2" t="s">
        <v>75</v>
      </c>
      <c r="C51" s="2"/>
      <c r="Q51" s="46"/>
    </row>
    <row r="52" ht="18" customHeight="1" spans="1:9">
      <c r="A52" s="20" t="s">
        <v>76</v>
      </c>
      <c r="B52" s="19" t="s">
        <v>77</v>
      </c>
      <c r="C52" s="31"/>
      <c r="D52" s="20" t="s">
        <v>76</v>
      </c>
      <c r="E52" s="18" t="s">
        <v>16</v>
      </c>
      <c r="F52" s="19" t="s">
        <v>77</v>
      </c>
      <c r="G52" s="19" t="s">
        <v>78</v>
      </c>
      <c r="H52" s="19" t="s">
        <v>79</v>
      </c>
      <c r="I52" s="22" t="s">
        <v>80</v>
      </c>
    </row>
    <row r="53" ht="18" customHeight="1" spans="1:9">
      <c r="A53" s="31" t="s">
        <v>81</v>
      </c>
      <c r="B53" s="16">
        <f>(B49-B48)*0.25</f>
        <v>-20851.212032945</v>
      </c>
      <c r="C53" s="31"/>
      <c r="D53" s="26" t="s">
        <v>82</v>
      </c>
      <c r="E53" s="20" t="s">
        <v>83</v>
      </c>
      <c r="F53" s="69">
        <f>F11-F48</f>
        <v>43633.900258549</v>
      </c>
      <c r="G53" s="69">
        <f>F7</f>
        <v>114618.181818182</v>
      </c>
      <c r="H53" s="69">
        <v>-65521.78</v>
      </c>
      <c r="I53" s="11">
        <f>F8-F18</f>
        <v>-5462.501559633</v>
      </c>
    </row>
    <row r="54" ht="18" customHeight="1" spans="1:9">
      <c r="A54" s="31" t="s">
        <v>66</v>
      </c>
      <c r="B54" s="49" t="s">
        <v>84</v>
      </c>
      <c r="C54" s="31"/>
      <c r="D54" s="50" t="s">
        <v>85</v>
      </c>
      <c r="E54" s="13">
        <v>0.05</v>
      </c>
      <c r="F54" s="11">
        <f>F53*E54</f>
        <v>2181.69501292745</v>
      </c>
      <c r="G54" s="11">
        <v>5730.90909090909</v>
      </c>
      <c r="H54" s="11">
        <f>H53*E54</f>
        <v>-3276.089</v>
      </c>
      <c r="I54" s="11">
        <f>I53*0.07</f>
        <v>-382.37510917431</v>
      </c>
    </row>
    <row r="55" ht="18" customHeight="1" spans="1:9">
      <c r="A55" s="31" t="s">
        <v>86</v>
      </c>
      <c r="B55" s="49" t="s">
        <v>84</v>
      </c>
      <c r="C55" s="31"/>
      <c r="D55" s="50" t="s">
        <v>87</v>
      </c>
      <c r="E55" s="13">
        <v>0.03</v>
      </c>
      <c r="F55" s="11">
        <f>F53*E55</f>
        <v>1309.01700775647</v>
      </c>
      <c r="G55" s="11">
        <v>3438.54545454545</v>
      </c>
      <c r="H55" s="11">
        <f>H53*E55</f>
        <v>-1965.6534</v>
      </c>
      <c r="I55" s="11">
        <f>I53*E55</f>
        <v>-163.87504678899</v>
      </c>
    </row>
    <row r="56" ht="18" customHeight="1" spans="1:9">
      <c r="A56" s="31"/>
      <c r="B56" s="22"/>
      <c r="C56" s="31"/>
      <c r="D56" s="50" t="s">
        <v>88</v>
      </c>
      <c r="E56" s="13">
        <v>0.02</v>
      </c>
      <c r="F56" s="11">
        <f>F53*E56</f>
        <v>872.67800517098</v>
      </c>
      <c r="G56" s="11">
        <v>2292.36363636364</v>
      </c>
      <c r="H56" s="11">
        <f>H53*E56</f>
        <v>-1310.4356</v>
      </c>
      <c r="I56" s="11">
        <f>I53*E56</f>
        <v>-109.25003119266</v>
      </c>
    </row>
    <row r="57" ht="18" customHeight="1" spans="1:9">
      <c r="A57" s="26" t="s">
        <v>89</v>
      </c>
      <c r="B57" s="27">
        <f>SUM(B53:B56)</f>
        <v>-20851.212032945</v>
      </c>
      <c r="C57" s="31"/>
      <c r="D57" s="32" t="s">
        <v>89</v>
      </c>
      <c r="E57" s="26"/>
      <c r="F57" s="69">
        <f>SUM(F53:F56)</f>
        <v>47997.2902844039</v>
      </c>
      <c r="G57" s="69">
        <v>126080</v>
      </c>
      <c r="H57" s="69">
        <f>SUM(H53:H56)</f>
        <v>-72073.958</v>
      </c>
      <c r="I57" s="28">
        <f>SUM(I53:I56)</f>
        <v>-6118.00174678896</v>
      </c>
    </row>
    <row r="58" ht="18" customHeight="1" spans="3:9">
      <c r="C58" s="2"/>
      <c r="D58" s="74" t="s">
        <v>81</v>
      </c>
      <c r="E58" s="75">
        <v>0.016</v>
      </c>
      <c r="F58" s="74">
        <f>B11*E58</f>
        <v>33198.8657214345</v>
      </c>
      <c r="G58" s="74">
        <f>B7*E58</f>
        <v>22923.6363636364</v>
      </c>
      <c r="H58" s="74"/>
      <c r="I58" s="28">
        <f>G8*E58</f>
        <v>11200</v>
      </c>
    </row>
    <row r="59" ht="18" customHeight="1" spans="3:9">
      <c r="C59" s="2"/>
      <c r="D59" s="11" t="s">
        <v>66</v>
      </c>
      <c r="E59" s="76">
        <v>0.0003</v>
      </c>
      <c r="F59" s="11">
        <f>G11*E59</f>
        <v>682.8</v>
      </c>
      <c r="G59" s="11">
        <f>B50*0.25</f>
        <v>-20851.212032945</v>
      </c>
      <c r="H59" s="11"/>
      <c r="I59" s="11">
        <f>G8*E59</f>
        <v>210</v>
      </c>
    </row>
    <row r="60" ht="18" customHeight="1" spans="3:9">
      <c r="C60" s="2"/>
      <c r="D60" s="11" t="s">
        <v>86</v>
      </c>
      <c r="E60" s="76">
        <v>0.0006</v>
      </c>
      <c r="F60" s="11">
        <f>B11*E60</f>
        <v>1244.95746455379</v>
      </c>
      <c r="G60" s="11"/>
      <c r="H60" s="11"/>
      <c r="I60" s="11">
        <v>0</v>
      </c>
    </row>
    <row r="61" ht="18" customHeight="1" spans="3:9">
      <c r="C61" s="2"/>
      <c r="D61" s="28" t="s">
        <v>89</v>
      </c>
      <c r="E61" s="28"/>
      <c r="F61" s="28">
        <f>SUM(F59:F60)</f>
        <v>1927.75746455379</v>
      </c>
      <c r="G61" s="28"/>
      <c r="H61" s="28"/>
      <c r="I61" s="28">
        <f>SUM(I59:I60)</f>
        <v>210</v>
      </c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</sheetData>
  <protectedRanges>
    <protectedRange sqref="I14" name="区域1"/>
  </protectedRanges>
  <autoFilter ref="A13:O63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2"/>
  <sheetViews>
    <sheetView topLeftCell="A13" workbookViewId="0">
      <selection activeCell="H37" sqref="H37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6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" width="9" style="6"/>
    <col min="17" max="17" width="13.25" style="6" customWidth="1"/>
    <col min="18" max="18" width="9" style="6"/>
    <col min="19" max="19" width="10.625" style="6" customWidth="1"/>
    <col min="20" max="16384" width="9" style="6"/>
  </cols>
  <sheetData>
    <row r="1" ht="21.95" customHeight="1" spans="1:12">
      <c r="A1" s="7" t="s">
        <v>90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43165</v>
      </c>
      <c r="C2" s="11" t="s">
        <v>2</v>
      </c>
      <c r="D2" s="12">
        <v>3941889.73</v>
      </c>
      <c r="E2" s="13" t="s">
        <v>3</v>
      </c>
      <c r="F2" s="12" t="s">
        <v>4</v>
      </c>
      <c r="G2" s="14" t="s">
        <v>5</v>
      </c>
      <c r="H2" s="15" t="s">
        <v>6</v>
      </c>
      <c r="I2" s="51"/>
      <c r="J2" s="52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/>
      <c r="H3" s="17"/>
      <c r="I3" s="53"/>
      <c r="J3" s="17"/>
      <c r="K3" s="17"/>
      <c r="L3" s="17"/>
    </row>
    <row r="4" ht="18" customHeight="1" spans="1:12">
      <c r="A4" s="2" t="s">
        <v>9</v>
      </c>
      <c r="H4" s="17"/>
      <c r="I4" s="53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43439</v>
      </c>
      <c r="B7" s="22">
        <f>G7/(1+C7+E7)</f>
        <v>1432727.27272727</v>
      </c>
      <c r="C7" s="23">
        <v>0.02</v>
      </c>
      <c r="D7" s="24">
        <f>G7/(1+E7+C7)*C7</f>
        <v>28654.5454545455</v>
      </c>
      <c r="E7" s="23">
        <v>0.08</v>
      </c>
      <c r="F7" s="22">
        <f>G7/(1+C7+E7)*E7</f>
        <v>114618.181818182</v>
      </c>
      <c r="G7" s="25">
        <v>1576000</v>
      </c>
      <c r="H7" s="21">
        <v>43441</v>
      </c>
      <c r="I7" s="22">
        <v>1576000</v>
      </c>
      <c r="J7" s="54" t="s">
        <v>21</v>
      </c>
    </row>
    <row r="8" ht="18" customHeight="1" spans="1:10">
      <c r="A8" s="21"/>
      <c r="B8" s="22">
        <f>G8/(1+C8+E8)</f>
        <v>0</v>
      </c>
      <c r="C8" s="23">
        <v>0.02</v>
      </c>
      <c r="D8" s="24">
        <f>G8/(1+E8+C8)*C8</f>
        <v>0</v>
      </c>
      <c r="E8" s="23">
        <v>0.08</v>
      </c>
      <c r="F8" s="22">
        <f>G8/(1+C8+E8)*E8</f>
        <v>0</v>
      </c>
      <c r="G8" s="25"/>
      <c r="H8" s="21"/>
      <c r="I8" s="22"/>
      <c r="J8" s="54"/>
    </row>
    <row r="9" ht="18" customHeight="1" spans="1:10">
      <c r="A9" s="21"/>
      <c r="B9" s="22">
        <f>G9/(1+C9+E9)</f>
        <v>0</v>
      </c>
      <c r="C9" s="23">
        <v>0.02</v>
      </c>
      <c r="D9" s="24">
        <f>G9/(1+E9+C9)*C9</f>
        <v>0</v>
      </c>
      <c r="E9" s="23">
        <v>0.08</v>
      </c>
      <c r="F9" s="22">
        <f>G9/(1+C9+E9)*E9</f>
        <v>0</v>
      </c>
      <c r="G9" s="25"/>
      <c r="H9" s="21"/>
      <c r="I9" s="22"/>
      <c r="J9" s="54"/>
    </row>
    <row r="10" ht="18" customHeight="1" spans="1:10">
      <c r="A10" s="21"/>
      <c r="B10" s="22">
        <f>G10/(1+C10+E10)</f>
        <v>0</v>
      </c>
      <c r="C10" s="23">
        <v>0.02</v>
      </c>
      <c r="D10" s="24">
        <f>G10/(1+E10+C10)*C10</f>
        <v>0</v>
      </c>
      <c r="E10" s="23">
        <v>0.08</v>
      </c>
      <c r="F10" s="22">
        <f>G10/(1+C10+E10)*E10</f>
        <v>0</v>
      </c>
      <c r="G10" s="25"/>
      <c r="H10" s="21"/>
      <c r="I10" s="22"/>
      <c r="J10" s="54"/>
    </row>
    <row r="11" ht="18" customHeight="1" spans="1:10">
      <c r="A11" s="26" t="s">
        <v>23</v>
      </c>
      <c r="B11" s="27">
        <f>SUM(B7:B10)</f>
        <v>1432727.27272727</v>
      </c>
      <c r="C11" s="28"/>
      <c r="D11" s="29">
        <f>SUM(D7:D10)</f>
        <v>28654.5454545455</v>
      </c>
      <c r="E11" s="28"/>
      <c r="F11" s="30">
        <f>SUM(F7:F10)</f>
        <v>114618.181818182</v>
      </c>
      <c r="G11" s="29">
        <f>SUM(G7:G10)</f>
        <v>1576000</v>
      </c>
      <c r="H11" s="31"/>
      <c r="I11" s="29">
        <f>SUM(I7:I10)</f>
        <v>1576000</v>
      </c>
      <c r="J11" s="31"/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2" t="s">
        <v>25</v>
      </c>
      <c r="B13" s="19" t="s">
        <v>26</v>
      </c>
      <c r="C13" s="18" t="s">
        <v>27</v>
      </c>
      <c r="D13" s="18" t="s">
        <v>28</v>
      </c>
      <c r="E13" s="18" t="s">
        <v>16</v>
      </c>
      <c r="F13" s="19" t="s">
        <v>29</v>
      </c>
      <c r="G13" s="19" t="s">
        <v>14</v>
      </c>
      <c r="H13" s="18" t="s">
        <v>30</v>
      </c>
      <c r="I13" s="19" t="s">
        <v>31</v>
      </c>
      <c r="J13" s="18" t="s">
        <v>20</v>
      </c>
      <c r="K13" s="55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</row>
    <row r="14" s="1" customFormat="1" ht="18" customHeight="1" spans="1:15">
      <c r="A14" s="33">
        <v>43435</v>
      </c>
      <c r="B14" s="16">
        <f>ROUND(G14/(1+E14),2)</f>
        <v>700000</v>
      </c>
      <c r="C14" s="34"/>
      <c r="D14" s="35" t="s">
        <v>37</v>
      </c>
      <c r="E14" s="36"/>
      <c r="F14" s="16">
        <f>ROUND(G14/(1+E14)*E14,2)</f>
        <v>0</v>
      </c>
      <c r="G14" s="25">
        <v>700000</v>
      </c>
      <c r="H14" s="21">
        <v>43448</v>
      </c>
      <c r="I14" s="56">
        <v>388597</v>
      </c>
      <c r="J14" s="54" t="s">
        <v>21</v>
      </c>
      <c r="K14" s="57" t="s">
        <v>38</v>
      </c>
      <c r="L14" s="58" t="s">
        <v>39</v>
      </c>
      <c r="M14" s="59"/>
      <c r="N14" s="59"/>
      <c r="O14" s="58"/>
    </row>
    <row r="15" ht="18" customHeight="1" spans="1:15">
      <c r="A15" s="37">
        <v>43435</v>
      </c>
      <c r="B15" s="22">
        <f t="shared" ref="B15:B31" si="0">ROUND(G15/(1+E15),2)</f>
        <v>409511.12</v>
      </c>
      <c r="C15" s="38"/>
      <c r="D15" s="39" t="s">
        <v>40</v>
      </c>
      <c r="E15" s="40">
        <v>0.16</v>
      </c>
      <c r="F15" s="22">
        <f t="shared" ref="F15:F31" si="1">ROUND(G15/(1+E15)*E15,2)</f>
        <v>65521.78</v>
      </c>
      <c r="G15" s="41">
        <v>475032.9</v>
      </c>
      <c r="H15" s="21">
        <v>43446</v>
      </c>
      <c r="I15" s="22">
        <v>850000</v>
      </c>
      <c r="J15" s="54" t="s">
        <v>21</v>
      </c>
      <c r="K15" s="60" t="s">
        <v>41</v>
      </c>
      <c r="L15" s="31" t="s">
        <v>42</v>
      </c>
      <c r="M15" s="54"/>
      <c r="N15" s="54"/>
      <c r="O15" s="31"/>
    </row>
    <row r="16" s="1" customFormat="1" ht="18" customHeight="1" spans="1:15">
      <c r="A16" s="33"/>
      <c r="B16" s="16">
        <f t="shared" si="0"/>
        <v>0</v>
      </c>
      <c r="C16" s="34"/>
      <c r="D16" s="35"/>
      <c r="E16" s="36"/>
      <c r="F16" s="16">
        <f t="shared" si="1"/>
        <v>0</v>
      </c>
      <c r="G16" s="25"/>
      <c r="H16" s="21">
        <v>43469</v>
      </c>
      <c r="I16" s="22">
        <v>991.8</v>
      </c>
      <c r="J16" s="54" t="s">
        <v>21</v>
      </c>
      <c r="K16" s="57" t="s">
        <v>41</v>
      </c>
      <c r="L16" s="58" t="s">
        <v>42</v>
      </c>
      <c r="M16" s="59"/>
      <c r="N16" s="59"/>
      <c r="O16" s="58"/>
    </row>
    <row r="17" ht="18" customHeight="1" spans="1:15">
      <c r="A17" s="37">
        <v>43435</v>
      </c>
      <c r="B17" s="22">
        <f t="shared" si="0"/>
        <v>269000</v>
      </c>
      <c r="C17" s="38"/>
      <c r="D17" s="39" t="s">
        <v>37</v>
      </c>
      <c r="E17" s="40"/>
      <c r="F17" s="22">
        <f t="shared" si="1"/>
        <v>0</v>
      </c>
      <c r="G17" s="41">
        <v>269000</v>
      </c>
      <c r="H17" s="21">
        <v>43476</v>
      </c>
      <c r="I17" s="22">
        <v>223461.2</v>
      </c>
      <c r="J17" s="54" t="s">
        <v>21</v>
      </c>
      <c r="K17" s="60" t="s">
        <v>38</v>
      </c>
      <c r="L17" s="31" t="s">
        <v>39</v>
      </c>
      <c r="M17" s="54"/>
      <c r="N17" s="54"/>
      <c r="O17" s="31"/>
    </row>
    <row r="18" s="1" customFormat="1" ht="18" customHeight="1" spans="1:15">
      <c r="A18" s="33"/>
      <c r="B18" s="16">
        <f t="shared" si="0"/>
        <v>0</v>
      </c>
      <c r="C18" s="34"/>
      <c r="D18" s="35"/>
      <c r="E18" s="36"/>
      <c r="F18" s="16">
        <f t="shared" si="1"/>
        <v>0</v>
      </c>
      <c r="G18" s="25"/>
      <c r="H18" s="21"/>
      <c r="I18" s="22"/>
      <c r="J18" s="54"/>
      <c r="K18" s="57"/>
      <c r="L18" s="58"/>
      <c r="M18" s="59"/>
      <c r="N18" s="59"/>
      <c r="O18" s="58"/>
    </row>
    <row r="19" s="1" customFormat="1" ht="18" customHeight="1" spans="1:15">
      <c r="A19" s="33"/>
      <c r="B19" s="16">
        <f t="shared" si="0"/>
        <v>0</v>
      </c>
      <c r="C19" s="34"/>
      <c r="D19" s="35"/>
      <c r="E19" s="36"/>
      <c r="F19" s="16">
        <f t="shared" si="1"/>
        <v>0</v>
      </c>
      <c r="G19" s="25"/>
      <c r="H19" s="21"/>
      <c r="I19" s="22"/>
      <c r="J19" s="54"/>
      <c r="K19" s="57"/>
      <c r="L19" s="58"/>
      <c r="M19" s="59"/>
      <c r="N19" s="59"/>
      <c r="O19" s="58"/>
    </row>
    <row r="20" s="1" customFormat="1" ht="18" customHeight="1" spans="1:15">
      <c r="A20" s="33"/>
      <c r="B20" s="16">
        <f t="shared" si="0"/>
        <v>0</v>
      </c>
      <c r="C20" s="34"/>
      <c r="D20" s="35"/>
      <c r="E20" s="36"/>
      <c r="F20" s="16">
        <f t="shared" si="1"/>
        <v>0</v>
      </c>
      <c r="G20" s="25"/>
      <c r="H20" s="21"/>
      <c r="I20" s="22"/>
      <c r="J20" s="54"/>
      <c r="K20" s="57"/>
      <c r="L20" s="58"/>
      <c r="M20" s="59"/>
      <c r="N20" s="59"/>
      <c r="O20" s="58"/>
    </row>
    <row r="21" s="1" customFormat="1" ht="18" customHeight="1" spans="1:15">
      <c r="A21" s="33"/>
      <c r="B21" s="16">
        <f t="shared" si="0"/>
        <v>0</v>
      </c>
      <c r="C21" s="34"/>
      <c r="D21" s="35"/>
      <c r="E21" s="36"/>
      <c r="F21" s="16">
        <f t="shared" si="1"/>
        <v>0</v>
      </c>
      <c r="G21" s="25"/>
      <c r="H21" s="21"/>
      <c r="I21" s="22"/>
      <c r="J21" s="54"/>
      <c r="K21" s="57"/>
      <c r="L21" s="58"/>
      <c r="M21" s="59"/>
      <c r="N21" s="59"/>
      <c r="O21" s="58"/>
    </row>
    <row r="22" s="1" customFormat="1" ht="18" customHeight="1" spans="1:15">
      <c r="A22" s="33"/>
      <c r="B22" s="16">
        <f t="shared" si="0"/>
        <v>0</v>
      </c>
      <c r="C22" s="34"/>
      <c r="D22" s="35"/>
      <c r="E22" s="36"/>
      <c r="F22" s="16">
        <f t="shared" si="1"/>
        <v>0</v>
      </c>
      <c r="G22" s="25"/>
      <c r="H22" s="21"/>
      <c r="I22" s="22"/>
      <c r="J22" s="54"/>
      <c r="K22" s="57"/>
      <c r="L22" s="58"/>
      <c r="M22" s="59"/>
      <c r="N22" s="59"/>
      <c r="O22" s="58"/>
    </row>
    <row r="23" s="1" customFormat="1" ht="18" customHeight="1" spans="1:15">
      <c r="A23" s="33"/>
      <c r="B23" s="16">
        <f t="shared" si="0"/>
        <v>0</v>
      </c>
      <c r="C23" s="34"/>
      <c r="D23" s="35"/>
      <c r="E23" s="36"/>
      <c r="F23" s="16">
        <f t="shared" si="1"/>
        <v>0</v>
      </c>
      <c r="G23" s="25"/>
      <c r="H23" s="21"/>
      <c r="I23" s="22"/>
      <c r="J23" s="54"/>
      <c r="K23" s="57"/>
      <c r="L23" s="58"/>
      <c r="M23" s="59"/>
      <c r="N23" s="59"/>
      <c r="O23" s="58"/>
    </row>
    <row r="24" s="1" customFormat="1" ht="18" customHeight="1" spans="1:15">
      <c r="A24" s="33"/>
      <c r="B24" s="16">
        <f t="shared" si="0"/>
        <v>0</v>
      </c>
      <c r="C24" s="34"/>
      <c r="D24" s="35"/>
      <c r="E24" s="36"/>
      <c r="F24" s="16">
        <f t="shared" si="1"/>
        <v>0</v>
      </c>
      <c r="G24" s="25"/>
      <c r="H24" s="21"/>
      <c r="I24" s="22"/>
      <c r="J24" s="54"/>
      <c r="K24" s="57"/>
      <c r="L24" s="58"/>
      <c r="M24" s="59"/>
      <c r="N24" s="59"/>
      <c r="O24" s="58"/>
    </row>
    <row r="25" s="1" customFormat="1" ht="18" customHeight="1" spans="1:15">
      <c r="A25" s="33"/>
      <c r="B25" s="16">
        <f t="shared" si="0"/>
        <v>0</v>
      </c>
      <c r="C25" s="34"/>
      <c r="D25" s="35"/>
      <c r="E25" s="36"/>
      <c r="F25" s="16">
        <f t="shared" si="1"/>
        <v>0</v>
      </c>
      <c r="G25" s="25"/>
      <c r="H25" s="21"/>
      <c r="I25" s="22">
        <v>-152379</v>
      </c>
      <c r="J25" s="54" t="s">
        <v>67</v>
      </c>
      <c r="K25" s="57" t="s">
        <v>68</v>
      </c>
      <c r="L25" s="58"/>
      <c r="M25" s="59"/>
      <c r="N25" s="59"/>
      <c r="O25" s="58"/>
    </row>
    <row r="26" s="1" customFormat="1" ht="18" customHeight="1" spans="1:15">
      <c r="A26" s="33"/>
      <c r="B26" s="16">
        <f t="shared" si="0"/>
        <v>0</v>
      </c>
      <c r="C26" s="34"/>
      <c r="D26" s="35"/>
      <c r="E26" s="36"/>
      <c r="F26" s="16">
        <f t="shared" si="1"/>
        <v>0</v>
      </c>
      <c r="G26" s="25"/>
      <c r="H26" s="21"/>
      <c r="I26" s="22">
        <v>-72074</v>
      </c>
      <c r="J26" s="54" t="s">
        <v>67</v>
      </c>
      <c r="K26" s="57" t="s">
        <v>69</v>
      </c>
      <c r="L26" s="58"/>
      <c r="M26" s="59"/>
      <c r="N26" s="59"/>
      <c r="O26" s="58"/>
    </row>
    <row r="27" s="1" customFormat="1" ht="18" customHeight="1" spans="1:15">
      <c r="A27" s="33"/>
      <c r="B27" s="16">
        <f t="shared" si="0"/>
        <v>0</v>
      </c>
      <c r="C27" s="34"/>
      <c r="D27" s="35"/>
      <c r="E27" s="36"/>
      <c r="F27" s="16">
        <f t="shared" si="1"/>
        <v>0</v>
      </c>
      <c r="G27" s="25"/>
      <c r="H27" s="21"/>
      <c r="I27" s="22">
        <v>22924</v>
      </c>
      <c r="J27" s="54" t="s">
        <v>59</v>
      </c>
      <c r="K27" s="57" t="s">
        <v>65</v>
      </c>
      <c r="L27" s="58"/>
      <c r="M27" s="59"/>
      <c r="N27" s="59"/>
      <c r="O27" s="58"/>
    </row>
    <row r="28" s="1" customFormat="1" ht="18" customHeight="1" spans="1:15">
      <c r="A28" s="33"/>
      <c r="B28" s="16">
        <f t="shared" si="0"/>
        <v>0</v>
      </c>
      <c r="C28" s="34"/>
      <c r="D28" s="35"/>
      <c r="E28" s="36"/>
      <c r="F28" s="16">
        <f t="shared" si="1"/>
        <v>0</v>
      </c>
      <c r="G28" s="25"/>
      <c r="H28" s="21"/>
      <c r="I28" s="22">
        <v>152379</v>
      </c>
      <c r="J28" s="54" t="s">
        <v>70</v>
      </c>
      <c r="K28" s="57" t="s">
        <v>68</v>
      </c>
      <c r="L28" s="58"/>
      <c r="M28" s="59"/>
      <c r="N28" s="59"/>
      <c r="O28" s="58"/>
    </row>
    <row r="29" s="1" customFormat="1" ht="18" customHeight="1" spans="1:15">
      <c r="A29" s="33"/>
      <c r="B29" s="16">
        <f t="shared" si="0"/>
        <v>0</v>
      </c>
      <c r="C29" s="34"/>
      <c r="D29" s="35"/>
      <c r="E29" s="36"/>
      <c r="F29" s="16">
        <f t="shared" si="1"/>
        <v>0</v>
      </c>
      <c r="G29" s="25"/>
      <c r="H29" s="21"/>
      <c r="I29" s="22">
        <v>126080</v>
      </c>
      <c r="J29" s="54" t="s">
        <v>59</v>
      </c>
      <c r="K29" s="57" t="s">
        <v>69</v>
      </c>
      <c r="L29" s="58"/>
      <c r="M29" s="59"/>
      <c r="N29" s="59"/>
      <c r="O29" s="58"/>
    </row>
    <row r="30" s="1" customFormat="1" ht="18" customHeight="1" spans="1:15">
      <c r="A30" s="33"/>
      <c r="B30" s="16">
        <f t="shared" si="0"/>
        <v>0</v>
      </c>
      <c r="C30" s="34"/>
      <c r="D30" s="35"/>
      <c r="E30" s="36"/>
      <c r="F30" s="16">
        <f t="shared" si="1"/>
        <v>0</v>
      </c>
      <c r="G30" s="25"/>
      <c r="H30" s="21"/>
      <c r="I30" s="22">
        <v>4500</v>
      </c>
      <c r="J30" s="54" t="s">
        <v>59</v>
      </c>
      <c r="K30" s="57" t="s">
        <v>71</v>
      </c>
      <c r="L30" s="58"/>
      <c r="M30" s="59"/>
      <c r="N30" s="59"/>
      <c r="O30" s="58"/>
    </row>
    <row r="31" s="1" customFormat="1" ht="18" customHeight="1" spans="1:15">
      <c r="A31" s="33"/>
      <c r="B31" s="16">
        <f t="shared" si="0"/>
        <v>31520</v>
      </c>
      <c r="C31" s="34"/>
      <c r="D31" s="35"/>
      <c r="E31" s="36"/>
      <c r="F31" s="16">
        <f t="shared" si="1"/>
        <v>0</v>
      </c>
      <c r="G31" s="25">
        <f>31520</f>
        <v>31520</v>
      </c>
      <c r="H31" s="21"/>
      <c r="I31" s="22">
        <f>G31</f>
        <v>31520</v>
      </c>
      <c r="J31" s="54" t="s">
        <v>59</v>
      </c>
      <c r="K31" s="57" t="s">
        <v>64</v>
      </c>
      <c r="L31" s="58"/>
      <c r="M31" s="59"/>
      <c r="N31" s="59"/>
      <c r="O31" s="58"/>
    </row>
    <row r="32" ht="18" customHeight="1" spans="1:15">
      <c r="A32" s="28" t="s">
        <v>23</v>
      </c>
      <c r="B32" s="27">
        <f>SUM(B14:B31)</f>
        <v>1410031.12</v>
      </c>
      <c r="C32" s="28"/>
      <c r="D32" s="42"/>
      <c r="E32" s="42"/>
      <c r="F32" s="30">
        <f>SUM(F14:F31)</f>
        <v>65521.78</v>
      </c>
      <c r="G32" s="43">
        <f>SUM(G14:G31)</f>
        <v>1475552.9</v>
      </c>
      <c r="H32" s="44"/>
      <c r="I32" s="29">
        <f>SUM(I14:I31)</f>
        <v>1576000</v>
      </c>
      <c r="J32" s="61"/>
      <c r="K32" s="42"/>
      <c r="L32" s="31"/>
      <c r="M32" s="54"/>
      <c r="N32" s="54"/>
      <c r="O32" s="31"/>
    </row>
    <row r="33" ht="18" customHeight="1" spans="1:19">
      <c r="A33" s="45" t="s">
        <v>72</v>
      </c>
      <c r="B33" s="46">
        <f>B11*0.984</f>
        <v>1409803.63636364</v>
      </c>
      <c r="C33" s="45"/>
      <c r="D33" s="47"/>
      <c r="E33" s="47"/>
      <c r="F33" s="46"/>
      <c r="G33" s="46">
        <f>G11-G32</f>
        <v>100447.1</v>
      </c>
      <c r="H33" s="20" t="s">
        <v>73</v>
      </c>
      <c r="I33" s="29">
        <f>I11-I32</f>
        <v>0</v>
      </c>
      <c r="J33" s="6"/>
      <c r="K33" s="62"/>
      <c r="M33" s="63"/>
      <c r="N33" s="63"/>
      <c r="Q33" s="1"/>
      <c r="R33" s="1"/>
      <c r="S33" s="1"/>
    </row>
    <row r="34" ht="18" customHeight="1" spans="1:14">
      <c r="A34" s="45" t="s">
        <v>74</v>
      </c>
      <c r="B34" s="46">
        <f>B33-B32</f>
        <v>-227.483636363875</v>
      </c>
      <c r="C34" s="45"/>
      <c r="D34" s="47"/>
      <c r="E34" s="47"/>
      <c r="F34" s="46"/>
      <c r="G34" s="46"/>
      <c r="H34" s="48"/>
      <c r="I34" s="46"/>
      <c r="J34" s="6"/>
      <c r="K34" s="62"/>
      <c r="M34" s="63"/>
      <c r="N34" s="63"/>
    </row>
    <row r="35" ht="18" customHeight="1" spans="1:17">
      <c r="A35" s="2" t="s">
        <v>75</v>
      </c>
      <c r="C35" s="2"/>
      <c r="Q35" s="46"/>
    </row>
    <row r="36" ht="18" customHeight="1" spans="1:8">
      <c r="A36" s="20" t="s">
        <v>76</v>
      </c>
      <c r="B36" s="19" t="s">
        <v>77</v>
      </c>
      <c r="C36" s="31"/>
      <c r="D36" s="20" t="s">
        <v>76</v>
      </c>
      <c r="E36" s="18" t="s">
        <v>16</v>
      </c>
      <c r="F36" s="19" t="s">
        <v>77</v>
      </c>
      <c r="G36" s="19" t="s">
        <v>78</v>
      </c>
      <c r="H36" s="19" t="s">
        <v>79</v>
      </c>
    </row>
    <row r="37" ht="18" customHeight="1" spans="1:9">
      <c r="A37" s="31" t="s">
        <v>81</v>
      </c>
      <c r="B37" s="16">
        <f>(B33-B32)*0.25</f>
        <v>-56.8709090909688</v>
      </c>
      <c r="C37" s="31"/>
      <c r="D37" s="26" t="s">
        <v>82</v>
      </c>
      <c r="E37" s="20" t="s">
        <v>83</v>
      </c>
      <c r="F37" s="30">
        <f>F11-F32</f>
        <v>49096.4018181818</v>
      </c>
      <c r="G37" s="30">
        <v>114618.181818182</v>
      </c>
      <c r="H37" s="30">
        <v>-65521.78</v>
      </c>
      <c r="I37" s="3">
        <f>G37-H37</f>
        <v>180139.961818182</v>
      </c>
    </row>
    <row r="38" ht="18" customHeight="1" spans="1:8">
      <c r="A38" s="31" t="s">
        <v>66</v>
      </c>
      <c r="B38" s="49" t="s">
        <v>84</v>
      </c>
      <c r="C38" s="31"/>
      <c r="D38" s="50" t="s">
        <v>85</v>
      </c>
      <c r="E38" s="13">
        <v>0.05</v>
      </c>
      <c r="F38" s="22">
        <f>F37*E38</f>
        <v>2454.82009090909</v>
      </c>
      <c r="G38" s="22">
        <v>5730.90909090909</v>
      </c>
      <c r="H38" s="22">
        <f>H37*E38</f>
        <v>-3276.089</v>
      </c>
    </row>
    <row r="39" ht="18" customHeight="1" spans="1:8">
      <c r="A39" s="31" t="s">
        <v>86</v>
      </c>
      <c r="B39" s="49" t="s">
        <v>84</v>
      </c>
      <c r="C39" s="31"/>
      <c r="D39" s="50" t="s">
        <v>87</v>
      </c>
      <c r="E39" s="13">
        <v>0.03</v>
      </c>
      <c r="F39" s="22">
        <f>F37*E39</f>
        <v>1472.89205454545</v>
      </c>
      <c r="G39" s="22">
        <v>3438.54545454545</v>
      </c>
      <c r="H39" s="22">
        <f>H37*E39</f>
        <v>-1965.6534</v>
      </c>
    </row>
    <row r="40" ht="18" customHeight="1" spans="1:8">
      <c r="A40" s="31"/>
      <c r="B40" s="22"/>
      <c r="C40" s="31"/>
      <c r="D40" s="50" t="s">
        <v>88</v>
      </c>
      <c r="E40" s="13">
        <v>0.02</v>
      </c>
      <c r="F40" s="22">
        <f>F37*E40</f>
        <v>981.928036363636</v>
      </c>
      <c r="G40" s="22">
        <v>2292.36363636364</v>
      </c>
      <c r="H40" s="22">
        <f>H37*E40</f>
        <v>-1310.4356</v>
      </c>
    </row>
    <row r="41" ht="18" customHeight="1" spans="1:8">
      <c r="A41" s="26" t="s">
        <v>89</v>
      </c>
      <c r="B41" s="27">
        <f>SUM(B37:B40)</f>
        <v>-56.8709090909688</v>
      </c>
      <c r="C41" s="31"/>
      <c r="D41" s="32" t="s">
        <v>89</v>
      </c>
      <c r="E41" s="26"/>
      <c r="F41" s="30">
        <f>SUM(F37:F40)</f>
        <v>54006.042</v>
      </c>
      <c r="G41" s="30">
        <v>126080</v>
      </c>
      <c r="H41" s="30">
        <f>SUM(H37:H40)</f>
        <v>-72073.958</v>
      </c>
    </row>
    <row r="42" ht="18" customHeight="1" spans="3:8">
      <c r="C42" s="2"/>
      <c r="D42" s="18" t="s">
        <v>23</v>
      </c>
      <c r="E42" s="28"/>
      <c r="F42" s="29">
        <f>F41</f>
        <v>54006.042</v>
      </c>
      <c r="G42" s="29">
        <v>126080</v>
      </c>
      <c r="H42" s="29">
        <f>H41</f>
        <v>-72073.958</v>
      </c>
    </row>
    <row r="43" ht="18" customHeight="1" spans="3:8">
      <c r="C43" s="2"/>
      <c r="D43" s="28" t="s">
        <v>81</v>
      </c>
      <c r="E43" s="42">
        <v>0.016</v>
      </c>
      <c r="F43" s="29">
        <f>B11*E43</f>
        <v>22923.6363636364</v>
      </c>
      <c r="G43" s="29">
        <f>B7*E43</f>
        <v>22923.6363636364</v>
      </c>
      <c r="H43" s="29"/>
    </row>
    <row r="44" ht="18" customHeight="1" spans="3:7">
      <c r="C44" s="2"/>
      <c r="G44" s="3">
        <f>B34*0.25</f>
        <v>-56.8709090909688</v>
      </c>
    </row>
    <row r="45" ht="18" customHeight="1" spans="3:3">
      <c r="C45" s="2"/>
    </row>
    <row r="46" ht="18" customHeight="1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</sheetData>
  <protectedRanges>
    <protectedRange password="CF54" sqref="I14" name="区域1"/>
  </protectedRanges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区域1" rangeCreator="" othersAccessPermission="edit"/>
  </rangeList>
  <rangeList sheetStid="4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2022-04-08T03:03:57Z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CC836AF7F9B742E4AE599CAE2FEA097E</vt:lpwstr>
  </property>
  <property fmtid="{D5CDD505-2E9C-101B-9397-08002B2CF9AE}" pid="3" name="KSOProductBuildVer">
    <vt:lpwstr>2052-11.1.0.11365</vt:lpwstr>
  </property>
</Properties>
</file>