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6" r:id="rId1"/>
    <sheet name="旧" sheetId="4" r:id="rId2"/>
  </sheets>
  <definedNames>
    <definedName name="_xlnm._FilterDatabase" localSheetId="0" hidden="1">新!$A$14:$O$190</definedName>
    <definedName name="_xlnm._FilterDatabase" localSheetId="1" hidden="1">旧!$A$14:$O$171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8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8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K18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2020.5.14开票税金，吴总同意在后期工程款中扣除及利息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6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<sst xmlns="http://schemas.openxmlformats.org/spreadsheetml/2006/main" count="1100" uniqueCount="165">
  <si>
    <t>C9307  亳药花海休闲观光大世界项目二期交通建设工程一标段</t>
  </si>
  <si>
    <t>中标日期</t>
  </si>
  <si>
    <t>中标价</t>
  </si>
  <si>
    <t>负责人</t>
  </si>
  <si>
    <t>李甲渠</t>
  </si>
  <si>
    <t>建设单位</t>
  </si>
  <si>
    <t>亳州市谯城区交通运输局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</si>
  <si>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</si>
  <si>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</si>
  <si>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</si>
  <si>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</si>
  <si>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</si>
  <si>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</si>
  <si>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</si>
  <si>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</si>
  <si>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</si>
  <si>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</si>
  <si>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</si>
  <si>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</si>
  <si>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</si>
  <si>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</si>
  <si>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</si>
  <si>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</si>
  <si>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</si>
  <si>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</si>
  <si>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</si>
  <si>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</si>
  <si>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</si>
  <si>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</si>
  <si>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</si>
  <si>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</si>
  <si>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</si>
  <si>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</si>
  <si>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</si>
  <si>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</si>
  <si>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</si>
  <si>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</si>
  <si>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</t>
  </si>
  <si>
    <t>亳州市药都项目管理有限公司</t>
  </si>
  <si>
    <t>代理费</t>
  </si>
  <si>
    <t>徽</t>
  </si>
  <si>
    <t>代付材料款</t>
  </si>
  <si>
    <t>淮北相丰水泥有限责任公司</t>
  </si>
  <si>
    <t>水泥</t>
  </si>
  <si>
    <t>安徽省百业兴贸易有限公司</t>
  </si>
  <si>
    <t>有</t>
  </si>
  <si>
    <t>淮北市天助新型建材有限公司临涣分公司</t>
  </si>
  <si>
    <t>亳州市谯城区新维沥青混凝土有限公司</t>
  </si>
  <si>
    <t>沥青</t>
  </si>
  <si>
    <t>中国石化销售有限公司安徽合肥石油分公司</t>
  </si>
  <si>
    <t>油卡充值</t>
  </si>
  <si>
    <t>冠县伟通交通设施有限公司</t>
  </si>
  <si>
    <t>护栏/标志牌等</t>
  </si>
  <si>
    <t>山东冠县神帮交通设施有限公司</t>
  </si>
  <si>
    <t>交通安全设施</t>
  </si>
  <si>
    <t>商丘市顺风商贸有限公司</t>
  </si>
  <si>
    <t>亳州正鑫水泥有限责任公司</t>
  </si>
  <si>
    <t>商丘万顷建材销售有限公司</t>
  </si>
  <si>
    <t>已办理结清证明</t>
  </si>
  <si>
    <t>商丘途顺建材有限公司</t>
  </si>
  <si>
    <t>水稳</t>
  </si>
  <si>
    <t>蒙城县远征水泥制品有限公司</t>
  </si>
  <si>
    <t>合同金额514800</t>
  </si>
  <si>
    <t>商丘市瑞茂升实业有限公司</t>
  </si>
  <si>
    <t>钢筋</t>
  </si>
  <si>
    <t>衡水祥鑫预应力锚具有限公司</t>
  </si>
  <si>
    <t>桥梁支座定金</t>
  </si>
  <si>
    <t>普</t>
  </si>
  <si>
    <t>安徽省七星工程测试有限公司</t>
  </si>
  <si>
    <t>试验费</t>
  </si>
  <si>
    <t>浙江兄弟路标涂料有限公司</t>
  </si>
  <si>
    <t>涂料</t>
  </si>
  <si>
    <t>普代</t>
  </si>
  <si>
    <t>池清</t>
  </si>
  <si>
    <t>劳务费</t>
  </si>
  <si>
    <t>王志侠</t>
  </si>
  <si>
    <t>石子、砂子</t>
  </si>
  <si>
    <t>结清证明已经办理</t>
  </si>
  <si>
    <t>杨庆侠</t>
  </si>
  <si>
    <t>机械费</t>
  </si>
  <si>
    <t>王枭</t>
  </si>
  <si>
    <t>安全生产费</t>
  </si>
  <si>
    <t>徽行</t>
  </si>
  <si>
    <t>材料款</t>
  </si>
  <si>
    <t>安平县美飞金属丝网制品有限公司</t>
  </si>
  <si>
    <t>护栏</t>
  </si>
  <si>
    <t>桥梁支座</t>
  </si>
  <si>
    <t>青岛建通工程招标咨询有限公司亳州分公司</t>
  </si>
  <si>
    <t>清单编制费</t>
  </si>
  <si>
    <t>沥青混凝土</t>
  </si>
  <si>
    <t>护栏立柱</t>
  </si>
  <si>
    <t>剩余2157已办理结清证明</t>
  </si>
  <si>
    <t>亳州众国宝祥汽车销售服务有限公司</t>
  </si>
  <si>
    <t>维修费</t>
  </si>
  <si>
    <t xml:space="preserve"> 张姣姣</t>
  </si>
  <si>
    <t>石子</t>
  </si>
  <si>
    <t>结清证明已办理</t>
  </si>
  <si>
    <t>崔文博</t>
  </si>
  <si>
    <t>安徽省建筑工程质量第二监督检测站</t>
  </si>
  <si>
    <t>安徽银石酒店管理有限公司</t>
  </si>
  <si>
    <t>住宿费</t>
  </si>
  <si>
    <t>安徽荣景工程设计咨询有限公司</t>
  </si>
  <si>
    <t>设计费</t>
  </si>
  <si>
    <t>亳州市公路路桥工程有限责任公司</t>
  </si>
  <si>
    <t>工程服务</t>
  </si>
  <si>
    <t>江苏益诚建设工程咨询有限公司</t>
  </si>
  <si>
    <t>工程造价咨询</t>
  </si>
  <si>
    <t>王冰川</t>
  </si>
  <si>
    <t>沙子</t>
  </si>
  <si>
    <t>票暂未开</t>
  </si>
  <si>
    <t>2018-6-</t>
  </si>
  <si>
    <t>油费退回</t>
  </si>
  <si>
    <t>潘梦醒</t>
  </si>
  <si>
    <t>碎石</t>
  </si>
  <si>
    <t>9307-2021-021#（2021-480号）-80000</t>
  </si>
  <si>
    <t>韩田田</t>
  </si>
  <si>
    <t>9307-2021-019#（2021-478号）-78400</t>
  </si>
  <si>
    <t>韩玉梅</t>
  </si>
  <si>
    <t>9307-2021-020#（2021-479号）-81600</t>
  </si>
  <si>
    <t>程杰</t>
  </si>
  <si>
    <t>9307-2021-018#-80000</t>
  </si>
  <si>
    <t>张焕</t>
  </si>
  <si>
    <t>黄沙</t>
  </si>
  <si>
    <t>9307-2021-025#（2021-484号）-81600</t>
  </si>
  <si>
    <t>孟祥虎</t>
  </si>
  <si>
    <t>9307-2021-022#（2021-481号）-78400</t>
  </si>
  <si>
    <t>邵光闪</t>
  </si>
  <si>
    <t>9307-2021-023#（2021-482号）-80000</t>
  </si>
  <si>
    <t>张帆</t>
  </si>
  <si>
    <t>9307-2021-024#（2021-483号）-80000</t>
  </si>
  <si>
    <t>4次</t>
  </si>
  <si>
    <t>扣</t>
  </si>
  <si>
    <t>增值税及附加</t>
  </si>
  <si>
    <t>企税1.6%</t>
  </si>
  <si>
    <t>2次</t>
  </si>
  <si>
    <t>外经证</t>
  </si>
  <si>
    <t>1次</t>
  </si>
  <si>
    <t>其他费用</t>
  </si>
  <si>
    <t>1-2次</t>
  </si>
  <si>
    <t>退</t>
  </si>
  <si>
    <t>多扣18年6月份的增值税及附加 365353-316407</t>
  </si>
  <si>
    <t>1-4次</t>
  </si>
  <si>
    <t>管理费</t>
  </si>
  <si>
    <t>可支付金额</t>
  </si>
  <si>
    <t>公司代缴税金：</t>
  </si>
  <si>
    <t>税种</t>
  </si>
  <si>
    <t>税额</t>
  </si>
  <si>
    <t>18年6月开票扣税</t>
  </si>
  <si>
    <t>18年9月开票扣税</t>
  </si>
  <si>
    <t>18年12月开票扣税</t>
  </si>
  <si>
    <t>2020年5月份开票扣税</t>
  </si>
  <si>
    <t>企业所得税</t>
  </si>
  <si>
    <t>增值税</t>
  </si>
  <si>
    <t>差额</t>
  </si>
  <si>
    <t>印花税</t>
  </si>
  <si>
    <t>——</t>
  </si>
  <si>
    <t>城市维护建设税</t>
  </si>
  <si>
    <t>水利基金</t>
  </si>
  <si>
    <t>教育费附加</t>
  </si>
  <si>
    <t>地方教育费附加</t>
  </si>
  <si>
    <t>小计</t>
  </si>
  <si>
    <t>1.6%</t>
  </si>
  <si>
    <t>补扣企业所得税（总算）</t>
  </si>
  <si>
    <t>亳药花海休闲观光大世界项目二期交通建设工程一标段</t>
  </si>
  <si>
    <t>6月成本</t>
  </si>
</sst>
</file>

<file path=xl/styles.xml><?xml version="1.0" encoding="utf-8"?>
<styleSheet xmlns="http://schemas.openxmlformats.org/spreadsheetml/2006/main">
  <numFmts count="9"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/m/d;@"/>
    <numFmt numFmtId="178" formatCode="#,##0.00_ "/>
    <numFmt numFmtId="179" formatCode="#,##0_ "/>
    <numFmt numFmtId="180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5" fillId="5" borderId="2" xfId="1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78" fontId="2" fillId="4" borderId="2" xfId="0" applyNumberFormat="1" applyFont="1" applyFill="1" applyBorder="1" applyAlignment="1">
      <alignment vertical="center"/>
    </xf>
    <xf numFmtId="180" fontId="2" fillId="4" borderId="2" xfId="0" applyNumberFormat="1" applyFont="1" applyFill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80" fontId="4" fillId="0" borderId="5" xfId="0" applyNumberFormat="1" applyFont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1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2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80" fontId="2" fillId="4" borderId="2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2" fillId="6" borderId="2" xfId="0" applyNumberFormat="1" applyFont="1" applyFill="1" applyBorder="1" applyAlignment="1">
      <alignment vertical="center"/>
    </xf>
    <xf numFmtId="179" fontId="2" fillId="6" borderId="2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178" fontId="2" fillId="6" borderId="3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8" fontId="4" fillId="4" borderId="2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8" fontId="5" fillId="6" borderId="2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 wrapText="1"/>
    </xf>
    <xf numFmtId="178" fontId="4" fillId="4" borderId="6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7"/>
  <sheetViews>
    <sheetView tabSelected="1" topLeftCell="A168" workbookViewId="0">
      <selection activeCell="J199" sqref="J198:J199"/>
    </sheetView>
  </sheetViews>
  <sheetFormatPr defaultColWidth="9" defaultRowHeight="11.25"/>
  <cols>
    <col min="1" max="1" width="10.75" style="79" customWidth="1"/>
    <col min="2" max="2" width="17" style="3" customWidth="1"/>
    <col min="3" max="3" width="6" style="3" customWidth="1"/>
    <col min="4" max="4" width="13.375" style="3" customWidth="1"/>
    <col min="5" max="5" width="7.875" style="3" customWidth="1"/>
    <col min="6" max="6" width="13" style="3" customWidth="1"/>
    <col min="7" max="7" width="13.5" style="3" customWidth="1"/>
    <col min="8" max="8" width="13.75" style="3" customWidth="1"/>
    <col min="9" max="9" width="15.25" style="3" customWidth="1"/>
    <col min="10" max="10" width="12" style="4" customWidth="1"/>
    <col min="11" max="11" width="31.5" style="5" customWidth="1"/>
    <col min="12" max="12" width="12.75" style="5" customWidth="1"/>
    <col min="13" max="13" width="34.625" style="5" customWidth="1"/>
    <col min="14" max="14" width="5.625" style="5" customWidth="1"/>
    <col min="15" max="15" width="18.125" style="5" customWidth="1"/>
    <col min="16" max="16384" width="9" style="5"/>
  </cols>
  <sheetData>
    <row r="1" ht="21.95" customHeight="1" spans="1:12">
      <c r="A1" s="80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  <c r="L1" s="13"/>
    </row>
    <row r="2" ht="18" customHeight="1" spans="1:12">
      <c r="A2" s="81" t="s">
        <v>1</v>
      </c>
      <c r="B2" s="8">
        <v>43166</v>
      </c>
      <c r="C2" s="9" t="s">
        <v>2</v>
      </c>
      <c r="D2" s="9">
        <v>38500000</v>
      </c>
      <c r="E2" s="10" t="s">
        <v>3</v>
      </c>
      <c r="F2" s="9" t="s">
        <v>4</v>
      </c>
      <c r="G2" s="10" t="s">
        <v>5</v>
      </c>
      <c r="H2" s="11" t="s">
        <v>6</v>
      </c>
      <c r="I2" s="30"/>
      <c r="J2" s="31"/>
      <c r="K2" s="13"/>
      <c r="L2" s="13"/>
    </row>
    <row r="3" ht="18" customHeight="1" spans="1:12">
      <c r="A3" s="81" t="s">
        <v>7</v>
      </c>
      <c r="B3" s="8">
        <v>43922</v>
      </c>
      <c r="C3" s="9" t="s">
        <v>8</v>
      </c>
      <c r="D3" s="9">
        <v>41902545.96</v>
      </c>
      <c r="H3" s="13"/>
      <c r="I3" s="13"/>
      <c r="J3" s="13"/>
      <c r="K3" s="13"/>
      <c r="L3" s="13"/>
    </row>
    <row r="4" ht="18" customHeight="1" spans="1:12">
      <c r="A4" s="79" t="s">
        <v>9</v>
      </c>
      <c r="H4" s="13"/>
      <c r="I4" s="13"/>
      <c r="J4" s="13"/>
      <c r="K4" s="13"/>
      <c r="L4" s="13"/>
    </row>
    <row r="5" ht="18" customHeight="1" spans="1:10">
      <c r="A5" s="82" t="s">
        <v>10</v>
      </c>
      <c r="B5" s="14" t="s">
        <v>11</v>
      </c>
      <c r="C5" s="14" t="s">
        <v>12</v>
      </c>
      <c r="D5" s="14"/>
      <c r="E5" s="14" t="s">
        <v>13</v>
      </c>
      <c r="F5" s="14"/>
      <c r="G5" s="14" t="s">
        <v>14</v>
      </c>
      <c r="H5" s="15" t="s">
        <v>15</v>
      </c>
      <c r="I5" s="15"/>
      <c r="J5" s="15"/>
    </row>
    <row r="6" ht="18" customHeight="1" spans="1:10">
      <c r="A6" s="82"/>
      <c r="B6" s="14"/>
      <c r="C6" s="14" t="s">
        <v>16</v>
      </c>
      <c r="D6" s="14" t="s">
        <v>17</v>
      </c>
      <c r="E6" s="14" t="s">
        <v>16</v>
      </c>
      <c r="F6" s="14" t="s">
        <v>17</v>
      </c>
      <c r="G6" s="14"/>
      <c r="H6" s="15" t="s">
        <v>18</v>
      </c>
      <c r="I6" s="15" t="s">
        <v>19</v>
      </c>
      <c r="J6" s="15" t="s">
        <v>20</v>
      </c>
    </row>
    <row r="7" ht="18" customHeight="1" spans="1:10">
      <c r="A7" s="83">
        <v>43273</v>
      </c>
      <c r="B7" s="9">
        <f t="shared" ref="B7:B11" si="0">G7/(1+C7+E7)</f>
        <v>25701233.6363636</v>
      </c>
      <c r="C7" s="17">
        <v>0.02</v>
      </c>
      <c r="D7" s="18">
        <f t="shared" ref="D7:D11" si="1">G7/(1+E7+C7)*C7</f>
        <v>514024.672727273</v>
      </c>
      <c r="E7" s="17">
        <v>0.08</v>
      </c>
      <c r="F7" s="9">
        <f t="shared" ref="F7:F11" si="2">G7/(1+C7+E7)*E7</f>
        <v>2056098.69090909</v>
      </c>
      <c r="G7" s="19">
        <v>28271357</v>
      </c>
      <c r="H7" s="16">
        <v>43273</v>
      </c>
      <c r="I7" s="9">
        <v>28271357</v>
      </c>
      <c r="J7" s="32" t="s">
        <v>21</v>
      </c>
    </row>
    <row r="8" ht="18" customHeight="1" spans="1:10">
      <c r="A8" s="83">
        <v>43347</v>
      </c>
      <c r="B8" s="9">
        <f t="shared" si="0"/>
        <v>3715882.72727273</v>
      </c>
      <c r="C8" s="17">
        <v>0.02</v>
      </c>
      <c r="D8" s="18">
        <f t="shared" si="1"/>
        <v>74317.6545454545</v>
      </c>
      <c r="E8" s="17">
        <v>0.08</v>
      </c>
      <c r="F8" s="9">
        <f t="shared" si="2"/>
        <v>297270.618181818</v>
      </c>
      <c r="G8" s="19">
        <v>4087471</v>
      </c>
      <c r="H8" s="16">
        <v>43349</v>
      </c>
      <c r="I8" s="9">
        <v>2087471</v>
      </c>
      <c r="J8" s="32" t="s">
        <v>21</v>
      </c>
    </row>
    <row r="9" ht="18" customHeight="1" spans="1:10">
      <c r="A9" s="83">
        <v>43437</v>
      </c>
      <c r="B9" s="9">
        <f t="shared" si="0"/>
        <v>7548562.72727273</v>
      </c>
      <c r="C9" s="17">
        <v>0.02</v>
      </c>
      <c r="D9" s="18">
        <f t="shared" si="1"/>
        <v>150971.254545455</v>
      </c>
      <c r="E9" s="17">
        <v>0.08</v>
      </c>
      <c r="F9" s="9">
        <f t="shared" si="2"/>
        <v>603885.018181818</v>
      </c>
      <c r="G9" s="19">
        <v>8303419</v>
      </c>
      <c r="H9" s="16">
        <v>43419</v>
      </c>
      <c r="I9" s="9">
        <v>2000000</v>
      </c>
      <c r="J9" s="32" t="s">
        <v>21</v>
      </c>
    </row>
    <row r="10" ht="18" customHeight="1" spans="1:10">
      <c r="A10" s="83">
        <v>43965</v>
      </c>
      <c r="B10" s="9">
        <f t="shared" si="0"/>
        <v>1137888.95412844</v>
      </c>
      <c r="C10" s="84">
        <v>0.02</v>
      </c>
      <c r="D10" s="18">
        <f t="shared" si="1"/>
        <v>22757.7790825688</v>
      </c>
      <c r="E10" s="84">
        <v>0.07</v>
      </c>
      <c r="F10" s="9">
        <f t="shared" si="2"/>
        <v>79652.2267889908</v>
      </c>
      <c r="G10" s="19">
        <v>1240298.96</v>
      </c>
      <c r="H10" s="16">
        <v>43441</v>
      </c>
      <c r="I10" s="9">
        <v>8303419</v>
      </c>
      <c r="J10" s="32" t="s">
        <v>21</v>
      </c>
    </row>
    <row r="11" ht="18" customHeight="1" spans="1:10">
      <c r="A11" s="83"/>
      <c r="B11" s="9">
        <f t="shared" si="0"/>
        <v>0</v>
      </c>
      <c r="C11" s="17"/>
      <c r="D11" s="18">
        <f t="shared" si="1"/>
        <v>0</v>
      </c>
      <c r="E11" s="17"/>
      <c r="F11" s="9">
        <f t="shared" si="2"/>
        <v>0</v>
      </c>
      <c r="G11" s="19"/>
      <c r="H11" s="16">
        <v>44428</v>
      </c>
      <c r="I11" s="9">
        <v>1240298.96</v>
      </c>
      <c r="J11" s="32" t="s">
        <v>21</v>
      </c>
    </row>
    <row r="12" ht="18" customHeight="1" spans="1:10">
      <c r="A12" s="85" t="s">
        <v>22</v>
      </c>
      <c r="B12" s="21">
        <f t="shared" ref="B12:G12" si="3">SUM(B7:B11)</f>
        <v>38103568.0450375</v>
      </c>
      <c r="C12" s="22"/>
      <c r="D12" s="22">
        <f t="shared" si="3"/>
        <v>762071.36090075</v>
      </c>
      <c r="E12" s="22"/>
      <c r="F12" s="23">
        <f t="shared" si="3"/>
        <v>3036906.55406172</v>
      </c>
      <c r="G12" s="22">
        <f t="shared" si="3"/>
        <v>41902545.96</v>
      </c>
      <c r="H12" s="24"/>
      <c r="I12" s="22">
        <f>SUM(I7:I11)</f>
        <v>41902545.96</v>
      </c>
      <c r="J12" s="24"/>
    </row>
    <row r="13" ht="18" customHeight="1" spans="1:12">
      <c r="A13" s="79" t="s">
        <v>23</v>
      </c>
      <c r="B13" s="5"/>
      <c r="I13" s="3">
        <f>G12-I12</f>
        <v>0</v>
      </c>
      <c r="J13" s="3"/>
      <c r="K13" s="3"/>
      <c r="L13" s="4"/>
    </row>
    <row r="14" ht="18" customHeight="1" spans="1:15">
      <c r="A14" s="82" t="s">
        <v>24</v>
      </c>
      <c r="B14" s="14" t="s">
        <v>25</v>
      </c>
      <c r="C14" s="14" t="s">
        <v>26</v>
      </c>
      <c r="D14" s="14" t="s">
        <v>27</v>
      </c>
      <c r="E14" s="14" t="s">
        <v>16</v>
      </c>
      <c r="F14" s="14" t="s">
        <v>28</v>
      </c>
      <c r="G14" s="14" t="s">
        <v>14</v>
      </c>
      <c r="H14" s="14" t="s">
        <v>29</v>
      </c>
      <c r="I14" s="14" t="s">
        <v>30</v>
      </c>
      <c r="J14" s="14" t="s">
        <v>20</v>
      </c>
      <c r="K14" s="33" t="s">
        <v>31</v>
      </c>
      <c r="L14" s="15" t="s">
        <v>32</v>
      </c>
      <c r="M14" s="15" t="s">
        <v>33</v>
      </c>
      <c r="N14" s="15" t="s">
        <v>34</v>
      </c>
      <c r="O14" s="15" t="s">
        <v>35</v>
      </c>
    </row>
    <row r="15" s="1" customFormat="1" ht="18" customHeight="1" spans="1:15">
      <c r="A15" s="86">
        <v>43202</v>
      </c>
      <c r="B15" s="26">
        <f t="shared" ref="B15:B78" si="4">ROUND(G15/(1+E15),2)</f>
        <v>125867.92</v>
      </c>
      <c r="C15" s="27">
        <v>2</v>
      </c>
      <c r="D15" s="28" t="s">
        <v>36</v>
      </c>
      <c r="E15" s="29">
        <v>0.06</v>
      </c>
      <c r="F15" s="26">
        <f t="shared" ref="F15:F78" si="5">ROUND(G15/(1+E15)*E15,2)</f>
        <v>7552.08</v>
      </c>
      <c r="G15" s="19">
        <f>33420+100000</f>
        <v>133420</v>
      </c>
      <c r="H15" s="16">
        <v>43180</v>
      </c>
      <c r="I15" s="9">
        <v>133420</v>
      </c>
      <c r="J15" s="32" t="s">
        <v>37</v>
      </c>
      <c r="K15" s="34" t="s">
        <v>38</v>
      </c>
      <c r="L15" s="35" t="s">
        <v>39</v>
      </c>
      <c r="M15" s="36"/>
      <c r="N15" s="36"/>
      <c r="O15" s="35"/>
    </row>
    <row r="16" s="1" customFormat="1" ht="18" customHeight="1" spans="1:15">
      <c r="A16" s="86"/>
      <c r="B16" s="26">
        <f t="shared" si="4"/>
        <v>0</v>
      </c>
      <c r="C16" s="27"/>
      <c r="D16" s="28"/>
      <c r="E16" s="29"/>
      <c r="F16" s="26">
        <f t="shared" si="5"/>
        <v>0</v>
      </c>
      <c r="G16" s="19"/>
      <c r="H16" s="16">
        <v>43179</v>
      </c>
      <c r="I16" s="9">
        <v>-133420</v>
      </c>
      <c r="J16" s="32" t="s">
        <v>40</v>
      </c>
      <c r="K16" s="34" t="s">
        <v>4</v>
      </c>
      <c r="L16" s="24" t="s">
        <v>41</v>
      </c>
      <c r="M16" s="36"/>
      <c r="N16" s="36"/>
      <c r="O16" s="35"/>
    </row>
    <row r="17" s="1" customFormat="1" ht="18" customHeight="1" spans="1:15">
      <c r="A17" s="86">
        <v>43265</v>
      </c>
      <c r="B17" s="26">
        <f t="shared" si="4"/>
        <v>171009.4</v>
      </c>
      <c r="C17" s="27">
        <v>1</v>
      </c>
      <c r="D17" s="28" t="s">
        <v>36</v>
      </c>
      <c r="E17" s="29">
        <v>0.17</v>
      </c>
      <c r="F17" s="26">
        <f t="shared" si="5"/>
        <v>29071.6</v>
      </c>
      <c r="G17" s="19">
        <v>200081</v>
      </c>
      <c r="H17" s="16">
        <v>43198</v>
      </c>
      <c r="I17" s="9">
        <v>200000</v>
      </c>
      <c r="J17" s="32" t="s">
        <v>37</v>
      </c>
      <c r="K17" s="34" t="s">
        <v>42</v>
      </c>
      <c r="L17" s="35" t="s">
        <v>43</v>
      </c>
      <c r="M17" s="36"/>
      <c r="N17" s="36"/>
      <c r="O17" s="35"/>
    </row>
    <row r="18" s="1" customFormat="1" ht="18" customHeight="1" spans="1:15">
      <c r="A18" s="86"/>
      <c r="B18" s="26">
        <f t="shared" si="4"/>
        <v>0</v>
      </c>
      <c r="C18" s="27"/>
      <c r="D18" s="28"/>
      <c r="E18" s="29"/>
      <c r="F18" s="26">
        <f t="shared" si="5"/>
        <v>0</v>
      </c>
      <c r="G18" s="19"/>
      <c r="H18" s="16">
        <v>43193</v>
      </c>
      <c r="I18" s="9">
        <v>-200000</v>
      </c>
      <c r="J18" s="32" t="s">
        <v>40</v>
      </c>
      <c r="K18" s="34" t="s">
        <v>4</v>
      </c>
      <c r="L18" s="24" t="s">
        <v>41</v>
      </c>
      <c r="M18" s="36"/>
      <c r="N18" s="36"/>
      <c r="O18" s="35"/>
    </row>
    <row r="19" s="1" customFormat="1" ht="18" customHeight="1" spans="1:15">
      <c r="A19" s="86">
        <v>43265</v>
      </c>
      <c r="B19" s="26">
        <f t="shared" si="4"/>
        <v>241379.31</v>
      </c>
      <c r="C19" s="27">
        <v>3</v>
      </c>
      <c r="D19" s="28" t="s">
        <v>36</v>
      </c>
      <c r="E19" s="29">
        <v>0.16</v>
      </c>
      <c r="F19" s="26">
        <f t="shared" si="5"/>
        <v>38620.69</v>
      </c>
      <c r="G19" s="19">
        <v>280000</v>
      </c>
      <c r="H19" s="16">
        <v>43198</v>
      </c>
      <c r="I19" s="9">
        <v>300000</v>
      </c>
      <c r="J19" s="32" t="s">
        <v>37</v>
      </c>
      <c r="K19" s="34" t="s">
        <v>44</v>
      </c>
      <c r="L19" s="35" t="s">
        <v>43</v>
      </c>
      <c r="M19" s="36" t="s">
        <v>45</v>
      </c>
      <c r="N19" s="36"/>
      <c r="O19" s="35"/>
    </row>
    <row r="20" s="1" customFormat="1" ht="18" customHeight="1" spans="1:15">
      <c r="A20" s="86"/>
      <c r="B20" s="26">
        <f t="shared" si="4"/>
        <v>0</v>
      </c>
      <c r="C20" s="27"/>
      <c r="D20" s="28"/>
      <c r="E20" s="29"/>
      <c r="F20" s="26">
        <f t="shared" si="5"/>
        <v>0</v>
      </c>
      <c r="G20" s="19"/>
      <c r="H20" s="16">
        <v>43198</v>
      </c>
      <c r="I20" s="9">
        <v>-300000</v>
      </c>
      <c r="J20" s="32" t="s">
        <v>40</v>
      </c>
      <c r="K20" s="34" t="s">
        <v>4</v>
      </c>
      <c r="L20" s="24" t="s">
        <v>41</v>
      </c>
      <c r="M20" s="36"/>
      <c r="N20" s="36"/>
      <c r="O20" s="35"/>
    </row>
    <row r="21" s="1" customFormat="1" ht="18" customHeight="1" spans="1:15">
      <c r="A21" s="86">
        <v>43265</v>
      </c>
      <c r="B21" s="26">
        <f t="shared" si="4"/>
        <v>751925.64</v>
      </c>
      <c r="C21" s="27">
        <v>8</v>
      </c>
      <c r="D21" s="28" t="s">
        <v>36</v>
      </c>
      <c r="E21" s="29">
        <v>0.17</v>
      </c>
      <c r="F21" s="26">
        <f t="shared" si="5"/>
        <v>127827.36</v>
      </c>
      <c r="G21" s="19">
        <v>879753</v>
      </c>
      <c r="H21" s="16">
        <v>43198</v>
      </c>
      <c r="I21" s="9">
        <v>300000</v>
      </c>
      <c r="J21" s="32" t="s">
        <v>37</v>
      </c>
      <c r="K21" s="34" t="s">
        <v>46</v>
      </c>
      <c r="L21" s="35" t="s">
        <v>43</v>
      </c>
      <c r="M21" s="36" t="s">
        <v>45</v>
      </c>
      <c r="N21" s="36"/>
      <c r="O21" s="35"/>
    </row>
    <row r="22" s="1" customFormat="1" ht="18" customHeight="1" spans="1:15">
      <c r="A22" s="86"/>
      <c r="B22" s="26">
        <f t="shared" si="4"/>
        <v>0</v>
      </c>
      <c r="C22" s="27"/>
      <c r="D22" s="28"/>
      <c r="E22" s="29"/>
      <c r="F22" s="26">
        <f t="shared" si="5"/>
        <v>0</v>
      </c>
      <c r="G22" s="19"/>
      <c r="H22" s="16">
        <v>43198</v>
      </c>
      <c r="I22" s="9">
        <v>-300000</v>
      </c>
      <c r="J22" s="32" t="s">
        <v>40</v>
      </c>
      <c r="K22" s="34" t="s">
        <v>4</v>
      </c>
      <c r="L22" s="24" t="s">
        <v>41</v>
      </c>
      <c r="M22" s="36"/>
      <c r="N22" s="36"/>
      <c r="O22" s="35"/>
    </row>
    <row r="23" s="1" customFormat="1" ht="18" customHeight="1" spans="1:15">
      <c r="A23" s="86">
        <v>43265</v>
      </c>
      <c r="B23" s="26">
        <f t="shared" si="4"/>
        <v>6428176.78</v>
      </c>
      <c r="C23" s="27">
        <v>71</v>
      </c>
      <c r="D23" s="28" t="s">
        <v>36</v>
      </c>
      <c r="E23" s="29">
        <v>0.16</v>
      </c>
      <c r="F23" s="26">
        <f t="shared" si="5"/>
        <v>1028508.29</v>
      </c>
      <c r="G23" s="19">
        <v>7456685.07</v>
      </c>
      <c r="H23" s="16">
        <v>43198</v>
      </c>
      <c r="I23" s="9">
        <v>1000000</v>
      </c>
      <c r="J23" s="32" t="s">
        <v>37</v>
      </c>
      <c r="K23" s="34" t="s">
        <v>47</v>
      </c>
      <c r="L23" s="35" t="s">
        <v>48</v>
      </c>
      <c r="M23" s="36" t="s">
        <v>45</v>
      </c>
      <c r="N23" s="36"/>
      <c r="O23" s="35"/>
    </row>
    <row r="24" s="1" customFormat="1" ht="18" customHeight="1" spans="1:16">
      <c r="A24" s="86"/>
      <c r="B24" s="26">
        <f t="shared" si="4"/>
        <v>0</v>
      </c>
      <c r="C24" s="27"/>
      <c r="D24" s="28"/>
      <c r="E24" s="29"/>
      <c r="F24" s="26">
        <f t="shared" si="5"/>
        <v>0</v>
      </c>
      <c r="G24" s="19"/>
      <c r="H24" s="16">
        <v>43194</v>
      </c>
      <c r="I24" s="9">
        <v>-1000000</v>
      </c>
      <c r="J24" s="32" t="s">
        <v>40</v>
      </c>
      <c r="K24" s="34" t="s">
        <v>4</v>
      </c>
      <c r="L24" s="24" t="s">
        <v>41</v>
      </c>
      <c r="M24" s="36"/>
      <c r="N24" s="36"/>
      <c r="O24" s="35"/>
      <c r="P24" s="1">
        <f>B8*0.016</f>
        <v>59454.1236363636</v>
      </c>
    </row>
    <row r="25" s="1" customFormat="1" ht="18" customHeight="1" spans="1:15">
      <c r="A25" s="86"/>
      <c r="B25" s="26">
        <f t="shared" si="4"/>
        <v>0</v>
      </c>
      <c r="C25" s="27"/>
      <c r="D25" s="28"/>
      <c r="E25" s="29"/>
      <c r="F25" s="26">
        <f t="shared" si="5"/>
        <v>0</v>
      </c>
      <c r="G25" s="19"/>
      <c r="H25" s="16">
        <v>43199</v>
      </c>
      <c r="I25" s="9">
        <v>1000000</v>
      </c>
      <c r="J25" s="32" t="s">
        <v>37</v>
      </c>
      <c r="K25" s="34" t="s">
        <v>47</v>
      </c>
      <c r="L25" s="35" t="s">
        <v>48</v>
      </c>
      <c r="M25" s="36"/>
      <c r="N25" s="36"/>
      <c r="O25" s="35"/>
    </row>
    <row r="26" s="1" customFormat="1" ht="18" customHeight="1" spans="1:15">
      <c r="A26" s="86"/>
      <c r="B26" s="26">
        <f t="shared" si="4"/>
        <v>0</v>
      </c>
      <c r="C26" s="27"/>
      <c r="D26" s="28"/>
      <c r="E26" s="29"/>
      <c r="F26" s="26">
        <f t="shared" si="5"/>
        <v>0</v>
      </c>
      <c r="G26" s="19"/>
      <c r="H26" s="16">
        <v>43198</v>
      </c>
      <c r="I26" s="9">
        <v>-1000000</v>
      </c>
      <c r="J26" s="32" t="s">
        <v>40</v>
      </c>
      <c r="K26" s="34" t="s">
        <v>4</v>
      </c>
      <c r="L26" s="24" t="s">
        <v>41</v>
      </c>
      <c r="M26" s="36"/>
      <c r="N26" s="36"/>
      <c r="O26" s="35"/>
    </row>
    <row r="27" s="1" customFormat="1" ht="18" customHeight="1" spans="1:15">
      <c r="A27" s="86"/>
      <c r="B27" s="26">
        <f t="shared" si="4"/>
        <v>0</v>
      </c>
      <c r="C27" s="27"/>
      <c r="D27" s="28"/>
      <c r="E27" s="29"/>
      <c r="F27" s="26">
        <f t="shared" si="5"/>
        <v>0</v>
      </c>
      <c r="G27" s="19"/>
      <c r="H27" s="16">
        <v>43200</v>
      </c>
      <c r="I27" s="37">
        <v>150000</v>
      </c>
      <c r="J27" s="32" t="s">
        <v>37</v>
      </c>
      <c r="K27" s="34" t="s">
        <v>49</v>
      </c>
      <c r="L27" s="35" t="s">
        <v>50</v>
      </c>
      <c r="M27" s="36"/>
      <c r="N27" s="36"/>
      <c r="O27" s="35"/>
    </row>
    <row r="28" s="1" customFormat="1" ht="18" customHeight="1" spans="1:15">
      <c r="A28" s="86"/>
      <c r="B28" s="26">
        <f t="shared" si="4"/>
        <v>0</v>
      </c>
      <c r="C28" s="27"/>
      <c r="D28" s="28"/>
      <c r="E28" s="29"/>
      <c r="F28" s="26">
        <f t="shared" si="5"/>
        <v>0</v>
      </c>
      <c r="G28" s="19"/>
      <c r="H28" s="16">
        <v>43199</v>
      </c>
      <c r="I28" s="37">
        <v>-200000</v>
      </c>
      <c r="J28" s="32" t="s">
        <v>40</v>
      </c>
      <c r="K28" s="34" t="s">
        <v>4</v>
      </c>
      <c r="L28" s="24" t="s">
        <v>41</v>
      </c>
      <c r="M28" s="36"/>
      <c r="N28" s="36"/>
      <c r="O28" s="35"/>
    </row>
    <row r="29" s="1" customFormat="1" ht="18" customHeight="1" spans="1:15">
      <c r="A29" s="86"/>
      <c r="B29" s="26">
        <f t="shared" si="4"/>
        <v>0</v>
      </c>
      <c r="C29" s="27"/>
      <c r="D29" s="28"/>
      <c r="E29" s="29"/>
      <c r="F29" s="26">
        <f t="shared" si="5"/>
        <v>0</v>
      </c>
      <c r="G29" s="19"/>
      <c r="H29" s="16">
        <v>43201</v>
      </c>
      <c r="I29" s="9">
        <v>182839</v>
      </c>
      <c r="J29" s="32" t="s">
        <v>37</v>
      </c>
      <c r="K29" s="34" t="s">
        <v>51</v>
      </c>
      <c r="L29" s="35" t="s">
        <v>52</v>
      </c>
      <c r="M29" s="36"/>
      <c r="N29" s="36"/>
      <c r="O29" s="35"/>
    </row>
    <row r="30" s="1" customFormat="1" ht="18" customHeight="1" spans="1:15">
      <c r="A30" s="86"/>
      <c r="B30" s="26">
        <f t="shared" si="4"/>
        <v>0</v>
      </c>
      <c r="C30" s="27"/>
      <c r="D30" s="28"/>
      <c r="E30" s="29"/>
      <c r="F30" s="26">
        <f t="shared" si="5"/>
        <v>0</v>
      </c>
      <c r="G30" s="19"/>
      <c r="H30" s="16">
        <v>43201</v>
      </c>
      <c r="I30" s="9">
        <v>-182839</v>
      </c>
      <c r="J30" s="32" t="s">
        <v>40</v>
      </c>
      <c r="K30" s="34" t="s">
        <v>4</v>
      </c>
      <c r="L30" s="24" t="s">
        <v>41</v>
      </c>
      <c r="M30" s="36"/>
      <c r="N30" s="36"/>
      <c r="O30" s="35"/>
    </row>
    <row r="31" s="1" customFormat="1" ht="18" customHeight="1" spans="1:15">
      <c r="A31" s="86"/>
      <c r="B31" s="26">
        <f t="shared" si="4"/>
        <v>0</v>
      </c>
      <c r="C31" s="27"/>
      <c r="D31" s="28"/>
      <c r="E31" s="29"/>
      <c r="F31" s="26">
        <f t="shared" si="5"/>
        <v>0</v>
      </c>
      <c r="G31" s="19"/>
      <c r="H31" s="16">
        <v>43202</v>
      </c>
      <c r="I31" s="9">
        <v>300000</v>
      </c>
      <c r="J31" s="32" t="s">
        <v>37</v>
      </c>
      <c r="K31" s="34" t="s">
        <v>46</v>
      </c>
      <c r="L31" s="35" t="s">
        <v>43</v>
      </c>
      <c r="M31" s="36"/>
      <c r="N31" s="36"/>
      <c r="O31" s="35"/>
    </row>
    <row r="32" s="1" customFormat="1" ht="18" customHeight="1" spans="1:15">
      <c r="A32" s="86"/>
      <c r="B32" s="26">
        <f t="shared" si="4"/>
        <v>0</v>
      </c>
      <c r="C32" s="27"/>
      <c r="D32" s="28"/>
      <c r="E32" s="29"/>
      <c r="F32" s="26">
        <f t="shared" si="5"/>
        <v>0</v>
      </c>
      <c r="G32" s="19"/>
      <c r="H32" s="16">
        <v>43202</v>
      </c>
      <c r="I32" s="9">
        <v>-300000</v>
      </c>
      <c r="J32" s="32" t="s">
        <v>40</v>
      </c>
      <c r="K32" s="34" t="s">
        <v>4</v>
      </c>
      <c r="L32" s="24" t="s">
        <v>41</v>
      </c>
      <c r="M32" s="36"/>
      <c r="N32" s="36"/>
      <c r="O32" s="35"/>
    </row>
    <row r="33" s="1" customFormat="1" ht="18" customHeight="1" spans="1:15">
      <c r="A33" s="86">
        <v>43265</v>
      </c>
      <c r="B33" s="26">
        <f t="shared" si="4"/>
        <v>717948.72</v>
      </c>
      <c r="C33" s="27">
        <v>9</v>
      </c>
      <c r="D33" s="28" t="s">
        <v>36</v>
      </c>
      <c r="E33" s="29">
        <v>0.17</v>
      </c>
      <c r="F33" s="26">
        <f t="shared" si="5"/>
        <v>122051.28</v>
      </c>
      <c r="G33" s="19">
        <v>840000</v>
      </c>
      <c r="H33" s="16">
        <v>43202</v>
      </c>
      <c r="I33" s="9">
        <v>300000</v>
      </c>
      <c r="J33" s="32" t="s">
        <v>37</v>
      </c>
      <c r="K33" s="34" t="s">
        <v>44</v>
      </c>
      <c r="L33" s="35" t="s">
        <v>43</v>
      </c>
      <c r="M33" s="36" t="s">
        <v>45</v>
      </c>
      <c r="N33" s="36"/>
      <c r="O33" s="35"/>
    </row>
    <row r="34" s="1" customFormat="1" ht="18" customHeight="1" spans="1:15">
      <c r="A34" s="86"/>
      <c r="B34" s="26">
        <f t="shared" si="4"/>
        <v>0</v>
      </c>
      <c r="C34" s="27"/>
      <c r="D34" s="28"/>
      <c r="E34" s="29"/>
      <c r="F34" s="26">
        <f t="shared" si="5"/>
        <v>0</v>
      </c>
      <c r="G34" s="19"/>
      <c r="H34" s="16">
        <v>43202</v>
      </c>
      <c r="I34" s="9">
        <v>-300000</v>
      </c>
      <c r="J34" s="32" t="s">
        <v>40</v>
      </c>
      <c r="K34" s="34" t="s">
        <v>4</v>
      </c>
      <c r="L34" s="24" t="s">
        <v>41</v>
      </c>
      <c r="M34" s="36"/>
      <c r="N34" s="36"/>
      <c r="O34" s="35"/>
    </row>
    <row r="35" s="1" customFormat="1" ht="18" customHeight="1" spans="1:15">
      <c r="A35" s="86">
        <v>43265</v>
      </c>
      <c r="B35" s="26">
        <f t="shared" si="4"/>
        <v>495581.2</v>
      </c>
      <c r="C35" s="27">
        <v>5</v>
      </c>
      <c r="D35" s="28" t="s">
        <v>36</v>
      </c>
      <c r="E35" s="29">
        <v>0.17</v>
      </c>
      <c r="F35" s="26">
        <f t="shared" si="5"/>
        <v>84248.8</v>
      </c>
      <c r="G35" s="19">
        <v>579830</v>
      </c>
      <c r="H35" s="16">
        <v>43203</v>
      </c>
      <c r="I35" s="9">
        <v>300000</v>
      </c>
      <c r="J35" s="32" t="s">
        <v>37</v>
      </c>
      <c r="K35" s="34" t="s">
        <v>53</v>
      </c>
      <c r="L35" s="35" t="s">
        <v>54</v>
      </c>
      <c r="M35" s="36" t="s">
        <v>45</v>
      </c>
      <c r="N35" s="36"/>
      <c r="O35" s="35"/>
    </row>
    <row r="36" s="1" customFormat="1" ht="18" customHeight="1" spans="1:15">
      <c r="A36" s="86"/>
      <c r="B36" s="26">
        <f t="shared" si="4"/>
        <v>0</v>
      </c>
      <c r="C36" s="27"/>
      <c r="D36" s="28"/>
      <c r="E36" s="29"/>
      <c r="F36" s="26">
        <f t="shared" si="5"/>
        <v>0</v>
      </c>
      <c r="G36" s="19"/>
      <c r="H36" s="16">
        <v>43203</v>
      </c>
      <c r="I36" s="9">
        <v>-300000</v>
      </c>
      <c r="J36" s="32" t="s">
        <v>40</v>
      </c>
      <c r="K36" s="34" t="s">
        <v>4</v>
      </c>
      <c r="L36" s="24" t="s">
        <v>41</v>
      </c>
      <c r="M36" s="36"/>
      <c r="N36" s="36"/>
      <c r="O36" s="35"/>
    </row>
    <row r="37" s="1" customFormat="1" ht="18" customHeight="1" spans="1:15">
      <c r="A37" s="86"/>
      <c r="B37" s="26">
        <f t="shared" si="4"/>
        <v>0</v>
      </c>
      <c r="C37" s="27"/>
      <c r="D37" s="28"/>
      <c r="E37" s="29"/>
      <c r="F37" s="26">
        <f t="shared" si="5"/>
        <v>0</v>
      </c>
      <c r="G37" s="19"/>
      <c r="H37" s="16">
        <v>43203</v>
      </c>
      <c r="I37" s="9">
        <v>183610</v>
      </c>
      <c r="J37" s="32" t="s">
        <v>37</v>
      </c>
      <c r="K37" s="34" t="s">
        <v>51</v>
      </c>
      <c r="L37" s="35" t="s">
        <v>52</v>
      </c>
      <c r="M37" s="36"/>
      <c r="N37" s="36"/>
      <c r="O37" s="35"/>
    </row>
    <row r="38" s="1" customFormat="1" ht="18" customHeight="1" spans="1:15">
      <c r="A38" s="86"/>
      <c r="B38" s="26">
        <f t="shared" si="4"/>
        <v>0</v>
      </c>
      <c r="C38" s="27"/>
      <c r="D38" s="28"/>
      <c r="E38" s="29"/>
      <c r="F38" s="26">
        <f t="shared" si="5"/>
        <v>0</v>
      </c>
      <c r="G38" s="19"/>
      <c r="H38" s="16">
        <v>43201</v>
      </c>
      <c r="I38" s="9">
        <v>-183610</v>
      </c>
      <c r="J38" s="32" t="s">
        <v>40</v>
      </c>
      <c r="K38" s="34" t="s">
        <v>4</v>
      </c>
      <c r="L38" s="24" t="s">
        <v>41</v>
      </c>
      <c r="M38" s="36"/>
      <c r="N38" s="36"/>
      <c r="O38" s="35"/>
    </row>
    <row r="39" s="1" customFormat="1" ht="18" customHeight="1" spans="1:15">
      <c r="A39" s="86"/>
      <c r="B39" s="26">
        <f t="shared" si="4"/>
        <v>0</v>
      </c>
      <c r="C39" s="27"/>
      <c r="D39" s="28"/>
      <c r="E39" s="29"/>
      <c r="F39" s="26">
        <f t="shared" si="5"/>
        <v>0</v>
      </c>
      <c r="G39" s="19"/>
      <c r="H39" s="16">
        <v>43206</v>
      </c>
      <c r="I39" s="9">
        <v>600000</v>
      </c>
      <c r="J39" s="32" t="s">
        <v>37</v>
      </c>
      <c r="K39" s="34" t="s">
        <v>49</v>
      </c>
      <c r="L39" s="35" t="s">
        <v>50</v>
      </c>
      <c r="M39" s="36"/>
      <c r="N39" s="36"/>
      <c r="O39" s="35"/>
    </row>
    <row r="40" s="1" customFormat="1" ht="18" customHeight="1" spans="1:15">
      <c r="A40" s="86"/>
      <c r="B40" s="26">
        <f t="shared" si="4"/>
        <v>0</v>
      </c>
      <c r="C40" s="27"/>
      <c r="D40" s="28"/>
      <c r="E40" s="29"/>
      <c r="F40" s="26">
        <f t="shared" si="5"/>
        <v>0</v>
      </c>
      <c r="G40" s="19"/>
      <c r="H40" s="16">
        <v>43206</v>
      </c>
      <c r="I40" s="9">
        <v>-600000</v>
      </c>
      <c r="J40" s="32" t="s">
        <v>40</v>
      </c>
      <c r="K40" s="34" t="s">
        <v>4</v>
      </c>
      <c r="L40" s="24" t="s">
        <v>41</v>
      </c>
      <c r="M40" s="36"/>
      <c r="N40" s="36"/>
      <c r="O40" s="35"/>
    </row>
    <row r="41" s="1" customFormat="1" ht="18" customHeight="1" spans="1:15">
      <c r="A41" s="86"/>
      <c r="B41" s="26">
        <f t="shared" si="4"/>
        <v>0</v>
      </c>
      <c r="C41" s="27"/>
      <c r="D41" s="28"/>
      <c r="E41" s="29"/>
      <c r="F41" s="26">
        <f t="shared" si="5"/>
        <v>0</v>
      </c>
      <c r="G41" s="19"/>
      <c r="H41" s="16">
        <v>43206</v>
      </c>
      <c r="I41" s="9">
        <v>191485.9</v>
      </c>
      <c r="J41" s="32" t="s">
        <v>37</v>
      </c>
      <c r="K41" s="34" t="s">
        <v>51</v>
      </c>
      <c r="L41" s="35" t="s">
        <v>52</v>
      </c>
      <c r="M41" s="36"/>
      <c r="N41" s="36"/>
      <c r="O41" s="35"/>
    </row>
    <row r="42" s="1" customFormat="1" ht="18" customHeight="1" spans="1:15">
      <c r="A42" s="86"/>
      <c r="B42" s="26">
        <f t="shared" si="4"/>
        <v>0</v>
      </c>
      <c r="C42" s="27"/>
      <c r="D42" s="28"/>
      <c r="E42" s="29"/>
      <c r="F42" s="26">
        <f t="shared" si="5"/>
        <v>0</v>
      </c>
      <c r="G42" s="19"/>
      <c r="H42" s="16">
        <v>43206</v>
      </c>
      <c r="I42" s="9">
        <v>-191485.9</v>
      </c>
      <c r="J42" s="32" t="s">
        <v>40</v>
      </c>
      <c r="K42" s="34" t="s">
        <v>4</v>
      </c>
      <c r="L42" s="24" t="s">
        <v>41</v>
      </c>
      <c r="M42" s="36"/>
      <c r="N42" s="36"/>
      <c r="O42" s="35"/>
    </row>
    <row r="43" s="1" customFormat="1" ht="18" customHeight="1" spans="1:15">
      <c r="A43" s="86"/>
      <c r="B43" s="26">
        <f t="shared" si="4"/>
        <v>0</v>
      </c>
      <c r="C43" s="27"/>
      <c r="D43" s="28"/>
      <c r="E43" s="29"/>
      <c r="F43" s="26">
        <f t="shared" si="5"/>
        <v>0</v>
      </c>
      <c r="G43" s="19"/>
      <c r="H43" s="16">
        <v>43206</v>
      </c>
      <c r="I43" s="9">
        <v>180000</v>
      </c>
      <c r="J43" s="32" t="s">
        <v>37</v>
      </c>
      <c r="K43" s="34" t="s">
        <v>53</v>
      </c>
      <c r="L43" s="35" t="s">
        <v>54</v>
      </c>
      <c r="M43" s="36"/>
      <c r="N43" s="36"/>
      <c r="O43" s="35"/>
    </row>
    <row r="44" s="1" customFormat="1" ht="18" customHeight="1" spans="1:15">
      <c r="A44" s="86"/>
      <c r="B44" s="26">
        <f t="shared" si="4"/>
        <v>0</v>
      </c>
      <c r="C44" s="27"/>
      <c r="D44" s="28"/>
      <c r="E44" s="29"/>
      <c r="F44" s="26">
        <f t="shared" si="5"/>
        <v>0</v>
      </c>
      <c r="G44" s="19"/>
      <c r="H44" s="16">
        <v>43206</v>
      </c>
      <c r="I44" s="9">
        <v>-180000</v>
      </c>
      <c r="J44" s="32" t="s">
        <v>40</v>
      </c>
      <c r="K44" s="34" t="s">
        <v>4</v>
      </c>
      <c r="L44" s="24" t="s">
        <v>41</v>
      </c>
      <c r="M44" s="36"/>
      <c r="N44" s="36"/>
      <c r="O44" s="35"/>
    </row>
    <row r="45" s="1" customFormat="1" ht="18" customHeight="1" spans="1:15">
      <c r="A45" s="86"/>
      <c r="B45" s="26">
        <f t="shared" si="4"/>
        <v>0</v>
      </c>
      <c r="C45" s="27"/>
      <c r="D45" s="28"/>
      <c r="E45" s="29"/>
      <c r="F45" s="26">
        <f t="shared" si="5"/>
        <v>0</v>
      </c>
      <c r="G45" s="19"/>
      <c r="H45" s="16">
        <v>43207</v>
      </c>
      <c r="I45" s="9">
        <v>500000</v>
      </c>
      <c r="J45" s="32" t="s">
        <v>37</v>
      </c>
      <c r="K45" s="34" t="s">
        <v>55</v>
      </c>
      <c r="L45" s="35" t="s">
        <v>43</v>
      </c>
      <c r="M45" s="36"/>
      <c r="N45" s="36"/>
      <c r="O45" s="35"/>
    </row>
    <row r="46" s="1" customFormat="1" ht="18" customHeight="1" spans="1:15">
      <c r="A46" s="86"/>
      <c r="B46" s="26">
        <f t="shared" si="4"/>
        <v>0</v>
      </c>
      <c r="C46" s="27"/>
      <c r="D46" s="28"/>
      <c r="E46" s="29"/>
      <c r="F46" s="26">
        <f t="shared" si="5"/>
        <v>0</v>
      </c>
      <c r="G46" s="19"/>
      <c r="H46" s="16">
        <v>43207</v>
      </c>
      <c r="I46" s="9">
        <v>-500000</v>
      </c>
      <c r="J46" s="32" t="s">
        <v>40</v>
      </c>
      <c r="K46" s="34" t="s">
        <v>4</v>
      </c>
      <c r="L46" s="24" t="s">
        <v>41</v>
      </c>
      <c r="M46" s="36"/>
      <c r="N46" s="36"/>
      <c r="O46" s="35"/>
    </row>
    <row r="47" s="1" customFormat="1" ht="18" customHeight="1" spans="1:15">
      <c r="A47" s="86"/>
      <c r="B47" s="26">
        <f t="shared" si="4"/>
        <v>0</v>
      </c>
      <c r="C47" s="27"/>
      <c r="D47" s="28"/>
      <c r="E47" s="29"/>
      <c r="F47" s="26">
        <f t="shared" si="5"/>
        <v>0</v>
      </c>
      <c r="G47" s="19"/>
      <c r="H47" s="16">
        <v>43208</v>
      </c>
      <c r="I47" s="9">
        <v>182070</v>
      </c>
      <c r="J47" s="32" t="s">
        <v>37</v>
      </c>
      <c r="K47" s="34" t="s">
        <v>51</v>
      </c>
      <c r="L47" s="35" t="s">
        <v>52</v>
      </c>
      <c r="M47" s="36"/>
      <c r="N47" s="36"/>
      <c r="O47" s="35"/>
    </row>
    <row r="48" s="1" customFormat="1" ht="18" customHeight="1" spans="1:15">
      <c r="A48" s="86"/>
      <c r="B48" s="26">
        <f t="shared" si="4"/>
        <v>0</v>
      </c>
      <c r="C48" s="27"/>
      <c r="D48" s="28"/>
      <c r="E48" s="29"/>
      <c r="F48" s="26">
        <f t="shared" si="5"/>
        <v>0</v>
      </c>
      <c r="G48" s="19"/>
      <c r="H48" s="16">
        <v>43208</v>
      </c>
      <c r="I48" s="9">
        <v>-182070</v>
      </c>
      <c r="J48" s="32" t="s">
        <v>40</v>
      </c>
      <c r="K48" s="34" t="s">
        <v>4</v>
      </c>
      <c r="L48" s="24" t="s">
        <v>41</v>
      </c>
      <c r="M48" s="36"/>
      <c r="N48" s="36"/>
      <c r="O48" s="35"/>
    </row>
    <row r="49" s="1" customFormat="1" ht="18" customHeight="1" spans="1:15">
      <c r="A49" s="86"/>
      <c r="B49" s="26">
        <f t="shared" si="4"/>
        <v>0</v>
      </c>
      <c r="C49" s="27"/>
      <c r="D49" s="28"/>
      <c r="E49" s="29"/>
      <c r="F49" s="26">
        <f t="shared" si="5"/>
        <v>0</v>
      </c>
      <c r="G49" s="19"/>
      <c r="H49" s="16">
        <v>43209</v>
      </c>
      <c r="I49" s="9">
        <v>240000</v>
      </c>
      <c r="J49" s="32" t="s">
        <v>37</v>
      </c>
      <c r="K49" s="34" t="s">
        <v>51</v>
      </c>
      <c r="L49" s="35" t="s">
        <v>52</v>
      </c>
      <c r="M49" s="36"/>
      <c r="N49" s="36"/>
      <c r="O49" s="35"/>
    </row>
    <row r="50" s="1" customFormat="1" ht="18" customHeight="1" spans="1:15">
      <c r="A50" s="86"/>
      <c r="B50" s="26">
        <f t="shared" si="4"/>
        <v>0</v>
      </c>
      <c r="C50" s="27"/>
      <c r="D50" s="28"/>
      <c r="E50" s="29"/>
      <c r="F50" s="26">
        <f t="shared" si="5"/>
        <v>0</v>
      </c>
      <c r="G50" s="19"/>
      <c r="H50" s="16">
        <v>43209</v>
      </c>
      <c r="I50" s="9">
        <v>-240000</v>
      </c>
      <c r="J50" s="32" t="s">
        <v>40</v>
      </c>
      <c r="K50" s="34" t="s">
        <v>4</v>
      </c>
      <c r="L50" s="24" t="s">
        <v>41</v>
      </c>
      <c r="M50" s="36"/>
      <c r="N50" s="36"/>
      <c r="O50" s="35"/>
    </row>
    <row r="51" s="1" customFormat="1" ht="18" customHeight="1" spans="1:15">
      <c r="A51" s="86"/>
      <c r="B51" s="26">
        <f t="shared" si="4"/>
        <v>0</v>
      </c>
      <c r="C51" s="27"/>
      <c r="D51" s="28"/>
      <c r="E51" s="29"/>
      <c r="F51" s="26">
        <f t="shared" si="5"/>
        <v>0</v>
      </c>
      <c r="G51" s="19"/>
      <c r="H51" s="16">
        <v>43210</v>
      </c>
      <c r="I51" s="9">
        <v>300000</v>
      </c>
      <c r="J51" s="32" t="s">
        <v>37</v>
      </c>
      <c r="K51" s="34" t="s">
        <v>55</v>
      </c>
      <c r="L51" s="35" t="s">
        <v>43</v>
      </c>
      <c r="M51" s="36"/>
      <c r="N51" s="36"/>
      <c r="O51" s="35"/>
    </row>
    <row r="52" s="1" customFormat="1" ht="18" customHeight="1" spans="1:15">
      <c r="A52" s="86"/>
      <c r="B52" s="26">
        <f t="shared" si="4"/>
        <v>0</v>
      </c>
      <c r="C52" s="27"/>
      <c r="D52" s="28"/>
      <c r="E52" s="29"/>
      <c r="F52" s="26">
        <f t="shared" si="5"/>
        <v>0</v>
      </c>
      <c r="G52" s="19"/>
      <c r="H52" s="16">
        <v>43209</v>
      </c>
      <c r="I52" s="9">
        <v>-300000</v>
      </c>
      <c r="J52" s="32" t="s">
        <v>40</v>
      </c>
      <c r="K52" s="34" t="s">
        <v>4</v>
      </c>
      <c r="L52" s="24" t="s">
        <v>41</v>
      </c>
      <c r="M52" s="36"/>
      <c r="N52" s="36"/>
      <c r="O52" s="35"/>
    </row>
    <row r="53" s="1" customFormat="1" ht="18" customHeight="1" spans="1:15">
      <c r="A53" s="86"/>
      <c r="B53" s="26">
        <f t="shared" si="4"/>
        <v>0</v>
      </c>
      <c r="C53" s="27"/>
      <c r="D53" s="28"/>
      <c r="E53" s="29"/>
      <c r="F53" s="26">
        <f t="shared" si="5"/>
        <v>0</v>
      </c>
      <c r="G53" s="19"/>
      <c r="H53" s="16">
        <v>43210</v>
      </c>
      <c r="I53" s="9">
        <v>261729</v>
      </c>
      <c r="J53" s="32" t="s">
        <v>37</v>
      </c>
      <c r="K53" s="34" t="s">
        <v>51</v>
      </c>
      <c r="L53" s="35" t="s">
        <v>52</v>
      </c>
      <c r="M53" s="36"/>
      <c r="N53" s="36"/>
      <c r="O53" s="35"/>
    </row>
    <row r="54" s="1" customFormat="1" ht="18" customHeight="1" spans="1:15">
      <c r="A54" s="86"/>
      <c r="B54" s="26">
        <f t="shared" si="4"/>
        <v>0</v>
      </c>
      <c r="C54" s="27"/>
      <c r="D54" s="28"/>
      <c r="E54" s="29"/>
      <c r="F54" s="26">
        <f t="shared" si="5"/>
        <v>0</v>
      </c>
      <c r="G54" s="19"/>
      <c r="H54" s="16">
        <v>43210</v>
      </c>
      <c r="I54" s="9">
        <v>-261729</v>
      </c>
      <c r="J54" s="32" t="s">
        <v>40</v>
      </c>
      <c r="K54" s="34" t="s">
        <v>4</v>
      </c>
      <c r="L54" s="24" t="s">
        <v>41</v>
      </c>
      <c r="M54" s="36"/>
      <c r="N54" s="36"/>
      <c r="O54" s="35"/>
    </row>
    <row r="55" s="1" customFormat="1" ht="18" customHeight="1" spans="1:15">
      <c r="A55" s="86"/>
      <c r="B55" s="26">
        <f t="shared" si="4"/>
        <v>0</v>
      </c>
      <c r="C55" s="27"/>
      <c r="D55" s="28"/>
      <c r="E55" s="29"/>
      <c r="F55" s="26">
        <f t="shared" si="5"/>
        <v>0</v>
      </c>
      <c r="G55" s="19"/>
      <c r="H55" s="16">
        <v>43210</v>
      </c>
      <c r="I55" s="9">
        <v>2000000</v>
      </c>
      <c r="J55" s="32" t="s">
        <v>37</v>
      </c>
      <c r="K55" s="34" t="s">
        <v>47</v>
      </c>
      <c r="L55" s="35" t="s">
        <v>48</v>
      </c>
      <c r="M55" s="36"/>
      <c r="N55" s="36"/>
      <c r="O55" s="35"/>
    </row>
    <row r="56" s="1" customFormat="1" ht="18" customHeight="1" spans="1:15">
      <c r="A56" s="86"/>
      <c r="B56" s="26">
        <f t="shared" si="4"/>
        <v>0</v>
      </c>
      <c r="C56" s="27"/>
      <c r="D56" s="28"/>
      <c r="E56" s="29"/>
      <c r="F56" s="26">
        <f t="shared" si="5"/>
        <v>0</v>
      </c>
      <c r="G56" s="19"/>
      <c r="H56" s="16">
        <v>43210</v>
      </c>
      <c r="I56" s="9">
        <v>-2000000</v>
      </c>
      <c r="J56" s="32" t="s">
        <v>40</v>
      </c>
      <c r="K56" s="34" t="s">
        <v>4</v>
      </c>
      <c r="L56" s="24" t="s">
        <v>41</v>
      </c>
      <c r="M56" s="36"/>
      <c r="N56" s="36"/>
      <c r="O56" s="35"/>
    </row>
    <row r="57" s="1" customFormat="1" ht="18" customHeight="1" spans="1:15">
      <c r="A57" s="86"/>
      <c r="B57" s="26">
        <f t="shared" si="4"/>
        <v>0</v>
      </c>
      <c r="C57" s="27"/>
      <c r="D57" s="28"/>
      <c r="E57" s="29"/>
      <c r="F57" s="26">
        <f t="shared" si="5"/>
        <v>0</v>
      </c>
      <c r="G57" s="19"/>
      <c r="H57" s="16">
        <v>43213</v>
      </c>
      <c r="I57" s="9">
        <v>268419</v>
      </c>
      <c r="J57" s="32" t="s">
        <v>37</v>
      </c>
      <c r="K57" s="34" t="s">
        <v>51</v>
      </c>
      <c r="L57" s="35" t="s">
        <v>52</v>
      </c>
      <c r="M57" s="36"/>
      <c r="N57" s="36"/>
      <c r="O57" s="35"/>
    </row>
    <row r="58" s="1" customFormat="1" ht="18" customHeight="1" spans="1:15">
      <c r="A58" s="86"/>
      <c r="B58" s="26">
        <f t="shared" si="4"/>
        <v>0</v>
      </c>
      <c r="C58" s="27"/>
      <c r="D58" s="28"/>
      <c r="E58" s="29"/>
      <c r="F58" s="26">
        <f t="shared" si="5"/>
        <v>0</v>
      </c>
      <c r="G58" s="19"/>
      <c r="H58" s="16">
        <v>43213</v>
      </c>
      <c r="I58" s="9">
        <v>-268419</v>
      </c>
      <c r="J58" s="32" t="s">
        <v>40</v>
      </c>
      <c r="K58" s="34" t="s">
        <v>4</v>
      </c>
      <c r="L58" s="24" t="s">
        <v>41</v>
      </c>
      <c r="M58" s="36"/>
      <c r="N58" s="36"/>
      <c r="O58" s="35"/>
    </row>
    <row r="59" s="1" customFormat="1" ht="18" customHeight="1" spans="1:15">
      <c r="A59" s="86"/>
      <c r="B59" s="26">
        <f t="shared" si="4"/>
        <v>0</v>
      </c>
      <c r="C59" s="27"/>
      <c r="D59" s="28"/>
      <c r="E59" s="29"/>
      <c r="F59" s="26">
        <f t="shared" si="5"/>
        <v>0</v>
      </c>
      <c r="G59" s="19"/>
      <c r="H59" s="16">
        <v>43214</v>
      </c>
      <c r="I59" s="9">
        <v>500000</v>
      </c>
      <c r="J59" s="32" t="s">
        <v>37</v>
      </c>
      <c r="K59" s="34" t="s">
        <v>44</v>
      </c>
      <c r="L59" s="35" t="s">
        <v>43</v>
      </c>
      <c r="M59" s="36"/>
      <c r="N59" s="36"/>
      <c r="O59" s="35"/>
    </row>
    <row r="60" s="1" customFormat="1" ht="18" customHeight="1" spans="1:15">
      <c r="A60" s="86"/>
      <c r="B60" s="26">
        <f t="shared" si="4"/>
        <v>0</v>
      </c>
      <c r="C60" s="27"/>
      <c r="D60" s="28"/>
      <c r="E60" s="29"/>
      <c r="F60" s="26">
        <f t="shared" si="5"/>
        <v>0</v>
      </c>
      <c r="G60" s="19"/>
      <c r="H60" s="16">
        <v>43214</v>
      </c>
      <c r="I60" s="9">
        <v>-500000</v>
      </c>
      <c r="J60" s="32" t="s">
        <v>40</v>
      </c>
      <c r="K60" s="34" t="s">
        <v>4</v>
      </c>
      <c r="L60" s="24" t="s">
        <v>41</v>
      </c>
      <c r="M60" s="36"/>
      <c r="N60" s="36"/>
      <c r="O60" s="35"/>
    </row>
    <row r="61" s="1" customFormat="1" ht="18" customHeight="1" spans="1:15">
      <c r="A61" s="86"/>
      <c r="B61" s="26">
        <f t="shared" si="4"/>
        <v>0</v>
      </c>
      <c r="C61" s="27"/>
      <c r="D61" s="28"/>
      <c r="E61" s="29"/>
      <c r="F61" s="26">
        <f t="shared" si="5"/>
        <v>0</v>
      </c>
      <c r="G61" s="19"/>
      <c r="H61" s="16">
        <v>43214</v>
      </c>
      <c r="I61" s="9">
        <f>196817.1+150000</f>
        <v>346817.1</v>
      </c>
      <c r="J61" s="32" t="s">
        <v>37</v>
      </c>
      <c r="K61" s="34" t="s">
        <v>51</v>
      </c>
      <c r="L61" s="35" t="s">
        <v>52</v>
      </c>
      <c r="M61" s="36"/>
      <c r="N61" s="36"/>
      <c r="O61" s="35"/>
    </row>
    <row r="62" s="1" customFormat="1" ht="18" customHeight="1" spans="1:15">
      <c r="A62" s="86"/>
      <c r="B62" s="26">
        <f t="shared" si="4"/>
        <v>0</v>
      </c>
      <c r="C62" s="27"/>
      <c r="D62" s="28"/>
      <c r="E62" s="29"/>
      <c r="F62" s="26">
        <f t="shared" si="5"/>
        <v>0</v>
      </c>
      <c r="G62" s="19"/>
      <c r="H62" s="16">
        <v>43214</v>
      </c>
      <c r="I62" s="9">
        <f>-196817.1-150000</f>
        <v>-346817.1</v>
      </c>
      <c r="J62" s="32" t="s">
        <v>40</v>
      </c>
      <c r="K62" s="34" t="s">
        <v>4</v>
      </c>
      <c r="L62" s="24" t="s">
        <v>41</v>
      </c>
      <c r="M62" s="36"/>
      <c r="N62" s="36"/>
      <c r="O62" s="35"/>
    </row>
    <row r="63" s="1" customFormat="1" ht="18" customHeight="1" spans="1:15">
      <c r="A63" s="86"/>
      <c r="B63" s="26">
        <f t="shared" si="4"/>
        <v>0</v>
      </c>
      <c r="C63" s="27"/>
      <c r="D63" s="28"/>
      <c r="E63" s="29"/>
      <c r="F63" s="26">
        <f t="shared" si="5"/>
        <v>0</v>
      </c>
      <c r="G63" s="19"/>
      <c r="H63" s="16">
        <v>43215</v>
      </c>
      <c r="I63" s="9">
        <v>300000</v>
      </c>
      <c r="J63" s="32" t="s">
        <v>37</v>
      </c>
      <c r="K63" s="34" t="s">
        <v>46</v>
      </c>
      <c r="L63" s="35" t="s">
        <v>43</v>
      </c>
      <c r="M63" s="36"/>
      <c r="N63" s="36"/>
      <c r="O63" s="35"/>
    </row>
    <row r="64" s="1" customFormat="1" ht="18" customHeight="1" spans="1:15">
      <c r="A64" s="86"/>
      <c r="B64" s="26">
        <f t="shared" si="4"/>
        <v>0</v>
      </c>
      <c r="C64" s="27"/>
      <c r="D64" s="28"/>
      <c r="E64" s="29"/>
      <c r="F64" s="26">
        <f t="shared" si="5"/>
        <v>0</v>
      </c>
      <c r="G64" s="19"/>
      <c r="H64" s="16">
        <v>43215</v>
      </c>
      <c r="I64" s="9">
        <v>-300000</v>
      </c>
      <c r="J64" s="32" t="s">
        <v>40</v>
      </c>
      <c r="K64" s="34" t="s">
        <v>4</v>
      </c>
      <c r="L64" s="24" t="s">
        <v>41</v>
      </c>
      <c r="M64" s="36"/>
      <c r="N64" s="36"/>
      <c r="O64" s="35"/>
    </row>
    <row r="65" s="1" customFormat="1" ht="18" customHeight="1" spans="1:15">
      <c r="A65" s="86"/>
      <c r="B65" s="26">
        <f t="shared" si="4"/>
        <v>0</v>
      </c>
      <c r="C65" s="27"/>
      <c r="D65" s="28"/>
      <c r="E65" s="29"/>
      <c r="F65" s="26">
        <f t="shared" si="5"/>
        <v>0</v>
      </c>
      <c r="G65" s="19"/>
      <c r="H65" s="16">
        <v>43216</v>
      </c>
      <c r="I65" s="9">
        <v>187040</v>
      </c>
      <c r="J65" s="32" t="s">
        <v>37</v>
      </c>
      <c r="K65" s="34" t="s">
        <v>51</v>
      </c>
      <c r="L65" s="35" t="s">
        <v>52</v>
      </c>
      <c r="M65" s="36"/>
      <c r="N65" s="36"/>
      <c r="O65" s="35"/>
    </row>
    <row r="66" s="1" customFormat="1" ht="18" customHeight="1" spans="1:15">
      <c r="A66" s="86"/>
      <c r="B66" s="26">
        <f t="shared" si="4"/>
        <v>0</v>
      </c>
      <c r="C66" s="27"/>
      <c r="D66" s="28"/>
      <c r="E66" s="29"/>
      <c r="F66" s="26">
        <f t="shared" si="5"/>
        <v>0</v>
      </c>
      <c r="G66" s="19"/>
      <c r="H66" s="16">
        <v>43216</v>
      </c>
      <c r="I66" s="9">
        <v>-187040</v>
      </c>
      <c r="J66" s="32" t="s">
        <v>40</v>
      </c>
      <c r="K66" s="34" t="s">
        <v>4</v>
      </c>
      <c r="L66" s="24" t="s">
        <v>41</v>
      </c>
      <c r="M66" s="36"/>
      <c r="N66" s="36"/>
      <c r="O66" s="35"/>
    </row>
    <row r="67" s="1" customFormat="1" ht="18" customHeight="1" spans="1:15">
      <c r="A67" s="86"/>
      <c r="B67" s="26">
        <f t="shared" si="4"/>
        <v>0</v>
      </c>
      <c r="C67" s="27"/>
      <c r="D67" s="28"/>
      <c r="E67" s="29"/>
      <c r="F67" s="26">
        <f t="shared" si="5"/>
        <v>0</v>
      </c>
      <c r="G67" s="19"/>
      <c r="H67" s="16">
        <v>43217</v>
      </c>
      <c r="I67" s="9">
        <v>70000</v>
      </c>
      <c r="J67" s="32" t="s">
        <v>37</v>
      </c>
      <c r="K67" s="34" t="s">
        <v>51</v>
      </c>
      <c r="L67" s="35" t="s">
        <v>52</v>
      </c>
      <c r="M67" s="36"/>
      <c r="N67" s="36"/>
      <c r="O67" s="35"/>
    </row>
    <row r="68" s="1" customFormat="1" ht="18" customHeight="1" spans="1:15">
      <c r="A68" s="86"/>
      <c r="B68" s="26">
        <f t="shared" si="4"/>
        <v>0</v>
      </c>
      <c r="C68" s="27"/>
      <c r="D68" s="28"/>
      <c r="E68" s="29"/>
      <c r="F68" s="26">
        <f t="shared" si="5"/>
        <v>0</v>
      </c>
      <c r="G68" s="19"/>
      <c r="H68" s="16">
        <v>43217</v>
      </c>
      <c r="I68" s="9">
        <v>-70000</v>
      </c>
      <c r="J68" s="32" t="s">
        <v>40</v>
      </c>
      <c r="K68" s="34" t="s">
        <v>4</v>
      </c>
      <c r="L68" s="24" t="s">
        <v>41</v>
      </c>
      <c r="M68" s="36"/>
      <c r="N68" s="36"/>
      <c r="O68" s="35"/>
    </row>
    <row r="69" s="1" customFormat="1" ht="18" customHeight="1" spans="1:15">
      <c r="A69" s="86">
        <v>43265</v>
      </c>
      <c r="B69" s="26">
        <f t="shared" si="4"/>
        <v>431037.93</v>
      </c>
      <c r="C69" s="27">
        <v>5</v>
      </c>
      <c r="D69" s="28" t="s">
        <v>36</v>
      </c>
      <c r="E69" s="29">
        <v>0.16</v>
      </c>
      <c r="F69" s="26">
        <f t="shared" si="5"/>
        <v>68966.07</v>
      </c>
      <c r="G69" s="19">
        <v>500004</v>
      </c>
      <c r="H69" s="16">
        <v>43217</v>
      </c>
      <c r="I69" s="9">
        <v>300000</v>
      </c>
      <c r="J69" s="32" t="s">
        <v>37</v>
      </c>
      <c r="K69" s="34" t="s">
        <v>56</v>
      </c>
      <c r="L69" s="35" t="s">
        <v>43</v>
      </c>
      <c r="M69" s="36"/>
      <c r="N69" s="36"/>
      <c r="O69" s="35"/>
    </row>
    <row r="70" s="1" customFormat="1" ht="18" customHeight="1" spans="1:15">
      <c r="A70" s="86"/>
      <c r="B70" s="26">
        <f t="shared" si="4"/>
        <v>0</v>
      </c>
      <c r="C70" s="27"/>
      <c r="D70" s="28"/>
      <c r="E70" s="29"/>
      <c r="F70" s="26">
        <f t="shared" si="5"/>
        <v>0</v>
      </c>
      <c r="G70" s="19"/>
      <c r="H70" s="16">
        <v>43217</v>
      </c>
      <c r="I70" s="9">
        <v>-300000</v>
      </c>
      <c r="J70" s="32" t="s">
        <v>40</v>
      </c>
      <c r="K70" s="34" t="s">
        <v>4</v>
      </c>
      <c r="L70" s="24" t="s">
        <v>41</v>
      </c>
      <c r="M70" s="36"/>
      <c r="N70" s="36"/>
      <c r="O70" s="35"/>
    </row>
    <row r="71" s="1" customFormat="1" ht="18" customHeight="1" spans="1:15">
      <c r="A71" s="86">
        <v>43265</v>
      </c>
      <c r="B71" s="26">
        <f t="shared" si="4"/>
        <v>85470.09</v>
      </c>
      <c r="C71" s="27">
        <v>1</v>
      </c>
      <c r="D71" s="28" t="s">
        <v>36</v>
      </c>
      <c r="E71" s="29">
        <v>0.17</v>
      </c>
      <c r="F71" s="26">
        <f t="shared" si="5"/>
        <v>14529.91</v>
      </c>
      <c r="G71" s="19">
        <v>100000</v>
      </c>
      <c r="H71" s="16">
        <v>43218</v>
      </c>
      <c r="I71" s="9">
        <v>100000</v>
      </c>
      <c r="J71" s="32" t="s">
        <v>37</v>
      </c>
      <c r="K71" s="34" t="s">
        <v>57</v>
      </c>
      <c r="L71" s="35" t="s">
        <v>43</v>
      </c>
      <c r="M71" s="36"/>
      <c r="N71" s="36"/>
      <c r="O71" s="35"/>
    </row>
    <row r="72" s="1" customFormat="1" ht="18" customHeight="1" spans="1:15">
      <c r="A72" s="86"/>
      <c r="B72" s="26">
        <f t="shared" si="4"/>
        <v>0</v>
      </c>
      <c r="C72" s="27"/>
      <c r="D72" s="28"/>
      <c r="E72" s="29"/>
      <c r="F72" s="26">
        <f t="shared" si="5"/>
        <v>0</v>
      </c>
      <c r="G72" s="19"/>
      <c r="H72" s="16">
        <v>43218</v>
      </c>
      <c r="I72" s="9">
        <v>-100000</v>
      </c>
      <c r="J72" s="32" t="s">
        <v>40</v>
      </c>
      <c r="K72" s="34" t="s">
        <v>4</v>
      </c>
      <c r="L72" s="24" t="s">
        <v>41</v>
      </c>
      <c r="M72" s="36"/>
      <c r="N72" s="36"/>
      <c r="O72" s="35"/>
    </row>
    <row r="73" s="1" customFormat="1" ht="18" customHeight="1" spans="1:15">
      <c r="A73" s="86"/>
      <c r="B73" s="26">
        <f t="shared" si="4"/>
        <v>0</v>
      </c>
      <c r="C73" s="27"/>
      <c r="D73" s="28"/>
      <c r="E73" s="29"/>
      <c r="F73" s="26">
        <f t="shared" si="5"/>
        <v>0</v>
      </c>
      <c r="G73" s="19"/>
      <c r="H73" s="16">
        <v>43218</v>
      </c>
      <c r="I73" s="9">
        <v>350000</v>
      </c>
      <c r="J73" s="32" t="s">
        <v>37</v>
      </c>
      <c r="K73" s="34" t="s">
        <v>56</v>
      </c>
      <c r="L73" s="35"/>
      <c r="M73" s="36"/>
      <c r="N73" s="36"/>
      <c r="O73" s="35"/>
    </row>
    <row r="74" s="1" customFormat="1" ht="18" customHeight="1" spans="1:15">
      <c r="A74" s="86"/>
      <c r="B74" s="26">
        <f t="shared" si="4"/>
        <v>0</v>
      </c>
      <c r="C74" s="27"/>
      <c r="D74" s="28"/>
      <c r="E74" s="29"/>
      <c r="F74" s="26">
        <f t="shared" si="5"/>
        <v>0</v>
      </c>
      <c r="G74" s="19"/>
      <c r="H74" s="16">
        <v>43218</v>
      </c>
      <c r="I74" s="9">
        <v>-350000</v>
      </c>
      <c r="J74" s="32" t="s">
        <v>40</v>
      </c>
      <c r="K74" s="34" t="s">
        <v>4</v>
      </c>
      <c r="L74" s="24" t="s">
        <v>41</v>
      </c>
      <c r="M74" s="36"/>
      <c r="N74" s="36"/>
      <c r="O74" s="35"/>
    </row>
    <row r="75" s="1" customFormat="1" ht="18" customHeight="1" spans="1:15">
      <c r="A75" s="86"/>
      <c r="B75" s="26">
        <f t="shared" si="4"/>
        <v>0</v>
      </c>
      <c r="C75" s="27"/>
      <c r="D75" s="28"/>
      <c r="E75" s="29"/>
      <c r="F75" s="26">
        <f t="shared" si="5"/>
        <v>0</v>
      </c>
      <c r="G75" s="19"/>
      <c r="H75" s="16">
        <v>43223</v>
      </c>
      <c r="I75" s="9">
        <v>350000</v>
      </c>
      <c r="J75" s="32" t="s">
        <v>37</v>
      </c>
      <c r="K75" s="34" t="s">
        <v>56</v>
      </c>
      <c r="L75" s="35" t="s">
        <v>43</v>
      </c>
      <c r="M75" s="36"/>
      <c r="N75" s="36"/>
      <c r="O75" s="35" t="s">
        <v>58</v>
      </c>
    </row>
    <row r="76" s="1" customFormat="1" ht="18" customHeight="1" spans="1:15">
      <c r="A76" s="86"/>
      <c r="B76" s="26">
        <f t="shared" si="4"/>
        <v>0</v>
      </c>
      <c r="C76" s="27"/>
      <c r="D76" s="28"/>
      <c r="E76" s="29"/>
      <c r="F76" s="26">
        <f t="shared" si="5"/>
        <v>0</v>
      </c>
      <c r="G76" s="19"/>
      <c r="H76" s="16">
        <v>43223</v>
      </c>
      <c r="I76" s="9">
        <v>-350000</v>
      </c>
      <c r="J76" s="32" t="s">
        <v>40</v>
      </c>
      <c r="K76" s="34" t="s">
        <v>4</v>
      </c>
      <c r="L76" s="24" t="s">
        <v>41</v>
      </c>
      <c r="M76" s="36"/>
      <c r="N76" s="36"/>
      <c r="O76" s="35"/>
    </row>
    <row r="77" s="1" customFormat="1" ht="18" customHeight="1" spans="1:15">
      <c r="A77" s="86">
        <v>43265</v>
      </c>
      <c r="B77" s="26">
        <f t="shared" si="4"/>
        <v>1266147.41</v>
      </c>
      <c r="C77" s="27">
        <v>13</v>
      </c>
      <c r="D77" s="28" t="s">
        <v>36</v>
      </c>
      <c r="E77" s="29">
        <v>0.16</v>
      </c>
      <c r="F77" s="26">
        <f t="shared" si="5"/>
        <v>202583.58</v>
      </c>
      <c r="G77" s="19">
        <v>1468730.99</v>
      </c>
      <c r="H77" s="16">
        <v>43224</v>
      </c>
      <c r="I77" s="9">
        <v>600000</v>
      </c>
      <c r="J77" s="32" t="s">
        <v>37</v>
      </c>
      <c r="K77" s="34" t="s">
        <v>59</v>
      </c>
      <c r="L77" s="35" t="s">
        <v>60</v>
      </c>
      <c r="M77" s="36"/>
      <c r="N77" s="36"/>
      <c r="O77" s="35"/>
    </row>
    <row r="78" s="1" customFormat="1" ht="18" customHeight="1" spans="1:15">
      <c r="A78" s="86"/>
      <c r="B78" s="26">
        <f t="shared" si="4"/>
        <v>0</v>
      </c>
      <c r="C78" s="27"/>
      <c r="D78" s="28"/>
      <c r="E78" s="29"/>
      <c r="F78" s="26">
        <f t="shared" si="5"/>
        <v>0</v>
      </c>
      <c r="G78" s="19"/>
      <c r="H78" s="16">
        <v>43224</v>
      </c>
      <c r="I78" s="9">
        <v>-600000</v>
      </c>
      <c r="J78" s="32" t="s">
        <v>40</v>
      </c>
      <c r="K78" s="34" t="s">
        <v>4</v>
      </c>
      <c r="L78" s="24" t="s">
        <v>41</v>
      </c>
      <c r="M78" s="36"/>
      <c r="N78" s="36"/>
      <c r="O78" s="35"/>
    </row>
    <row r="79" s="1" customFormat="1" ht="18" customHeight="1" spans="1:15">
      <c r="A79" s="86"/>
      <c r="B79" s="26">
        <f t="shared" ref="B79:B132" si="6">ROUND(G79/(1+E79),2)</f>
        <v>0</v>
      </c>
      <c r="C79" s="27"/>
      <c r="D79" s="28"/>
      <c r="E79" s="29"/>
      <c r="F79" s="26">
        <f t="shared" ref="F79:F132" si="7">ROUND(G79/(1+E79)*E79,2)</f>
        <v>0</v>
      </c>
      <c r="G79" s="19"/>
      <c r="H79" s="16">
        <v>43238</v>
      </c>
      <c r="I79" s="9">
        <v>99830</v>
      </c>
      <c r="J79" s="32" t="s">
        <v>37</v>
      </c>
      <c r="K79" s="34" t="s">
        <v>53</v>
      </c>
      <c r="L79" s="35" t="s">
        <v>54</v>
      </c>
      <c r="M79" s="36"/>
      <c r="N79" s="36"/>
      <c r="O79" s="35"/>
    </row>
    <row r="80" s="1" customFormat="1" ht="18" customHeight="1" spans="1:15">
      <c r="A80" s="86"/>
      <c r="B80" s="26">
        <f t="shared" si="6"/>
        <v>0</v>
      </c>
      <c r="C80" s="27"/>
      <c r="D80" s="28"/>
      <c r="E80" s="29"/>
      <c r="F80" s="26">
        <f t="shared" si="7"/>
        <v>0</v>
      </c>
      <c r="G80" s="19"/>
      <c r="H80" s="16">
        <v>43238</v>
      </c>
      <c r="I80" s="9">
        <v>-99830</v>
      </c>
      <c r="J80" s="32" t="s">
        <v>40</v>
      </c>
      <c r="K80" s="34" t="s">
        <v>4</v>
      </c>
      <c r="L80" s="24" t="s">
        <v>41</v>
      </c>
      <c r="M80" s="36"/>
      <c r="N80" s="36"/>
      <c r="O80" s="35"/>
    </row>
    <row r="81" s="1" customFormat="1" ht="18" customHeight="1" spans="1:15">
      <c r="A81" s="86"/>
      <c r="B81" s="26">
        <f t="shared" si="6"/>
        <v>0</v>
      </c>
      <c r="C81" s="27"/>
      <c r="D81" s="28"/>
      <c r="E81" s="29"/>
      <c r="F81" s="26">
        <f t="shared" si="7"/>
        <v>0</v>
      </c>
      <c r="G81" s="19"/>
      <c r="H81" s="16">
        <v>43238</v>
      </c>
      <c r="I81" s="9">
        <v>1400000</v>
      </c>
      <c r="J81" s="32" t="s">
        <v>37</v>
      </c>
      <c r="K81" s="34" t="s">
        <v>47</v>
      </c>
      <c r="L81" s="35" t="s">
        <v>48</v>
      </c>
      <c r="M81" s="36"/>
      <c r="N81" s="36"/>
      <c r="O81" s="35"/>
    </row>
    <row r="82" s="1" customFormat="1" ht="18" customHeight="1" spans="1:15">
      <c r="A82" s="86"/>
      <c r="B82" s="26">
        <f t="shared" si="6"/>
        <v>0</v>
      </c>
      <c r="C82" s="27"/>
      <c r="D82" s="28"/>
      <c r="E82" s="29"/>
      <c r="F82" s="26">
        <f t="shared" si="7"/>
        <v>0</v>
      </c>
      <c r="G82" s="19"/>
      <c r="H82" s="16">
        <v>43238</v>
      </c>
      <c r="I82" s="9">
        <v>-1400000</v>
      </c>
      <c r="J82" s="32" t="s">
        <v>40</v>
      </c>
      <c r="K82" s="34" t="s">
        <v>4</v>
      </c>
      <c r="L82" s="24" t="s">
        <v>41</v>
      </c>
      <c r="M82" s="36"/>
      <c r="N82" s="36"/>
      <c r="O82" s="35"/>
    </row>
    <row r="83" s="1" customFormat="1" ht="18" customHeight="1" spans="1:15">
      <c r="A83" s="86"/>
      <c r="B83" s="26">
        <f t="shared" si="6"/>
        <v>0</v>
      </c>
      <c r="C83" s="27"/>
      <c r="D83" s="28"/>
      <c r="E83" s="29"/>
      <c r="F83" s="26">
        <f t="shared" si="7"/>
        <v>0</v>
      </c>
      <c r="G83" s="19"/>
      <c r="H83" s="16">
        <v>43241</v>
      </c>
      <c r="I83" s="9">
        <v>100000</v>
      </c>
      <c r="J83" s="32" t="s">
        <v>37</v>
      </c>
      <c r="K83" s="34" t="s">
        <v>61</v>
      </c>
      <c r="L83" s="35" t="s">
        <v>43</v>
      </c>
      <c r="M83" s="36" t="s">
        <v>45</v>
      </c>
      <c r="N83" s="36"/>
      <c r="O83" s="35" t="s">
        <v>62</v>
      </c>
    </row>
    <row r="84" s="1" customFormat="1" ht="18" customHeight="1" spans="1:15">
      <c r="A84" s="86"/>
      <c r="B84" s="26">
        <f t="shared" si="6"/>
        <v>0</v>
      </c>
      <c r="C84" s="27"/>
      <c r="D84" s="28"/>
      <c r="E84" s="29"/>
      <c r="F84" s="26">
        <f t="shared" si="7"/>
        <v>0</v>
      </c>
      <c r="G84" s="19"/>
      <c r="H84" s="16">
        <v>43241</v>
      </c>
      <c r="I84" s="9">
        <v>-100000</v>
      </c>
      <c r="J84" s="32" t="s">
        <v>40</v>
      </c>
      <c r="K84" s="34" t="s">
        <v>4</v>
      </c>
      <c r="L84" s="24" t="s">
        <v>41</v>
      </c>
      <c r="M84" s="36"/>
      <c r="N84" s="36"/>
      <c r="O84" s="35"/>
    </row>
    <row r="85" s="1" customFormat="1" ht="18" customHeight="1" spans="1:15">
      <c r="A85" s="86"/>
      <c r="B85" s="26">
        <f t="shared" si="6"/>
        <v>0</v>
      </c>
      <c r="C85" s="27"/>
      <c r="D85" s="28"/>
      <c r="E85" s="29"/>
      <c r="F85" s="26">
        <f t="shared" si="7"/>
        <v>0</v>
      </c>
      <c r="G85" s="19"/>
      <c r="H85" s="16">
        <v>43243</v>
      </c>
      <c r="I85" s="9">
        <v>-100889.16</v>
      </c>
      <c r="J85" s="32" t="s">
        <v>40</v>
      </c>
      <c r="K85" s="34" t="s">
        <v>4</v>
      </c>
      <c r="L85" s="24" t="s">
        <v>41</v>
      </c>
      <c r="M85" s="36"/>
      <c r="N85" s="36"/>
      <c r="O85" s="35"/>
    </row>
    <row r="86" s="1" customFormat="1" ht="18" customHeight="1" spans="1:15">
      <c r="A86" s="86"/>
      <c r="B86" s="26">
        <f t="shared" si="6"/>
        <v>0</v>
      </c>
      <c r="C86" s="27"/>
      <c r="D86" s="28"/>
      <c r="E86" s="29"/>
      <c r="F86" s="26">
        <f t="shared" si="7"/>
        <v>0</v>
      </c>
      <c r="G86" s="19"/>
      <c r="H86" s="16">
        <v>43243</v>
      </c>
      <c r="I86" s="9">
        <v>100889.16</v>
      </c>
      <c r="J86" s="32" t="s">
        <v>37</v>
      </c>
      <c r="K86" s="34" t="s">
        <v>63</v>
      </c>
      <c r="L86" s="35" t="s">
        <v>64</v>
      </c>
      <c r="M86" s="36"/>
      <c r="N86" s="36"/>
      <c r="O86" s="35"/>
    </row>
    <row r="87" s="1" customFormat="1" ht="18" customHeight="1" spans="1:15">
      <c r="A87" s="86"/>
      <c r="B87" s="26">
        <f t="shared" si="6"/>
        <v>0</v>
      </c>
      <c r="C87" s="27"/>
      <c r="D87" s="28"/>
      <c r="E87" s="29"/>
      <c r="F87" s="26">
        <f t="shared" si="7"/>
        <v>0</v>
      </c>
      <c r="G87" s="19"/>
      <c r="H87" s="16">
        <v>43259</v>
      </c>
      <c r="I87" s="9">
        <v>-124136.65</v>
      </c>
      <c r="J87" s="32" t="s">
        <v>40</v>
      </c>
      <c r="K87" s="34" t="s">
        <v>4</v>
      </c>
      <c r="L87" s="24" t="s">
        <v>41</v>
      </c>
      <c r="M87" s="36"/>
      <c r="N87" s="36"/>
      <c r="O87" s="35"/>
    </row>
    <row r="88" s="1" customFormat="1" ht="18" customHeight="1" spans="1:15">
      <c r="A88" s="86"/>
      <c r="B88" s="26">
        <f t="shared" si="6"/>
        <v>0</v>
      </c>
      <c r="C88" s="27"/>
      <c r="D88" s="28"/>
      <c r="E88" s="29"/>
      <c r="F88" s="26">
        <f t="shared" si="7"/>
        <v>0</v>
      </c>
      <c r="G88" s="19"/>
      <c r="H88" s="16">
        <v>43259</v>
      </c>
      <c r="I88" s="9">
        <v>124136.65</v>
      </c>
      <c r="J88" s="32" t="s">
        <v>37</v>
      </c>
      <c r="K88" s="34" t="s">
        <v>63</v>
      </c>
      <c r="L88" s="35" t="s">
        <v>64</v>
      </c>
      <c r="M88" s="36"/>
      <c r="N88" s="36"/>
      <c r="O88" s="35"/>
    </row>
    <row r="89" s="1" customFormat="1" ht="18" customHeight="1" spans="1:15">
      <c r="A89" s="86"/>
      <c r="B89" s="26">
        <f t="shared" si="6"/>
        <v>0</v>
      </c>
      <c r="C89" s="27"/>
      <c r="D89" s="28"/>
      <c r="E89" s="29"/>
      <c r="F89" s="26">
        <f t="shared" si="7"/>
        <v>0</v>
      </c>
      <c r="G89" s="38"/>
      <c r="H89" s="16">
        <v>43262</v>
      </c>
      <c r="I89" s="9">
        <v>-868730.99</v>
      </c>
      <c r="J89" s="44" t="s">
        <v>40</v>
      </c>
      <c r="K89" s="34" t="s">
        <v>4</v>
      </c>
      <c r="L89" s="24" t="s">
        <v>41</v>
      </c>
      <c r="M89" s="36"/>
      <c r="N89" s="36"/>
      <c r="O89" s="35"/>
    </row>
    <row r="90" s="1" customFormat="1" ht="18" customHeight="1" spans="1:15">
      <c r="A90" s="86"/>
      <c r="B90" s="26">
        <f t="shared" si="6"/>
        <v>0</v>
      </c>
      <c r="C90" s="27"/>
      <c r="D90" s="28"/>
      <c r="E90" s="29"/>
      <c r="F90" s="26">
        <f t="shared" si="7"/>
        <v>0</v>
      </c>
      <c r="G90" s="38"/>
      <c r="H90" s="16">
        <v>43262</v>
      </c>
      <c r="I90" s="9">
        <v>868730.99</v>
      </c>
      <c r="J90" s="44" t="s">
        <v>37</v>
      </c>
      <c r="K90" s="34" t="s">
        <v>59</v>
      </c>
      <c r="L90" s="35" t="s">
        <v>60</v>
      </c>
      <c r="M90" s="36"/>
      <c r="N90" s="36"/>
      <c r="O90" s="35"/>
    </row>
    <row r="91" s="1" customFormat="1" ht="18" customHeight="1" spans="1:15">
      <c r="A91" s="86"/>
      <c r="B91" s="26">
        <f t="shared" si="6"/>
        <v>0</v>
      </c>
      <c r="C91" s="27"/>
      <c r="D91" s="28"/>
      <c r="E91" s="29"/>
      <c r="F91" s="26">
        <f t="shared" si="7"/>
        <v>0</v>
      </c>
      <c r="G91" s="38"/>
      <c r="H91" s="16">
        <v>43265</v>
      </c>
      <c r="I91" s="9">
        <v>-2000</v>
      </c>
      <c r="J91" s="44" t="s">
        <v>40</v>
      </c>
      <c r="K91" s="34" t="s">
        <v>4</v>
      </c>
      <c r="L91" s="24" t="s">
        <v>41</v>
      </c>
      <c r="M91" s="36"/>
      <c r="N91" s="36"/>
      <c r="O91" s="35"/>
    </row>
    <row r="92" s="1" customFormat="1" ht="18" customHeight="1" spans="1:15">
      <c r="A92" s="86"/>
      <c r="B92" s="26">
        <f t="shared" si="6"/>
        <v>0</v>
      </c>
      <c r="C92" s="27"/>
      <c r="D92" s="28"/>
      <c r="E92" s="29"/>
      <c r="F92" s="26">
        <f t="shared" si="7"/>
        <v>0</v>
      </c>
      <c r="G92" s="38"/>
      <c r="H92" s="16">
        <v>43265</v>
      </c>
      <c r="I92" s="9">
        <v>2000</v>
      </c>
      <c r="J92" s="44" t="s">
        <v>37</v>
      </c>
      <c r="K92" s="34" t="s">
        <v>65</v>
      </c>
      <c r="L92" s="35" t="s">
        <v>66</v>
      </c>
      <c r="M92" s="36"/>
      <c r="N92" s="36"/>
      <c r="O92" s="35"/>
    </row>
    <row r="93" s="1" customFormat="1" ht="18" customHeight="1" spans="1:15">
      <c r="A93" s="86">
        <v>43265</v>
      </c>
      <c r="B93" s="26">
        <f t="shared" si="6"/>
        <v>2800</v>
      </c>
      <c r="C93" s="27">
        <v>1</v>
      </c>
      <c r="D93" s="28" t="s">
        <v>67</v>
      </c>
      <c r="E93" s="29"/>
      <c r="F93" s="26">
        <f t="shared" si="7"/>
        <v>0</v>
      </c>
      <c r="G93" s="38">
        <v>2800</v>
      </c>
      <c r="H93" s="16"/>
      <c r="I93" s="9"/>
      <c r="J93" s="44"/>
      <c r="K93" s="34" t="s">
        <v>68</v>
      </c>
      <c r="L93" s="35" t="s">
        <v>69</v>
      </c>
      <c r="M93" s="36"/>
      <c r="N93" s="36"/>
      <c r="O93" s="35"/>
    </row>
    <row r="94" s="1" customFormat="1" ht="18" customHeight="1" spans="1:15">
      <c r="A94" s="86">
        <v>43265</v>
      </c>
      <c r="B94" s="26">
        <f t="shared" si="6"/>
        <v>76111.11</v>
      </c>
      <c r="C94" s="27">
        <v>1</v>
      </c>
      <c r="D94" s="28" t="s">
        <v>36</v>
      </c>
      <c r="E94" s="29">
        <v>0.17</v>
      </c>
      <c r="F94" s="26">
        <f t="shared" si="7"/>
        <v>12938.89</v>
      </c>
      <c r="G94" s="38">
        <v>89050</v>
      </c>
      <c r="H94" s="16"/>
      <c r="I94" s="9"/>
      <c r="J94" s="44"/>
      <c r="K94" s="34" t="s">
        <v>70</v>
      </c>
      <c r="L94" s="35" t="s">
        <v>71</v>
      </c>
      <c r="M94" s="36"/>
      <c r="N94" s="36"/>
      <c r="O94" s="35"/>
    </row>
    <row r="95" s="1" customFormat="1" ht="18" customHeight="1" spans="1:15">
      <c r="A95" s="86">
        <v>43271</v>
      </c>
      <c r="B95" s="26">
        <f t="shared" si="6"/>
        <v>17461.81</v>
      </c>
      <c r="C95" s="27">
        <v>1</v>
      </c>
      <c r="D95" s="28" t="s">
        <v>36</v>
      </c>
      <c r="E95" s="29">
        <v>0.16</v>
      </c>
      <c r="F95" s="26">
        <f t="shared" si="7"/>
        <v>2793.89</v>
      </c>
      <c r="G95" s="38">
        <v>20255.7</v>
      </c>
      <c r="H95" s="16"/>
      <c r="I95" s="9"/>
      <c r="J95" s="44"/>
      <c r="K95" s="34" t="s">
        <v>46</v>
      </c>
      <c r="L95" s="35" t="s">
        <v>43</v>
      </c>
      <c r="M95" s="36"/>
      <c r="N95" s="36"/>
      <c r="O95" s="35" t="s">
        <v>58</v>
      </c>
    </row>
    <row r="96" s="1" customFormat="1" ht="18" customHeight="1" spans="1:15">
      <c r="A96" s="86">
        <v>43273</v>
      </c>
      <c r="B96" s="26">
        <f t="shared" si="6"/>
        <v>8400000</v>
      </c>
      <c r="C96" s="27">
        <v>1</v>
      </c>
      <c r="D96" s="28" t="s">
        <v>72</v>
      </c>
      <c r="E96" s="29"/>
      <c r="F96" s="26">
        <f t="shared" si="7"/>
        <v>0</v>
      </c>
      <c r="G96" s="39">
        <v>8400000</v>
      </c>
      <c r="H96" s="16"/>
      <c r="I96" s="9"/>
      <c r="J96" s="44"/>
      <c r="K96" s="34" t="s">
        <v>73</v>
      </c>
      <c r="L96" s="35" t="s">
        <v>74</v>
      </c>
      <c r="M96" s="36"/>
      <c r="N96" s="36"/>
      <c r="O96" s="35" t="s">
        <v>58</v>
      </c>
    </row>
    <row r="97" s="1" customFormat="1" ht="18" customHeight="1" spans="1:15">
      <c r="A97" s="86">
        <v>43273</v>
      </c>
      <c r="B97" s="26">
        <f t="shared" si="6"/>
        <v>1529000</v>
      </c>
      <c r="C97" s="27">
        <v>1</v>
      </c>
      <c r="D97" s="28" t="s">
        <v>72</v>
      </c>
      <c r="E97" s="29"/>
      <c r="F97" s="26">
        <f t="shared" si="7"/>
        <v>0</v>
      </c>
      <c r="G97" s="39">
        <v>1529000</v>
      </c>
      <c r="H97" s="16"/>
      <c r="I97" s="9"/>
      <c r="J97" s="44"/>
      <c r="K97" s="34" t="s">
        <v>75</v>
      </c>
      <c r="L97" s="35" t="s">
        <v>76</v>
      </c>
      <c r="M97" s="36"/>
      <c r="N97" s="36"/>
      <c r="O97" s="35" t="s">
        <v>77</v>
      </c>
    </row>
    <row r="98" s="1" customFormat="1" ht="18" customHeight="1" spans="1:15">
      <c r="A98" s="86">
        <v>43273</v>
      </c>
      <c r="B98" s="26">
        <f t="shared" si="6"/>
        <v>2800000</v>
      </c>
      <c r="C98" s="27">
        <v>1</v>
      </c>
      <c r="D98" s="28" t="s">
        <v>72</v>
      </c>
      <c r="E98" s="29"/>
      <c r="F98" s="26">
        <f t="shared" si="7"/>
        <v>0</v>
      </c>
      <c r="G98" s="39">
        <v>2800000</v>
      </c>
      <c r="H98" s="16"/>
      <c r="I98" s="9"/>
      <c r="J98" s="44"/>
      <c r="K98" s="34" t="s">
        <v>78</v>
      </c>
      <c r="L98" s="35" t="s">
        <v>79</v>
      </c>
      <c r="M98" s="36"/>
      <c r="N98" s="36"/>
      <c r="O98" s="35" t="s">
        <v>77</v>
      </c>
    </row>
    <row r="99" s="1" customFormat="1" ht="18" customHeight="1" spans="1:15">
      <c r="A99" s="86">
        <v>43273</v>
      </c>
      <c r="B99" s="26">
        <f t="shared" si="6"/>
        <v>659257</v>
      </c>
      <c r="C99" s="27">
        <v>1</v>
      </c>
      <c r="D99" s="28" t="s">
        <v>72</v>
      </c>
      <c r="E99" s="29"/>
      <c r="F99" s="26">
        <f t="shared" si="7"/>
        <v>0</v>
      </c>
      <c r="G99" s="39">
        <v>659257</v>
      </c>
      <c r="H99" s="16"/>
      <c r="I99" s="9"/>
      <c r="J99" s="44"/>
      <c r="K99" s="34" t="s">
        <v>80</v>
      </c>
      <c r="L99" s="35" t="s">
        <v>81</v>
      </c>
      <c r="M99" s="36"/>
      <c r="N99" s="36"/>
      <c r="O99" s="35" t="s">
        <v>77</v>
      </c>
    </row>
    <row r="100" ht="18" customHeight="1" spans="1:15">
      <c r="A100" s="83"/>
      <c r="B100" s="9">
        <f t="shared" si="6"/>
        <v>0</v>
      </c>
      <c r="C100" s="40"/>
      <c r="D100" s="41"/>
      <c r="E100" s="42"/>
      <c r="F100" s="9">
        <f t="shared" si="7"/>
        <v>0</v>
      </c>
      <c r="G100" s="43"/>
      <c r="H100" s="16">
        <v>43277</v>
      </c>
      <c r="I100" s="9">
        <v>20000</v>
      </c>
      <c r="J100" s="44" t="s">
        <v>21</v>
      </c>
      <c r="K100" s="45" t="s">
        <v>44</v>
      </c>
      <c r="L100" s="24" t="s">
        <v>43</v>
      </c>
      <c r="M100" s="32"/>
      <c r="N100" s="32"/>
      <c r="O100" s="24"/>
    </row>
    <row r="101" ht="18" customHeight="1" spans="1:15">
      <c r="A101" s="83"/>
      <c r="B101" s="9">
        <f t="shared" si="6"/>
        <v>0</v>
      </c>
      <c r="C101" s="40"/>
      <c r="D101" s="41"/>
      <c r="E101" s="42"/>
      <c r="F101" s="9">
        <f t="shared" si="7"/>
        <v>0</v>
      </c>
      <c r="G101" s="43"/>
      <c r="H101" s="16">
        <v>43276</v>
      </c>
      <c r="I101" s="37">
        <v>13388257</v>
      </c>
      <c r="J101" s="44" t="s">
        <v>82</v>
      </c>
      <c r="K101" s="45" t="s">
        <v>4</v>
      </c>
      <c r="L101" s="24" t="s">
        <v>83</v>
      </c>
      <c r="M101" s="32"/>
      <c r="N101" s="32"/>
      <c r="O101" s="24"/>
    </row>
    <row r="102" ht="18" customHeight="1" spans="1:15">
      <c r="A102" s="83"/>
      <c r="B102" s="9">
        <f t="shared" si="6"/>
        <v>0</v>
      </c>
      <c r="C102" s="40"/>
      <c r="D102" s="41"/>
      <c r="E102" s="42"/>
      <c r="F102" s="9">
        <f t="shared" si="7"/>
        <v>0</v>
      </c>
      <c r="G102" s="43"/>
      <c r="H102" s="16">
        <v>43276</v>
      </c>
      <c r="I102" s="9">
        <v>1800000</v>
      </c>
      <c r="J102" s="44" t="s">
        <v>21</v>
      </c>
      <c r="K102" s="45" t="s">
        <v>47</v>
      </c>
      <c r="L102" s="24" t="s">
        <v>48</v>
      </c>
      <c r="M102" s="32"/>
      <c r="N102" s="32"/>
      <c r="O102" s="24"/>
    </row>
    <row r="103" ht="18" customHeight="1" spans="1:15">
      <c r="A103" s="83"/>
      <c r="B103" s="9">
        <f t="shared" si="6"/>
        <v>0</v>
      </c>
      <c r="C103" s="40"/>
      <c r="D103" s="41"/>
      <c r="E103" s="42"/>
      <c r="F103" s="9">
        <f t="shared" si="7"/>
        <v>0</v>
      </c>
      <c r="G103" s="43"/>
      <c r="H103" s="16">
        <v>43277</v>
      </c>
      <c r="I103" s="9">
        <v>89050</v>
      </c>
      <c r="J103" s="44" t="s">
        <v>21</v>
      </c>
      <c r="K103" s="45" t="s">
        <v>70</v>
      </c>
      <c r="L103" s="24" t="s">
        <v>71</v>
      </c>
      <c r="M103" s="32"/>
      <c r="N103" s="32"/>
      <c r="O103" s="24"/>
    </row>
    <row r="104" ht="18" customHeight="1" spans="1:15">
      <c r="A104" s="83"/>
      <c r="B104" s="9">
        <f t="shared" si="6"/>
        <v>0</v>
      </c>
      <c r="C104" s="40"/>
      <c r="D104" s="41"/>
      <c r="E104" s="42"/>
      <c r="F104" s="9">
        <f t="shared" si="7"/>
        <v>0</v>
      </c>
      <c r="G104" s="43"/>
      <c r="H104" s="16">
        <v>43285</v>
      </c>
      <c r="I104" s="9">
        <v>256685.07</v>
      </c>
      <c r="J104" s="44" t="s">
        <v>21</v>
      </c>
      <c r="K104" s="45" t="s">
        <v>47</v>
      </c>
      <c r="L104" s="24" t="s">
        <v>48</v>
      </c>
      <c r="M104" s="32"/>
      <c r="N104" s="32"/>
      <c r="O104" s="24"/>
    </row>
    <row r="105" s="1" customFormat="1" ht="18" customHeight="1" spans="1:15">
      <c r="A105" s="86"/>
      <c r="B105" s="26">
        <f t="shared" si="6"/>
        <v>0</v>
      </c>
      <c r="C105" s="27"/>
      <c r="D105" s="28"/>
      <c r="E105" s="29"/>
      <c r="F105" s="26">
        <f t="shared" si="7"/>
        <v>0</v>
      </c>
      <c r="G105" s="38"/>
      <c r="H105" s="16">
        <v>43273</v>
      </c>
      <c r="I105" s="9">
        <v>10000</v>
      </c>
      <c r="J105" s="44" t="s">
        <v>37</v>
      </c>
      <c r="K105" s="34" t="s">
        <v>84</v>
      </c>
      <c r="L105" s="35" t="s">
        <v>85</v>
      </c>
      <c r="M105" s="36"/>
      <c r="N105" s="36"/>
      <c r="O105" s="35"/>
    </row>
    <row r="106" s="1" customFormat="1" ht="18" customHeight="1" spans="1:15">
      <c r="A106" s="86"/>
      <c r="B106" s="26">
        <f t="shared" si="6"/>
        <v>0</v>
      </c>
      <c r="C106" s="27"/>
      <c r="D106" s="28"/>
      <c r="E106" s="29"/>
      <c r="F106" s="26">
        <f t="shared" si="7"/>
        <v>0</v>
      </c>
      <c r="G106" s="38"/>
      <c r="H106" s="16">
        <v>43273</v>
      </c>
      <c r="I106" s="9">
        <v>-10000</v>
      </c>
      <c r="J106" s="44" t="s">
        <v>40</v>
      </c>
      <c r="K106" s="34" t="s">
        <v>4</v>
      </c>
      <c r="L106" s="24" t="s">
        <v>41</v>
      </c>
      <c r="M106" s="36"/>
      <c r="N106" s="36"/>
      <c r="O106" s="35"/>
    </row>
    <row r="107" ht="18" customHeight="1" spans="1:15">
      <c r="A107" s="83">
        <v>43335</v>
      </c>
      <c r="B107" s="9">
        <f t="shared" si="6"/>
        <v>14275.86</v>
      </c>
      <c r="C107" s="40">
        <v>1</v>
      </c>
      <c r="D107" s="41" t="s">
        <v>36</v>
      </c>
      <c r="E107" s="42">
        <v>0.16</v>
      </c>
      <c r="F107" s="9">
        <f t="shared" si="7"/>
        <v>2284.14</v>
      </c>
      <c r="G107" s="43">
        <v>16560</v>
      </c>
      <c r="H107" s="16">
        <v>43276</v>
      </c>
      <c r="I107" s="9">
        <v>14560</v>
      </c>
      <c r="J107" s="44" t="s">
        <v>37</v>
      </c>
      <c r="K107" s="45" t="s">
        <v>65</v>
      </c>
      <c r="L107" s="24" t="s">
        <v>86</v>
      </c>
      <c r="M107" s="32"/>
      <c r="N107" s="32"/>
      <c r="O107" s="24"/>
    </row>
    <row r="108" ht="18" customHeight="1" spans="1:15">
      <c r="A108" s="83"/>
      <c r="B108" s="9">
        <f t="shared" si="6"/>
        <v>0</v>
      </c>
      <c r="C108" s="40"/>
      <c r="D108" s="41"/>
      <c r="E108" s="42"/>
      <c r="F108" s="9">
        <f t="shared" si="7"/>
        <v>0</v>
      </c>
      <c r="G108" s="43"/>
      <c r="H108" s="16">
        <v>43276</v>
      </c>
      <c r="I108" s="9">
        <v>-14560</v>
      </c>
      <c r="J108" s="44" t="s">
        <v>82</v>
      </c>
      <c r="K108" s="45" t="s">
        <v>4</v>
      </c>
      <c r="L108" s="24" t="s">
        <v>41</v>
      </c>
      <c r="M108" s="32"/>
      <c r="N108" s="32"/>
      <c r="O108" s="24"/>
    </row>
    <row r="109" ht="18" customHeight="1" spans="1:15">
      <c r="A109" s="83">
        <v>43335</v>
      </c>
      <c r="B109" s="9">
        <f t="shared" si="6"/>
        <v>172413.79</v>
      </c>
      <c r="C109" s="40">
        <v>1</v>
      </c>
      <c r="D109" s="41" t="s">
        <v>36</v>
      </c>
      <c r="E109" s="42">
        <v>0.16</v>
      </c>
      <c r="F109" s="9">
        <f t="shared" si="7"/>
        <v>27586.21</v>
      </c>
      <c r="G109" s="43">
        <v>200000</v>
      </c>
      <c r="H109" s="16">
        <v>43277</v>
      </c>
      <c r="I109" s="9">
        <v>200000</v>
      </c>
      <c r="J109" s="44" t="s">
        <v>37</v>
      </c>
      <c r="K109" s="45" t="s">
        <v>70</v>
      </c>
      <c r="L109" s="24" t="s">
        <v>71</v>
      </c>
      <c r="M109" s="32"/>
      <c r="N109" s="32"/>
      <c r="O109" s="24"/>
    </row>
    <row r="110" ht="18" customHeight="1" spans="1:15">
      <c r="A110" s="83"/>
      <c r="B110" s="9">
        <f t="shared" si="6"/>
        <v>0</v>
      </c>
      <c r="C110" s="40"/>
      <c r="D110" s="41"/>
      <c r="E110" s="42"/>
      <c r="F110" s="9">
        <f t="shared" si="7"/>
        <v>0</v>
      </c>
      <c r="G110" s="43"/>
      <c r="H110" s="16">
        <v>43277</v>
      </c>
      <c r="I110" s="9">
        <v>-200000</v>
      </c>
      <c r="J110" s="44" t="s">
        <v>82</v>
      </c>
      <c r="K110" s="45" t="s">
        <v>4</v>
      </c>
      <c r="L110" s="24" t="s">
        <v>41</v>
      </c>
      <c r="M110" s="32"/>
      <c r="N110" s="32"/>
      <c r="O110" s="24"/>
    </row>
    <row r="111" ht="18" customHeight="1" spans="1:15">
      <c r="A111" s="83">
        <v>43335</v>
      </c>
      <c r="B111" s="9">
        <f t="shared" si="6"/>
        <v>55631.07</v>
      </c>
      <c r="C111" s="40">
        <v>1</v>
      </c>
      <c r="D111" s="41" t="s">
        <v>36</v>
      </c>
      <c r="E111" s="42">
        <v>0.03</v>
      </c>
      <c r="F111" s="9">
        <f t="shared" si="7"/>
        <v>1668.93</v>
      </c>
      <c r="G111" s="43">
        <v>57300</v>
      </c>
      <c r="H111" s="16">
        <v>43284</v>
      </c>
      <c r="I111" s="9">
        <v>57300</v>
      </c>
      <c r="J111" s="44" t="s">
        <v>37</v>
      </c>
      <c r="K111" s="45" t="s">
        <v>87</v>
      </c>
      <c r="L111" s="24" t="s">
        <v>88</v>
      </c>
      <c r="M111" s="32"/>
      <c r="N111" s="32"/>
      <c r="O111" s="24"/>
    </row>
    <row r="112" ht="18" customHeight="1" spans="1:15">
      <c r="A112" s="83"/>
      <c r="B112" s="9">
        <f t="shared" si="6"/>
        <v>0</v>
      </c>
      <c r="C112" s="40"/>
      <c r="D112" s="41"/>
      <c r="E112" s="42"/>
      <c r="F112" s="9">
        <f t="shared" si="7"/>
        <v>0</v>
      </c>
      <c r="G112" s="43"/>
      <c r="H112" s="16">
        <v>43284</v>
      </c>
      <c r="I112" s="9">
        <v>-57300</v>
      </c>
      <c r="J112" s="44" t="s">
        <v>82</v>
      </c>
      <c r="K112" s="45" t="s">
        <v>4</v>
      </c>
      <c r="L112" s="24" t="s">
        <v>41</v>
      </c>
      <c r="M112" s="32"/>
      <c r="N112" s="32"/>
      <c r="O112" s="24"/>
    </row>
    <row r="113" ht="18" customHeight="1" spans="1:15">
      <c r="A113" s="83"/>
      <c r="B113" s="9">
        <f t="shared" si="6"/>
        <v>0</v>
      </c>
      <c r="C113" s="40"/>
      <c r="D113" s="41"/>
      <c r="E113" s="42"/>
      <c r="F113" s="9">
        <f t="shared" si="7"/>
        <v>0</v>
      </c>
      <c r="G113" s="43"/>
      <c r="H113" s="16">
        <v>43297</v>
      </c>
      <c r="I113" s="9">
        <v>178200</v>
      </c>
      <c r="J113" s="44" t="s">
        <v>37</v>
      </c>
      <c r="K113" s="45" t="s">
        <v>61</v>
      </c>
      <c r="L113" s="24" t="s">
        <v>43</v>
      </c>
      <c r="M113" s="32"/>
      <c r="N113" s="32"/>
      <c r="O113" s="24"/>
    </row>
    <row r="114" ht="18" customHeight="1" spans="1:15">
      <c r="A114" s="83"/>
      <c r="B114" s="9">
        <f t="shared" si="6"/>
        <v>0</v>
      </c>
      <c r="C114" s="40"/>
      <c r="D114" s="41"/>
      <c r="E114" s="42"/>
      <c r="F114" s="9">
        <f t="shared" si="7"/>
        <v>0</v>
      </c>
      <c r="G114" s="43"/>
      <c r="H114" s="16">
        <v>43297</v>
      </c>
      <c r="I114" s="9">
        <v>-178200</v>
      </c>
      <c r="J114" s="44" t="s">
        <v>82</v>
      </c>
      <c r="K114" s="45" t="s">
        <v>4</v>
      </c>
      <c r="L114" s="24" t="s">
        <v>41</v>
      </c>
      <c r="M114" s="32"/>
      <c r="N114" s="32"/>
      <c r="O114" s="24"/>
    </row>
    <row r="115" ht="18" customHeight="1" spans="1:15">
      <c r="A115" s="83">
        <v>43335</v>
      </c>
      <c r="B115" s="9">
        <f t="shared" si="6"/>
        <v>443793.1</v>
      </c>
      <c r="C115" s="40">
        <v>6</v>
      </c>
      <c r="D115" s="41" t="s">
        <v>36</v>
      </c>
      <c r="E115" s="42">
        <v>0.16</v>
      </c>
      <c r="F115" s="9">
        <f t="shared" si="7"/>
        <v>71006.9</v>
      </c>
      <c r="G115" s="43">
        <f>99000*4+19800+99000</f>
        <v>514800</v>
      </c>
      <c r="H115" s="16">
        <v>43301</v>
      </c>
      <c r="I115" s="9">
        <v>236600</v>
      </c>
      <c r="J115" s="44" t="s">
        <v>37</v>
      </c>
      <c r="K115" s="45" t="s">
        <v>61</v>
      </c>
      <c r="L115" s="24" t="s">
        <v>43</v>
      </c>
      <c r="M115" s="32"/>
      <c r="N115" s="32"/>
      <c r="O115" s="24"/>
    </row>
    <row r="116" ht="18" customHeight="1" spans="1:15">
      <c r="A116" s="83"/>
      <c r="B116" s="9">
        <f t="shared" si="6"/>
        <v>0</v>
      </c>
      <c r="C116" s="40"/>
      <c r="D116" s="41"/>
      <c r="E116" s="42"/>
      <c r="F116" s="9">
        <f t="shared" si="7"/>
        <v>0</v>
      </c>
      <c r="G116" s="43"/>
      <c r="H116" s="16">
        <v>43301</v>
      </c>
      <c r="I116" s="9">
        <v>-236600</v>
      </c>
      <c r="J116" s="44" t="s">
        <v>82</v>
      </c>
      <c r="K116" s="45" t="s">
        <v>4</v>
      </c>
      <c r="L116" s="24" t="s">
        <v>41</v>
      </c>
      <c r="M116" s="32"/>
      <c r="N116" s="32"/>
      <c r="O116" s="24"/>
    </row>
    <row r="117" ht="18" customHeight="1" spans="1:15">
      <c r="A117" s="83"/>
      <c r="B117" s="9">
        <f t="shared" si="6"/>
        <v>0</v>
      </c>
      <c r="C117" s="40"/>
      <c r="D117" s="41"/>
      <c r="E117" s="42"/>
      <c r="F117" s="9">
        <f t="shared" si="7"/>
        <v>0</v>
      </c>
      <c r="G117" s="43"/>
      <c r="H117" s="16">
        <v>43301</v>
      </c>
      <c r="I117" s="9">
        <v>33752.46</v>
      </c>
      <c r="J117" s="44" t="s">
        <v>37</v>
      </c>
      <c r="K117" s="45" t="s">
        <v>63</v>
      </c>
      <c r="L117" s="24" t="s">
        <v>64</v>
      </c>
      <c r="M117" s="32"/>
      <c r="N117" s="32"/>
      <c r="O117" s="24"/>
    </row>
    <row r="118" ht="18" customHeight="1" spans="1:15">
      <c r="A118" s="83"/>
      <c r="B118" s="9">
        <f t="shared" si="6"/>
        <v>0</v>
      </c>
      <c r="C118" s="40"/>
      <c r="D118" s="41"/>
      <c r="E118" s="42"/>
      <c r="F118" s="9">
        <f t="shared" si="7"/>
        <v>0</v>
      </c>
      <c r="G118" s="43"/>
      <c r="H118" s="16">
        <v>43301</v>
      </c>
      <c r="I118" s="9">
        <v>-33752.46</v>
      </c>
      <c r="J118" s="44" t="s">
        <v>82</v>
      </c>
      <c r="K118" s="45" t="s">
        <v>4</v>
      </c>
      <c r="L118" s="24" t="s">
        <v>41</v>
      </c>
      <c r="M118" s="32"/>
      <c r="N118" s="32"/>
      <c r="O118" s="24"/>
    </row>
    <row r="119" ht="18" customHeight="1" spans="1:15">
      <c r="A119" s="83">
        <v>43335</v>
      </c>
      <c r="B119" s="9">
        <f t="shared" si="6"/>
        <v>283238.79</v>
      </c>
      <c r="C119" s="40">
        <v>3</v>
      </c>
      <c r="D119" s="41" t="s">
        <v>36</v>
      </c>
      <c r="E119" s="42">
        <v>0.16</v>
      </c>
      <c r="F119" s="9">
        <f t="shared" si="7"/>
        <v>45318.21</v>
      </c>
      <c r="G119" s="43">
        <f>115800+96957+115800</f>
        <v>328557</v>
      </c>
      <c r="H119" s="16">
        <v>43305</v>
      </c>
      <c r="I119" s="9">
        <v>69782.25</v>
      </c>
      <c r="J119" s="44" t="s">
        <v>37</v>
      </c>
      <c r="K119" s="45" t="s">
        <v>63</v>
      </c>
      <c r="L119" s="24" t="s">
        <v>64</v>
      </c>
      <c r="M119" s="32"/>
      <c r="N119" s="32"/>
      <c r="O119" s="24"/>
    </row>
    <row r="120" ht="18" customHeight="1" spans="1:15">
      <c r="A120" s="83"/>
      <c r="B120" s="9">
        <f t="shared" si="6"/>
        <v>0</v>
      </c>
      <c r="C120" s="40"/>
      <c r="D120" s="41"/>
      <c r="E120" s="42"/>
      <c r="F120" s="9">
        <f t="shared" si="7"/>
        <v>0</v>
      </c>
      <c r="G120" s="43"/>
      <c r="H120" s="16">
        <v>43305</v>
      </c>
      <c r="I120" s="9">
        <v>-69782.25</v>
      </c>
      <c r="J120" s="44" t="s">
        <v>82</v>
      </c>
      <c r="K120" s="45" t="s">
        <v>4</v>
      </c>
      <c r="L120" s="24" t="s">
        <v>41</v>
      </c>
      <c r="M120" s="32"/>
      <c r="N120" s="32"/>
      <c r="O120" s="24"/>
    </row>
    <row r="121" ht="18" customHeight="1" spans="1:15">
      <c r="A121" s="83"/>
      <c r="B121" s="9">
        <f t="shared" si="6"/>
        <v>0</v>
      </c>
      <c r="C121" s="40"/>
      <c r="D121" s="41"/>
      <c r="E121" s="42"/>
      <c r="F121" s="9">
        <f t="shared" si="7"/>
        <v>0</v>
      </c>
      <c r="G121" s="43"/>
      <c r="H121" s="16">
        <v>43312</v>
      </c>
      <c r="I121" s="9">
        <v>30000</v>
      </c>
      <c r="J121" s="44" t="s">
        <v>37</v>
      </c>
      <c r="K121" s="45" t="s">
        <v>84</v>
      </c>
      <c r="L121" s="24" t="s">
        <v>85</v>
      </c>
      <c r="M121" s="32"/>
      <c r="N121" s="32"/>
      <c r="O121" s="24"/>
    </row>
    <row r="122" ht="18" customHeight="1" spans="1:15">
      <c r="A122" s="83"/>
      <c r="B122" s="9">
        <f t="shared" si="6"/>
        <v>0</v>
      </c>
      <c r="C122" s="40"/>
      <c r="D122" s="41"/>
      <c r="E122" s="42"/>
      <c r="F122" s="9">
        <f t="shared" si="7"/>
        <v>0</v>
      </c>
      <c r="G122" s="43"/>
      <c r="H122" s="16">
        <v>43312</v>
      </c>
      <c r="I122" s="9">
        <v>-30000</v>
      </c>
      <c r="J122" s="44" t="s">
        <v>82</v>
      </c>
      <c r="K122" s="45" t="s">
        <v>4</v>
      </c>
      <c r="L122" s="24" t="s">
        <v>41</v>
      </c>
      <c r="M122" s="32"/>
      <c r="N122" s="32"/>
      <c r="O122" s="24"/>
    </row>
    <row r="123" ht="18" customHeight="1" spans="1:15">
      <c r="A123" s="83"/>
      <c r="B123" s="9">
        <f t="shared" si="6"/>
        <v>0</v>
      </c>
      <c r="C123" s="40"/>
      <c r="D123" s="41"/>
      <c r="E123" s="42"/>
      <c r="F123" s="9">
        <f t="shared" si="7"/>
        <v>0</v>
      </c>
      <c r="G123" s="43"/>
      <c r="H123" s="16">
        <v>43328</v>
      </c>
      <c r="I123" s="9">
        <v>30000</v>
      </c>
      <c r="J123" s="44" t="s">
        <v>37</v>
      </c>
      <c r="K123" s="45" t="s">
        <v>84</v>
      </c>
      <c r="L123" s="24" t="s">
        <v>85</v>
      </c>
      <c r="M123" s="32"/>
      <c r="N123" s="32"/>
      <c r="O123" s="24"/>
    </row>
    <row r="124" ht="18" customHeight="1" spans="1:15">
      <c r="A124" s="83"/>
      <c r="B124" s="9">
        <f t="shared" si="6"/>
        <v>0</v>
      </c>
      <c r="C124" s="40"/>
      <c r="D124" s="41"/>
      <c r="E124" s="42"/>
      <c r="F124" s="9">
        <f t="shared" si="7"/>
        <v>0</v>
      </c>
      <c r="G124" s="43"/>
      <c r="H124" s="16">
        <v>43328</v>
      </c>
      <c r="I124" s="9">
        <v>-30000</v>
      </c>
      <c r="J124" s="44" t="s">
        <v>82</v>
      </c>
      <c r="K124" s="45" t="s">
        <v>4</v>
      </c>
      <c r="L124" s="24" t="s">
        <v>41</v>
      </c>
      <c r="M124" s="32"/>
      <c r="N124" s="32"/>
      <c r="O124" s="24"/>
    </row>
    <row r="125" ht="18" customHeight="1" spans="1:15">
      <c r="A125" s="83">
        <v>43335</v>
      </c>
      <c r="B125" s="9">
        <f t="shared" si="6"/>
        <v>75045.77</v>
      </c>
      <c r="C125" s="40">
        <v>2</v>
      </c>
      <c r="D125" s="41" t="s">
        <v>36</v>
      </c>
      <c r="E125" s="42">
        <v>0.16</v>
      </c>
      <c r="F125" s="9">
        <f t="shared" si="7"/>
        <v>12007.32</v>
      </c>
      <c r="G125" s="43">
        <f>85049.09+2004</f>
        <v>87053.09</v>
      </c>
      <c r="H125" s="16">
        <v>43332</v>
      </c>
      <c r="I125" s="9">
        <v>87053.09</v>
      </c>
      <c r="J125" s="44" t="s">
        <v>37</v>
      </c>
      <c r="K125" s="45" t="s">
        <v>47</v>
      </c>
      <c r="L125" s="24" t="s">
        <v>89</v>
      </c>
      <c r="M125" s="32"/>
      <c r="N125" s="32"/>
      <c r="O125" s="24"/>
    </row>
    <row r="126" ht="18" customHeight="1" spans="1:15">
      <c r="A126" s="83"/>
      <c r="B126" s="9">
        <f t="shared" si="6"/>
        <v>0</v>
      </c>
      <c r="C126" s="40"/>
      <c r="D126" s="41"/>
      <c r="E126" s="42"/>
      <c r="F126" s="9">
        <f t="shared" si="7"/>
        <v>0</v>
      </c>
      <c r="G126" s="43"/>
      <c r="H126" s="16">
        <v>43332</v>
      </c>
      <c r="I126" s="9">
        <v>-87053.09</v>
      </c>
      <c r="J126" s="44" t="s">
        <v>82</v>
      </c>
      <c r="K126" s="45" t="s">
        <v>4</v>
      </c>
      <c r="L126" s="24" t="s">
        <v>41</v>
      </c>
      <c r="M126" s="32"/>
      <c r="N126" s="32"/>
      <c r="O126" s="24"/>
    </row>
    <row r="127" ht="18" customHeight="1" spans="1:15">
      <c r="A127" s="83">
        <v>43335</v>
      </c>
      <c r="B127" s="9">
        <f t="shared" si="6"/>
        <v>1824281.9</v>
      </c>
      <c r="C127" s="40">
        <v>20</v>
      </c>
      <c r="D127" s="41" t="s">
        <v>36</v>
      </c>
      <c r="E127" s="42">
        <v>0.16</v>
      </c>
      <c r="F127" s="9">
        <f t="shared" si="7"/>
        <v>291885.1</v>
      </c>
      <c r="G127" s="43">
        <f>115566*6+33510.4+115876.5*7+115968.1+115566+115991+115300+115300</f>
        <v>2116167</v>
      </c>
      <c r="H127" s="16"/>
      <c r="I127" s="9"/>
      <c r="J127" s="44"/>
      <c r="K127" s="45" t="s">
        <v>51</v>
      </c>
      <c r="L127" s="24" t="s">
        <v>90</v>
      </c>
      <c r="M127" s="32"/>
      <c r="N127" s="32"/>
      <c r="O127" s="24" t="s">
        <v>91</v>
      </c>
    </row>
    <row r="128" ht="18" customHeight="1" spans="1:15">
      <c r="A128" s="83"/>
      <c r="B128" s="9">
        <f t="shared" si="6"/>
        <v>0</v>
      </c>
      <c r="C128" s="40"/>
      <c r="D128" s="41"/>
      <c r="E128" s="42"/>
      <c r="F128" s="9">
        <f t="shared" si="7"/>
        <v>0</v>
      </c>
      <c r="G128" s="43"/>
      <c r="H128" s="16">
        <v>43438</v>
      </c>
      <c r="I128" s="9">
        <v>16390</v>
      </c>
      <c r="J128" s="44" t="s">
        <v>37</v>
      </c>
      <c r="K128" s="45" t="s">
        <v>84</v>
      </c>
      <c r="L128" s="24" t="s">
        <v>85</v>
      </c>
      <c r="M128" s="32"/>
      <c r="N128" s="32"/>
      <c r="O128" s="24"/>
    </row>
    <row r="129" ht="18" customHeight="1" spans="1:15">
      <c r="A129" s="83"/>
      <c r="B129" s="9">
        <f t="shared" si="6"/>
        <v>0</v>
      </c>
      <c r="C129" s="40"/>
      <c r="D129" s="41"/>
      <c r="E129" s="42"/>
      <c r="F129" s="9">
        <f t="shared" si="7"/>
        <v>0</v>
      </c>
      <c r="G129" s="43"/>
      <c r="H129" s="16">
        <v>43438</v>
      </c>
      <c r="I129" s="9">
        <v>-16390</v>
      </c>
      <c r="J129" s="44" t="s">
        <v>82</v>
      </c>
      <c r="K129" s="45" t="s">
        <v>4</v>
      </c>
      <c r="L129" s="24" t="s">
        <v>41</v>
      </c>
      <c r="M129" s="32"/>
      <c r="N129" s="32"/>
      <c r="O129" s="24"/>
    </row>
    <row r="130" ht="18" customHeight="1" spans="1:15">
      <c r="A130" s="83">
        <v>43335</v>
      </c>
      <c r="B130" s="9">
        <f t="shared" si="6"/>
        <v>3380.17</v>
      </c>
      <c r="C130" s="40"/>
      <c r="D130" s="41" t="s">
        <v>36</v>
      </c>
      <c r="E130" s="42">
        <v>0.16</v>
      </c>
      <c r="F130" s="9">
        <f t="shared" si="7"/>
        <v>540.83</v>
      </c>
      <c r="G130" s="43">
        <v>3921</v>
      </c>
      <c r="H130" s="16"/>
      <c r="I130" s="9"/>
      <c r="J130" s="44"/>
      <c r="K130" s="45" t="s">
        <v>92</v>
      </c>
      <c r="L130" s="24" t="s">
        <v>93</v>
      </c>
      <c r="M130" s="32"/>
      <c r="N130" s="32"/>
      <c r="O130" s="24"/>
    </row>
    <row r="131" ht="18" customHeight="1" spans="1:15">
      <c r="A131" s="83">
        <v>43451</v>
      </c>
      <c r="B131" s="9">
        <f t="shared" si="6"/>
        <v>1037960.25</v>
      </c>
      <c r="C131" s="40"/>
      <c r="D131" s="41" t="s">
        <v>67</v>
      </c>
      <c r="E131" s="42"/>
      <c r="F131" s="9">
        <f t="shared" si="7"/>
        <v>0</v>
      </c>
      <c r="G131" s="39">
        <v>1037960.25</v>
      </c>
      <c r="H131" s="16"/>
      <c r="I131" s="9"/>
      <c r="J131" s="44"/>
      <c r="K131" s="45" t="s">
        <v>94</v>
      </c>
      <c r="L131" s="24" t="s">
        <v>95</v>
      </c>
      <c r="M131" s="32"/>
      <c r="N131" s="32"/>
      <c r="O131" s="24" t="s">
        <v>96</v>
      </c>
    </row>
    <row r="132" ht="18" customHeight="1" spans="1:15">
      <c r="A132" s="83">
        <v>43451</v>
      </c>
      <c r="B132" s="9">
        <f t="shared" si="6"/>
        <v>2800000</v>
      </c>
      <c r="C132" s="40"/>
      <c r="D132" s="41" t="s">
        <v>67</v>
      </c>
      <c r="E132" s="42"/>
      <c r="F132" s="9">
        <f t="shared" si="7"/>
        <v>0</v>
      </c>
      <c r="G132" s="39">
        <v>2800000</v>
      </c>
      <c r="H132" s="16"/>
      <c r="I132" s="9"/>
      <c r="J132" s="44"/>
      <c r="K132" s="45" t="s">
        <v>97</v>
      </c>
      <c r="L132" s="24" t="s">
        <v>74</v>
      </c>
      <c r="M132" s="32"/>
      <c r="N132" s="32"/>
      <c r="O132" s="24" t="s">
        <v>58</v>
      </c>
    </row>
    <row r="133" ht="18" customHeight="1" spans="1:15">
      <c r="A133" s="83"/>
      <c r="B133" s="9"/>
      <c r="C133" s="40"/>
      <c r="D133" s="41"/>
      <c r="E133" s="42"/>
      <c r="F133" s="9"/>
      <c r="G133" s="43"/>
      <c r="H133" s="16">
        <v>43452</v>
      </c>
      <c r="I133" s="37">
        <f>G131+G132</f>
        <v>3837960.25</v>
      </c>
      <c r="J133" s="44" t="s">
        <v>82</v>
      </c>
      <c r="K133" s="45" t="s">
        <v>4</v>
      </c>
      <c r="L133" s="24" t="s">
        <v>83</v>
      </c>
      <c r="M133" s="32"/>
      <c r="N133" s="32"/>
      <c r="O133" s="24"/>
    </row>
    <row r="134" ht="18" customHeight="1" spans="1:15">
      <c r="A134" s="83">
        <v>43451</v>
      </c>
      <c r="B134" s="9">
        <f t="shared" ref="B134:B139" si="8">ROUND(G134/(1+E134),2)</f>
        <v>8000</v>
      </c>
      <c r="C134" s="40"/>
      <c r="D134" s="41" t="s">
        <v>67</v>
      </c>
      <c r="E134" s="42"/>
      <c r="F134" s="9">
        <f t="shared" ref="F134:F139" si="9">ROUND(G134/(1+E134)*E134,2)</f>
        <v>0</v>
      </c>
      <c r="G134" s="43">
        <v>8000</v>
      </c>
      <c r="H134" s="16"/>
      <c r="I134" s="9"/>
      <c r="J134" s="44"/>
      <c r="K134" s="45" t="s">
        <v>98</v>
      </c>
      <c r="L134" s="24" t="s">
        <v>69</v>
      </c>
      <c r="M134" s="32"/>
      <c r="N134" s="32"/>
      <c r="O134" s="24"/>
    </row>
    <row r="135" ht="18" customHeight="1" spans="1:15">
      <c r="A135" s="83">
        <v>43451</v>
      </c>
      <c r="B135" s="9">
        <f t="shared" si="8"/>
        <v>280</v>
      </c>
      <c r="C135" s="40"/>
      <c r="D135" s="41" t="s">
        <v>67</v>
      </c>
      <c r="E135" s="42"/>
      <c r="F135" s="9">
        <f t="shared" si="9"/>
        <v>0</v>
      </c>
      <c r="G135" s="43">
        <v>280</v>
      </c>
      <c r="H135" s="16"/>
      <c r="I135" s="9"/>
      <c r="J135" s="44"/>
      <c r="K135" s="45" t="s">
        <v>99</v>
      </c>
      <c r="L135" s="24" t="s">
        <v>100</v>
      </c>
      <c r="M135" s="32"/>
      <c r="N135" s="32"/>
      <c r="O135" s="24"/>
    </row>
    <row r="136" ht="18" customHeight="1" spans="1:15">
      <c r="A136" s="83">
        <v>43451</v>
      </c>
      <c r="B136" s="9">
        <f t="shared" si="8"/>
        <v>291262.14</v>
      </c>
      <c r="C136" s="40"/>
      <c r="D136" s="41" t="s">
        <v>36</v>
      </c>
      <c r="E136" s="42">
        <v>0.03</v>
      </c>
      <c r="F136" s="9">
        <f t="shared" si="9"/>
        <v>8737.86</v>
      </c>
      <c r="G136" s="43">
        <f>3*100000</f>
        <v>300000</v>
      </c>
      <c r="H136" s="16">
        <v>43452</v>
      </c>
      <c r="I136" s="9">
        <f>3*100000</f>
        <v>300000</v>
      </c>
      <c r="J136" s="44" t="s">
        <v>37</v>
      </c>
      <c r="K136" s="45" t="s">
        <v>101</v>
      </c>
      <c r="L136" s="24" t="s">
        <v>102</v>
      </c>
      <c r="M136" s="32"/>
      <c r="N136" s="32"/>
      <c r="O136" s="24"/>
    </row>
    <row r="137" ht="18" customHeight="1" spans="1:15">
      <c r="A137" s="83">
        <v>43451</v>
      </c>
      <c r="B137" s="9">
        <f t="shared" si="8"/>
        <v>1409090.91</v>
      </c>
      <c r="C137" s="40"/>
      <c r="D137" s="41" t="s">
        <v>36</v>
      </c>
      <c r="E137" s="42">
        <v>0.1</v>
      </c>
      <c r="F137" s="9">
        <f t="shared" si="9"/>
        <v>140909.09</v>
      </c>
      <c r="G137" s="43">
        <f>1000000+550000</f>
        <v>1550000</v>
      </c>
      <c r="H137" s="16">
        <v>43452</v>
      </c>
      <c r="I137" s="9">
        <f>1000000+550000</f>
        <v>1550000</v>
      </c>
      <c r="J137" s="44" t="s">
        <v>37</v>
      </c>
      <c r="K137" s="45" t="s">
        <v>103</v>
      </c>
      <c r="L137" s="24" t="s">
        <v>104</v>
      </c>
      <c r="M137" s="32"/>
      <c r="N137" s="32"/>
      <c r="O137" s="24"/>
    </row>
    <row r="138" ht="18" customHeight="1" spans="1:15">
      <c r="A138" s="83">
        <v>43451</v>
      </c>
      <c r="B138" s="9">
        <f t="shared" si="8"/>
        <v>74474.14</v>
      </c>
      <c r="C138" s="40"/>
      <c r="D138" s="41" t="s">
        <v>36</v>
      </c>
      <c r="E138" s="42">
        <v>0.16</v>
      </c>
      <c r="F138" s="9">
        <f t="shared" si="9"/>
        <v>11915.86</v>
      </c>
      <c r="G138" s="43">
        <v>86390</v>
      </c>
      <c r="H138" s="16"/>
      <c r="I138" s="9"/>
      <c r="J138" s="44"/>
      <c r="K138" s="45" t="s">
        <v>84</v>
      </c>
      <c r="L138" s="24" t="s">
        <v>85</v>
      </c>
      <c r="M138" s="32"/>
      <c r="N138" s="32"/>
      <c r="O138" s="24"/>
    </row>
    <row r="139" ht="18" customHeight="1" spans="1:15">
      <c r="A139" s="83">
        <v>43451</v>
      </c>
      <c r="B139" s="9">
        <f t="shared" si="8"/>
        <v>54056.6</v>
      </c>
      <c r="C139" s="40"/>
      <c r="D139" s="41" t="s">
        <v>36</v>
      </c>
      <c r="E139" s="42">
        <v>0.06</v>
      </c>
      <c r="F139" s="9">
        <f t="shared" si="9"/>
        <v>3243.4</v>
      </c>
      <c r="G139" s="43">
        <v>57300</v>
      </c>
      <c r="H139" s="16">
        <v>43347</v>
      </c>
      <c r="I139" s="9">
        <v>57300</v>
      </c>
      <c r="J139" s="44" t="s">
        <v>37</v>
      </c>
      <c r="K139" s="45" t="s">
        <v>105</v>
      </c>
      <c r="L139" s="24" t="s">
        <v>106</v>
      </c>
      <c r="M139" s="32"/>
      <c r="N139" s="32"/>
      <c r="O139" s="24"/>
    </row>
    <row r="140" ht="18" customHeight="1" spans="1:15">
      <c r="A140" s="83"/>
      <c r="B140" s="9"/>
      <c r="C140" s="40"/>
      <c r="D140" s="41"/>
      <c r="E140" s="42"/>
      <c r="F140" s="9"/>
      <c r="G140" s="43"/>
      <c r="H140" s="16">
        <v>43347</v>
      </c>
      <c r="I140" s="9">
        <v>-57300</v>
      </c>
      <c r="J140" s="44" t="s">
        <v>82</v>
      </c>
      <c r="K140" s="45" t="s">
        <v>4</v>
      </c>
      <c r="L140" s="24" t="s">
        <v>41</v>
      </c>
      <c r="M140" s="32"/>
      <c r="N140" s="32"/>
      <c r="O140" s="24"/>
    </row>
    <row r="141" ht="18" customHeight="1" spans="1:15">
      <c r="A141" s="83">
        <v>43451</v>
      </c>
      <c r="B141" s="9">
        <f t="shared" ref="B141:B150" si="10">ROUND(G141/(1+E141),2)</f>
        <v>86206.9</v>
      </c>
      <c r="C141" s="40"/>
      <c r="D141" s="41" t="s">
        <v>36</v>
      </c>
      <c r="E141" s="42">
        <v>0.16</v>
      </c>
      <c r="F141" s="9">
        <f t="shared" ref="F141:F150" si="11">ROUND(G141/(1+E141)*E141,2)</f>
        <v>13793.1</v>
      </c>
      <c r="G141" s="43">
        <v>100000</v>
      </c>
      <c r="H141" s="16"/>
      <c r="I141" s="9"/>
      <c r="J141" s="44"/>
      <c r="K141" s="45" t="s">
        <v>55</v>
      </c>
      <c r="L141" s="24" t="s">
        <v>43</v>
      </c>
      <c r="M141" s="32"/>
      <c r="N141" s="32"/>
      <c r="O141" s="24"/>
    </row>
    <row r="142" ht="18" customHeight="1" spans="1:15">
      <c r="A142" s="87">
        <v>43451</v>
      </c>
      <c r="B142" s="37">
        <f t="shared" si="10"/>
        <v>646551.72</v>
      </c>
      <c r="C142" s="47"/>
      <c r="D142" s="48"/>
      <c r="E142" s="49">
        <v>0.16</v>
      </c>
      <c r="F142" s="37">
        <f t="shared" si="11"/>
        <v>103448.28</v>
      </c>
      <c r="G142" s="39">
        <v>750000</v>
      </c>
      <c r="H142" s="16"/>
      <c r="I142" s="9"/>
      <c r="J142" s="44"/>
      <c r="K142" s="69" t="s">
        <v>49</v>
      </c>
      <c r="L142" s="70" t="s">
        <v>50</v>
      </c>
      <c r="M142" s="32"/>
      <c r="N142" s="32"/>
      <c r="O142" s="24"/>
    </row>
    <row r="143" ht="18" customHeight="1" spans="1:15">
      <c r="A143" s="83">
        <v>43460</v>
      </c>
      <c r="B143" s="9">
        <f t="shared" si="10"/>
        <v>1500000</v>
      </c>
      <c r="C143" s="40"/>
      <c r="D143" s="41" t="s">
        <v>72</v>
      </c>
      <c r="E143" s="42"/>
      <c r="F143" s="9">
        <f t="shared" si="11"/>
        <v>0</v>
      </c>
      <c r="G143" s="39">
        <v>1500000</v>
      </c>
      <c r="H143" s="16"/>
      <c r="I143" s="9"/>
      <c r="J143" s="44"/>
      <c r="K143" s="45" t="s">
        <v>107</v>
      </c>
      <c r="L143" s="24" t="s">
        <v>108</v>
      </c>
      <c r="M143" s="32"/>
      <c r="N143" s="32"/>
      <c r="O143" s="104" t="s">
        <v>77</v>
      </c>
    </row>
    <row r="144" ht="18" customHeight="1" spans="1:15">
      <c r="A144" s="83"/>
      <c r="B144" s="9">
        <f t="shared" si="10"/>
        <v>0</v>
      </c>
      <c r="C144" s="40"/>
      <c r="D144" s="41"/>
      <c r="E144" s="42"/>
      <c r="F144" s="9">
        <f t="shared" si="11"/>
        <v>0</v>
      </c>
      <c r="G144" s="43"/>
      <c r="H144" s="16">
        <v>43460</v>
      </c>
      <c r="I144" s="37">
        <v>1000000</v>
      </c>
      <c r="J144" s="44" t="s">
        <v>82</v>
      </c>
      <c r="K144" s="34" t="s">
        <v>4</v>
      </c>
      <c r="L144" s="24" t="s">
        <v>83</v>
      </c>
      <c r="M144" s="32"/>
      <c r="N144" s="32"/>
      <c r="O144" s="105"/>
    </row>
    <row r="145" ht="18" customHeight="1" spans="1:15">
      <c r="A145" s="83">
        <v>43461</v>
      </c>
      <c r="B145" s="9">
        <f t="shared" si="10"/>
        <v>600000</v>
      </c>
      <c r="C145" s="40"/>
      <c r="D145" s="41" t="s">
        <v>72</v>
      </c>
      <c r="E145" s="42"/>
      <c r="F145" s="9">
        <f t="shared" si="11"/>
        <v>0</v>
      </c>
      <c r="G145" s="39">
        <v>600000</v>
      </c>
      <c r="H145" s="16"/>
      <c r="I145" s="9"/>
      <c r="J145" s="44"/>
      <c r="K145" s="45" t="s">
        <v>107</v>
      </c>
      <c r="L145" s="24" t="s">
        <v>108</v>
      </c>
      <c r="M145" s="32"/>
      <c r="N145" s="32"/>
      <c r="O145" s="106"/>
    </row>
    <row r="146" ht="18" customHeight="1" spans="1:15">
      <c r="A146" s="83"/>
      <c r="B146" s="9">
        <f t="shared" si="10"/>
        <v>0</v>
      </c>
      <c r="C146" s="40"/>
      <c r="D146" s="41"/>
      <c r="E146" s="42"/>
      <c r="F146" s="9">
        <f t="shared" si="11"/>
        <v>0</v>
      </c>
      <c r="G146" s="43"/>
      <c r="H146" s="16">
        <v>43462</v>
      </c>
      <c r="I146" s="71">
        <v>486076.94</v>
      </c>
      <c r="J146" s="44" t="s">
        <v>82</v>
      </c>
      <c r="K146" s="34" t="s">
        <v>4</v>
      </c>
      <c r="L146" s="24" t="s">
        <v>83</v>
      </c>
      <c r="M146" s="32"/>
      <c r="N146" s="32"/>
      <c r="O146" s="24"/>
    </row>
    <row r="147" customFormat="1" ht="18" customHeight="1" spans="1:16">
      <c r="A147" s="83"/>
      <c r="B147" s="88">
        <f t="shared" ref="B147:B155" si="12">ROUND(G147/(1+E147),2)</f>
        <v>442477.88</v>
      </c>
      <c r="C147" s="89"/>
      <c r="D147" s="90"/>
      <c r="E147" s="91">
        <v>0.13</v>
      </c>
      <c r="F147" s="88">
        <f t="shared" ref="F147:F155" si="13">ROUND(G147/(1+E147)*E147,2)</f>
        <v>57522.12</v>
      </c>
      <c r="G147" s="92">
        <v>500000</v>
      </c>
      <c r="H147" s="93"/>
      <c r="I147" s="107"/>
      <c r="J147" s="108"/>
      <c r="K147" s="109"/>
      <c r="L147" s="110" t="s">
        <v>50</v>
      </c>
      <c r="M147" s="32"/>
      <c r="N147" s="32"/>
      <c r="O147" s="24"/>
      <c r="P147" t="s">
        <v>109</v>
      </c>
    </row>
    <row r="148" customFormat="1" ht="18" customHeight="1" spans="1:15">
      <c r="A148" s="83"/>
      <c r="B148" s="9">
        <f t="shared" si="12"/>
        <v>0</v>
      </c>
      <c r="C148" s="40"/>
      <c r="D148" s="41"/>
      <c r="E148" s="42"/>
      <c r="F148" s="9">
        <f t="shared" si="13"/>
        <v>0</v>
      </c>
      <c r="G148" s="43"/>
      <c r="H148" s="16" t="s">
        <v>110</v>
      </c>
      <c r="I148" s="9">
        <v>11321887.79</v>
      </c>
      <c r="J148" s="44" t="s">
        <v>82</v>
      </c>
      <c r="K148" s="34" t="s">
        <v>4</v>
      </c>
      <c r="L148" s="24" t="s">
        <v>41</v>
      </c>
      <c r="M148" s="32"/>
      <c r="N148" s="32"/>
      <c r="O148" s="24"/>
    </row>
    <row r="149" customFormat="1" ht="18" customHeight="1" spans="1:15">
      <c r="A149" s="83"/>
      <c r="B149" s="9">
        <f t="shared" si="12"/>
        <v>0</v>
      </c>
      <c r="C149" s="40"/>
      <c r="D149" s="41"/>
      <c r="E149" s="42"/>
      <c r="F149" s="9">
        <f t="shared" si="13"/>
        <v>0</v>
      </c>
      <c r="G149" s="43"/>
      <c r="H149" s="16">
        <v>43353</v>
      </c>
      <c r="I149" s="9">
        <v>2003023</v>
      </c>
      <c r="J149" s="44" t="s">
        <v>82</v>
      </c>
      <c r="K149" s="34" t="s">
        <v>4</v>
      </c>
      <c r="L149" s="24" t="s">
        <v>41</v>
      </c>
      <c r="M149" s="32"/>
      <c r="N149" s="32"/>
      <c r="O149" s="24"/>
    </row>
    <row r="150" customFormat="1" ht="18" customHeight="1" spans="1:15">
      <c r="A150" s="83"/>
      <c r="B150" s="9">
        <f t="shared" si="12"/>
        <v>0</v>
      </c>
      <c r="C150" s="40"/>
      <c r="D150" s="41"/>
      <c r="E150" s="42"/>
      <c r="F150" s="9">
        <f t="shared" si="13"/>
        <v>0</v>
      </c>
      <c r="G150" s="43"/>
      <c r="H150" s="16">
        <v>43455</v>
      </c>
      <c r="I150" s="9">
        <v>659043.81</v>
      </c>
      <c r="J150" s="44" t="s">
        <v>82</v>
      </c>
      <c r="K150" s="45" t="s">
        <v>4</v>
      </c>
      <c r="L150" s="24" t="s">
        <v>41</v>
      </c>
      <c r="M150" s="32"/>
      <c r="N150" s="32"/>
      <c r="O150" s="24"/>
    </row>
    <row r="151" customFormat="1" ht="18" customHeight="1" spans="1:15">
      <c r="A151" s="83"/>
      <c r="B151" s="9">
        <f t="shared" si="12"/>
        <v>0</v>
      </c>
      <c r="C151" s="40"/>
      <c r="D151" s="41"/>
      <c r="E151" s="42"/>
      <c r="F151" s="9">
        <f t="shared" si="13"/>
        <v>0</v>
      </c>
      <c r="G151" s="43"/>
      <c r="H151" s="16">
        <v>43420</v>
      </c>
      <c r="I151" s="9">
        <v>1960000</v>
      </c>
      <c r="J151" s="44" t="s">
        <v>82</v>
      </c>
      <c r="K151" s="45" t="s">
        <v>4</v>
      </c>
      <c r="L151" s="24" t="s">
        <v>41</v>
      </c>
      <c r="M151" s="32"/>
      <c r="N151" s="32"/>
      <c r="O151" s="24"/>
    </row>
    <row r="152" s="1" customFormat="1" ht="18" customHeight="1" spans="1:15">
      <c r="A152" s="86"/>
      <c r="B152" s="9">
        <f t="shared" si="12"/>
        <v>0</v>
      </c>
      <c r="C152" s="27"/>
      <c r="D152" s="28"/>
      <c r="E152" s="29"/>
      <c r="F152" s="9">
        <f t="shared" si="13"/>
        <v>0</v>
      </c>
      <c r="G152" s="38"/>
      <c r="H152" s="16">
        <v>43479</v>
      </c>
      <c r="I152" s="9">
        <v>50000</v>
      </c>
      <c r="J152" s="44" t="s">
        <v>82</v>
      </c>
      <c r="K152" s="45" t="s">
        <v>4</v>
      </c>
      <c r="L152" s="35" t="s">
        <v>111</v>
      </c>
      <c r="M152" s="36"/>
      <c r="N152" s="36"/>
      <c r="O152" s="35"/>
    </row>
    <row r="153" s="1" customFormat="1" ht="18" customHeight="1" spans="1:15">
      <c r="A153" s="86">
        <v>44440</v>
      </c>
      <c r="B153" s="9">
        <f t="shared" ref="B153:B165" si="14">ROUND(G153/(1+E153),2)</f>
        <v>80000</v>
      </c>
      <c r="C153" s="27">
        <v>1</v>
      </c>
      <c r="D153" s="41" t="s">
        <v>72</v>
      </c>
      <c r="E153" s="29"/>
      <c r="F153" s="9">
        <f t="shared" ref="F153:F165" si="15">ROUND(G153/(1+E153)*E153,2)</f>
        <v>0</v>
      </c>
      <c r="G153" s="38">
        <v>80000</v>
      </c>
      <c r="H153" s="16"/>
      <c r="I153" s="9"/>
      <c r="J153" s="44"/>
      <c r="K153" s="45" t="s">
        <v>112</v>
      </c>
      <c r="L153" s="35" t="s">
        <v>113</v>
      </c>
      <c r="M153" s="32" t="s">
        <v>114</v>
      </c>
      <c r="N153" s="36"/>
      <c r="O153" s="70"/>
    </row>
    <row r="154" s="1" customFormat="1" ht="18" customHeight="1" spans="1:15">
      <c r="A154" s="86">
        <v>44440</v>
      </c>
      <c r="B154" s="9">
        <f t="shared" si="14"/>
        <v>78400</v>
      </c>
      <c r="C154" s="27">
        <v>1</v>
      </c>
      <c r="D154" s="41" t="s">
        <v>72</v>
      </c>
      <c r="E154" s="29"/>
      <c r="F154" s="9">
        <f t="shared" si="15"/>
        <v>0</v>
      </c>
      <c r="G154" s="38">
        <v>78400</v>
      </c>
      <c r="H154" s="16"/>
      <c r="I154" s="9"/>
      <c r="J154" s="44"/>
      <c r="K154" s="45" t="s">
        <v>115</v>
      </c>
      <c r="L154" s="35" t="s">
        <v>113</v>
      </c>
      <c r="M154" s="36" t="s">
        <v>116</v>
      </c>
      <c r="N154" s="36"/>
      <c r="O154" s="35"/>
    </row>
    <row r="155" s="1" customFormat="1" ht="18" customHeight="1" spans="1:15">
      <c r="A155" s="86">
        <v>44440</v>
      </c>
      <c r="B155" s="9">
        <f t="shared" si="14"/>
        <v>81600</v>
      </c>
      <c r="C155" s="27">
        <v>1</v>
      </c>
      <c r="D155" s="41" t="s">
        <v>72</v>
      </c>
      <c r="E155" s="29"/>
      <c r="F155" s="9">
        <f t="shared" si="15"/>
        <v>0</v>
      </c>
      <c r="G155" s="38">
        <v>81600</v>
      </c>
      <c r="H155" s="16"/>
      <c r="I155" s="9"/>
      <c r="J155" s="44"/>
      <c r="K155" s="45" t="s">
        <v>117</v>
      </c>
      <c r="L155" s="35" t="s">
        <v>113</v>
      </c>
      <c r="M155" s="36" t="s">
        <v>118</v>
      </c>
      <c r="N155" s="36"/>
      <c r="O155" s="35"/>
    </row>
    <row r="156" s="1" customFormat="1" ht="18" customHeight="1" spans="1:15">
      <c r="A156" s="86">
        <v>44440</v>
      </c>
      <c r="B156" s="9">
        <f t="shared" si="14"/>
        <v>80000</v>
      </c>
      <c r="C156" s="27">
        <v>1</v>
      </c>
      <c r="D156" s="41" t="s">
        <v>72</v>
      </c>
      <c r="E156" s="29"/>
      <c r="F156" s="9">
        <f t="shared" si="15"/>
        <v>0</v>
      </c>
      <c r="G156" s="38">
        <v>80000</v>
      </c>
      <c r="H156" s="16"/>
      <c r="I156" s="9"/>
      <c r="J156" s="44"/>
      <c r="K156" s="45" t="s">
        <v>119</v>
      </c>
      <c r="L156" s="35" t="s">
        <v>113</v>
      </c>
      <c r="M156" s="111" t="s">
        <v>120</v>
      </c>
      <c r="N156" s="36"/>
      <c r="O156" s="70"/>
    </row>
    <row r="157" s="1" customFormat="1" ht="18" customHeight="1" spans="1:15">
      <c r="A157" s="86">
        <v>44440</v>
      </c>
      <c r="B157" s="9">
        <f t="shared" si="14"/>
        <v>81600</v>
      </c>
      <c r="C157" s="27">
        <v>1</v>
      </c>
      <c r="D157" s="41" t="s">
        <v>72</v>
      </c>
      <c r="E157" s="29"/>
      <c r="F157" s="9">
        <f t="shared" si="15"/>
        <v>0</v>
      </c>
      <c r="G157" s="38">
        <v>81600</v>
      </c>
      <c r="H157" s="16"/>
      <c r="I157" s="9"/>
      <c r="J157" s="44"/>
      <c r="K157" s="45" t="s">
        <v>121</v>
      </c>
      <c r="L157" s="35" t="s">
        <v>122</v>
      </c>
      <c r="M157" s="36" t="s">
        <v>123</v>
      </c>
      <c r="N157" s="36"/>
      <c r="O157" s="35"/>
    </row>
    <row r="158" s="1" customFormat="1" ht="18" customHeight="1" spans="1:15">
      <c r="A158" s="86">
        <v>44440</v>
      </c>
      <c r="B158" s="9">
        <f t="shared" si="14"/>
        <v>78400</v>
      </c>
      <c r="C158" s="27">
        <v>1</v>
      </c>
      <c r="D158" s="41" t="s">
        <v>72</v>
      </c>
      <c r="E158" s="29"/>
      <c r="F158" s="9">
        <f t="shared" si="15"/>
        <v>0</v>
      </c>
      <c r="G158" s="38">
        <v>78400</v>
      </c>
      <c r="H158" s="16"/>
      <c r="I158" s="9"/>
      <c r="J158" s="44"/>
      <c r="K158" s="45" t="s">
        <v>124</v>
      </c>
      <c r="L158" s="35" t="s">
        <v>122</v>
      </c>
      <c r="M158" s="36" t="s">
        <v>125</v>
      </c>
      <c r="N158" s="36"/>
      <c r="O158" s="35"/>
    </row>
    <row r="159" s="1" customFormat="1" ht="18" customHeight="1" spans="1:15">
      <c r="A159" s="86">
        <v>44440</v>
      </c>
      <c r="B159" s="9">
        <f t="shared" si="14"/>
        <v>80000</v>
      </c>
      <c r="C159" s="27">
        <v>1</v>
      </c>
      <c r="D159" s="41" t="s">
        <v>72</v>
      </c>
      <c r="E159" s="29"/>
      <c r="F159" s="9">
        <f t="shared" si="15"/>
        <v>0</v>
      </c>
      <c r="G159" s="38">
        <v>80000</v>
      </c>
      <c r="H159" s="16"/>
      <c r="I159" s="9"/>
      <c r="J159" s="44"/>
      <c r="K159" s="45" t="s">
        <v>126</v>
      </c>
      <c r="L159" s="35" t="s">
        <v>122</v>
      </c>
      <c r="M159" s="36" t="s">
        <v>127</v>
      </c>
      <c r="N159" s="36"/>
      <c r="O159" s="35"/>
    </row>
    <row r="160" s="1" customFormat="1" ht="18" customHeight="1" spans="1:15">
      <c r="A160" s="86">
        <v>44440</v>
      </c>
      <c r="B160" s="9">
        <f t="shared" si="14"/>
        <v>80000</v>
      </c>
      <c r="C160" s="27">
        <v>1</v>
      </c>
      <c r="D160" s="41" t="s">
        <v>72</v>
      </c>
      <c r="E160" s="29"/>
      <c r="F160" s="9">
        <f t="shared" si="15"/>
        <v>0</v>
      </c>
      <c r="G160" s="38">
        <v>80000</v>
      </c>
      <c r="H160" s="16"/>
      <c r="I160" s="9"/>
      <c r="J160" s="44"/>
      <c r="K160" s="45" t="s">
        <v>128</v>
      </c>
      <c r="L160" s="35" t="s">
        <v>122</v>
      </c>
      <c r="M160" s="36" t="s">
        <v>129</v>
      </c>
      <c r="N160" s="36"/>
      <c r="O160" s="35"/>
    </row>
    <row r="161" s="1" customFormat="1" ht="18" customHeight="1" spans="1:15">
      <c r="A161" s="86"/>
      <c r="B161" s="9">
        <f t="shared" si="14"/>
        <v>0</v>
      </c>
      <c r="C161" s="27"/>
      <c r="D161" s="28"/>
      <c r="E161" s="29"/>
      <c r="F161" s="9">
        <f t="shared" si="15"/>
        <v>0</v>
      </c>
      <c r="G161" s="38"/>
      <c r="H161" s="16"/>
      <c r="I161" s="9"/>
      <c r="J161" s="44"/>
      <c r="K161" s="45"/>
      <c r="L161" s="35"/>
      <c r="M161" s="36"/>
      <c r="N161" s="36"/>
      <c r="O161" s="35"/>
    </row>
    <row r="162" s="1" customFormat="1" ht="18" customHeight="1" spans="1:15">
      <c r="A162" s="86"/>
      <c r="B162" s="9">
        <f t="shared" si="14"/>
        <v>0</v>
      </c>
      <c r="C162" s="27"/>
      <c r="D162" s="28"/>
      <c r="E162" s="29"/>
      <c r="F162" s="9">
        <f t="shared" si="15"/>
        <v>0</v>
      </c>
      <c r="G162" s="38"/>
      <c r="H162" s="16"/>
      <c r="I162" s="9"/>
      <c r="J162" s="44"/>
      <c r="K162" s="45"/>
      <c r="L162" s="35"/>
      <c r="M162" s="36"/>
      <c r="N162" s="36"/>
      <c r="O162" s="35"/>
    </row>
    <row r="163" s="1" customFormat="1" ht="18" customHeight="1" spans="1:15">
      <c r="A163" s="86"/>
      <c r="B163" s="9">
        <f t="shared" si="14"/>
        <v>0</v>
      </c>
      <c r="C163" s="27"/>
      <c r="D163" s="28"/>
      <c r="E163" s="29"/>
      <c r="F163" s="9">
        <f t="shared" si="15"/>
        <v>0</v>
      </c>
      <c r="G163" s="38"/>
      <c r="H163" s="16"/>
      <c r="I163" s="9"/>
      <c r="J163" s="44"/>
      <c r="K163" s="34"/>
      <c r="L163" s="24"/>
      <c r="M163" s="36"/>
      <c r="N163" s="36"/>
      <c r="O163" s="35"/>
    </row>
    <row r="164" s="1" customFormat="1" ht="18" customHeight="1" spans="1:15">
      <c r="A164" s="86"/>
      <c r="B164" s="26">
        <f t="shared" si="14"/>
        <v>0</v>
      </c>
      <c r="C164" s="27"/>
      <c r="D164" s="28"/>
      <c r="E164" s="29"/>
      <c r="F164" s="26">
        <f t="shared" si="15"/>
        <v>0</v>
      </c>
      <c r="G164" s="38"/>
      <c r="H164" s="16"/>
      <c r="I164" s="9"/>
      <c r="J164" s="44"/>
      <c r="K164" s="34"/>
      <c r="L164" s="24"/>
      <c r="M164" s="36"/>
      <c r="N164" s="36"/>
      <c r="O164" s="35"/>
    </row>
    <row r="165" s="1" customFormat="1" ht="17.25" customHeight="1" spans="1:15">
      <c r="A165" s="86"/>
      <c r="B165" s="26">
        <f t="shared" si="14"/>
        <v>0</v>
      </c>
      <c r="C165" s="27"/>
      <c r="D165" s="28"/>
      <c r="E165" s="29"/>
      <c r="F165" s="26">
        <f t="shared" si="15"/>
        <v>0</v>
      </c>
      <c r="G165" s="38"/>
      <c r="H165" s="16"/>
      <c r="I165" s="9"/>
      <c r="J165" s="44"/>
      <c r="K165" s="45"/>
      <c r="L165" s="24"/>
      <c r="M165" s="36"/>
      <c r="N165" s="36"/>
      <c r="O165" s="35"/>
    </row>
    <row r="166" s="1" customFormat="1" ht="17.25" customHeight="1" spans="1:15">
      <c r="A166" s="86"/>
      <c r="B166" s="26"/>
      <c r="C166" s="27"/>
      <c r="D166" s="28"/>
      <c r="E166" s="29"/>
      <c r="F166" s="26"/>
      <c r="G166" s="38"/>
      <c r="H166" s="16"/>
      <c r="I166" s="9"/>
      <c r="J166" s="44"/>
      <c r="K166" s="45"/>
      <c r="L166" s="24"/>
      <c r="M166" s="36"/>
      <c r="N166" s="36"/>
      <c r="O166" s="35"/>
    </row>
    <row r="167" s="1" customFormat="1" ht="17.25" customHeight="1" spans="1:15">
      <c r="A167" s="86"/>
      <c r="B167" s="26"/>
      <c r="C167" s="27"/>
      <c r="D167" s="28"/>
      <c r="E167" s="29"/>
      <c r="F167" s="26"/>
      <c r="G167" s="38"/>
      <c r="H167" s="16"/>
      <c r="I167" s="9"/>
      <c r="J167" s="44"/>
      <c r="K167" s="45"/>
      <c r="L167" s="35"/>
      <c r="M167" s="36"/>
      <c r="N167" s="36"/>
      <c r="O167" s="35"/>
    </row>
    <row r="168" s="1" customFormat="1" ht="18" customHeight="1" spans="1:15">
      <c r="A168" s="86"/>
      <c r="B168" s="26">
        <f>ROUND(G168/(1+E168),2)</f>
        <v>0</v>
      </c>
      <c r="C168" s="27"/>
      <c r="D168" s="28"/>
      <c r="E168" s="29"/>
      <c r="F168" s="26">
        <f>ROUND(G168/(1+E168)*E168,2)</f>
        <v>0</v>
      </c>
      <c r="G168" s="38"/>
      <c r="H168" s="16"/>
      <c r="I168" s="9"/>
      <c r="J168" s="44"/>
      <c r="K168" s="34"/>
      <c r="L168" s="35"/>
      <c r="M168" s="36"/>
      <c r="N168" s="36"/>
      <c r="O168" s="35"/>
    </row>
    <row r="169" s="1" customFormat="1" ht="18" customHeight="1" spans="1:15">
      <c r="A169" s="86"/>
      <c r="B169" s="26">
        <f>ROUND(G169/(1+E169),2)</f>
        <v>0</v>
      </c>
      <c r="C169" s="27"/>
      <c r="D169" s="28"/>
      <c r="E169" s="29"/>
      <c r="F169" s="26">
        <f>ROUND(G169/(1+E169)*E169,2)</f>
        <v>0</v>
      </c>
      <c r="G169" s="38"/>
      <c r="H169" s="16" t="s">
        <v>130</v>
      </c>
      <c r="I169" s="9">
        <v>183492</v>
      </c>
      <c r="J169" s="44" t="s">
        <v>131</v>
      </c>
      <c r="K169" s="34" t="s">
        <v>132</v>
      </c>
      <c r="L169" s="35"/>
      <c r="M169" s="36"/>
      <c r="N169" s="36"/>
      <c r="O169" s="35"/>
    </row>
    <row r="170" s="1" customFormat="1" ht="18" customHeight="1" spans="1:15">
      <c r="A170" s="86"/>
      <c r="B170" s="26">
        <f>ROUND(G170/(1+E170),2)</f>
        <v>0</v>
      </c>
      <c r="C170" s="27"/>
      <c r="D170" s="28"/>
      <c r="E170" s="29"/>
      <c r="F170" s="26">
        <f>ROUND(G170/(1+E170)*E170,2)</f>
        <v>0</v>
      </c>
      <c r="G170" s="38"/>
      <c r="H170" s="16" t="s">
        <v>130</v>
      </c>
      <c r="I170" s="9">
        <v>120777</v>
      </c>
      <c r="J170" s="44" t="s">
        <v>131</v>
      </c>
      <c r="K170" s="34" t="s">
        <v>133</v>
      </c>
      <c r="L170" s="35"/>
      <c r="M170" s="36"/>
      <c r="N170" s="36"/>
      <c r="O170" s="35"/>
    </row>
    <row r="171" s="1" customFormat="1" ht="18" customHeight="1" spans="1:15">
      <c r="A171" s="86"/>
      <c r="B171" s="26"/>
      <c r="C171" s="27"/>
      <c r="D171" s="28"/>
      <c r="E171" s="29"/>
      <c r="F171" s="26"/>
      <c r="G171" s="38"/>
      <c r="H171" s="16" t="s">
        <v>134</v>
      </c>
      <c r="I171" s="9">
        <v>500</v>
      </c>
      <c r="J171" s="44" t="s">
        <v>131</v>
      </c>
      <c r="K171" s="34" t="s">
        <v>135</v>
      </c>
      <c r="L171" s="35"/>
      <c r="M171" s="36"/>
      <c r="N171" s="36"/>
      <c r="O171" s="35"/>
    </row>
    <row r="172" s="1" customFormat="1" ht="18" customHeight="1" spans="1:15">
      <c r="A172" s="86"/>
      <c r="B172" s="26">
        <f>ROUND(G172/(1+E172),2)</f>
        <v>0</v>
      </c>
      <c r="C172" s="27"/>
      <c r="D172" s="28"/>
      <c r="E172" s="29"/>
      <c r="F172" s="26">
        <f>ROUND(G172/(1+E172)*E172,2)</f>
        <v>0</v>
      </c>
      <c r="G172" s="38"/>
      <c r="H172" s="16" t="s">
        <v>136</v>
      </c>
      <c r="I172" s="112">
        <v>365353</v>
      </c>
      <c r="J172" s="72" t="s">
        <v>131</v>
      </c>
      <c r="K172" s="34" t="s">
        <v>132</v>
      </c>
      <c r="L172" s="35"/>
      <c r="M172" s="36"/>
      <c r="N172" s="36"/>
      <c r="O172" s="35"/>
    </row>
    <row r="173" s="1" customFormat="1" ht="18" customHeight="1" spans="1:15">
      <c r="A173" s="86"/>
      <c r="B173" s="26">
        <f>ROUND(G173/(1+E173),2)</f>
        <v>0</v>
      </c>
      <c r="C173" s="27"/>
      <c r="D173" s="28"/>
      <c r="E173" s="29"/>
      <c r="F173" s="26">
        <f>ROUND(G173/(1+E173)*E173,2)</f>
        <v>0</v>
      </c>
      <c r="G173" s="38"/>
      <c r="H173" s="16" t="s">
        <v>136</v>
      </c>
      <c r="I173" s="9">
        <v>53477</v>
      </c>
      <c r="J173" s="72" t="s">
        <v>131</v>
      </c>
      <c r="K173" s="34" t="s">
        <v>137</v>
      </c>
      <c r="L173" s="35"/>
      <c r="M173" s="36"/>
      <c r="N173" s="36"/>
      <c r="O173" s="35"/>
    </row>
    <row r="174" s="1" customFormat="1" ht="18" customHeight="1" spans="1:15">
      <c r="A174" s="86"/>
      <c r="B174" s="26">
        <f>ROUND(G174/(1+E174),2)</f>
        <v>0</v>
      </c>
      <c r="C174" s="27"/>
      <c r="D174" s="28"/>
      <c r="E174" s="29"/>
      <c r="F174" s="26">
        <f>ROUND(G174/(1+E174)*E174,2)</f>
        <v>0</v>
      </c>
      <c r="G174" s="38"/>
      <c r="H174" s="8" t="s">
        <v>138</v>
      </c>
      <c r="I174" s="9">
        <v>470674</v>
      </c>
      <c r="J174" s="72" t="s">
        <v>131</v>
      </c>
      <c r="K174" s="34" t="s">
        <v>133</v>
      </c>
      <c r="L174" s="35"/>
      <c r="M174" s="36"/>
      <c r="N174" s="36"/>
      <c r="O174" s="35"/>
    </row>
    <row r="175" s="1" customFormat="1" ht="18" customHeight="1" spans="1:15">
      <c r="A175" s="86"/>
      <c r="B175" s="26">
        <f>ROUND(G175/(1+E175),2)</f>
        <v>0</v>
      </c>
      <c r="C175" s="27"/>
      <c r="D175" s="28"/>
      <c r="E175" s="29"/>
      <c r="F175" s="26">
        <f>ROUND(G175/(1+E175)*E175,2)</f>
        <v>0</v>
      </c>
      <c r="G175" s="38"/>
      <c r="H175" s="8" t="s">
        <v>134</v>
      </c>
      <c r="I175" s="112">
        <v>-17306</v>
      </c>
      <c r="J175" s="72" t="s">
        <v>139</v>
      </c>
      <c r="K175" s="34" t="s">
        <v>140</v>
      </c>
      <c r="L175" s="35"/>
      <c r="M175" s="36"/>
      <c r="N175" s="36"/>
      <c r="O175" s="35"/>
    </row>
    <row r="176" s="1" customFormat="1" ht="18" customHeight="1" spans="1:15">
      <c r="A176" s="86"/>
      <c r="B176" s="26">
        <f>ROUND(G176/(1+E176),2)</f>
        <v>813296.14</v>
      </c>
      <c r="C176" s="27"/>
      <c r="D176" s="28"/>
      <c r="E176" s="29"/>
      <c r="F176" s="26">
        <f>ROUND(G176/(1+E176)*E176,2)</f>
        <v>0</v>
      </c>
      <c r="G176" s="38">
        <f>607227.14+40000+166069</f>
        <v>813296.14</v>
      </c>
      <c r="H176" s="8" t="s">
        <v>141</v>
      </c>
      <c r="I176" s="9">
        <f>G176</f>
        <v>813296.14</v>
      </c>
      <c r="J176" s="72" t="s">
        <v>131</v>
      </c>
      <c r="K176" s="34" t="s">
        <v>142</v>
      </c>
      <c r="L176" s="35"/>
      <c r="M176" s="36"/>
      <c r="N176" s="36"/>
      <c r="O176" s="35"/>
    </row>
    <row r="177" ht="18" customHeight="1" spans="1:15">
      <c r="A177" s="85" t="s">
        <v>22</v>
      </c>
      <c r="B177" s="21">
        <f>SUM(B15:B176)</f>
        <v>37474891.45</v>
      </c>
      <c r="C177" s="22"/>
      <c r="D177" s="50"/>
      <c r="E177" s="50"/>
      <c r="F177" s="23">
        <f>SUM(F15:F176)</f>
        <v>2531559.79</v>
      </c>
      <c r="G177" s="51">
        <f>SUM(G15:G176)</f>
        <v>40006451.24</v>
      </c>
      <c r="H177" s="52"/>
      <c r="I177" s="22">
        <f>SUM(I15:I176)</f>
        <v>40662247</v>
      </c>
      <c r="J177" s="73"/>
      <c r="K177" s="74"/>
      <c r="L177" s="24"/>
      <c r="M177" s="32"/>
      <c r="N177" s="32"/>
      <c r="O177" s="24"/>
    </row>
    <row r="178" ht="18" customHeight="1" spans="1:14">
      <c r="A178" s="94"/>
      <c r="B178" s="53">
        <f>B12*0.984-B177</f>
        <v>19019.5063169003</v>
      </c>
      <c r="C178" s="53"/>
      <c r="D178" s="53"/>
      <c r="E178" s="54"/>
      <c r="F178" s="53"/>
      <c r="G178" s="53"/>
      <c r="H178" s="15" t="s">
        <v>143</v>
      </c>
      <c r="I178" s="22">
        <f>I12-I177</f>
        <v>1240298.96</v>
      </c>
      <c r="J178" s="5"/>
      <c r="K178" s="75"/>
      <c r="M178" s="76"/>
      <c r="N178" s="76"/>
    </row>
    <row r="179" ht="18" customHeight="1" spans="1:11">
      <c r="A179" s="79" t="s">
        <v>144</v>
      </c>
      <c r="C179" s="2"/>
      <c r="F179" s="55"/>
      <c r="G179" s="55"/>
      <c r="H179" s="56"/>
      <c r="I179" s="56">
        <f>I169+I172+I175</f>
        <v>531539</v>
      </c>
      <c r="J179" s="77"/>
      <c r="K179" s="3"/>
    </row>
    <row r="180" ht="18" customHeight="1" spans="1:11">
      <c r="A180" s="82" t="s">
        <v>145</v>
      </c>
      <c r="B180" s="14" t="s">
        <v>146</v>
      </c>
      <c r="C180" s="24"/>
      <c r="D180" s="15" t="s">
        <v>145</v>
      </c>
      <c r="E180" s="14" t="s">
        <v>16</v>
      </c>
      <c r="F180" s="14" t="s">
        <v>146</v>
      </c>
      <c r="G180" s="55"/>
      <c r="H180" s="14" t="s">
        <v>147</v>
      </c>
      <c r="I180" s="14" t="s">
        <v>148</v>
      </c>
      <c r="J180" s="14" t="s">
        <v>149</v>
      </c>
      <c r="K180" s="52" t="s">
        <v>150</v>
      </c>
    </row>
    <row r="181" ht="18" customHeight="1" spans="1:12">
      <c r="A181" s="81" t="s">
        <v>151</v>
      </c>
      <c r="B181" s="26">
        <f>(B12*0.984-B177)*0.25</f>
        <v>4754.87657922506</v>
      </c>
      <c r="C181" s="24"/>
      <c r="D181" s="7" t="s">
        <v>152</v>
      </c>
      <c r="E181" s="32" t="s">
        <v>153</v>
      </c>
      <c r="F181" s="23">
        <f>F12-F177</f>
        <v>505346.76406172</v>
      </c>
      <c r="G181" s="53"/>
      <c r="H181" s="95">
        <f>F7-H190</f>
        <v>316406.25090909</v>
      </c>
      <c r="I181" s="23">
        <v>0</v>
      </c>
      <c r="J181" s="23">
        <v>166810.407272728</v>
      </c>
      <c r="K181" s="23">
        <f>F181-H181-J181</f>
        <v>22130.1058799021</v>
      </c>
      <c r="L181" s="113"/>
    </row>
    <row r="182" ht="18" customHeight="1" spans="1:12">
      <c r="A182" s="81" t="s">
        <v>154</v>
      </c>
      <c r="B182" s="59" t="s">
        <v>155</v>
      </c>
      <c r="C182" s="24"/>
      <c r="D182" s="60" t="s">
        <v>156</v>
      </c>
      <c r="E182" s="10">
        <v>0.07</v>
      </c>
      <c r="F182" s="9">
        <f>F181*E182</f>
        <v>35374.2734843204</v>
      </c>
      <c r="H182" s="9">
        <f>H181*0.05</f>
        <v>15820.3125454545</v>
      </c>
      <c r="I182" s="9">
        <v>0</v>
      </c>
      <c r="J182" s="9">
        <f>J181*0.05</f>
        <v>8340.5203636364</v>
      </c>
      <c r="K182" s="9">
        <f>K181*0.07</f>
        <v>1549.10741159314</v>
      </c>
      <c r="L182" s="113"/>
    </row>
    <row r="183" ht="18" customHeight="1" spans="1:12">
      <c r="A183" s="81" t="s">
        <v>157</v>
      </c>
      <c r="B183" s="59" t="s">
        <v>155</v>
      </c>
      <c r="C183" s="24"/>
      <c r="D183" s="60" t="s">
        <v>158</v>
      </c>
      <c r="E183" s="10">
        <v>0.03</v>
      </c>
      <c r="F183" s="9">
        <f>F181*E183</f>
        <v>15160.4029218516</v>
      </c>
      <c r="H183" s="9">
        <f>H181*E183</f>
        <v>9492.1875272727</v>
      </c>
      <c r="I183" s="9">
        <v>0</v>
      </c>
      <c r="J183" s="9">
        <f>J181*E183</f>
        <v>5004.31221818184</v>
      </c>
      <c r="K183" s="9">
        <f>K181*E183</f>
        <v>663.903176397062</v>
      </c>
      <c r="L183" s="113"/>
    </row>
    <row r="184" ht="18" customHeight="1" spans="1:12">
      <c r="A184" s="81"/>
      <c r="B184" s="61"/>
      <c r="C184" s="24"/>
      <c r="D184" s="60" t="s">
        <v>159</v>
      </c>
      <c r="E184" s="10">
        <v>0.02</v>
      </c>
      <c r="F184" s="9">
        <f>F181*E184</f>
        <v>10106.9352812344</v>
      </c>
      <c r="H184" s="9">
        <f>H181*E184</f>
        <v>6328.1250181818</v>
      </c>
      <c r="I184" s="9">
        <f>I181*E184</f>
        <v>0</v>
      </c>
      <c r="J184" s="9">
        <f>J181*E184</f>
        <v>3336.20814545456</v>
      </c>
      <c r="K184" s="9">
        <f>K181*E184</f>
        <v>442.602117598041</v>
      </c>
      <c r="L184" s="113"/>
    </row>
    <row r="185" ht="18" customHeight="1" spans="1:12">
      <c r="A185" s="85" t="s">
        <v>160</v>
      </c>
      <c r="B185" s="21">
        <f>SUM(B181:B184)</f>
        <v>4754.87657922506</v>
      </c>
      <c r="C185" s="24"/>
      <c r="D185" s="96" t="s">
        <v>160</v>
      </c>
      <c r="E185" s="96"/>
      <c r="F185" s="23">
        <f t="shared" ref="F185:K185" si="16">SUM(F181:F184)</f>
        <v>565988.375749127</v>
      </c>
      <c r="G185" s="3">
        <v>365353</v>
      </c>
      <c r="H185" s="23">
        <f t="shared" si="16"/>
        <v>348046.875999999</v>
      </c>
      <c r="I185" s="114">
        <f t="shared" si="16"/>
        <v>0</v>
      </c>
      <c r="J185" s="114">
        <f t="shared" si="16"/>
        <v>183491.448000001</v>
      </c>
      <c r="K185" s="114">
        <f t="shared" si="16"/>
        <v>24785.7185854903</v>
      </c>
      <c r="L185" s="113"/>
    </row>
    <row r="186" ht="18" customHeight="1" spans="3:12">
      <c r="C186" s="2"/>
      <c r="D186" s="9" t="s">
        <v>154</v>
      </c>
      <c r="E186" s="97">
        <v>0.0003</v>
      </c>
      <c r="F186" s="9">
        <f>G12*E186</f>
        <v>12570.763788</v>
      </c>
      <c r="G186" s="98"/>
      <c r="H186" s="9">
        <f>G7*E186</f>
        <v>8481.4071</v>
      </c>
      <c r="I186" s="9">
        <f>G8*E186</f>
        <v>1226.2413</v>
      </c>
      <c r="J186" s="9">
        <f>G9*E186</f>
        <v>2491.0257</v>
      </c>
      <c r="K186" s="9">
        <f>G10*E186</f>
        <v>372.089688</v>
      </c>
      <c r="L186" s="113"/>
    </row>
    <row r="187" ht="18" customHeight="1" spans="3:12">
      <c r="C187" s="2"/>
      <c r="D187" s="18" t="s">
        <v>157</v>
      </c>
      <c r="E187" s="99">
        <v>0.0006</v>
      </c>
      <c r="F187" s="18">
        <f>B12*E187</f>
        <v>22862.1408270225</v>
      </c>
      <c r="G187" s="65"/>
      <c r="H187" s="9">
        <f>B7*E187</f>
        <v>15420.7401818182</v>
      </c>
      <c r="I187" s="9">
        <f>B8*E187</f>
        <v>2229.52963636364</v>
      </c>
      <c r="J187" s="9">
        <f>B9*E187</f>
        <v>4529.13763636364</v>
      </c>
      <c r="K187" s="9">
        <f>B10*E187</f>
        <v>682.733372477064</v>
      </c>
      <c r="L187" s="113"/>
    </row>
    <row r="188" ht="18" customHeight="1" spans="3:12">
      <c r="C188" s="2"/>
      <c r="D188" s="18" t="s">
        <v>160</v>
      </c>
      <c r="E188" s="100"/>
      <c r="F188" s="101">
        <f>SUM(F186:F187)</f>
        <v>35432.9046150225</v>
      </c>
      <c r="G188" s="65"/>
      <c r="H188" s="22">
        <f>SUM(H186:H187)</f>
        <v>23902.1472818182</v>
      </c>
      <c r="I188" s="22">
        <f>SUM(I186:I187)</f>
        <v>3455.77093636364</v>
      </c>
      <c r="J188" s="22">
        <f>SUM(J186:J187)</f>
        <v>7020.16333636364</v>
      </c>
      <c r="K188" s="22">
        <f>SUM(K186:K187)</f>
        <v>1054.82306047706</v>
      </c>
      <c r="L188" s="113"/>
    </row>
    <row r="189" ht="18" customHeight="1" spans="3:11">
      <c r="C189" s="2"/>
      <c r="D189" s="52" t="s">
        <v>151</v>
      </c>
      <c r="E189" s="102" t="s">
        <v>161</v>
      </c>
      <c r="F189" s="101">
        <f>G12*E189</f>
        <v>670440.73536</v>
      </c>
      <c r="G189" s="103"/>
      <c r="H189" s="22">
        <v>411220</v>
      </c>
      <c r="I189" s="22">
        <v>59454</v>
      </c>
      <c r="J189" s="22">
        <f>B9*E189</f>
        <v>120777.003636364</v>
      </c>
      <c r="K189" s="22">
        <f>G10*E189</f>
        <v>19844.78336</v>
      </c>
    </row>
    <row r="190" ht="18" customHeight="1" spans="3:12">
      <c r="C190" s="2"/>
      <c r="D190" s="65"/>
      <c r="E190" s="65"/>
      <c r="F190" s="65"/>
      <c r="G190" s="66"/>
      <c r="H190" s="3">
        <f>SUM(F15:F99)</f>
        <v>1739692.44</v>
      </c>
      <c r="K190" s="22">
        <f>F189-H189-I189-J189-K189</f>
        <v>59144.9483636364</v>
      </c>
      <c r="L190" s="5" t="s">
        <v>162</v>
      </c>
    </row>
    <row r="191" ht="18" customHeight="1" spans="3:7">
      <c r="C191" s="2"/>
      <c r="D191" s="65"/>
      <c r="E191" s="65"/>
      <c r="F191" s="66"/>
      <c r="G191" s="66"/>
    </row>
    <row r="192" spans="3:7">
      <c r="C192" s="2"/>
      <c r="D192" s="65"/>
      <c r="E192" s="65"/>
      <c r="F192" s="66"/>
      <c r="G192" s="66"/>
    </row>
    <row r="193" spans="3:7">
      <c r="C193" s="2"/>
      <c r="D193" s="65"/>
      <c r="E193" s="65"/>
      <c r="F193" s="66"/>
      <c r="G193" s="66"/>
    </row>
    <row r="194" spans="3:7">
      <c r="C194" s="2"/>
      <c r="D194" s="65"/>
      <c r="E194" s="65"/>
      <c r="F194" s="66"/>
      <c r="G194" s="66"/>
    </row>
    <row r="195" spans="3:7">
      <c r="C195" s="2"/>
      <c r="D195" s="65"/>
      <c r="E195" s="65"/>
      <c r="F195" s="66"/>
      <c r="G195" s="66"/>
    </row>
    <row r="196" spans="3:7">
      <c r="C196" s="2"/>
      <c r="F196" s="55"/>
      <c r="G196" s="55"/>
    </row>
    <row r="197" spans="3:7">
      <c r="C197" s="2"/>
      <c r="F197" s="55"/>
      <c r="G197" s="55"/>
    </row>
    <row r="198" spans="3:7">
      <c r="C198" s="2"/>
      <c r="F198" s="55"/>
      <c r="G198" s="55"/>
    </row>
    <row r="199" spans="3:7">
      <c r="C199" s="2"/>
      <c r="F199" s="55"/>
      <c r="G199" s="55"/>
    </row>
    <row r="200" spans="3:3">
      <c r="C200" s="2"/>
    </row>
    <row r="201" spans="3:3">
      <c r="C201" s="2"/>
    </row>
    <row r="202" spans="3:3">
      <c r="C202" s="2"/>
    </row>
    <row r="203" spans="3:3">
      <c r="C203" s="2"/>
    </row>
    <row r="204" spans="3:3">
      <c r="C204" s="2"/>
    </row>
    <row r="205" spans="3:3">
      <c r="C205" s="2"/>
    </row>
    <row r="206" spans="3:3">
      <c r="C206" s="2"/>
    </row>
    <row r="207" spans="3:3">
      <c r="C207" s="2"/>
    </row>
  </sheetData>
  <protectedRanges>
    <protectedRange sqref="I146" name="区域1"/>
  </protectedRanges>
  <autoFilter ref="A14:O190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O143:O145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topLeftCell="A141" workbookViewId="0">
      <selection activeCell="K165" sqref="K165"/>
    </sheetView>
  </sheetViews>
  <sheetFormatPr defaultColWidth="9" defaultRowHeight="11.25"/>
  <cols>
    <col min="1" max="1" width="10.75" style="2" customWidth="1"/>
    <col min="2" max="2" width="17" style="3" customWidth="1"/>
    <col min="3" max="3" width="6" style="3" customWidth="1"/>
    <col min="4" max="4" width="13.375" style="3" customWidth="1"/>
    <col min="5" max="5" width="12.875" style="3" customWidth="1"/>
    <col min="6" max="6" width="13" style="3" customWidth="1"/>
    <col min="7" max="7" width="13.5" style="3" customWidth="1"/>
    <col min="8" max="8" width="13.75" style="3" customWidth="1"/>
    <col min="9" max="9" width="15.25" style="3" customWidth="1"/>
    <col min="10" max="10" width="15.125" style="4" customWidth="1"/>
    <col min="11" max="11" width="31.5" style="5" customWidth="1"/>
    <col min="12" max="12" width="12.75" style="5" customWidth="1"/>
    <col min="13" max="13" width="6" style="5" customWidth="1"/>
    <col min="14" max="14" width="5.625" style="5" customWidth="1"/>
    <col min="15" max="15" width="15.125" style="5" customWidth="1"/>
    <col min="16" max="16384" width="9" style="5"/>
  </cols>
  <sheetData>
    <row r="1" ht="21.95" customHeight="1" spans="1:12">
      <c r="A1" s="6" t="s">
        <v>163</v>
      </c>
      <c r="B1" s="6"/>
      <c r="C1" s="6"/>
      <c r="D1" s="6"/>
      <c r="E1" s="6"/>
      <c r="F1" s="6"/>
      <c r="G1" s="6"/>
      <c r="H1" s="6"/>
      <c r="I1" s="6"/>
      <c r="J1" s="6"/>
      <c r="K1" s="13"/>
      <c r="L1" s="13"/>
    </row>
    <row r="2" ht="18" customHeight="1" spans="1:12">
      <c r="A2" s="7" t="s">
        <v>1</v>
      </c>
      <c r="B2" s="8">
        <v>43166</v>
      </c>
      <c r="C2" s="9" t="s">
        <v>2</v>
      </c>
      <c r="D2" s="9">
        <v>38500000</v>
      </c>
      <c r="E2" s="10" t="s">
        <v>3</v>
      </c>
      <c r="F2" s="9" t="s">
        <v>4</v>
      </c>
      <c r="G2" s="10" t="s">
        <v>5</v>
      </c>
      <c r="H2" s="11" t="s">
        <v>6</v>
      </c>
      <c r="I2" s="30"/>
      <c r="J2" s="31"/>
      <c r="K2" s="13"/>
      <c r="L2" s="13"/>
    </row>
    <row r="3" ht="18" customHeight="1" spans="1:12">
      <c r="A3" s="7" t="s">
        <v>7</v>
      </c>
      <c r="B3" s="12"/>
      <c r="C3" s="9" t="s">
        <v>8</v>
      </c>
      <c r="D3" s="9"/>
      <c r="H3" s="13"/>
      <c r="I3" s="13"/>
      <c r="J3" s="13"/>
      <c r="K3" s="13"/>
      <c r="L3" s="13"/>
    </row>
    <row r="4" ht="18" customHeight="1" spans="1:12">
      <c r="A4" s="2" t="s">
        <v>9</v>
      </c>
      <c r="H4" s="13"/>
      <c r="I4" s="13"/>
      <c r="J4" s="13"/>
      <c r="K4" s="13"/>
      <c r="L4" s="13"/>
    </row>
    <row r="5" ht="18" customHeight="1" spans="1:10">
      <c r="A5" s="14" t="s">
        <v>10</v>
      </c>
      <c r="B5" s="14" t="s">
        <v>11</v>
      </c>
      <c r="C5" s="14" t="s">
        <v>12</v>
      </c>
      <c r="D5" s="14"/>
      <c r="E5" s="14" t="s">
        <v>13</v>
      </c>
      <c r="F5" s="14"/>
      <c r="G5" s="14" t="s">
        <v>14</v>
      </c>
      <c r="H5" s="15" t="s">
        <v>15</v>
      </c>
      <c r="I5" s="15"/>
      <c r="J5" s="15"/>
    </row>
    <row r="6" ht="18" customHeight="1" spans="1:10">
      <c r="A6" s="14"/>
      <c r="B6" s="14"/>
      <c r="C6" s="14" t="s">
        <v>16</v>
      </c>
      <c r="D6" s="14" t="s">
        <v>17</v>
      </c>
      <c r="E6" s="14" t="s">
        <v>16</v>
      </c>
      <c r="F6" s="14" t="s">
        <v>17</v>
      </c>
      <c r="G6" s="14"/>
      <c r="H6" s="15" t="s">
        <v>18</v>
      </c>
      <c r="I6" s="15" t="s">
        <v>19</v>
      </c>
      <c r="J6" s="15" t="s">
        <v>20</v>
      </c>
    </row>
    <row r="7" ht="18" customHeight="1" spans="1:10">
      <c r="A7" s="16">
        <v>43273</v>
      </c>
      <c r="B7" s="9">
        <f>G7/(1+C7+E7)</f>
        <v>25701233.6363636</v>
      </c>
      <c r="C7" s="17">
        <v>0.02</v>
      </c>
      <c r="D7" s="18">
        <f>G7/(1+E7+C7)*C7</f>
        <v>514024.672727273</v>
      </c>
      <c r="E7" s="17">
        <v>0.08</v>
      </c>
      <c r="F7" s="9">
        <f>G7/(1+C7+E7)*E7</f>
        <v>2056098.69090909</v>
      </c>
      <c r="G7" s="19">
        <v>28271357</v>
      </c>
      <c r="H7" s="16">
        <v>43273</v>
      </c>
      <c r="I7" s="9">
        <v>28271357</v>
      </c>
      <c r="J7" s="32" t="s">
        <v>21</v>
      </c>
    </row>
    <row r="8" ht="18" customHeight="1" spans="1:10">
      <c r="A8" s="16">
        <v>43347</v>
      </c>
      <c r="B8" s="9">
        <f t="shared" ref="B8:B11" si="0">G8/(1+C8+E8)</f>
        <v>3715882.72727273</v>
      </c>
      <c r="C8" s="17">
        <v>0.02</v>
      </c>
      <c r="D8" s="18">
        <f t="shared" ref="D8:D11" si="1">G8/(1+E8+C8)*C8</f>
        <v>74317.6545454545</v>
      </c>
      <c r="E8" s="17">
        <v>0.08</v>
      </c>
      <c r="F8" s="9">
        <f t="shared" ref="F8:F11" si="2">G8/(1+C8+E8)*E8</f>
        <v>297270.618181818</v>
      </c>
      <c r="G8" s="19">
        <v>4087471</v>
      </c>
      <c r="H8" s="16">
        <v>43349</v>
      </c>
      <c r="I8" s="9">
        <v>2087471</v>
      </c>
      <c r="J8" s="32" t="s">
        <v>21</v>
      </c>
    </row>
    <row r="9" ht="18" customHeight="1" spans="1:10">
      <c r="A9" s="16">
        <v>43437</v>
      </c>
      <c r="B9" s="9">
        <f t="shared" si="0"/>
        <v>7548562.72727273</v>
      </c>
      <c r="C9" s="17">
        <v>0.02</v>
      </c>
      <c r="D9" s="18">
        <f t="shared" si="1"/>
        <v>150971.254545455</v>
      </c>
      <c r="E9" s="17">
        <v>0.08</v>
      </c>
      <c r="F9" s="9">
        <f t="shared" si="2"/>
        <v>603885.018181818</v>
      </c>
      <c r="G9" s="19">
        <v>8303419</v>
      </c>
      <c r="H9" s="16">
        <v>43419</v>
      </c>
      <c r="I9" s="9">
        <v>2000000</v>
      </c>
      <c r="J9" s="32" t="s">
        <v>21</v>
      </c>
    </row>
    <row r="10" ht="18" customHeight="1" spans="1:10">
      <c r="A10" s="16"/>
      <c r="B10" s="9">
        <f t="shared" si="0"/>
        <v>0</v>
      </c>
      <c r="C10" s="17"/>
      <c r="D10" s="18">
        <f t="shared" si="1"/>
        <v>0</v>
      </c>
      <c r="E10" s="17"/>
      <c r="F10" s="9">
        <f t="shared" si="2"/>
        <v>0</v>
      </c>
      <c r="G10" s="19"/>
      <c r="H10" s="16">
        <v>43441</v>
      </c>
      <c r="I10" s="9">
        <v>8303419</v>
      </c>
      <c r="J10" s="32" t="s">
        <v>21</v>
      </c>
    </row>
    <row r="11" ht="18" customHeight="1" spans="1:10">
      <c r="A11" s="16"/>
      <c r="B11" s="9">
        <f t="shared" si="0"/>
        <v>0</v>
      </c>
      <c r="C11" s="17">
        <v>0.02</v>
      </c>
      <c r="D11" s="18">
        <f t="shared" si="1"/>
        <v>0</v>
      </c>
      <c r="E11" s="17">
        <v>0.08</v>
      </c>
      <c r="F11" s="9">
        <f t="shared" si="2"/>
        <v>0</v>
      </c>
      <c r="G11" s="19"/>
      <c r="H11" s="16"/>
      <c r="I11" s="9"/>
      <c r="J11" s="32"/>
    </row>
    <row r="12" ht="18" customHeight="1" spans="1:10">
      <c r="A12" s="20" t="s">
        <v>22</v>
      </c>
      <c r="B12" s="21">
        <f>SUM(B7:B11)</f>
        <v>36965679.0909091</v>
      </c>
      <c r="C12" s="22"/>
      <c r="D12" s="22">
        <f t="shared" ref="D12:G12" si="3">SUM(D7:D11)</f>
        <v>739313.581818182</v>
      </c>
      <c r="E12" s="22"/>
      <c r="F12" s="23">
        <f t="shared" si="3"/>
        <v>2957254.32727273</v>
      </c>
      <c r="G12" s="22">
        <f t="shared" si="3"/>
        <v>40662247</v>
      </c>
      <c r="H12" s="24"/>
      <c r="I12" s="22">
        <f>SUM(I7:I11)</f>
        <v>40662247</v>
      </c>
      <c r="J12" s="24"/>
    </row>
    <row r="13" ht="18" customHeight="1" spans="1:12">
      <c r="A13" s="2" t="s">
        <v>23</v>
      </c>
      <c r="B13" s="5"/>
      <c r="J13" s="3"/>
      <c r="K13" s="3"/>
      <c r="L13" s="4"/>
    </row>
    <row r="14" ht="18" customHeight="1" spans="1:15">
      <c r="A14" s="25" t="s">
        <v>24</v>
      </c>
      <c r="B14" s="14" t="s">
        <v>25</v>
      </c>
      <c r="C14" s="14" t="s">
        <v>26</v>
      </c>
      <c r="D14" s="14" t="s">
        <v>27</v>
      </c>
      <c r="E14" s="14" t="s">
        <v>16</v>
      </c>
      <c r="F14" s="14" t="s">
        <v>28</v>
      </c>
      <c r="G14" s="14" t="s">
        <v>14</v>
      </c>
      <c r="H14" s="14" t="s">
        <v>29</v>
      </c>
      <c r="I14" s="14" t="s">
        <v>30</v>
      </c>
      <c r="J14" s="14" t="s">
        <v>20</v>
      </c>
      <c r="K14" s="33" t="s">
        <v>31</v>
      </c>
      <c r="L14" s="15" t="s">
        <v>32</v>
      </c>
      <c r="M14" s="15" t="s">
        <v>33</v>
      </c>
      <c r="N14" s="15" t="s">
        <v>34</v>
      </c>
      <c r="O14" s="15" t="s">
        <v>35</v>
      </c>
    </row>
    <row r="15" s="1" customFormat="1" ht="18" customHeight="1" spans="1:15">
      <c r="A15" s="8">
        <v>43202</v>
      </c>
      <c r="B15" s="26">
        <f>ROUND(G15/(1+E15),2)</f>
        <v>125867.92</v>
      </c>
      <c r="C15" s="27">
        <v>2</v>
      </c>
      <c r="D15" s="28" t="s">
        <v>36</v>
      </c>
      <c r="E15" s="29">
        <v>0.06</v>
      </c>
      <c r="F15" s="26">
        <f>ROUND(G15/(1+E15)*E15,2)</f>
        <v>7552.08</v>
      </c>
      <c r="G15" s="19">
        <f>33420+100000</f>
        <v>133420</v>
      </c>
      <c r="H15" s="16">
        <v>43180</v>
      </c>
      <c r="I15" s="9">
        <v>133420</v>
      </c>
      <c r="J15" s="32" t="s">
        <v>37</v>
      </c>
      <c r="K15" s="34" t="s">
        <v>38</v>
      </c>
      <c r="L15" s="35" t="s">
        <v>39</v>
      </c>
      <c r="M15" s="36"/>
      <c r="N15" s="36"/>
      <c r="O15" s="35"/>
    </row>
    <row r="16" s="1" customFormat="1" ht="18" customHeight="1" spans="1:15">
      <c r="A16" s="8"/>
      <c r="B16" s="26">
        <f t="shared" ref="B16:B89" si="4">ROUND(G16/(1+E16),2)</f>
        <v>0</v>
      </c>
      <c r="C16" s="27"/>
      <c r="D16" s="28"/>
      <c r="E16" s="29"/>
      <c r="F16" s="26">
        <f t="shared" ref="F16:F89" si="5">ROUND(G16/(1+E16)*E16,2)</f>
        <v>0</v>
      </c>
      <c r="G16" s="19"/>
      <c r="H16" s="16">
        <v>43179</v>
      </c>
      <c r="I16" s="9">
        <v>-133420</v>
      </c>
      <c r="J16" s="32" t="s">
        <v>40</v>
      </c>
      <c r="K16" s="34" t="s">
        <v>4</v>
      </c>
      <c r="L16" s="24" t="s">
        <v>41</v>
      </c>
      <c r="M16" s="36"/>
      <c r="N16" s="36"/>
      <c r="O16" s="35"/>
    </row>
    <row r="17" s="1" customFormat="1" ht="18" customHeight="1" spans="1:15">
      <c r="A17" s="8">
        <v>43265</v>
      </c>
      <c r="B17" s="26">
        <f t="shared" si="4"/>
        <v>171009.4</v>
      </c>
      <c r="C17" s="27">
        <v>1</v>
      </c>
      <c r="D17" s="28" t="s">
        <v>36</v>
      </c>
      <c r="E17" s="29">
        <v>0.17</v>
      </c>
      <c r="F17" s="26">
        <f t="shared" si="5"/>
        <v>29071.6</v>
      </c>
      <c r="G17" s="19">
        <v>200081</v>
      </c>
      <c r="H17" s="16">
        <v>43198</v>
      </c>
      <c r="I17" s="9">
        <v>200000</v>
      </c>
      <c r="J17" s="32" t="s">
        <v>37</v>
      </c>
      <c r="K17" s="34" t="s">
        <v>42</v>
      </c>
      <c r="L17" s="35" t="s">
        <v>43</v>
      </c>
      <c r="M17" s="36"/>
      <c r="N17" s="36"/>
      <c r="O17" s="35"/>
    </row>
    <row r="18" s="1" customFormat="1" ht="18" customHeight="1" spans="1:15">
      <c r="A18" s="8"/>
      <c r="B18" s="26">
        <f t="shared" si="4"/>
        <v>0</v>
      </c>
      <c r="C18" s="27"/>
      <c r="D18" s="28"/>
      <c r="E18" s="29"/>
      <c r="F18" s="26">
        <f t="shared" si="5"/>
        <v>0</v>
      </c>
      <c r="G18" s="19"/>
      <c r="H18" s="16">
        <v>43193</v>
      </c>
      <c r="I18" s="9">
        <v>-200000</v>
      </c>
      <c r="J18" s="32" t="s">
        <v>40</v>
      </c>
      <c r="K18" s="34" t="s">
        <v>4</v>
      </c>
      <c r="L18" s="24" t="s">
        <v>41</v>
      </c>
      <c r="M18" s="36"/>
      <c r="N18" s="36"/>
      <c r="O18" s="35"/>
    </row>
    <row r="19" s="1" customFormat="1" ht="18" customHeight="1" spans="1:15">
      <c r="A19" s="8">
        <v>43265</v>
      </c>
      <c r="B19" s="26">
        <f t="shared" si="4"/>
        <v>241379.31</v>
      </c>
      <c r="C19" s="27">
        <v>3</v>
      </c>
      <c r="D19" s="28" t="s">
        <v>36</v>
      </c>
      <c r="E19" s="29">
        <v>0.16</v>
      </c>
      <c r="F19" s="26">
        <f t="shared" si="5"/>
        <v>38620.69</v>
      </c>
      <c r="G19" s="19">
        <v>280000</v>
      </c>
      <c r="H19" s="16">
        <v>43198</v>
      </c>
      <c r="I19" s="9">
        <v>300000</v>
      </c>
      <c r="J19" s="32" t="s">
        <v>37</v>
      </c>
      <c r="K19" s="34" t="s">
        <v>44</v>
      </c>
      <c r="L19" s="35" t="s">
        <v>43</v>
      </c>
      <c r="M19" s="36" t="s">
        <v>45</v>
      </c>
      <c r="N19" s="36"/>
      <c r="O19" s="35"/>
    </row>
    <row r="20" s="1" customFormat="1" ht="18" customHeight="1" spans="1:15">
      <c r="A20" s="8"/>
      <c r="B20" s="26">
        <f t="shared" si="4"/>
        <v>0</v>
      </c>
      <c r="C20" s="27"/>
      <c r="D20" s="28"/>
      <c r="E20" s="29"/>
      <c r="F20" s="26">
        <f t="shared" si="5"/>
        <v>0</v>
      </c>
      <c r="G20" s="19"/>
      <c r="H20" s="16">
        <v>43198</v>
      </c>
      <c r="I20" s="9">
        <v>-300000</v>
      </c>
      <c r="J20" s="32" t="s">
        <v>40</v>
      </c>
      <c r="K20" s="34" t="s">
        <v>4</v>
      </c>
      <c r="L20" s="24" t="s">
        <v>41</v>
      </c>
      <c r="M20" s="36"/>
      <c r="N20" s="36"/>
      <c r="O20" s="35"/>
    </row>
    <row r="21" s="1" customFormat="1" ht="18" customHeight="1" spans="1:15">
      <c r="A21" s="8">
        <v>43265</v>
      </c>
      <c r="B21" s="26">
        <f t="shared" si="4"/>
        <v>751925.64</v>
      </c>
      <c r="C21" s="27">
        <v>8</v>
      </c>
      <c r="D21" s="28" t="s">
        <v>36</v>
      </c>
      <c r="E21" s="29">
        <v>0.17</v>
      </c>
      <c r="F21" s="26">
        <f t="shared" si="5"/>
        <v>127827.36</v>
      </c>
      <c r="G21" s="19">
        <v>879753</v>
      </c>
      <c r="H21" s="16">
        <v>43198</v>
      </c>
      <c r="I21" s="9">
        <v>300000</v>
      </c>
      <c r="J21" s="32" t="s">
        <v>37</v>
      </c>
      <c r="K21" s="34" t="s">
        <v>46</v>
      </c>
      <c r="L21" s="35" t="s">
        <v>43</v>
      </c>
      <c r="M21" s="36" t="s">
        <v>45</v>
      </c>
      <c r="N21" s="36"/>
      <c r="O21" s="35"/>
    </row>
    <row r="22" s="1" customFormat="1" ht="18" customHeight="1" spans="1:15">
      <c r="A22" s="8"/>
      <c r="B22" s="26">
        <f t="shared" si="4"/>
        <v>0</v>
      </c>
      <c r="C22" s="27"/>
      <c r="D22" s="28"/>
      <c r="E22" s="29"/>
      <c r="F22" s="26">
        <f t="shared" si="5"/>
        <v>0</v>
      </c>
      <c r="G22" s="19"/>
      <c r="H22" s="16">
        <v>43198</v>
      </c>
      <c r="I22" s="9">
        <v>-300000</v>
      </c>
      <c r="J22" s="32" t="s">
        <v>40</v>
      </c>
      <c r="K22" s="34" t="s">
        <v>4</v>
      </c>
      <c r="L22" s="24" t="s">
        <v>41</v>
      </c>
      <c r="M22" s="36"/>
      <c r="N22" s="36"/>
      <c r="O22" s="35"/>
    </row>
    <row r="23" s="1" customFormat="1" ht="18" customHeight="1" spans="1:15">
      <c r="A23" s="8">
        <v>43265</v>
      </c>
      <c r="B23" s="26">
        <f t="shared" si="4"/>
        <v>6428176.78</v>
      </c>
      <c r="C23" s="27">
        <v>71</v>
      </c>
      <c r="D23" s="28" t="s">
        <v>36</v>
      </c>
      <c r="E23" s="29">
        <v>0.16</v>
      </c>
      <c r="F23" s="26">
        <f t="shared" si="5"/>
        <v>1028508.29</v>
      </c>
      <c r="G23" s="19">
        <v>7456685.07</v>
      </c>
      <c r="H23" s="16">
        <v>43198</v>
      </c>
      <c r="I23" s="9">
        <v>1000000</v>
      </c>
      <c r="J23" s="32" t="s">
        <v>37</v>
      </c>
      <c r="K23" s="34" t="s">
        <v>47</v>
      </c>
      <c r="L23" s="35" t="s">
        <v>48</v>
      </c>
      <c r="M23" s="36" t="s">
        <v>45</v>
      </c>
      <c r="N23" s="36"/>
      <c r="O23" s="35"/>
    </row>
    <row r="24" s="1" customFormat="1" ht="18" customHeight="1" spans="1:16">
      <c r="A24" s="8"/>
      <c r="B24" s="26">
        <f t="shared" si="4"/>
        <v>0</v>
      </c>
      <c r="C24" s="27"/>
      <c r="D24" s="28"/>
      <c r="E24" s="29"/>
      <c r="F24" s="26">
        <f t="shared" si="5"/>
        <v>0</v>
      </c>
      <c r="G24" s="19"/>
      <c r="H24" s="16">
        <v>43194</v>
      </c>
      <c r="I24" s="9">
        <v>-1000000</v>
      </c>
      <c r="J24" s="32" t="s">
        <v>40</v>
      </c>
      <c r="K24" s="34" t="s">
        <v>4</v>
      </c>
      <c r="L24" s="24" t="s">
        <v>41</v>
      </c>
      <c r="M24" s="36"/>
      <c r="N24" s="36"/>
      <c r="O24" s="35"/>
      <c r="P24" s="1">
        <f>B8*0.016</f>
        <v>59454.1236363636</v>
      </c>
    </row>
    <row r="25" s="1" customFormat="1" ht="18" customHeight="1" spans="1:15">
      <c r="A25" s="8"/>
      <c r="B25" s="26">
        <f t="shared" si="4"/>
        <v>0</v>
      </c>
      <c r="C25" s="27"/>
      <c r="D25" s="28"/>
      <c r="E25" s="29"/>
      <c r="F25" s="26">
        <f t="shared" si="5"/>
        <v>0</v>
      </c>
      <c r="G25" s="19"/>
      <c r="H25" s="16">
        <v>43199</v>
      </c>
      <c r="I25" s="9">
        <v>1000000</v>
      </c>
      <c r="J25" s="32" t="s">
        <v>37</v>
      </c>
      <c r="K25" s="34" t="s">
        <v>47</v>
      </c>
      <c r="L25" s="35" t="s">
        <v>48</v>
      </c>
      <c r="M25" s="36"/>
      <c r="N25" s="36"/>
      <c r="O25" s="35"/>
    </row>
    <row r="26" s="1" customFormat="1" ht="18" customHeight="1" spans="1:15">
      <c r="A26" s="8"/>
      <c r="B26" s="26">
        <f t="shared" si="4"/>
        <v>0</v>
      </c>
      <c r="C26" s="27"/>
      <c r="D26" s="28"/>
      <c r="E26" s="29"/>
      <c r="F26" s="26">
        <f t="shared" si="5"/>
        <v>0</v>
      </c>
      <c r="G26" s="19"/>
      <c r="H26" s="16">
        <v>43198</v>
      </c>
      <c r="I26" s="9">
        <v>-1000000</v>
      </c>
      <c r="J26" s="32" t="s">
        <v>40</v>
      </c>
      <c r="K26" s="34" t="s">
        <v>4</v>
      </c>
      <c r="L26" s="24" t="s">
        <v>41</v>
      </c>
      <c r="M26" s="36"/>
      <c r="N26" s="36"/>
      <c r="O26" s="35"/>
    </row>
    <row r="27" s="1" customFormat="1" ht="18" customHeight="1" spans="1:15">
      <c r="A27" s="8"/>
      <c r="B27" s="26">
        <f t="shared" si="4"/>
        <v>0</v>
      </c>
      <c r="C27" s="27"/>
      <c r="D27" s="28"/>
      <c r="E27" s="29"/>
      <c r="F27" s="26">
        <f t="shared" si="5"/>
        <v>0</v>
      </c>
      <c r="G27" s="19"/>
      <c r="H27" s="16">
        <v>43200</v>
      </c>
      <c r="I27" s="37">
        <v>150000</v>
      </c>
      <c r="J27" s="32" t="s">
        <v>37</v>
      </c>
      <c r="K27" s="34" t="s">
        <v>49</v>
      </c>
      <c r="L27" s="35" t="s">
        <v>50</v>
      </c>
      <c r="M27" s="36"/>
      <c r="N27" s="36"/>
      <c r="O27" s="35"/>
    </row>
    <row r="28" s="1" customFormat="1" ht="18" customHeight="1" spans="1:15">
      <c r="A28" s="8"/>
      <c r="B28" s="26">
        <f t="shared" si="4"/>
        <v>0</v>
      </c>
      <c r="C28" s="27"/>
      <c r="D28" s="28"/>
      <c r="E28" s="29"/>
      <c r="F28" s="26">
        <f t="shared" si="5"/>
        <v>0</v>
      </c>
      <c r="G28" s="19"/>
      <c r="H28" s="16">
        <v>43199</v>
      </c>
      <c r="I28" s="37">
        <v>-200000</v>
      </c>
      <c r="J28" s="32" t="s">
        <v>40</v>
      </c>
      <c r="K28" s="34" t="s">
        <v>4</v>
      </c>
      <c r="L28" s="24" t="s">
        <v>41</v>
      </c>
      <c r="M28" s="36"/>
      <c r="N28" s="36"/>
      <c r="O28" s="35"/>
    </row>
    <row r="29" s="1" customFormat="1" ht="18" customHeight="1" spans="1:15">
      <c r="A29" s="8"/>
      <c r="B29" s="26">
        <f t="shared" si="4"/>
        <v>0</v>
      </c>
      <c r="C29" s="27"/>
      <c r="D29" s="28"/>
      <c r="E29" s="29"/>
      <c r="F29" s="26">
        <f t="shared" si="5"/>
        <v>0</v>
      </c>
      <c r="G29" s="19"/>
      <c r="H29" s="16">
        <v>43201</v>
      </c>
      <c r="I29" s="9">
        <v>182839</v>
      </c>
      <c r="J29" s="32" t="s">
        <v>37</v>
      </c>
      <c r="K29" s="34" t="s">
        <v>51</v>
      </c>
      <c r="L29" s="35" t="s">
        <v>52</v>
      </c>
      <c r="M29" s="36"/>
      <c r="N29" s="36"/>
      <c r="O29" s="35"/>
    </row>
    <row r="30" s="1" customFormat="1" ht="18" customHeight="1" spans="1:15">
      <c r="A30" s="8"/>
      <c r="B30" s="26">
        <f t="shared" si="4"/>
        <v>0</v>
      </c>
      <c r="C30" s="27"/>
      <c r="D30" s="28"/>
      <c r="E30" s="29"/>
      <c r="F30" s="26">
        <f t="shared" si="5"/>
        <v>0</v>
      </c>
      <c r="G30" s="19"/>
      <c r="H30" s="16">
        <v>43201</v>
      </c>
      <c r="I30" s="9">
        <v>-182839</v>
      </c>
      <c r="J30" s="32" t="s">
        <v>40</v>
      </c>
      <c r="K30" s="34" t="s">
        <v>4</v>
      </c>
      <c r="L30" s="24" t="s">
        <v>41</v>
      </c>
      <c r="M30" s="36"/>
      <c r="N30" s="36"/>
      <c r="O30" s="35"/>
    </row>
    <row r="31" s="1" customFormat="1" ht="18" customHeight="1" spans="1:15">
      <c r="A31" s="8"/>
      <c r="B31" s="26">
        <f t="shared" si="4"/>
        <v>0</v>
      </c>
      <c r="C31" s="27"/>
      <c r="D31" s="28"/>
      <c r="E31" s="29"/>
      <c r="F31" s="26">
        <f t="shared" si="5"/>
        <v>0</v>
      </c>
      <c r="G31" s="19"/>
      <c r="H31" s="16">
        <v>43202</v>
      </c>
      <c r="I31" s="9">
        <v>300000</v>
      </c>
      <c r="J31" s="32" t="s">
        <v>37</v>
      </c>
      <c r="K31" s="34" t="s">
        <v>46</v>
      </c>
      <c r="L31" s="35" t="s">
        <v>43</v>
      </c>
      <c r="M31" s="36"/>
      <c r="N31" s="36"/>
      <c r="O31" s="35"/>
    </row>
    <row r="32" s="1" customFormat="1" ht="18" customHeight="1" spans="1:15">
      <c r="A32" s="8"/>
      <c r="B32" s="26">
        <f t="shared" si="4"/>
        <v>0</v>
      </c>
      <c r="C32" s="27"/>
      <c r="D32" s="28"/>
      <c r="E32" s="29"/>
      <c r="F32" s="26">
        <f t="shared" si="5"/>
        <v>0</v>
      </c>
      <c r="G32" s="19"/>
      <c r="H32" s="16">
        <v>43202</v>
      </c>
      <c r="I32" s="9">
        <v>-300000</v>
      </c>
      <c r="J32" s="32" t="s">
        <v>40</v>
      </c>
      <c r="K32" s="34" t="s">
        <v>4</v>
      </c>
      <c r="L32" s="24" t="s">
        <v>41</v>
      </c>
      <c r="M32" s="36"/>
      <c r="N32" s="36"/>
      <c r="O32" s="35"/>
    </row>
    <row r="33" s="1" customFormat="1" ht="18" customHeight="1" spans="1:15">
      <c r="A33" s="8">
        <v>43265</v>
      </c>
      <c r="B33" s="26">
        <f t="shared" si="4"/>
        <v>717948.72</v>
      </c>
      <c r="C33" s="27">
        <v>9</v>
      </c>
      <c r="D33" s="28" t="s">
        <v>36</v>
      </c>
      <c r="E33" s="29">
        <v>0.17</v>
      </c>
      <c r="F33" s="26">
        <f t="shared" si="5"/>
        <v>122051.28</v>
      </c>
      <c r="G33" s="19">
        <v>840000</v>
      </c>
      <c r="H33" s="16">
        <v>43202</v>
      </c>
      <c r="I33" s="9">
        <v>300000</v>
      </c>
      <c r="J33" s="32" t="s">
        <v>37</v>
      </c>
      <c r="K33" s="34" t="s">
        <v>44</v>
      </c>
      <c r="L33" s="35" t="s">
        <v>43</v>
      </c>
      <c r="M33" s="36" t="s">
        <v>45</v>
      </c>
      <c r="N33" s="36"/>
      <c r="O33" s="35"/>
    </row>
    <row r="34" s="1" customFormat="1" ht="18" customHeight="1" spans="1:15">
      <c r="A34" s="8"/>
      <c r="B34" s="26">
        <f t="shared" si="4"/>
        <v>0</v>
      </c>
      <c r="C34" s="27"/>
      <c r="D34" s="28"/>
      <c r="E34" s="29"/>
      <c r="F34" s="26">
        <f t="shared" si="5"/>
        <v>0</v>
      </c>
      <c r="G34" s="19"/>
      <c r="H34" s="16">
        <v>43202</v>
      </c>
      <c r="I34" s="9">
        <v>-300000</v>
      </c>
      <c r="J34" s="32" t="s">
        <v>40</v>
      </c>
      <c r="K34" s="34" t="s">
        <v>4</v>
      </c>
      <c r="L34" s="24" t="s">
        <v>41</v>
      </c>
      <c r="M34" s="36"/>
      <c r="N34" s="36"/>
      <c r="O34" s="35"/>
    </row>
    <row r="35" s="1" customFormat="1" ht="18" customHeight="1" spans="1:15">
      <c r="A35" s="8">
        <v>43265</v>
      </c>
      <c r="B35" s="26">
        <f t="shared" si="4"/>
        <v>495581.2</v>
      </c>
      <c r="C35" s="27">
        <v>5</v>
      </c>
      <c r="D35" s="28" t="s">
        <v>36</v>
      </c>
      <c r="E35" s="29">
        <v>0.17</v>
      </c>
      <c r="F35" s="26">
        <f t="shared" si="5"/>
        <v>84248.8</v>
      </c>
      <c r="G35" s="19">
        <v>579830</v>
      </c>
      <c r="H35" s="16">
        <v>43203</v>
      </c>
      <c r="I35" s="9">
        <v>300000</v>
      </c>
      <c r="J35" s="32" t="s">
        <v>37</v>
      </c>
      <c r="K35" s="34" t="s">
        <v>53</v>
      </c>
      <c r="L35" s="35" t="s">
        <v>54</v>
      </c>
      <c r="M35" s="36" t="s">
        <v>45</v>
      </c>
      <c r="N35" s="36"/>
      <c r="O35" s="35"/>
    </row>
    <row r="36" s="1" customFormat="1" ht="18" customHeight="1" spans="1:15">
      <c r="A36" s="8"/>
      <c r="B36" s="26">
        <f t="shared" si="4"/>
        <v>0</v>
      </c>
      <c r="C36" s="27"/>
      <c r="D36" s="28"/>
      <c r="E36" s="29"/>
      <c r="F36" s="26">
        <f t="shared" si="5"/>
        <v>0</v>
      </c>
      <c r="G36" s="19"/>
      <c r="H36" s="16">
        <v>43203</v>
      </c>
      <c r="I36" s="9">
        <v>-300000</v>
      </c>
      <c r="J36" s="32" t="s">
        <v>40</v>
      </c>
      <c r="K36" s="34" t="s">
        <v>4</v>
      </c>
      <c r="L36" s="24" t="s">
        <v>41</v>
      </c>
      <c r="M36" s="36"/>
      <c r="N36" s="36"/>
      <c r="O36" s="35"/>
    </row>
    <row r="37" s="1" customFormat="1" ht="18" customHeight="1" spans="1:15">
      <c r="A37" s="8"/>
      <c r="B37" s="26">
        <f t="shared" si="4"/>
        <v>0</v>
      </c>
      <c r="C37" s="27"/>
      <c r="D37" s="28"/>
      <c r="E37" s="29"/>
      <c r="F37" s="26">
        <f t="shared" si="5"/>
        <v>0</v>
      </c>
      <c r="G37" s="19"/>
      <c r="H37" s="16">
        <v>43203</v>
      </c>
      <c r="I37" s="9">
        <v>183610</v>
      </c>
      <c r="J37" s="32" t="s">
        <v>37</v>
      </c>
      <c r="K37" s="34" t="s">
        <v>51</v>
      </c>
      <c r="L37" s="35" t="s">
        <v>52</v>
      </c>
      <c r="M37" s="36"/>
      <c r="N37" s="36"/>
      <c r="O37" s="35"/>
    </row>
    <row r="38" s="1" customFormat="1" ht="18" customHeight="1" spans="1:15">
      <c r="A38" s="8"/>
      <c r="B38" s="26">
        <f t="shared" si="4"/>
        <v>0</v>
      </c>
      <c r="C38" s="27"/>
      <c r="D38" s="28"/>
      <c r="E38" s="29"/>
      <c r="F38" s="26">
        <f t="shared" si="5"/>
        <v>0</v>
      </c>
      <c r="G38" s="19"/>
      <c r="H38" s="16">
        <v>43201</v>
      </c>
      <c r="I38" s="9">
        <v>-183610</v>
      </c>
      <c r="J38" s="32" t="s">
        <v>40</v>
      </c>
      <c r="K38" s="34" t="s">
        <v>4</v>
      </c>
      <c r="L38" s="24" t="s">
        <v>41</v>
      </c>
      <c r="M38" s="36"/>
      <c r="N38" s="36"/>
      <c r="O38" s="35"/>
    </row>
    <row r="39" s="1" customFormat="1" ht="18" customHeight="1" spans="1:15">
      <c r="A39" s="8"/>
      <c r="B39" s="26">
        <f t="shared" si="4"/>
        <v>0</v>
      </c>
      <c r="C39" s="27"/>
      <c r="D39" s="28"/>
      <c r="E39" s="29"/>
      <c r="F39" s="26">
        <f t="shared" si="5"/>
        <v>0</v>
      </c>
      <c r="G39" s="19"/>
      <c r="H39" s="16">
        <v>43206</v>
      </c>
      <c r="I39" s="9">
        <v>600000</v>
      </c>
      <c r="J39" s="32" t="s">
        <v>37</v>
      </c>
      <c r="K39" s="34" t="s">
        <v>49</v>
      </c>
      <c r="L39" s="35" t="s">
        <v>50</v>
      </c>
      <c r="M39" s="36"/>
      <c r="N39" s="36"/>
      <c r="O39" s="35"/>
    </row>
    <row r="40" s="1" customFormat="1" ht="18" customHeight="1" spans="1:15">
      <c r="A40" s="8"/>
      <c r="B40" s="26">
        <f t="shared" si="4"/>
        <v>0</v>
      </c>
      <c r="C40" s="27"/>
      <c r="D40" s="28"/>
      <c r="E40" s="29"/>
      <c r="F40" s="26">
        <f t="shared" si="5"/>
        <v>0</v>
      </c>
      <c r="G40" s="19"/>
      <c r="H40" s="16">
        <v>43206</v>
      </c>
      <c r="I40" s="9">
        <v>-600000</v>
      </c>
      <c r="J40" s="32" t="s">
        <v>40</v>
      </c>
      <c r="K40" s="34" t="s">
        <v>4</v>
      </c>
      <c r="L40" s="24" t="s">
        <v>41</v>
      </c>
      <c r="M40" s="36"/>
      <c r="N40" s="36"/>
      <c r="O40" s="35"/>
    </row>
    <row r="41" s="1" customFormat="1" ht="18" customHeight="1" spans="1:15">
      <c r="A41" s="8"/>
      <c r="B41" s="26">
        <f t="shared" si="4"/>
        <v>0</v>
      </c>
      <c r="C41" s="27"/>
      <c r="D41" s="28"/>
      <c r="E41" s="29"/>
      <c r="F41" s="26">
        <f t="shared" si="5"/>
        <v>0</v>
      </c>
      <c r="G41" s="19"/>
      <c r="H41" s="16">
        <v>43206</v>
      </c>
      <c r="I41" s="9">
        <v>191485.9</v>
      </c>
      <c r="J41" s="32" t="s">
        <v>37</v>
      </c>
      <c r="K41" s="34" t="s">
        <v>51</v>
      </c>
      <c r="L41" s="35" t="s">
        <v>52</v>
      </c>
      <c r="M41" s="36"/>
      <c r="N41" s="36"/>
      <c r="O41" s="35"/>
    </row>
    <row r="42" s="1" customFormat="1" ht="18" customHeight="1" spans="1:15">
      <c r="A42" s="8"/>
      <c r="B42" s="26">
        <f t="shared" si="4"/>
        <v>0</v>
      </c>
      <c r="C42" s="27"/>
      <c r="D42" s="28"/>
      <c r="E42" s="29"/>
      <c r="F42" s="26">
        <f t="shared" si="5"/>
        <v>0</v>
      </c>
      <c r="G42" s="19"/>
      <c r="H42" s="16">
        <v>43206</v>
      </c>
      <c r="I42" s="9">
        <v>-191485.9</v>
      </c>
      <c r="J42" s="32" t="s">
        <v>40</v>
      </c>
      <c r="K42" s="34" t="s">
        <v>4</v>
      </c>
      <c r="L42" s="24" t="s">
        <v>41</v>
      </c>
      <c r="M42" s="36"/>
      <c r="N42" s="36"/>
      <c r="O42" s="35"/>
    </row>
    <row r="43" s="1" customFormat="1" ht="18" customHeight="1" spans="1:15">
      <c r="A43" s="8"/>
      <c r="B43" s="26">
        <f t="shared" si="4"/>
        <v>0</v>
      </c>
      <c r="C43" s="27"/>
      <c r="D43" s="28"/>
      <c r="E43" s="29"/>
      <c r="F43" s="26">
        <f t="shared" si="5"/>
        <v>0</v>
      </c>
      <c r="G43" s="19"/>
      <c r="H43" s="16">
        <v>43206</v>
      </c>
      <c r="I43" s="9">
        <v>180000</v>
      </c>
      <c r="J43" s="32" t="s">
        <v>37</v>
      </c>
      <c r="K43" s="34" t="s">
        <v>53</v>
      </c>
      <c r="L43" s="35" t="s">
        <v>54</v>
      </c>
      <c r="M43" s="36"/>
      <c r="N43" s="36"/>
      <c r="O43" s="35"/>
    </row>
    <row r="44" s="1" customFormat="1" ht="18" customHeight="1" spans="1:15">
      <c r="A44" s="8"/>
      <c r="B44" s="26">
        <f t="shared" si="4"/>
        <v>0</v>
      </c>
      <c r="C44" s="27"/>
      <c r="D44" s="28"/>
      <c r="E44" s="29"/>
      <c r="F44" s="26">
        <f t="shared" si="5"/>
        <v>0</v>
      </c>
      <c r="G44" s="19"/>
      <c r="H44" s="16">
        <v>43206</v>
      </c>
      <c r="I44" s="9">
        <v>-180000</v>
      </c>
      <c r="J44" s="32" t="s">
        <v>40</v>
      </c>
      <c r="K44" s="34" t="s">
        <v>4</v>
      </c>
      <c r="L44" s="24" t="s">
        <v>41</v>
      </c>
      <c r="M44" s="36"/>
      <c r="N44" s="36"/>
      <c r="O44" s="35"/>
    </row>
    <row r="45" s="1" customFormat="1" ht="18" customHeight="1" spans="1:15">
      <c r="A45" s="8"/>
      <c r="B45" s="26">
        <f t="shared" si="4"/>
        <v>0</v>
      </c>
      <c r="C45" s="27"/>
      <c r="D45" s="28"/>
      <c r="E45" s="29"/>
      <c r="F45" s="26">
        <f t="shared" si="5"/>
        <v>0</v>
      </c>
      <c r="G45" s="19"/>
      <c r="H45" s="16">
        <v>43207</v>
      </c>
      <c r="I45" s="9">
        <v>500000</v>
      </c>
      <c r="J45" s="32" t="s">
        <v>37</v>
      </c>
      <c r="K45" s="34" t="s">
        <v>55</v>
      </c>
      <c r="L45" s="35" t="s">
        <v>43</v>
      </c>
      <c r="M45" s="36"/>
      <c r="N45" s="36"/>
      <c r="O45" s="35"/>
    </row>
    <row r="46" s="1" customFormat="1" ht="18" customHeight="1" spans="1:15">
      <c r="A46" s="8"/>
      <c r="B46" s="26">
        <f t="shared" si="4"/>
        <v>0</v>
      </c>
      <c r="C46" s="27"/>
      <c r="D46" s="28"/>
      <c r="E46" s="29"/>
      <c r="F46" s="26">
        <f t="shared" si="5"/>
        <v>0</v>
      </c>
      <c r="G46" s="19"/>
      <c r="H46" s="16">
        <v>43207</v>
      </c>
      <c r="I46" s="9">
        <v>-500000</v>
      </c>
      <c r="J46" s="32" t="s">
        <v>40</v>
      </c>
      <c r="K46" s="34" t="s">
        <v>4</v>
      </c>
      <c r="L46" s="24" t="s">
        <v>41</v>
      </c>
      <c r="M46" s="36"/>
      <c r="N46" s="36"/>
      <c r="O46" s="35"/>
    </row>
    <row r="47" s="1" customFormat="1" ht="18" customHeight="1" spans="1:15">
      <c r="A47" s="8"/>
      <c r="B47" s="26">
        <f t="shared" si="4"/>
        <v>0</v>
      </c>
      <c r="C47" s="27"/>
      <c r="D47" s="28"/>
      <c r="E47" s="29"/>
      <c r="F47" s="26">
        <f t="shared" si="5"/>
        <v>0</v>
      </c>
      <c r="G47" s="19"/>
      <c r="H47" s="16">
        <v>43208</v>
      </c>
      <c r="I47" s="9">
        <v>182070</v>
      </c>
      <c r="J47" s="32" t="s">
        <v>37</v>
      </c>
      <c r="K47" s="34" t="s">
        <v>51</v>
      </c>
      <c r="L47" s="35" t="s">
        <v>52</v>
      </c>
      <c r="M47" s="36"/>
      <c r="N47" s="36"/>
      <c r="O47" s="35"/>
    </row>
    <row r="48" s="1" customFormat="1" ht="18" customHeight="1" spans="1:15">
      <c r="A48" s="8"/>
      <c r="B48" s="26">
        <f t="shared" si="4"/>
        <v>0</v>
      </c>
      <c r="C48" s="27"/>
      <c r="D48" s="28"/>
      <c r="E48" s="29"/>
      <c r="F48" s="26">
        <f t="shared" si="5"/>
        <v>0</v>
      </c>
      <c r="G48" s="19"/>
      <c r="H48" s="16">
        <v>43208</v>
      </c>
      <c r="I48" s="9">
        <v>-182070</v>
      </c>
      <c r="J48" s="32" t="s">
        <v>40</v>
      </c>
      <c r="K48" s="34" t="s">
        <v>4</v>
      </c>
      <c r="L48" s="24" t="s">
        <v>41</v>
      </c>
      <c r="M48" s="36"/>
      <c r="N48" s="36"/>
      <c r="O48" s="35"/>
    </row>
    <row r="49" s="1" customFormat="1" ht="18" customHeight="1" spans="1:15">
      <c r="A49" s="8"/>
      <c r="B49" s="26">
        <f t="shared" si="4"/>
        <v>0</v>
      </c>
      <c r="C49" s="27"/>
      <c r="D49" s="28"/>
      <c r="E49" s="29"/>
      <c r="F49" s="26">
        <f t="shared" si="5"/>
        <v>0</v>
      </c>
      <c r="G49" s="19"/>
      <c r="H49" s="16">
        <v>43209</v>
      </c>
      <c r="I49" s="9">
        <v>240000</v>
      </c>
      <c r="J49" s="32" t="s">
        <v>37</v>
      </c>
      <c r="K49" s="34" t="s">
        <v>51</v>
      </c>
      <c r="L49" s="35" t="s">
        <v>52</v>
      </c>
      <c r="M49" s="36"/>
      <c r="N49" s="36"/>
      <c r="O49" s="35"/>
    </row>
    <row r="50" s="1" customFormat="1" ht="18" customHeight="1" spans="1:15">
      <c r="A50" s="8"/>
      <c r="B50" s="26">
        <f t="shared" si="4"/>
        <v>0</v>
      </c>
      <c r="C50" s="27"/>
      <c r="D50" s="28"/>
      <c r="E50" s="29"/>
      <c r="F50" s="26">
        <f t="shared" si="5"/>
        <v>0</v>
      </c>
      <c r="G50" s="19"/>
      <c r="H50" s="16">
        <v>43209</v>
      </c>
      <c r="I50" s="9">
        <v>-240000</v>
      </c>
      <c r="J50" s="32" t="s">
        <v>40</v>
      </c>
      <c r="K50" s="34" t="s">
        <v>4</v>
      </c>
      <c r="L50" s="24" t="s">
        <v>41</v>
      </c>
      <c r="M50" s="36"/>
      <c r="N50" s="36"/>
      <c r="O50" s="35"/>
    </row>
    <row r="51" s="1" customFormat="1" ht="18" customHeight="1" spans="1:15">
      <c r="A51" s="8"/>
      <c r="B51" s="26">
        <f t="shared" si="4"/>
        <v>0</v>
      </c>
      <c r="C51" s="27"/>
      <c r="D51" s="28"/>
      <c r="E51" s="29"/>
      <c r="F51" s="26">
        <f t="shared" si="5"/>
        <v>0</v>
      </c>
      <c r="G51" s="19"/>
      <c r="H51" s="16">
        <v>43210</v>
      </c>
      <c r="I51" s="9">
        <v>300000</v>
      </c>
      <c r="J51" s="32" t="s">
        <v>37</v>
      </c>
      <c r="K51" s="34" t="s">
        <v>55</v>
      </c>
      <c r="L51" s="35" t="s">
        <v>43</v>
      </c>
      <c r="M51" s="36"/>
      <c r="N51" s="36"/>
      <c r="O51" s="35"/>
    </row>
    <row r="52" s="1" customFormat="1" ht="18" customHeight="1" spans="1:15">
      <c r="A52" s="8"/>
      <c r="B52" s="26">
        <f t="shared" si="4"/>
        <v>0</v>
      </c>
      <c r="C52" s="27"/>
      <c r="D52" s="28"/>
      <c r="E52" s="29"/>
      <c r="F52" s="26">
        <f t="shared" si="5"/>
        <v>0</v>
      </c>
      <c r="G52" s="19"/>
      <c r="H52" s="16">
        <v>43209</v>
      </c>
      <c r="I52" s="9">
        <v>-300000</v>
      </c>
      <c r="J52" s="32" t="s">
        <v>40</v>
      </c>
      <c r="K52" s="34" t="s">
        <v>4</v>
      </c>
      <c r="L52" s="24" t="s">
        <v>41</v>
      </c>
      <c r="M52" s="36"/>
      <c r="N52" s="36"/>
      <c r="O52" s="35"/>
    </row>
    <row r="53" s="1" customFormat="1" ht="18" customHeight="1" spans="1:15">
      <c r="A53" s="8"/>
      <c r="B53" s="26">
        <f t="shared" si="4"/>
        <v>0</v>
      </c>
      <c r="C53" s="27"/>
      <c r="D53" s="28"/>
      <c r="E53" s="29"/>
      <c r="F53" s="26">
        <f t="shared" si="5"/>
        <v>0</v>
      </c>
      <c r="G53" s="19"/>
      <c r="H53" s="16">
        <v>43210</v>
      </c>
      <c r="I53" s="9">
        <v>261729</v>
      </c>
      <c r="J53" s="32" t="s">
        <v>37</v>
      </c>
      <c r="K53" s="34" t="s">
        <v>51</v>
      </c>
      <c r="L53" s="35" t="s">
        <v>52</v>
      </c>
      <c r="M53" s="36"/>
      <c r="N53" s="36"/>
      <c r="O53" s="35"/>
    </row>
    <row r="54" s="1" customFormat="1" ht="18" customHeight="1" spans="1:15">
      <c r="A54" s="8"/>
      <c r="B54" s="26">
        <f t="shared" si="4"/>
        <v>0</v>
      </c>
      <c r="C54" s="27"/>
      <c r="D54" s="28"/>
      <c r="E54" s="29"/>
      <c r="F54" s="26">
        <f t="shared" si="5"/>
        <v>0</v>
      </c>
      <c r="G54" s="19"/>
      <c r="H54" s="16">
        <v>43210</v>
      </c>
      <c r="I54" s="9">
        <v>-261729</v>
      </c>
      <c r="J54" s="32" t="s">
        <v>40</v>
      </c>
      <c r="K54" s="34" t="s">
        <v>4</v>
      </c>
      <c r="L54" s="24" t="s">
        <v>41</v>
      </c>
      <c r="M54" s="36"/>
      <c r="N54" s="36"/>
      <c r="O54" s="35"/>
    </row>
    <row r="55" s="1" customFormat="1" ht="18" customHeight="1" spans="1:15">
      <c r="A55" s="8"/>
      <c r="B55" s="26">
        <f t="shared" si="4"/>
        <v>0</v>
      </c>
      <c r="C55" s="27"/>
      <c r="D55" s="28"/>
      <c r="E55" s="29"/>
      <c r="F55" s="26">
        <f t="shared" si="5"/>
        <v>0</v>
      </c>
      <c r="G55" s="19"/>
      <c r="H55" s="16">
        <v>43210</v>
      </c>
      <c r="I55" s="9">
        <v>2000000</v>
      </c>
      <c r="J55" s="32" t="s">
        <v>37</v>
      </c>
      <c r="K55" s="34" t="s">
        <v>47</v>
      </c>
      <c r="L55" s="35" t="s">
        <v>48</v>
      </c>
      <c r="M55" s="36"/>
      <c r="N55" s="36"/>
      <c r="O55" s="35"/>
    </row>
    <row r="56" s="1" customFormat="1" ht="18" customHeight="1" spans="1:15">
      <c r="A56" s="8"/>
      <c r="B56" s="26">
        <f t="shared" si="4"/>
        <v>0</v>
      </c>
      <c r="C56" s="27"/>
      <c r="D56" s="28"/>
      <c r="E56" s="29"/>
      <c r="F56" s="26">
        <f t="shared" si="5"/>
        <v>0</v>
      </c>
      <c r="G56" s="19"/>
      <c r="H56" s="16">
        <v>43210</v>
      </c>
      <c r="I56" s="9">
        <v>-2000000</v>
      </c>
      <c r="J56" s="32" t="s">
        <v>40</v>
      </c>
      <c r="K56" s="34" t="s">
        <v>4</v>
      </c>
      <c r="L56" s="24" t="s">
        <v>41</v>
      </c>
      <c r="M56" s="36"/>
      <c r="N56" s="36"/>
      <c r="O56" s="35"/>
    </row>
    <row r="57" s="1" customFormat="1" ht="18" customHeight="1" spans="1:15">
      <c r="A57" s="8"/>
      <c r="B57" s="26">
        <f t="shared" si="4"/>
        <v>0</v>
      </c>
      <c r="C57" s="27"/>
      <c r="D57" s="28"/>
      <c r="E57" s="29"/>
      <c r="F57" s="26">
        <f t="shared" si="5"/>
        <v>0</v>
      </c>
      <c r="G57" s="19"/>
      <c r="H57" s="16">
        <v>43213</v>
      </c>
      <c r="I57" s="9">
        <v>268419</v>
      </c>
      <c r="J57" s="32" t="s">
        <v>37</v>
      </c>
      <c r="K57" s="34" t="s">
        <v>51</v>
      </c>
      <c r="L57" s="35" t="s">
        <v>52</v>
      </c>
      <c r="M57" s="36"/>
      <c r="N57" s="36"/>
      <c r="O57" s="35"/>
    </row>
    <row r="58" s="1" customFormat="1" ht="18" customHeight="1" spans="1:15">
      <c r="A58" s="8"/>
      <c r="B58" s="26">
        <f t="shared" si="4"/>
        <v>0</v>
      </c>
      <c r="C58" s="27"/>
      <c r="D58" s="28"/>
      <c r="E58" s="29"/>
      <c r="F58" s="26">
        <f t="shared" si="5"/>
        <v>0</v>
      </c>
      <c r="G58" s="19"/>
      <c r="H58" s="16">
        <v>43213</v>
      </c>
      <c r="I58" s="9">
        <v>-268419</v>
      </c>
      <c r="J58" s="32" t="s">
        <v>40</v>
      </c>
      <c r="K58" s="34" t="s">
        <v>4</v>
      </c>
      <c r="L58" s="24" t="s">
        <v>41</v>
      </c>
      <c r="M58" s="36"/>
      <c r="N58" s="36"/>
      <c r="O58" s="35"/>
    </row>
    <row r="59" s="1" customFormat="1" ht="18" customHeight="1" spans="1:15">
      <c r="A59" s="8"/>
      <c r="B59" s="26">
        <f t="shared" si="4"/>
        <v>0</v>
      </c>
      <c r="C59" s="27"/>
      <c r="D59" s="28"/>
      <c r="E59" s="29"/>
      <c r="F59" s="26">
        <f t="shared" si="5"/>
        <v>0</v>
      </c>
      <c r="G59" s="19"/>
      <c r="H59" s="16">
        <v>43214</v>
      </c>
      <c r="I59" s="9">
        <v>500000</v>
      </c>
      <c r="J59" s="32" t="s">
        <v>37</v>
      </c>
      <c r="K59" s="34" t="s">
        <v>44</v>
      </c>
      <c r="L59" s="35" t="s">
        <v>43</v>
      </c>
      <c r="M59" s="36"/>
      <c r="N59" s="36"/>
      <c r="O59" s="35"/>
    </row>
    <row r="60" s="1" customFormat="1" ht="18" customHeight="1" spans="1:15">
      <c r="A60" s="8"/>
      <c r="B60" s="26">
        <f t="shared" si="4"/>
        <v>0</v>
      </c>
      <c r="C60" s="27"/>
      <c r="D60" s="28"/>
      <c r="E60" s="29"/>
      <c r="F60" s="26">
        <f t="shared" si="5"/>
        <v>0</v>
      </c>
      <c r="G60" s="19"/>
      <c r="H60" s="16">
        <v>43214</v>
      </c>
      <c r="I60" s="9">
        <v>-500000</v>
      </c>
      <c r="J60" s="32" t="s">
        <v>40</v>
      </c>
      <c r="K60" s="34" t="s">
        <v>4</v>
      </c>
      <c r="L60" s="24" t="s">
        <v>41</v>
      </c>
      <c r="M60" s="36"/>
      <c r="N60" s="36"/>
      <c r="O60" s="35"/>
    </row>
    <row r="61" s="1" customFormat="1" ht="18" customHeight="1" spans="1:15">
      <c r="A61" s="8"/>
      <c r="B61" s="26">
        <f t="shared" si="4"/>
        <v>0</v>
      </c>
      <c r="C61" s="27"/>
      <c r="D61" s="28"/>
      <c r="E61" s="29"/>
      <c r="F61" s="26">
        <f t="shared" si="5"/>
        <v>0</v>
      </c>
      <c r="G61" s="19"/>
      <c r="H61" s="16">
        <v>43214</v>
      </c>
      <c r="I61" s="9">
        <f>196817.1+150000</f>
        <v>346817.1</v>
      </c>
      <c r="J61" s="32" t="s">
        <v>37</v>
      </c>
      <c r="K61" s="34" t="s">
        <v>51</v>
      </c>
      <c r="L61" s="35" t="s">
        <v>52</v>
      </c>
      <c r="M61" s="36"/>
      <c r="N61" s="36"/>
      <c r="O61" s="35"/>
    </row>
    <row r="62" s="1" customFormat="1" ht="18" customHeight="1" spans="1:15">
      <c r="A62" s="8"/>
      <c r="B62" s="26">
        <f t="shared" si="4"/>
        <v>0</v>
      </c>
      <c r="C62" s="27"/>
      <c r="D62" s="28"/>
      <c r="E62" s="29"/>
      <c r="F62" s="26">
        <f t="shared" si="5"/>
        <v>0</v>
      </c>
      <c r="G62" s="19"/>
      <c r="H62" s="16">
        <v>43214</v>
      </c>
      <c r="I62" s="9">
        <f>-196817.1-150000</f>
        <v>-346817.1</v>
      </c>
      <c r="J62" s="32" t="s">
        <v>40</v>
      </c>
      <c r="K62" s="34" t="s">
        <v>4</v>
      </c>
      <c r="L62" s="24" t="s">
        <v>41</v>
      </c>
      <c r="M62" s="36"/>
      <c r="N62" s="36"/>
      <c r="O62" s="35"/>
    </row>
    <row r="63" s="1" customFormat="1" ht="18" customHeight="1" spans="1:15">
      <c r="A63" s="8"/>
      <c r="B63" s="26">
        <f t="shared" si="4"/>
        <v>0</v>
      </c>
      <c r="C63" s="27"/>
      <c r="D63" s="28"/>
      <c r="E63" s="29"/>
      <c r="F63" s="26">
        <f t="shared" si="5"/>
        <v>0</v>
      </c>
      <c r="G63" s="19"/>
      <c r="H63" s="16">
        <v>43215</v>
      </c>
      <c r="I63" s="9">
        <v>300000</v>
      </c>
      <c r="J63" s="32" t="s">
        <v>37</v>
      </c>
      <c r="K63" s="34" t="s">
        <v>46</v>
      </c>
      <c r="L63" s="35" t="s">
        <v>43</v>
      </c>
      <c r="M63" s="36"/>
      <c r="N63" s="36"/>
      <c r="O63" s="35"/>
    </row>
    <row r="64" s="1" customFormat="1" ht="18" customHeight="1" spans="1:15">
      <c r="A64" s="8"/>
      <c r="B64" s="26">
        <f t="shared" si="4"/>
        <v>0</v>
      </c>
      <c r="C64" s="27"/>
      <c r="D64" s="28"/>
      <c r="E64" s="29"/>
      <c r="F64" s="26">
        <f t="shared" si="5"/>
        <v>0</v>
      </c>
      <c r="G64" s="19"/>
      <c r="H64" s="16">
        <v>43215</v>
      </c>
      <c r="I64" s="9">
        <v>-300000</v>
      </c>
      <c r="J64" s="32" t="s">
        <v>40</v>
      </c>
      <c r="K64" s="34" t="s">
        <v>4</v>
      </c>
      <c r="L64" s="24" t="s">
        <v>41</v>
      </c>
      <c r="M64" s="36"/>
      <c r="N64" s="36"/>
      <c r="O64" s="35"/>
    </row>
    <row r="65" s="1" customFormat="1" ht="18" customHeight="1" spans="1:15">
      <c r="A65" s="8"/>
      <c r="B65" s="26">
        <f t="shared" si="4"/>
        <v>0</v>
      </c>
      <c r="C65" s="27"/>
      <c r="D65" s="28"/>
      <c r="E65" s="29"/>
      <c r="F65" s="26">
        <f t="shared" si="5"/>
        <v>0</v>
      </c>
      <c r="G65" s="19"/>
      <c r="H65" s="16">
        <v>43216</v>
      </c>
      <c r="I65" s="9">
        <v>187040</v>
      </c>
      <c r="J65" s="32" t="s">
        <v>37</v>
      </c>
      <c r="K65" s="34" t="s">
        <v>51</v>
      </c>
      <c r="L65" s="35" t="s">
        <v>52</v>
      </c>
      <c r="M65" s="36"/>
      <c r="N65" s="36"/>
      <c r="O65" s="35"/>
    </row>
    <row r="66" s="1" customFormat="1" ht="18" customHeight="1" spans="1:15">
      <c r="A66" s="8"/>
      <c r="B66" s="26">
        <f t="shared" si="4"/>
        <v>0</v>
      </c>
      <c r="C66" s="27"/>
      <c r="D66" s="28"/>
      <c r="E66" s="29"/>
      <c r="F66" s="26">
        <f t="shared" si="5"/>
        <v>0</v>
      </c>
      <c r="G66" s="19"/>
      <c r="H66" s="16">
        <v>43216</v>
      </c>
      <c r="I66" s="9">
        <v>-187040</v>
      </c>
      <c r="J66" s="32" t="s">
        <v>40</v>
      </c>
      <c r="K66" s="34" t="s">
        <v>4</v>
      </c>
      <c r="L66" s="24" t="s">
        <v>41</v>
      </c>
      <c r="M66" s="36"/>
      <c r="N66" s="36"/>
      <c r="O66" s="35"/>
    </row>
    <row r="67" s="1" customFormat="1" ht="18" customHeight="1" spans="1:15">
      <c r="A67" s="8"/>
      <c r="B67" s="26">
        <f t="shared" si="4"/>
        <v>0</v>
      </c>
      <c r="C67" s="27"/>
      <c r="D67" s="28"/>
      <c r="E67" s="29"/>
      <c r="F67" s="26">
        <f t="shared" si="5"/>
        <v>0</v>
      </c>
      <c r="G67" s="19"/>
      <c r="H67" s="16">
        <v>43217</v>
      </c>
      <c r="I67" s="9">
        <v>70000</v>
      </c>
      <c r="J67" s="32" t="s">
        <v>37</v>
      </c>
      <c r="K67" s="34" t="s">
        <v>51</v>
      </c>
      <c r="L67" s="35" t="s">
        <v>52</v>
      </c>
      <c r="M67" s="36"/>
      <c r="N67" s="36"/>
      <c r="O67" s="35"/>
    </row>
    <row r="68" s="1" customFormat="1" ht="18" customHeight="1" spans="1:15">
      <c r="A68" s="8"/>
      <c r="B68" s="26">
        <f t="shared" si="4"/>
        <v>0</v>
      </c>
      <c r="C68" s="27"/>
      <c r="D68" s="28"/>
      <c r="E68" s="29"/>
      <c r="F68" s="26">
        <f t="shared" si="5"/>
        <v>0</v>
      </c>
      <c r="G68" s="19"/>
      <c r="H68" s="16">
        <v>43217</v>
      </c>
      <c r="I68" s="9">
        <v>-70000</v>
      </c>
      <c r="J68" s="32" t="s">
        <v>40</v>
      </c>
      <c r="K68" s="34" t="s">
        <v>4</v>
      </c>
      <c r="L68" s="24" t="s">
        <v>41</v>
      </c>
      <c r="M68" s="36"/>
      <c r="N68" s="36"/>
      <c r="O68" s="35"/>
    </row>
    <row r="69" s="1" customFormat="1" ht="18" customHeight="1" spans="1:15">
      <c r="A69" s="8">
        <v>43265</v>
      </c>
      <c r="B69" s="26">
        <f t="shared" si="4"/>
        <v>431037.93</v>
      </c>
      <c r="C69" s="27">
        <v>5</v>
      </c>
      <c r="D69" s="28" t="s">
        <v>36</v>
      </c>
      <c r="E69" s="29">
        <v>0.16</v>
      </c>
      <c r="F69" s="26">
        <f t="shared" si="5"/>
        <v>68966.07</v>
      </c>
      <c r="G69" s="19">
        <v>500004</v>
      </c>
      <c r="H69" s="16">
        <v>43217</v>
      </c>
      <c r="I69" s="9">
        <v>300000</v>
      </c>
      <c r="J69" s="32" t="s">
        <v>37</v>
      </c>
      <c r="K69" s="34" t="s">
        <v>56</v>
      </c>
      <c r="L69" s="35" t="s">
        <v>43</v>
      </c>
      <c r="M69" s="36"/>
      <c r="N69" s="36"/>
      <c r="O69" s="35"/>
    </row>
    <row r="70" s="1" customFormat="1" ht="18" customHeight="1" spans="1:15">
      <c r="A70" s="8"/>
      <c r="B70" s="26">
        <f t="shared" si="4"/>
        <v>0</v>
      </c>
      <c r="C70" s="27"/>
      <c r="D70" s="28"/>
      <c r="E70" s="29"/>
      <c r="F70" s="26">
        <f t="shared" si="5"/>
        <v>0</v>
      </c>
      <c r="G70" s="19"/>
      <c r="H70" s="16">
        <v>43217</v>
      </c>
      <c r="I70" s="9">
        <v>-300000</v>
      </c>
      <c r="J70" s="32" t="s">
        <v>40</v>
      </c>
      <c r="K70" s="34" t="s">
        <v>4</v>
      </c>
      <c r="L70" s="24" t="s">
        <v>41</v>
      </c>
      <c r="M70" s="36"/>
      <c r="N70" s="36"/>
      <c r="O70" s="35"/>
    </row>
    <row r="71" s="1" customFormat="1" ht="18" customHeight="1" spans="1:15">
      <c r="A71" s="8">
        <v>43265</v>
      </c>
      <c r="B71" s="26">
        <f t="shared" si="4"/>
        <v>85470.09</v>
      </c>
      <c r="C71" s="27">
        <v>1</v>
      </c>
      <c r="D71" s="28" t="s">
        <v>36</v>
      </c>
      <c r="E71" s="29">
        <v>0.17</v>
      </c>
      <c r="F71" s="26">
        <f t="shared" si="5"/>
        <v>14529.91</v>
      </c>
      <c r="G71" s="19">
        <v>100000</v>
      </c>
      <c r="H71" s="16">
        <v>43218</v>
      </c>
      <c r="I71" s="9">
        <v>100000</v>
      </c>
      <c r="J71" s="32" t="s">
        <v>37</v>
      </c>
      <c r="K71" s="34" t="s">
        <v>57</v>
      </c>
      <c r="L71" s="35" t="s">
        <v>43</v>
      </c>
      <c r="M71" s="36"/>
      <c r="N71" s="36"/>
      <c r="O71" s="35"/>
    </row>
    <row r="72" s="1" customFormat="1" ht="18" customHeight="1" spans="1:15">
      <c r="A72" s="8"/>
      <c r="B72" s="26">
        <f t="shared" si="4"/>
        <v>0</v>
      </c>
      <c r="C72" s="27"/>
      <c r="D72" s="28"/>
      <c r="E72" s="29"/>
      <c r="F72" s="26">
        <f t="shared" si="5"/>
        <v>0</v>
      </c>
      <c r="G72" s="19"/>
      <c r="H72" s="16">
        <v>43218</v>
      </c>
      <c r="I72" s="9">
        <v>-100000</v>
      </c>
      <c r="J72" s="32" t="s">
        <v>40</v>
      </c>
      <c r="K72" s="34" t="s">
        <v>4</v>
      </c>
      <c r="L72" s="24" t="s">
        <v>41</v>
      </c>
      <c r="M72" s="36"/>
      <c r="N72" s="36"/>
      <c r="O72" s="35"/>
    </row>
    <row r="73" s="1" customFormat="1" ht="18" customHeight="1" spans="1:15">
      <c r="A73" s="8"/>
      <c r="B73" s="26">
        <f t="shared" si="4"/>
        <v>0</v>
      </c>
      <c r="C73" s="27"/>
      <c r="D73" s="28"/>
      <c r="E73" s="29"/>
      <c r="F73" s="26">
        <f t="shared" si="5"/>
        <v>0</v>
      </c>
      <c r="G73" s="19"/>
      <c r="H73" s="16">
        <v>43218</v>
      </c>
      <c r="I73" s="9">
        <v>350000</v>
      </c>
      <c r="J73" s="32" t="s">
        <v>37</v>
      </c>
      <c r="K73" s="34" t="s">
        <v>56</v>
      </c>
      <c r="L73" s="35"/>
      <c r="M73" s="36"/>
      <c r="N73" s="36"/>
      <c r="O73" s="35"/>
    </row>
    <row r="74" s="1" customFormat="1" ht="18" customHeight="1" spans="1:15">
      <c r="A74" s="8"/>
      <c r="B74" s="26">
        <f t="shared" si="4"/>
        <v>0</v>
      </c>
      <c r="C74" s="27"/>
      <c r="D74" s="28"/>
      <c r="E74" s="29"/>
      <c r="F74" s="26">
        <f t="shared" si="5"/>
        <v>0</v>
      </c>
      <c r="G74" s="19"/>
      <c r="H74" s="16">
        <v>43218</v>
      </c>
      <c r="I74" s="9">
        <v>-350000</v>
      </c>
      <c r="J74" s="32" t="s">
        <v>40</v>
      </c>
      <c r="K74" s="34" t="s">
        <v>4</v>
      </c>
      <c r="L74" s="24" t="s">
        <v>41</v>
      </c>
      <c r="M74" s="36"/>
      <c r="N74" s="36"/>
      <c r="O74" s="35"/>
    </row>
    <row r="75" s="1" customFormat="1" ht="18" customHeight="1" spans="1:15">
      <c r="A75" s="8"/>
      <c r="B75" s="26">
        <f t="shared" si="4"/>
        <v>0</v>
      </c>
      <c r="C75" s="27"/>
      <c r="D75" s="28"/>
      <c r="E75" s="29"/>
      <c r="F75" s="26">
        <f t="shared" si="5"/>
        <v>0</v>
      </c>
      <c r="G75" s="19"/>
      <c r="H75" s="16">
        <v>43223</v>
      </c>
      <c r="I75" s="9">
        <v>350000</v>
      </c>
      <c r="J75" s="32" t="s">
        <v>37</v>
      </c>
      <c r="K75" s="34" t="s">
        <v>56</v>
      </c>
      <c r="L75" s="35" t="s">
        <v>43</v>
      </c>
      <c r="M75" s="36"/>
      <c r="N75" s="36"/>
      <c r="O75" s="35"/>
    </row>
    <row r="76" s="1" customFormat="1" ht="18" customHeight="1" spans="1:15">
      <c r="A76" s="8"/>
      <c r="B76" s="26">
        <f t="shared" si="4"/>
        <v>0</v>
      </c>
      <c r="C76" s="27"/>
      <c r="D76" s="28"/>
      <c r="E76" s="29"/>
      <c r="F76" s="26">
        <f t="shared" si="5"/>
        <v>0</v>
      </c>
      <c r="G76" s="19"/>
      <c r="H76" s="16">
        <v>43223</v>
      </c>
      <c r="I76" s="9">
        <v>-350000</v>
      </c>
      <c r="J76" s="32" t="s">
        <v>40</v>
      </c>
      <c r="K76" s="34" t="s">
        <v>4</v>
      </c>
      <c r="L76" s="24" t="s">
        <v>41</v>
      </c>
      <c r="M76" s="36"/>
      <c r="N76" s="36"/>
      <c r="O76" s="35"/>
    </row>
    <row r="77" s="1" customFormat="1" ht="18" customHeight="1" spans="1:15">
      <c r="A77" s="8">
        <v>43265</v>
      </c>
      <c r="B77" s="26">
        <f t="shared" si="4"/>
        <v>1266147.41</v>
      </c>
      <c r="C77" s="27">
        <v>13</v>
      </c>
      <c r="D77" s="28" t="s">
        <v>36</v>
      </c>
      <c r="E77" s="29">
        <v>0.16</v>
      </c>
      <c r="F77" s="26">
        <f t="shared" si="5"/>
        <v>202583.58</v>
      </c>
      <c r="G77" s="19">
        <v>1468730.99</v>
      </c>
      <c r="H77" s="16">
        <v>43224</v>
      </c>
      <c r="I77" s="9">
        <v>600000</v>
      </c>
      <c r="J77" s="32" t="s">
        <v>37</v>
      </c>
      <c r="K77" s="34" t="s">
        <v>59</v>
      </c>
      <c r="L77" s="35" t="s">
        <v>60</v>
      </c>
      <c r="M77" s="36"/>
      <c r="N77" s="36"/>
      <c r="O77" s="35"/>
    </row>
    <row r="78" s="1" customFormat="1" ht="18" customHeight="1" spans="1:15">
      <c r="A78" s="8"/>
      <c r="B78" s="26">
        <f t="shared" si="4"/>
        <v>0</v>
      </c>
      <c r="C78" s="27"/>
      <c r="D78" s="28"/>
      <c r="E78" s="29"/>
      <c r="F78" s="26">
        <f t="shared" si="5"/>
        <v>0</v>
      </c>
      <c r="G78" s="19"/>
      <c r="H78" s="16">
        <v>43224</v>
      </c>
      <c r="I78" s="9">
        <v>-600000</v>
      </c>
      <c r="J78" s="32" t="s">
        <v>40</v>
      </c>
      <c r="K78" s="34" t="s">
        <v>4</v>
      </c>
      <c r="L78" s="24" t="s">
        <v>41</v>
      </c>
      <c r="M78" s="36"/>
      <c r="N78" s="36"/>
      <c r="O78" s="35"/>
    </row>
    <row r="79" s="1" customFormat="1" ht="18" customHeight="1" spans="1:15">
      <c r="A79" s="8"/>
      <c r="B79" s="26">
        <f t="shared" si="4"/>
        <v>0</v>
      </c>
      <c r="C79" s="27"/>
      <c r="D79" s="28"/>
      <c r="E79" s="29"/>
      <c r="F79" s="26">
        <f t="shared" si="5"/>
        <v>0</v>
      </c>
      <c r="G79" s="19"/>
      <c r="H79" s="16">
        <v>43238</v>
      </c>
      <c r="I79" s="9">
        <v>99830</v>
      </c>
      <c r="J79" s="32" t="s">
        <v>37</v>
      </c>
      <c r="K79" s="34" t="s">
        <v>53</v>
      </c>
      <c r="L79" s="35" t="s">
        <v>54</v>
      </c>
      <c r="M79" s="36"/>
      <c r="N79" s="36"/>
      <c r="O79" s="35"/>
    </row>
    <row r="80" s="1" customFormat="1" ht="18" customHeight="1" spans="1:15">
      <c r="A80" s="8"/>
      <c r="B80" s="26">
        <f t="shared" si="4"/>
        <v>0</v>
      </c>
      <c r="C80" s="27"/>
      <c r="D80" s="28"/>
      <c r="E80" s="29"/>
      <c r="F80" s="26">
        <f t="shared" si="5"/>
        <v>0</v>
      </c>
      <c r="G80" s="19"/>
      <c r="H80" s="16">
        <v>43238</v>
      </c>
      <c r="I80" s="9">
        <v>-99830</v>
      </c>
      <c r="J80" s="32" t="s">
        <v>40</v>
      </c>
      <c r="K80" s="34" t="s">
        <v>4</v>
      </c>
      <c r="L80" s="24" t="s">
        <v>41</v>
      </c>
      <c r="M80" s="36"/>
      <c r="N80" s="36"/>
      <c r="O80" s="35"/>
    </row>
    <row r="81" s="1" customFormat="1" ht="18" customHeight="1" spans="1:15">
      <c r="A81" s="8"/>
      <c r="B81" s="26">
        <f t="shared" si="4"/>
        <v>0</v>
      </c>
      <c r="C81" s="27"/>
      <c r="D81" s="28"/>
      <c r="E81" s="29"/>
      <c r="F81" s="26">
        <f t="shared" si="5"/>
        <v>0</v>
      </c>
      <c r="G81" s="19"/>
      <c r="H81" s="16">
        <v>43238</v>
      </c>
      <c r="I81" s="9">
        <v>1400000</v>
      </c>
      <c r="J81" s="32" t="s">
        <v>37</v>
      </c>
      <c r="K81" s="34" t="s">
        <v>47</v>
      </c>
      <c r="L81" s="35" t="s">
        <v>48</v>
      </c>
      <c r="M81" s="36"/>
      <c r="N81" s="36"/>
      <c r="O81" s="35"/>
    </row>
    <row r="82" s="1" customFormat="1" ht="18" customHeight="1" spans="1:15">
      <c r="A82" s="8"/>
      <c r="B82" s="26">
        <f t="shared" si="4"/>
        <v>0</v>
      </c>
      <c r="C82" s="27"/>
      <c r="D82" s="28"/>
      <c r="E82" s="29"/>
      <c r="F82" s="26">
        <f t="shared" si="5"/>
        <v>0</v>
      </c>
      <c r="G82" s="19"/>
      <c r="H82" s="16">
        <v>43238</v>
      </c>
      <c r="I82" s="9">
        <v>-1400000</v>
      </c>
      <c r="J82" s="32" t="s">
        <v>40</v>
      </c>
      <c r="K82" s="34" t="s">
        <v>4</v>
      </c>
      <c r="L82" s="24" t="s">
        <v>41</v>
      </c>
      <c r="M82" s="36"/>
      <c r="N82" s="36"/>
      <c r="O82" s="35"/>
    </row>
    <row r="83" s="1" customFormat="1" ht="18" customHeight="1" spans="1:15">
      <c r="A83" s="8"/>
      <c r="B83" s="26">
        <f t="shared" si="4"/>
        <v>0</v>
      </c>
      <c r="C83" s="27"/>
      <c r="D83" s="28"/>
      <c r="E83" s="29"/>
      <c r="F83" s="26">
        <f t="shared" si="5"/>
        <v>0</v>
      </c>
      <c r="G83" s="19"/>
      <c r="H83" s="16">
        <v>43241</v>
      </c>
      <c r="I83" s="9">
        <v>100000</v>
      </c>
      <c r="J83" s="32" t="s">
        <v>37</v>
      </c>
      <c r="K83" s="34" t="s">
        <v>61</v>
      </c>
      <c r="L83" s="35" t="s">
        <v>43</v>
      </c>
      <c r="M83" s="36" t="s">
        <v>45</v>
      </c>
      <c r="N83" s="36"/>
      <c r="O83" s="35" t="s">
        <v>62</v>
      </c>
    </row>
    <row r="84" s="1" customFormat="1" ht="18" customHeight="1" spans="1:15">
      <c r="A84" s="8"/>
      <c r="B84" s="26">
        <f t="shared" si="4"/>
        <v>0</v>
      </c>
      <c r="C84" s="27"/>
      <c r="D84" s="28"/>
      <c r="E84" s="29"/>
      <c r="F84" s="26">
        <f t="shared" si="5"/>
        <v>0</v>
      </c>
      <c r="G84" s="19"/>
      <c r="H84" s="16">
        <v>43241</v>
      </c>
      <c r="I84" s="9">
        <v>-100000</v>
      </c>
      <c r="J84" s="32" t="s">
        <v>40</v>
      </c>
      <c r="K84" s="34" t="s">
        <v>4</v>
      </c>
      <c r="L84" s="24" t="s">
        <v>41</v>
      </c>
      <c r="M84" s="36"/>
      <c r="N84" s="36"/>
      <c r="O84" s="35"/>
    </row>
    <row r="85" s="1" customFormat="1" ht="18" customHeight="1" spans="1:15">
      <c r="A85" s="8"/>
      <c r="B85" s="26">
        <f t="shared" si="4"/>
        <v>0</v>
      </c>
      <c r="C85" s="27"/>
      <c r="D85" s="28"/>
      <c r="E85" s="29"/>
      <c r="F85" s="26">
        <f t="shared" si="5"/>
        <v>0</v>
      </c>
      <c r="G85" s="19"/>
      <c r="H85" s="16">
        <v>43243</v>
      </c>
      <c r="I85" s="9">
        <v>-100889.16</v>
      </c>
      <c r="J85" s="32" t="s">
        <v>40</v>
      </c>
      <c r="K85" s="34" t="s">
        <v>4</v>
      </c>
      <c r="L85" s="24" t="s">
        <v>41</v>
      </c>
      <c r="M85" s="36"/>
      <c r="N85" s="36"/>
      <c r="O85" s="35"/>
    </row>
    <row r="86" s="1" customFormat="1" ht="18" customHeight="1" spans="1:15">
      <c r="A86" s="8"/>
      <c r="B86" s="26">
        <f t="shared" si="4"/>
        <v>0</v>
      </c>
      <c r="C86" s="27"/>
      <c r="D86" s="28"/>
      <c r="E86" s="29"/>
      <c r="F86" s="26">
        <f t="shared" si="5"/>
        <v>0</v>
      </c>
      <c r="G86" s="19"/>
      <c r="H86" s="16">
        <v>43243</v>
      </c>
      <c r="I86" s="9">
        <v>100889.16</v>
      </c>
      <c r="J86" s="32" t="s">
        <v>37</v>
      </c>
      <c r="K86" s="34" t="s">
        <v>63</v>
      </c>
      <c r="L86" s="35" t="s">
        <v>64</v>
      </c>
      <c r="M86" s="36"/>
      <c r="N86" s="36"/>
      <c r="O86" s="35"/>
    </row>
    <row r="87" s="1" customFormat="1" ht="18" customHeight="1" spans="1:15">
      <c r="A87" s="8"/>
      <c r="B87" s="26">
        <f t="shared" si="4"/>
        <v>0</v>
      </c>
      <c r="C87" s="27"/>
      <c r="D87" s="28"/>
      <c r="E87" s="29"/>
      <c r="F87" s="26">
        <f t="shared" si="5"/>
        <v>0</v>
      </c>
      <c r="G87" s="19"/>
      <c r="H87" s="16">
        <v>43259</v>
      </c>
      <c r="I87" s="9">
        <v>-124136.65</v>
      </c>
      <c r="J87" s="32" t="s">
        <v>40</v>
      </c>
      <c r="K87" s="34" t="s">
        <v>4</v>
      </c>
      <c r="L87" s="24" t="s">
        <v>41</v>
      </c>
      <c r="M87" s="36"/>
      <c r="N87" s="36"/>
      <c r="O87" s="35"/>
    </row>
    <row r="88" s="1" customFormat="1" ht="18" customHeight="1" spans="1:15">
      <c r="A88" s="8"/>
      <c r="B88" s="26">
        <f t="shared" si="4"/>
        <v>0</v>
      </c>
      <c r="C88" s="27"/>
      <c r="D88" s="28"/>
      <c r="E88" s="29"/>
      <c r="F88" s="26">
        <f t="shared" si="5"/>
        <v>0</v>
      </c>
      <c r="G88" s="19"/>
      <c r="H88" s="16">
        <v>43259</v>
      </c>
      <c r="I88" s="9">
        <v>124136.65</v>
      </c>
      <c r="J88" s="32" t="s">
        <v>37</v>
      </c>
      <c r="K88" s="34" t="s">
        <v>63</v>
      </c>
      <c r="L88" s="35" t="s">
        <v>64</v>
      </c>
      <c r="M88" s="36"/>
      <c r="N88" s="36"/>
      <c r="O88" s="35"/>
    </row>
    <row r="89" s="1" customFormat="1" ht="18" customHeight="1" spans="1:15">
      <c r="A89" s="8"/>
      <c r="B89" s="26">
        <f t="shared" si="4"/>
        <v>0</v>
      </c>
      <c r="C89" s="27"/>
      <c r="D89" s="28"/>
      <c r="E89" s="29"/>
      <c r="F89" s="26">
        <f t="shared" si="5"/>
        <v>0</v>
      </c>
      <c r="G89" s="38"/>
      <c r="H89" s="16">
        <v>43262</v>
      </c>
      <c r="I89" s="9">
        <v>-868730.99</v>
      </c>
      <c r="J89" s="44" t="s">
        <v>40</v>
      </c>
      <c r="K89" s="34" t="s">
        <v>4</v>
      </c>
      <c r="L89" s="24" t="s">
        <v>41</v>
      </c>
      <c r="M89" s="36"/>
      <c r="N89" s="36"/>
      <c r="O89" s="35"/>
    </row>
    <row r="90" s="1" customFormat="1" ht="18" customHeight="1" spans="1:15">
      <c r="A90" s="8"/>
      <c r="B90" s="26">
        <f t="shared" ref="B90:B159" si="6">ROUND(G90/(1+E90),2)</f>
        <v>0</v>
      </c>
      <c r="C90" s="27"/>
      <c r="D90" s="28"/>
      <c r="E90" s="29"/>
      <c r="F90" s="26">
        <f t="shared" ref="F90:F159" si="7">ROUND(G90/(1+E90)*E90,2)</f>
        <v>0</v>
      </c>
      <c r="G90" s="38"/>
      <c r="H90" s="16">
        <v>43262</v>
      </c>
      <c r="I90" s="9">
        <v>868730.99</v>
      </c>
      <c r="J90" s="44" t="s">
        <v>37</v>
      </c>
      <c r="K90" s="34" t="s">
        <v>59</v>
      </c>
      <c r="L90" s="35" t="s">
        <v>60</v>
      </c>
      <c r="M90" s="36"/>
      <c r="N90" s="36"/>
      <c r="O90" s="35"/>
    </row>
    <row r="91" s="1" customFormat="1" ht="18" customHeight="1" spans="1:15">
      <c r="A91" s="8"/>
      <c r="B91" s="26">
        <f t="shared" si="6"/>
        <v>0</v>
      </c>
      <c r="C91" s="27"/>
      <c r="D91" s="28"/>
      <c r="E91" s="29"/>
      <c r="F91" s="26">
        <f t="shared" si="7"/>
        <v>0</v>
      </c>
      <c r="G91" s="38"/>
      <c r="H91" s="16">
        <v>43265</v>
      </c>
      <c r="I91" s="9">
        <v>-2000</v>
      </c>
      <c r="J91" s="44" t="s">
        <v>40</v>
      </c>
      <c r="K91" s="34" t="s">
        <v>4</v>
      </c>
      <c r="L91" s="24" t="s">
        <v>41</v>
      </c>
      <c r="M91" s="36"/>
      <c r="N91" s="36"/>
      <c r="O91" s="35"/>
    </row>
    <row r="92" s="1" customFormat="1" ht="18" customHeight="1" spans="1:15">
      <c r="A92" s="8"/>
      <c r="B92" s="26">
        <f t="shared" si="6"/>
        <v>0</v>
      </c>
      <c r="C92" s="27"/>
      <c r="D92" s="28"/>
      <c r="E92" s="29"/>
      <c r="F92" s="26">
        <f t="shared" si="7"/>
        <v>0</v>
      </c>
      <c r="G92" s="38"/>
      <c r="H92" s="16">
        <v>43265</v>
      </c>
      <c r="I92" s="9">
        <v>2000</v>
      </c>
      <c r="J92" s="44" t="s">
        <v>37</v>
      </c>
      <c r="K92" s="34" t="s">
        <v>65</v>
      </c>
      <c r="L92" s="35" t="s">
        <v>66</v>
      </c>
      <c r="M92" s="36"/>
      <c r="N92" s="36"/>
      <c r="O92" s="35"/>
    </row>
    <row r="93" s="1" customFormat="1" ht="18" customHeight="1" spans="1:15">
      <c r="A93" s="8">
        <v>43265</v>
      </c>
      <c r="B93" s="26">
        <f t="shared" si="6"/>
        <v>2800</v>
      </c>
      <c r="C93" s="27">
        <v>1</v>
      </c>
      <c r="D93" s="28" t="s">
        <v>67</v>
      </c>
      <c r="E93" s="29"/>
      <c r="F93" s="26">
        <f t="shared" si="7"/>
        <v>0</v>
      </c>
      <c r="G93" s="38">
        <v>2800</v>
      </c>
      <c r="H93" s="16"/>
      <c r="I93" s="9"/>
      <c r="J93" s="44"/>
      <c r="K93" s="34" t="s">
        <v>68</v>
      </c>
      <c r="L93" s="35" t="s">
        <v>69</v>
      </c>
      <c r="M93" s="36"/>
      <c r="N93" s="36"/>
      <c r="O93" s="35"/>
    </row>
    <row r="94" s="1" customFormat="1" ht="18" customHeight="1" spans="1:15">
      <c r="A94" s="8">
        <v>43265</v>
      </c>
      <c r="B94" s="26">
        <f t="shared" si="6"/>
        <v>76111.11</v>
      </c>
      <c r="C94" s="27">
        <v>1</v>
      </c>
      <c r="D94" s="28" t="s">
        <v>36</v>
      </c>
      <c r="E94" s="29">
        <v>0.17</v>
      </c>
      <c r="F94" s="26">
        <f t="shared" si="7"/>
        <v>12938.89</v>
      </c>
      <c r="G94" s="38">
        <v>89050</v>
      </c>
      <c r="H94" s="16"/>
      <c r="I94" s="9"/>
      <c r="J94" s="44"/>
      <c r="K94" s="34" t="s">
        <v>70</v>
      </c>
      <c r="L94" s="35" t="s">
        <v>71</v>
      </c>
      <c r="M94" s="36"/>
      <c r="N94" s="36"/>
      <c r="O94" s="35"/>
    </row>
    <row r="95" s="1" customFormat="1" ht="18" customHeight="1" spans="1:15">
      <c r="A95" s="8">
        <v>43271</v>
      </c>
      <c r="B95" s="26">
        <f t="shared" si="6"/>
        <v>17461.81</v>
      </c>
      <c r="C95" s="27">
        <v>1</v>
      </c>
      <c r="D95" s="28" t="s">
        <v>36</v>
      </c>
      <c r="E95" s="29">
        <v>0.16</v>
      </c>
      <c r="F95" s="26">
        <f t="shared" si="7"/>
        <v>2793.89</v>
      </c>
      <c r="G95" s="38">
        <v>20255.7</v>
      </c>
      <c r="H95" s="16"/>
      <c r="I95" s="9"/>
      <c r="J95" s="44"/>
      <c r="K95" s="34" t="s">
        <v>46</v>
      </c>
      <c r="L95" s="35" t="s">
        <v>43</v>
      </c>
      <c r="M95" s="36"/>
      <c r="N95" s="36"/>
      <c r="O95" s="35"/>
    </row>
    <row r="96" s="1" customFormat="1" ht="18" customHeight="1" spans="1:15">
      <c r="A96" s="8">
        <v>43273</v>
      </c>
      <c r="B96" s="26">
        <f t="shared" si="6"/>
        <v>8400000</v>
      </c>
      <c r="C96" s="27">
        <v>1</v>
      </c>
      <c r="D96" s="28" t="s">
        <v>72</v>
      </c>
      <c r="E96" s="29"/>
      <c r="F96" s="26">
        <f t="shared" si="7"/>
        <v>0</v>
      </c>
      <c r="G96" s="39">
        <v>8400000</v>
      </c>
      <c r="H96" s="16"/>
      <c r="I96" s="9"/>
      <c r="J96" s="44"/>
      <c r="K96" s="34" t="s">
        <v>73</v>
      </c>
      <c r="L96" s="35" t="s">
        <v>74</v>
      </c>
      <c r="M96" s="36"/>
      <c r="N96" s="36"/>
      <c r="O96" s="35"/>
    </row>
    <row r="97" s="1" customFormat="1" ht="18" customHeight="1" spans="1:15">
      <c r="A97" s="8">
        <v>43273</v>
      </c>
      <c r="B97" s="26">
        <f t="shared" si="6"/>
        <v>1529000</v>
      </c>
      <c r="C97" s="27">
        <v>1</v>
      </c>
      <c r="D97" s="28" t="s">
        <v>72</v>
      </c>
      <c r="E97" s="29"/>
      <c r="F97" s="26">
        <f t="shared" si="7"/>
        <v>0</v>
      </c>
      <c r="G97" s="39">
        <v>1529000</v>
      </c>
      <c r="H97" s="16"/>
      <c r="I97" s="9"/>
      <c r="J97" s="44"/>
      <c r="K97" s="34" t="s">
        <v>75</v>
      </c>
      <c r="L97" s="35" t="s">
        <v>76</v>
      </c>
      <c r="M97" s="36"/>
      <c r="N97" s="36"/>
      <c r="O97" s="35"/>
    </row>
    <row r="98" s="1" customFormat="1" ht="18" customHeight="1" spans="1:15">
      <c r="A98" s="8">
        <v>43273</v>
      </c>
      <c r="B98" s="26">
        <f t="shared" si="6"/>
        <v>2800000</v>
      </c>
      <c r="C98" s="27">
        <v>1</v>
      </c>
      <c r="D98" s="28" t="s">
        <v>72</v>
      </c>
      <c r="E98" s="29"/>
      <c r="F98" s="26">
        <f t="shared" si="7"/>
        <v>0</v>
      </c>
      <c r="G98" s="39">
        <v>2800000</v>
      </c>
      <c r="H98" s="16"/>
      <c r="I98" s="9"/>
      <c r="J98" s="44"/>
      <c r="K98" s="34" t="s">
        <v>78</v>
      </c>
      <c r="L98" s="35" t="s">
        <v>79</v>
      </c>
      <c r="M98" s="36"/>
      <c r="N98" s="36"/>
      <c r="O98" s="35"/>
    </row>
    <row r="99" s="1" customFormat="1" ht="18" customHeight="1" spans="1:15">
      <c r="A99" s="8">
        <v>43273</v>
      </c>
      <c r="B99" s="26">
        <f t="shared" si="6"/>
        <v>659257</v>
      </c>
      <c r="C99" s="27">
        <v>1</v>
      </c>
      <c r="D99" s="28" t="s">
        <v>72</v>
      </c>
      <c r="E99" s="29"/>
      <c r="F99" s="26">
        <f t="shared" si="7"/>
        <v>0</v>
      </c>
      <c r="G99" s="39">
        <v>659257</v>
      </c>
      <c r="H99" s="16"/>
      <c r="I99" s="9"/>
      <c r="J99" s="44"/>
      <c r="K99" s="34" t="s">
        <v>80</v>
      </c>
      <c r="L99" s="35" t="s">
        <v>81</v>
      </c>
      <c r="M99" s="36"/>
      <c r="N99" s="36"/>
      <c r="O99" s="35"/>
    </row>
    <row r="100" ht="18" customHeight="1" spans="1:15">
      <c r="A100" s="16"/>
      <c r="B100" s="9">
        <f t="shared" si="6"/>
        <v>0</v>
      </c>
      <c r="C100" s="40"/>
      <c r="D100" s="41"/>
      <c r="E100" s="42"/>
      <c r="F100" s="9">
        <f t="shared" si="7"/>
        <v>0</v>
      </c>
      <c r="G100" s="43"/>
      <c r="H100" s="16">
        <v>43277</v>
      </c>
      <c r="I100" s="9">
        <v>20000</v>
      </c>
      <c r="J100" s="44" t="s">
        <v>21</v>
      </c>
      <c r="K100" s="45" t="s">
        <v>44</v>
      </c>
      <c r="L100" s="24" t="s">
        <v>43</v>
      </c>
      <c r="M100" s="32"/>
      <c r="N100" s="32"/>
      <c r="O100" s="24"/>
    </row>
    <row r="101" ht="18" customHeight="1" spans="1:15">
      <c r="A101" s="16"/>
      <c r="B101" s="9">
        <f t="shared" si="6"/>
        <v>0</v>
      </c>
      <c r="C101" s="40"/>
      <c r="D101" s="41"/>
      <c r="E101" s="42"/>
      <c r="F101" s="9">
        <f t="shared" si="7"/>
        <v>0</v>
      </c>
      <c r="G101" s="43"/>
      <c r="H101" s="16">
        <v>43276</v>
      </c>
      <c r="I101" s="37">
        <v>13388257</v>
      </c>
      <c r="J101" s="44" t="s">
        <v>82</v>
      </c>
      <c r="K101" s="45" t="s">
        <v>4</v>
      </c>
      <c r="L101" s="24" t="s">
        <v>83</v>
      </c>
      <c r="M101" s="32"/>
      <c r="N101" s="32"/>
      <c r="O101" s="24"/>
    </row>
    <row r="102" ht="18" customHeight="1" spans="1:15">
      <c r="A102" s="16"/>
      <c r="B102" s="9">
        <f t="shared" si="6"/>
        <v>0</v>
      </c>
      <c r="C102" s="40"/>
      <c r="D102" s="41"/>
      <c r="E102" s="42"/>
      <c r="F102" s="9">
        <f t="shared" si="7"/>
        <v>0</v>
      </c>
      <c r="G102" s="43"/>
      <c r="H102" s="16">
        <v>43276</v>
      </c>
      <c r="I102" s="9">
        <v>1800000</v>
      </c>
      <c r="J102" s="44" t="s">
        <v>21</v>
      </c>
      <c r="K102" s="45" t="s">
        <v>47</v>
      </c>
      <c r="L102" s="24" t="s">
        <v>48</v>
      </c>
      <c r="M102" s="32"/>
      <c r="N102" s="32"/>
      <c r="O102" s="24"/>
    </row>
    <row r="103" ht="18" customHeight="1" spans="1:15">
      <c r="A103" s="16"/>
      <c r="B103" s="9">
        <f t="shared" si="6"/>
        <v>0</v>
      </c>
      <c r="C103" s="40"/>
      <c r="D103" s="41"/>
      <c r="E103" s="42"/>
      <c r="F103" s="9">
        <f t="shared" si="7"/>
        <v>0</v>
      </c>
      <c r="G103" s="43"/>
      <c r="H103" s="16">
        <v>43277</v>
      </c>
      <c r="I103" s="9">
        <v>89050</v>
      </c>
      <c r="J103" s="44" t="s">
        <v>21</v>
      </c>
      <c r="K103" s="45" t="s">
        <v>70</v>
      </c>
      <c r="L103" s="24" t="s">
        <v>71</v>
      </c>
      <c r="M103" s="32"/>
      <c r="N103" s="32"/>
      <c r="O103" s="24"/>
    </row>
    <row r="104" ht="18" customHeight="1" spans="1:15">
      <c r="A104" s="16"/>
      <c r="B104" s="9">
        <f t="shared" si="6"/>
        <v>0</v>
      </c>
      <c r="C104" s="40"/>
      <c r="D104" s="41"/>
      <c r="E104" s="42"/>
      <c r="F104" s="9">
        <f t="shared" si="7"/>
        <v>0</v>
      </c>
      <c r="G104" s="43"/>
      <c r="H104" s="16">
        <v>43285</v>
      </c>
      <c r="I104" s="9">
        <v>256685.07</v>
      </c>
      <c r="J104" s="44" t="s">
        <v>21</v>
      </c>
      <c r="K104" s="45" t="s">
        <v>47</v>
      </c>
      <c r="L104" s="24" t="s">
        <v>48</v>
      </c>
      <c r="M104" s="32"/>
      <c r="N104" s="32"/>
      <c r="O104" s="24"/>
    </row>
    <row r="105" s="1" customFormat="1" ht="18" customHeight="1" spans="1:15">
      <c r="A105" s="8"/>
      <c r="B105" s="26">
        <f t="shared" si="6"/>
        <v>0</v>
      </c>
      <c r="C105" s="27"/>
      <c r="D105" s="28"/>
      <c r="E105" s="29"/>
      <c r="F105" s="26">
        <f t="shared" si="7"/>
        <v>0</v>
      </c>
      <c r="G105" s="38"/>
      <c r="H105" s="16">
        <v>43273</v>
      </c>
      <c r="I105" s="9">
        <v>10000</v>
      </c>
      <c r="J105" s="44" t="s">
        <v>37</v>
      </c>
      <c r="K105" s="34" t="s">
        <v>84</v>
      </c>
      <c r="L105" s="35" t="s">
        <v>85</v>
      </c>
      <c r="M105" s="36"/>
      <c r="N105" s="36"/>
      <c r="O105" s="35"/>
    </row>
    <row r="106" s="1" customFormat="1" ht="18" customHeight="1" spans="1:15">
      <c r="A106" s="8"/>
      <c r="B106" s="26">
        <f t="shared" si="6"/>
        <v>0</v>
      </c>
      <c r="C106" s="27"/>
      <c r="D106" s="28"/>
      <c r="E106" s="29"/>
      <c r="F106" s="26">
        <f t="shared" si="7"/>
        <v>0</v>
      </c>
      <c r="G106" s="38"/>
      <c r="H106" s="16">
        <v>43273</v>
      </c>
      <c r="I106" s="9">
        <v>-10000</v>
      </c>
      <c r="J106" s="44" t="s">
        <v>40</v>
      </c>
      <c r="K106" s="34" t="s">
        <v>4</v>
      </c>
      <c r="L106" s="24" t="s">
        <v>41</v>
      </c>
      <c r="M106" s="36"/>
      <c r="N106" s="36"/>
      <c r="O106" s="35"/>
    </row>
    <row r="107" ht="18" customHeight="1" spans="1:15">
      <c r="A107" s="16">
        <v>43335</v>
      </c>
      <c r="B107" s="9">
        <f t="shared" si="6"/>
        <v>14275.86</v>
      </c>
      <c r="C107" s="40">
        <v>1</v>
      </c>
      <c r="D107" s="41" t="s">
        <v>36</v>
      </c>
      <c r="E107" s="42">
        <v>0.16</v>
      </c>
      <c r="F107" s="9">
        <f t="shared" si="7"/>
        <v>2284.14</v>
      </c>
      <c r="G107" s="43">
        <v>16560</v>
      </c>
      <c r="H107" s="16">
        <v>43276</v>
      </c>
      <c r="I107" s="9">
        <v>14560</v>
      </c>
      <c r="J107" s="44" t="s">
        <v>37</v>
      </c>
      <c r="K107" s="45" t="s">
        <v>65</v>
      </c>
      <c r="L107" s="24" t="s">
        <v>86</v>
      </c>
      <c r="M107" s="32"/>
      <c r="N107" s="32"/>
      <c r="O107" s="24"/>
    </row>
    <row r="108" ht="18" customHeight="1" spans="1:15">
      <c r="A108" s="16"/>
      <c r="B108" s="9">
        <f t="shared" si="6"/>
        <v>0</v>
      </c>
      <c r="C108" s="40"/>
      <c r="D108" s="41"/>
      <c r="E108" s="42"/>
      <c r="F108" s="9">
        <f t="shared" si="7"/>
        <v>0</v>
      </c>
      <c r="G108" s="43"/>
      <c r="H108" s="16">
        <v>43276</v>
      </c>
      <c r="I108" s="9">
        <v>-14560</v>
      </c>
      <c r="J108" s="44" t="s">
        <v>82</v>
      </c>
      <c r="K108" s="45" t="s">
        <v>4</v>
      </c>
      <c r="L108" s="24" t="s">
        <v>41</v>
      </c>
      <c r="M108" s="32"/>
      <c r="N108" s="32"/>
      <c r="O108" s="24"/>
    </row>
    <row r="109" ht="18" customHeight="1" spans="1:15">
      <c r="A109" s="16">
        <v>43335</v>
      </c>
      <c r="B109" s="9">
        <f t="shared" si="6"/>
        <v>172413.79</v>
      </c>
      <c r="C109" s="40">
        <v>1</v>
      </c>
      <c r="D109" s="41" t="s">
        <v>36</v>
      </c>
      <c r="E109" s="42">
        <v>0.16</v>
      </c>
      <c r="F109" s="9">
        <f t="shared" si="7"/>
        <v>27586.21</v>
      </c>
      <c r="G109" s="43">
        <v>200000</v>
      </c>
      <c r="H109" s="16">
        <v>43277</v>
      </c>
      <c r="I109" s="9">
        <v>200000</v>
      </c>
      <c r="J109" s="44" t="s">
        <v>37</v>
      </c>
      <c r="K109" s="45" t="s">
        <v>70</v>
      </c>
      <c r="L109" s="24" t="s">
        <v>71</v>
      </c>
      <c r="M109" s="32"/>
      <c r="N109" s="32"/>
      <c r="O109" s="24"/>
    </row>
    <row r="110" ht="18" customHeight="1" spans="1:15">
      <c r="A110" s="16"/>
      <c r="B110" s="9">
        <f t="shared" si="6"/>
        <v>0</v>
      </c>
      <c r="C110" s="40"/>
      <c r="D110" s="41"/>
      <c r="E110" s="42"/>
      <c r="F110" s="9">
        <f t="shared" si="7"/>
        <v>0</v>
      </c>
      <c r="G110" s="43"/>
      <c r="H110" s="16">
        <v>43277</v>
      </c>
      <c r="I110" s="9">
        <v>-200000</v>
      </c>
      <c r="J110" s="44" t="s">
        <v>82</v>
      </c>
      <c r="K110" s="45" t="s">
        <v>4</v>
      </c>
      <c r="L110" s="24" t="s">
        <v>41</v>
      </c>
      <c r="M110" s="32"/>
      <c r="N110" s="32"/>
      <c r="O110" s="24"/>
    </row>
    <row r="111" ht="18" customHeight="1" spans="1:15">
      <c r="A111" s="16">
        <v>43335</v>
      </c>
      <c r="B111" s="9">
        <f t="shared" si="6"/>
        <v>55631.07</v>
      </c>
      <c r="C111" s="40">
        <v>1</v>
      </c>
      <c r="D111" s="41" t="s">
        <v>36</v>
      </c>
      <c r="E111" s="42">
        <v>0.03</v>
      </c>
      <c r="F111" s="9">
        <f t="shared" si="7"/>
        <v>1668.93</v>
      </c>
      <c r="G111" s="43">
        <v>57300</v>
      </c>
      <c r="H111" s="16">
        <v>43284</v>
      </c>
      <c r="I111" s="9">
        <v>57300</v>
      </c>
      <c r="J111" s="44" t="s">
        <v>37</v>
      </c>
      <c r="K111" s="45" t="s">
        <v>87</v>
      </c>
      <c r="L111" s="24" t="s">
        <v>88</v>
      </c>
      <c r="M111" s="32"/>
      <c r="N111" s="32"/>
      <c r="O111" s="24"/>
    </row>
    <row r="112" ht="18" customHeight="1" spans="1:15">
      <c r="A112" s="16"/>
      <c r="B112" s="9">
        <f t="shared" si="6"/>
        <v>0</v>
      </c>
      <c r="C112" s="40"/>
      <c r="D112" s="41"/>
      <c r="E112" s="42"/>
      <c r="F112" s="9">
        <f t="shared" si="7"/>
        <v>0</v>
      </c>
      <c r="G112" s="43"/>
      <c r="H112" s="16">
        <v>43284</v>
      </c>
      <c r="I112" s="9">
        <v>-57300</v>
      </c>
      <c r="J112" s="44" t="s">
        <v>82</v>
      </c>
      <c r="K112" s="45" t="s">
        <v>4</v>
      </c>
      <c r="L112" s="24" t="s">
        <v>41</v>
      </c>
      <c r="M112" s="32"/>
      <c r="N112" s="32"/>
      <c r="O112" s="24"/>
    </row>
    <row r="113" ht="18" customHeight="1" spans="1:15">
      <c r="A113" s="16"/>
      <c r="B113" s="9">
        <f t="shared" si="6"/>
        <v>0</v>
      </c>
      <c r="C113" s="40"/>
      <c r="D113" s="41"/>
      <c r="E113" s="42"/>
      <c r="F113" s="9">
        <f t="shared" si="7"/>
        <v>0</v>
      </c>
      <c r="G113" s="43"/>
      <c r="H113" s="16">
        <v>43297</v>
      </c>
      <c r="I113" s="9">
        <v>178200</v>
      </c>
      <c r="J113" s="44" t="s">
        <v>37</v>
      </c>
      <c r="K113" s="45" t="s">
        <v>61</v>
      </c>
      <c r="L113" s="24" t="s">
        <v>43</v>
      </c>
      <c r="M113" s="32"/>
      <c r="N113" s="32"/>
      <c r="O113" s="24"/>
    </row>
    <row r="114" ht="18" customHeight="1" spans="1:15">
      <c r="A114" s="16"/>
      <c r="B114" s="9">
        <f t="shared" si="6"/>
        <v>0</v>
      </c>
      <c r="C114" s="40"/>
      <c r="D114" s="41"/>
      <c r="E114" s="42"/>
      <c r="F114" s="9">
        <f t="shared" si="7"/>
        <v>0</v>
      </c>
      <c r="G114" s="43"/>
      <c r="H114" s="16">
        <v>43297</v>
      </c>
      <c r="I114" s="9">
        <v>-178200</v>
      </c>
      <c r="J114" s="44" t="s">
        <v>82</v>
      </c>
      <c r="K114" s="45" t="s">
        <v>4</v>
      </c>
      <c r="L114" s="24" t="s">
        <v>41</v>
      </c>
      <c r="M114" s="32"/>
      <c r="N114" s="32"/>
      <c r="O114" s="24"/>
    </row>
    <row r="115" ht="18" customHeight="1" spans="1:15">
      <c r="A115" s="16">
        <v>43335</v>
      </c>
      <c r="B115" s="9">
        <f t="shared" si="6"/>
        <v>443793.1</v>
      </c>
      <c r="C115" s="40">
        <v>6</v>
      </c>
      <c r="D115" s="41" t="s">
        <v>36</v>
      </c>
      <c r="E115" s="42">
        <v>0.16</v>
      </c>
      <c r="F115" s="9">
        <f t="shared" si="7"/>
        <v>71006.9</v>
      </c>
      <c r="G115" s="43">
        <f>99000*4+19800+99000</f>
        <v>514800</v>
      </c>
      <c r="H115" s="16">
        <v>43301</v>
      </c>
      <c r="I115" s="9">
        <v>236600</v>
      </c>
      <c r="J115" s="44" t="s">
        <v>37</v>
      </c>
      <c r="K115" s="45" t="s">
        <v>61</v>
      </c>
      <c r="L115" s="24" t="s">
        <v>43</v>
      </c>
      <c r="M115" s="32"/>
      <c r="N115" s="32"/>
      <c r="O115" s="24"/>
    </row>
    <row r="116" ht="18" customHeight="1" spans="1:15">
      <c r="A116" s="16"/>
      <c r="B116" s="9">
        <f t="shared" si="6"/>
        <v>0</v>
      </c>
      <c r="C116" s="40"/>
      <c r="D116" s="41"/>
      <c r="E116" s="42"/>
      <c r="F116" s="9">
        <f t="shared" si="7"/>
        <v>0</v>
      </c>
      <c r="G116" s="43"/>
      <c r="H116" s="16">
        <v>43301</v>
      </c>
      <c r="I116" s="9">
        <v>-236600</v>
      </c>
      <c r="J116" s="44" t="s">
        <v>82</v>
      </c>
      <c r="K116" s="45" t="s">
        <v>4</v>
      </c>
      <c r="L116" s="24" t="s">
        <v>41</v>
      </c>
      <c r="M116" s="32"/>
      <c r="N116" s="32"/>
      <c r="O116" s="24"/>
    </row>
    <row r="117" ht="18" customHeight="1" spans="1:15">
      <c r="A117" s="16"/>
      <c r="B117" s="9">
        <f t="shared" si="6"/>
        <v>0</v>
      </c>
      <c r="C117" s="40"/>
      <c r="D117" s="41"/>
      <c r="E117" s="42"/>
      <c r="F117" s="9">
        <f t="shared" si="7"/>
        <v>0</v>
      </c>
      <c r="G117" s="43"/>
      <c r="H117" s="16">
        <v>43301</v>
      </c>
      <c r="I117" s="9">
        <v>33752.46</v>
      </c>
      <c r="J117" s="44" t="s">
        <v>37</v>
      </c>
      <c r="K117" s="45" t="s">
        <v>63</v>
      </c>
      <c r="L117" s="24" t="s">
        <v>64</v>
      </c>
      <c r="M117" s="32"/>
      <c r="N117" s="32"/>
      <c r="O117" s="24"/>
    </row>
    <row r="118" ht="18" customHeight="1" spans="1:15">
      <c r="A118" s="16"/>
      <c r="B118" s="9">
        <f t="shared" si="6"/>
        <v>0</v>
      </c>
      <c r="C118" s="40"/>
      <c r="D118" s="41"/>
      <c r="E118" s="42"/>
      <c r="F118" s="9">
        <f t="shared" si="7"/>
        <v>0</v>
      </c>
      <c r="G118" s="43"/>
      <c r="H118" s="16">
        <v>43301</v>
      </c>
      <c r="I118" s="9">
        <v>-33752.46</v>
      </c>
      <c r="J118" s="44" t="s">
        <v>82</v>
      </c>
      <c r="K118" s="45" t="s">
        <v>4</v>
      </c>
      <c r="L118" s="24" t="s">
        <v>41</v>
      </c>
      <c r="M118" s="32"/>
      <c r="N118" s="32"/>
      <c r="O118" s="24"/>
    </row>
    <row r="119" ht="18" customHeight="1" spans="1:15">
      <c r="A119" s="16">
        <v>43335</v>
      </c>
      <c r="B119" s="9">
        <f t="shared" si="6"/>
        <v>283238.79</v>
      </c>
      <c r="C119" s="40">
        <v>3</v>
      </c>
      <c r="D119" s="41" t="s">
        <v>36</v>
      </c>
      <c r="E119" s="42">
        <v>0.16</v>
      </c>
      <c r="F119" s="9">
        <f t="shared" si="7"/>
        <v>45318.21</v>
      </c>
      <c r="G119" s="43">
        <f>115800+96957+115800</f>
        <v>328557</v>
      </c>
      <c r="H119" s="16">
        <v>43305</v>
      </c>
      <c r="I119" s="9">
        <v>69782.25</v>
      </c>
      <c r="J119" s="44" t="s">
        <v>37</v>
      </c>
      <c r="K119" s="45" t="s">
        <v>63</v>
      </c>
      <c r="L119" s="24" t="s">
        <v>64</v>
      </c>
      <c r="M119" s="32"/>
      <c r="N119" s="32"/>
      <c r="O119" s="24"/>
    </row>
    <row r="120" ht="18" customHeight="1" spans="1:15">
      <c r="A120" s="16"/>
      <c r="B120" s="9">
        <f t="shared" si="6"/>
        <v>0</v>
      </c>
      <c r="C120" s="40"/>
      <c r="D120" s="41"/>
      <c r="E120" s="42"/>
      <c r="F120" s="9">
        <f t="shared" si="7"/>
        <v>0</v>
      </c>
      <c r="G120" s="43"/>
      <c r="H120" s="16">
        <v>43305</v>
      </c>
      <c r="I120" s="9">
        <v>-69782.25</v>
      </c>
      <c r="J120" s="44" t="s">
        <v>82</v>
      </c>
      <c r="K120" s="45" t="s">
        <v>4</v>
      </c>
      <c r="L120" s="24" t="s">
        <v>41</v>
      </c>
      <c r="M120" s="32"/>
      <c r="N120" s="32"/>
      <c r="O120" s="24"/>
    </row>
    <row r="121" ht="18" customHeight="1" spans="1:15">
      <c r="A121" s="16"/>
      <c r="B121" s="9">
        <f t="shared" si="6"/>
        <v>0</v>
      </c>
      <c r="C121" s="40"/>
      <c r="D121" s="41"/>
      <c r="E121" s="42"/>
      <c r="F121" s="9">
        <f t="shared" si="7"/>
        <v>0</v>
      </c>
      <c r="G121" s="43"/>
      <c r="H121" s="16">
        <v>43312</v>
      </c>
      <c r="I121" s="9">
        <v>30000</v>
      </c>
      <c r="J121" s="44" t="s">
        <v>37</v>
      </c>
      <c r="K121" s="45" t="s">
        <v>84</v>
      </c>
      <c r="L121" s="24" t="s">
        <v>85</v>
      </c>
      <c r="M121" s="32"/>
      <c r="N121" s="32"/>
      <c r="O121" s="24"/>
    </row>
    <row r="122" ht="18" customHeight="1" spans="1:15">
      <c r="A122" s="16"/>
      <c r="B122" s="9">
        <f t="shared" si="6"/>
        <v>0</v>
      </c>
      <c r="C122" s="40"/>
      <c r="D122" s="41"/>
      <c r="E122" s="42"/>
      <c r="F122" s="9">
        <f t="shared" si="7"/>
        <v>0</v>
      </c>
      <c r="G122" s="43"/>
      <c r="H122" s="16">
        <v>43312</v>
      </c>
      <c r="I122" s="9">
        <v>-30000</v>
      </c>
      <c r="J122" s="44" t="s">
        <v>82</v>
      </c>
      <c r="K122" s="45" t="s">
        <v>4</v>
      </c>
      <c r="L122" s="24" t="s">
        <v>41</v>
      </c>
      <c r="M122" s="32"/>
      <c r="N122" s="32"/>
      <c r="O122" s="24"/>
    </row>
    <row r="123" ht="18" customHeight="1" spans="1:15">
      <c r="A123" s="16"/>
      <c r="B123" s="9">
        <f t="shared" si="6"/>
        <v>0</v>
      </c>
      <c r="C123" s="40"/>
      <c r="D123" s="41"/>
      <c r="E123" s="42"/>
      <c r="F123" s="9">
        <f t="shared" si="7"/>
        <v>0</v>
      </c>
      <c r="G123" s="43"/>
      <c r="H123" s="16">
        <v>43328</v>
      </c>
      <c r="I123" s="9">
        <v>30000</v>
      </c>
      <c r="J123" s="44" t="s">
        <v>37</v>
      </c>
      <c r="K123" s="45" t="s">
        <v>84</v>
      </c>
      <c r="L123" s="24" t="s">
        <v>85</v>
      </c>
      <c r="M123" s="32"/>
      <c r="N123" s="32"/>
      <c r="O123" s="24"/>
    </row>
    <row r="124" ht="18" customHeight="1" spans="1:15">
      <c r="A124" s="16"/>
      <c r="B124" s="9">
        <f t="shared" si="6"/>
        <v>0</v>
      </c>
      <c r="C124" s="40"/>
      <c r="D124" s="41"/>
      <c r="E124" s="42"/>
      <c r="F124" s="9">
        <f t="shared" si="7"/>
        <v>0</v>
      </c>
      <c r="G124" s="43"/>
      <c r="H124" s="16">
        <v>43328</v>
      </c>
      <c r="I124" s="9">
        <v>-30000</v>
      </c>
      <c r="J124" s="44" t="s">
        <v>82</v>
      </c>
      <c r="K124" s="45" t="s">
        <v>4</v>
      </c>
      <c r="L124" s="24" t="s">
        <v>41</v>
      </c>
      <c r="M124" s="32"/>
      <c r="N124" s="32"/>
      <c r="O124" s="24"/>
    </row>
    <row r="125" ht="18" customHeight="1" spans="1:15">
      <c r="A125" s="16">
        <v>43335</v>
      </c>
      <c r="B125" s="9">
        <f t="shared" si="6"/>
        <v>75045.77</v>
      </c>
      <c r="C125" s="40">
        <v>2</v>
      </c>
      <c r="D125" s="41" t="s">
        <v>36</v>
      </c>
      <c r="E125" s="42">
        <v>0.16</v>
      </c>
      <c r="F125" s="9">
        <f t="shared" si="7"/>
        <v>12007.32</v>
      </c>
      <c r="G125" s="43">
        <f>85049.09+2004</f>
        <v>87053.09</v>
      </c>
      <c r="H125" s="16">
        <v>43332</v>
      </c>
      <c r="I125" s="9">
        <v>87053.09</v>
      </c>
      <c r="J125" s="44" t="s">
        <v>37</v>
      </c>
      <c r="K125" s="45" t="s">
        <v>47</v>
      </c>
      <c r="L125" s="24" t="s">
        <v>89</v>
      </c>
      <c r="M125" s="32"/>
      <c r="N125" s="32"/>
      <c r="O125" s="24"/>
    </row>
    <row r="126" ht="18" customHeight="1" spans="1:15">
      <c r="A126" s="16"/>
      <c r="B126" s="9">
        <f t="shared" si="6"/>
        <v>0</v>
      </c>
      <c r="C126" s="40"/>
      <c r="D126" s="41"/>
      <c r="E126" s="42"/>
      <c r="F126" s="9">
        <f t="shared" si="7"/>
        <v>0</v>
      </c>
      <c r="G126" s="43"/>
      <c r="H126" s="16">
        <v>43332</v>
      </c>
      <c r="I126" s="9">
        <v>-87053.09</v>
      </c>
      <c r="J126" s="44" t="s">
        <v>82</v>
      </c>
      <c r="K126" s="45" t="s">
        <v>4</v>
      </c>
      <c r="L126" s="24" t="s">
        <v>41</v>
      </c>
      <c r="M126" s="32"/>
      <c r="N126" s="32"/>
      <c r="O126" s="24"/>
    </row>
    <row r="127" ht="18" customHeight="1" spans="1:15">
      <c r="A127" s="16">
        <v>43335</v>
      </c>
      <c r="B127" s="9">
        <f t="shared" si="6"/>
        <v>1824281.9</v>
      </c>
      <c r="C127" s="40">
        <v>20</v>
      </c>
      <c r="D127" s="41" t="s">
        <v>36</v>
      </c>
      <c r="E127" s="42">
        <v>0.16</v>
      </c>
      <c r="F127" s="9">
        <f t="shared" si="7"/>
        <v>291885.1</v>
      </c>
      <c r="G127" s="43">
        <f>115566*6+33510.4+115876.5*7+115968.1+115566+115991+115300+115300</f>
        <v>2116167</v>
      </c>
      <c r="H127" s="16"/>
      <c r="I127" s="9"/>
      <c r="J127" s="44"/>
      <c r="K127" s="45" t="s">
        <v>51</v>
      </c>
      <c r="L127" s="24" t="s">
        <v>90</v>
      </c>
      <c r="M127" s="32"/>
      <c r="N127" s="32"/>
      <c r="O127" s="24"/>
    </row>
    <row r="128" ht="18" customHeight="1" spans="1:15">
      <c r="A128" s="16"/>
      <c r="B128" s="9">
        <f t="shared" si="6"/>
        <v>0</v>
      </c>
      <c r="C128" s="40"/>
      <c r="D128" s="41"/>
      <c r="E128" s="42"/>
      <c r="F128" s="9">
        <f t="shared" si="7"/>
        <v>0</v>
      </c>
      <c r="G128" s="43"/>
      <c r="H128" s="16">
        <v>43438</v>
      </c>
      <c r="I128" s="9">
        <v>16390</v>
      </c>
      <c r="J128" s="44" t="s">
        <v>37</v>
      </c>
      <c r="K128" s="45" t="s">
        <v>84</v>
      </c>
      <c r="L128" s="24" t="s">
        <v>85</v>
      </c>
      <c r="M128" s="32"/>
      <c r="N128" s="32"/>
      <c r="O128" s="24"/>
    </row>
    <row r="129" ht="18" customHeight="1" spans="1:15">
      <c r="A129" s="16"/>
      <c r="B129" s="9">
        <f t="shared" si="6"/>
        <v>0</v>
      </c>
      <c r="C129" s="40"/>
      <c r="D129" s="41"/>
      <c r="E129" s="42"/>
      <c r="F129" s="9">
        <f t="shared" si="7"/>
        <v>0</v>
      </c>
      <c r="G129" s="43"/>
      <c r="H129" s="16">
        <v>43438</v>
      </c>
      <c r="I129" s="9">
        <v>-16390</v>
      </c>
      <c r="J129" s="44" t="s">
        <v>82</v>
      </c>
      <c r="K129" s="45" t="s">
        <v>4</v>
      </c>
      <c r="L129" s="24" t="s">
        <v>41</v>
      </c>
      <c r="M129" s="32"/>
      <c r="N129" s="32"/>
      <c r="O129" s="24"/>
    </row>
    <row r="130" ht="18" customHeight="1" spans="1:15">
      <c r="A130" s="16">
        <v>43335</v>
      </c>
      <c r="B130" s="9">
        <f t="shared" si="6"/>
        <v>3380.17</v>
      </c>
      <c r="C130" s="40"/>
      <c r="D130" s="41" t="s">
        <v>36</v>
      </c>
      <c r="E130" s="42">
        <v>0.16</v>
      </c>
      <c r="F130" s="9">
        <f t="shared" si="7"/>
        <v>540.83</v>
      </c>
      <c r="G130" s="43">
        <v>3921</v>
      </c>
      <c r="H130" s="16"/>
      <c r="I130" s="9"/>
      <c r="J130" s="44"/>
      <c r="K130" s="45" t="s">
        <v>92</v>
      </c>
      <c r="L130" s="24" t="s">
        <v>93</v>
      </c>
      <c r="M130" s="32"/>
      <c r="N130" s="32"/>
      <c r="O130" s="24"/>
    </row>
    <row r="131" ht="18" customHeight="1" spans="1:15">
      <c r="A131" s="16">
        <v>43451</v>
      </c>
      <c r="B131" s="9">
        <f t="shared" si="6"/>
        <v>1037960.25</v>
      </c>
      <c r="C131" s="40"/>
      <c r="D131" s="41" t="s">
        <v>67</v>
      </c>
      <c r="E131" s="42"/>
      <c r="F131" s="9">
        <f t="shared" si="7"/>
        <v>0</v>
      </c>
      <c r="G131" s="39">
        <v>1037960.25</v>
      </c>
      <c r="H131" s="16"/>
      <c r="I131" s="9"/>
      <c r="J131" s="44"/>
      <c r="K131" s="45" t="s">
        <v>94</v>
      </c>
      <c r="L131" s="24" t="s">
        <v>95</v>
      </c>
      <c r="M131" s="32"/>
      <c r="N131" s="32"/>
      <c r="O131" s="24"/>
    </row>
    <row r="132" ht="18" customHeight="1" spans="1:15">
      <c r="A132" s="16">
        <v>43451</v>
      </c>
      <c r="B132" s="9">
        <f t="shared" si="6"/>
        <v>2800000</v>
      </c>
      <c r="C132" s="40"/>
      <c r="D132" s="41" t="s">
        <v>67</v>
      </c>
      <c r="E132" s="42"/>
      <c r="F132" s="9">
        <f t="shared" si="7"/>
        <v>0</v>
      </c>
      <c r="G132" s="39">
        <v>2800000</v>
      </c>
      <c r="H132" s="16"/>
      <c r="I132" s="9"/>
      <c r="J132" s="44"/>
      <c r="K132" s="45" t="s">
        <v>97</v>
      </c>
      <c r="L132" s="24" t="s">
        <v>74</v>
      </c>
      <c r="M132" s="32"/>
      <c r="N132" s="32"/>
      <c r="O132" s="24"/>
    </row>
    <row r="133" ht="18" customHeight="1" spans="1:15">
      <c r="A133" s="16"/>
      <c r="B133" s="9"/>
      <c r="C133" s="40"/>
      <c r="D133" s="41"/>
      <c r="E133" s="42"/>
      <c r="F133" s="9"/>
      <c r="G133" s="43"/>
      <c r="H133" s="16">
        <v>43452</v>
      </c>
      <c r="I133" s="37">
        <f>G131+G132</f>
        <v>3837960.25</v>
      </c>
      <c r="J133" s="44" t="s">
        <v>82</v>
      </c>
      <c r="K133" s="45" t="s">
        <v>4</v>
      </c>
      <c r="L133" s="24" t="s">
        <v>83</v>
      </c>
      <c r="M133" s="32"/>
      <c r="N133" s="32"/>
      <c r="O133" s="24"/>
    </row>
    <row r="134" ht="18" customHeight="1" spans="1:15">
      <c r="A134" s="16">
        <v>43451</v>
      </c>
      <c r="B134" s="9">
        <f t="shared" si="6"/>
        <v>8000</v>
      </c>
      <c r="C134" s="40"/>
      <c r="D134" s="41" t="s">
        <v>67</v>
      </c>
      <c r="E134" s="42"/>
      <c r="F134" s="9">
        <f t="shared" si="7"/>
        <v>0</v>
      </c>
      <c r="G134" s="43">
        <v>8000</v>
      </c>
      <c r="H134" s="16"/>
      <c r="I134" s="9"/>
      <c r="J134" s="44"/>
      <c r="K134" s="45" t="s">
        <v>98</v>
      </c>
      <c r="L134" s="24" t="s">
        <v>69</v>
      </c>
      <c r="M134" s="32"/>
      <c r="N134" s="32"/>
      <c r="O134" s="24"/>
    </row>
    <row r="135" ht="18" customHeight="1" spans="1:15">
      <c r="A135" s="16">
        <v>43451</v>
      </c>
      <c r="B135" s="9">
        <f t="shared" si="6"/>
        <v>280</v>
      </c>
      <c r="C135" s="40"/>
      <c r="D135" s="41" t="s">
        <v>67</v>
      </c>
      <c r="E135" s="42"/>
      <c r="F135" s="9">
        <f t="shared" si="7"/>
        <v>0</v>
      </c>
      <c r="G135" s="43">
        <v>280</v>
      </c>
      <c r="H135" s="16"/>
      <c r="I135" s="9"/>
      <c r="J135" s="44"/>
      <c r="K135" s="45" t="s">
        <v>99</v>
      </c>
      <c r="L135" s="24" t="s">
        <v>100</v>
      </c>
      <c r="M135" s="32"/>
      <c r="N135" s="32"/>
      <c r="O135" s="24"/>
    </row>
    <row r="136" ht="18" customHeight="1" spans="1:15">
      <c r="A136" s="16">
        <v>43451</v>
      </c>
      <c r="B136" s="9">
        <f t="shared" si="6"/>
        <v>291262.14</v>
      </c>
      <c r="C136" s="40"/>
      <c r="D136" s="41" t="s">
        <v>36</v>
      </c>
      <c r="E136" s="42">
        <v>0.03</v>
      </c>
      <c r="F136" s="9">
        <f t="shared" si="7"/>
        <v>8737.86</v>
      </c>
      <c r="G136" s="43">
        <f>3*100000</f>
        <v>300000</v>
      </c>
      <c r="H136" s="16">
        <v>43452</v>
      </c>
      <c r="I136" s="9">
        <f>3*100000</f>
        <v>300000</v>
      </c>
      <c r="J136" s="44" t="s">
        <v>37</v>
      </c>
      <c r="K136" s="45" t="s">
        <v>101</v>
      </c>
      <c r="L136" s="24" t="s">
        <v>102</v>
      </c>
      <c r="M136" s="32"/>
      <c r="N136" s="32"/>
      <c r="O136" s="24"/>
    </row>
    <row r="137" ht="18" customHeight="1" spans="1:15">
      <c r="A137" s="16">
        <v>43451</v>
      </c>
      <c r="B137" s="9">
        <f t="shared" si="6"/>
        <v>1409090.91</v>
      </c>
      <c r="C137" s="40"/>
      <c r="D137" s="41" t="s">
        <v>36</v>
      </c>
      <c r="E137" s="42">
        <v>0.1</v>
      </c>
      <c r="F137" s="9">
        <f t="shared" si="7"/>
        <v>140909.09</v>
      </c>
      <c r="G137" s="43">
        <f>1000000+550000</f>
        <v>1550000</v>
      </c>
      <c r="H137" s="16">
        <v>43452</v>
      </c>
      <c r="I137" s="9">
        <f>1000000+550000</f>
        <v>1550000</v>
      </c>
      <c r="J137" s="44" t="s">
        <v>37</v>
      </c>
      <c r="K137" s="45" t="s">
        <v>103</v>
      </c>
      <c r="L137" s="24" t="s">
        <v>104</v>
      </c>
      <c r="M137" s="32"/>
      <c r="N137" s="32"/>
      <c r="O137" s="24"/>
    </row>
    <row r="138" ht="18" customHeight="1" spans="1:15">
      <c r="A138" s="16">
        <v>43451</v>
      </c>
      <c r="B138" s="9">
        <f t="shared" si="6"/>
        <v>74474.14</v>
      </c>
      <c r="C138" s="40"/>
      <c r="D138" s="41" t="s">
        <v>36</v>
      </c>
      <c r="E138" s="42">
        <v>0.16</v>
      </c>
      <c r="F138" s="9">
        <f t="shared" si="7"/>
        <v>11915.86</v>
      </c>
      <c r="G138" s="43">
        <v>86390</v>
      </c>
      <c r="H138" s="16"/>
      <c r="I138" s="9"/>
      <c r="J138" s="44"/>
      <c r="K138" s="45" t="s">
        <v>84</v>
      </c>
      <c r="L138" s="24" t="s">
        <v>85</v>
      </c>
      <c r="M138" s="32"/>
      <c r="N138" s="32"/>
      <c r="O138" s="24"/>
    </row>
    <row r="139" ht="18" customHeight="1" spans="1:15">
      <c r="A139" s="16">
        <v>43451</v>
      </c>
      <c r="B139" s="9">
        <f t="shared" si="6"/>
        <v>54056.6</v>
      </c>
      <c r="C139" s="40"/>
      <c r="D139" s="41" t="s">
        <v>36</v>
      </c>
      <c r="E139" s="42">
        <v>0.06</v>
      </c>
      <c r="F139" s="9">
        <f t="shared" si="7"/>
        <v>3243.4</v>
      </c>
      <c r="G139" s="43">
        <v>57300</v>
      </c>
      <c r="H139" s="16">
        <v>43347</v>
      </c>
      <c r="I139" s="9">
        <v>57300</v>
      </c>
      <c r="J139" s="44" t="s">
        <v>37</v>
      </c>
      <c r="K139" s="45" t="s">
        <v>105</v>
      </c>
      <c r="L139" s="24" t="s">
        <v>106</v>
      </c>
      <c r="M139" s="32"/>
      <c r="N139" s="32"/>
      <c r="O139" s="24"/>
    </row>
    <row r="140" ht="18" customHeight="1" spans="1:15">
      <c r="A140" s="16"/>
      <c r="B140" s="9"/>
      <c r="C140" s="40"/>
      <c r="D140" s="41"/>
      <c r="E140" s="42"/>
      <c r="F140" s="9"/>
      <c r="G140" s="43"/>
      <c r="H140" s="16">
        <v>43347</v>
      </c>
      <c r="I140" s="9">
        <v>-57300</v>
      </c>
      <c r="J140" s="44" t="s">
        <v>82</v>
      </c>
      <c r="K140" s="45" t="s">
        <v>4</v>
      </c>
      <c r="L140" s="24" t="s">
        <v>41</v>
      </c>
      <c r="M140" s="32"/>
      <c r="N140" s="32"/>
      <c r="O140" s="24"/>
    </row>
    <row r="141" ht="18" customHeight="1" spans="1:15">
      <c r="A141" s="16">
        <v>43451</v>
      </c>
      <c r="B141" s="9">
        <f t="shared" si="6"/>
        <v>86206.9</v>
      </c>
      <c r="C141" s="40"/>
      <c r="D141" s="41" t="s">
        <v>36</v>
      </c>
      <c r="E141" s="42">
        <v>0.16</v>
      </c>
      <c r="F141" s="9">
        <f t="shared" si="7"/>
        <v>13793.1</v>
      </c>
      <c r="G141" s="43">
        <v>100000</v>
      </c>
      <c r="H141" s="16"/>
      <c r="I141" s="9"/>
      <c r="J141" s="44"/>
      <c r="K141" s="45" t="s">
        <v>55</v>
      </c>
      <c r="L141" s="24" t="s">
        <v>43</v>
      </c>
      <c r="M141" s="32"/>
      <c r="N141" s="32"/>
      <c r="O141" s="24"/>
    </row>
    <row r="142" ht="18" customHeight="1" spans="1:15">
      <c r="A142" s="46">
        <v>43451</v>
      </c>
      <c r="B142" s="37">
        <f t="shared" si="6"/>
        <v>646551.72</v>
      </c>
      <c r="C142" s="47"/>
      <c r="D142" s="48"/>
      <c r="E142" s="49">
        <v>0.16</v>
      </c>
      <c r="F142" s="37">
        <f t="shared" si="7"/>
        <v>103448.28</v>
      </c>
      <c r="G142" s="39">
        <v>750000</v>
      </c>
      <c r="H142" s="16"/>
      <c r="I142" s="9"/>
      <c r="J142" s="44"/>
      <c r="K142" s="69" t="s">
        <v>49</v>
      </c>
      <c r="L142" s="70" t="s">
        <v>50</v>
      </c>
      <c r="M142" s="32"/>
      <c r="N142" s="32"/>
      <c r="O142" s="24"/>
    </row>
    <row r="143" ht="18" customHeight="1" spans="1:15">
      <c r="A143" s="16">
        <v>43460</v>
      </c>
      <c r="B143" s="9">
        <f t="shared" si="6"/>
        <v>1500000</v>
      </c>
      <c r="C143" s="40"/>
      <c r="D143" s="41" t="s">
        <v>72</v>
      </c>
      <c r="E143" s="42"/>
      <c r="F143" s="9">
        <f t="shared" si="7"/>
        <v>0</v>
      </c>
      <c r="G143" s="39">
        <v>1500000</v>
      </c>
      <c r="H143" s="16"/>
      <c r="I143" s="9"/>
      <c r="J143" s="44"/>
      <c r="K143" s="45" t="s">
        <v>107</v>
      </c>
      <c r="L143" s="24" t="s">
        <v>108</v>
      </c>
      <c r="M143" s="32"/>
      <c r="N143" s="32"/>
      <c r="O143" s="24"/>
    </row>
    <row r="144" ht="18" customHeight="1" spans="1:15">
      <c r="A144" s="16"/>
      <c r="B144" s="9">
        <f t="shared" si="6"/>
        <v>0</v>
      </c>
      <c r="C144" s="40"/>
      <c r="D144" s="41"/>
      <c r="E144" s="42"/>
      <c r="F144" s="9">
        <f t="shared" si="7"/>
        <v>0</v>
      </c>
      <c r="G144" s="43"/>
      <c r="H144" s="16">
        <v>43460</v>
      </c>
      <c r="I144" s="37">
        <v>1000000</v>
      </c>
      <c r="J144" s="44" t="s">
        <v>82</v>
      </c>
      <c r="K144" s="34" t="s">
        <v>4</v>
      </c>
      <c r="L144" s="24" t="s">
        <v>83</v>
      </c>
      <c r="M144" s="32"/>
      <c r="N144" s="32"/>
      <c r="O144" s="24"/>
    </row>
    <row r="145" ht="18" customHeight="1" spans="1:15">
      <c r="A145" s="16">
        <v>43461</v>
      </c>
      <c r="B145" s="9">
        <f t="shared" si="6"/>
        <v>600000</v>
      </c>
      <c r="C145" s="40"/>
      <c r="D145" s="41" t="s">
        <v>72</v>
      </c>
      <c r="E145" s="42"/>
      <c r="F145" s="9">
        <f t="shared" si="7"/>
        <v>0</v>
      </c>
      <c r="G145" s="39">
        <v>600000</v>
      </c>
      <c r="H145" s="16"/>
      <c r="I145" s="9"/>
      <c r="J145" s="44"/>
      <c r="K145" s="45" t="s">
        <v>107</v>
      </c>
      <c r="L145" s="24" t="s">
        <v>108</v>
      </c>
      <c r="M145" s="32"/>
      <c r="N145" s="32"/>
      <c r="O145" s="24"/>
    </row>
    <row r="146" ht="18" customHeight="1" spans="1:15">
      <c r="A146" s="16"/>
      <c r="B146" s="9">
        <f t="shared" si="6"/>
        <v>0</v>
      </c>
      <c r="C146" s="40"/>
      <c r="D146" s="41"/>
      <c r="E146" s="42"/>
      <c r="F146" s="9">
        <f t="shared" si="7"/>
        <v>0</v>
      </c>
      <c r="G146" s="43"/>
      <c r="H146" s="16">
        <v>43462</v>
      </c>
      <c r="I146" s="71">
        <v>486076.94</v>
      </c>
      <c r="J146" s="44" t="s">
        <v>82</v>
      </c>
      <c r="K146" s="34" t="s">
        <v>4</v>
      </c>
      <c r="L146" s="24" t="s">
        <v>83</v>
      </c>
      <c r="M146" s="32"/>
      <c r="N146" s="32"/>
      <c r="O146" s="24"/>
    </row>
    <row r="147" s="1" customFormat="1" ht="18" customHeight="1" spans="1:15">
      <c r="A147" s="8"/>
      <c r="B147" s="9">
        <f t="shared" si="6"/>
        <v>0</v>
      </c>
      <c r="C147" s="27"/>
      <c r="D147" s="28"/>
      <c r="E147" s="29"/>
      <c r="F147" s="9">
        <f t="shared" si="7"/>
        <v>0</v>
      </c>
      <c r="G147" s="38"/>
      <c r="H147" s="16"/>
      <c r="I147" s="9"/>
      <c r="J147" s="44"/>
      <c r="K147" s="34"/>
      <c r="L147" s="35"/>
      <c r="M147" s="36"/>
      <c r="N147" s="36"/>
      <c r="O147" s="35"/>
    </row>
    <row r="148" s="1" customFormat="1" ht="18" customHeight="1" spans="1:15">
      <c r="A148" s="8"/>
      <c r="B148" s="9">
        <f t="shared" si="6"/>
        <v>0</v>
      </c>
      <c r="C148" s="27"/>
      <c r="D148" s="28"/>
      <c r="E148" s="29"/>
      <c r="F148" s="9">
        <f t="shared" si="7"/>
        <v>0</v>
      </c>
      <c r="G148" s="38"/>
      <c r="H148" s="16" t="s">
        <v>110</v>
      </c>
      <c r="I148" s="9">
        <v>11321887.79</v>
      </c>
      <c r="J148" s="44" t="s">
        <v>82</v>
      </c>
      <c r="K148" s="34" t="s">
        <v>4</v>
      </c>
      <c r="L148" s="24" t="s">
        <v>41</v>
      </c>
      <c r="M148" s="36"/>
      <c r="N148" s="36"/>
      <c r="O148" s="35"/>
    </row>
    <row r="149" s="1" customFormat="1" ht="18" customHeight="1" spans="1:15">
      <c r="A149" s="8"/>
      <c r="B149" s="26">
        <f t="shared" si="6"/>
        <v>0</v>
      </c>
      <c r="C149" s="27"/>
      <c r="D149" s="28"/>
      <c r="E149" s="29"/>
      <c r="F149" s="26">
        <f t="shared" si="7"/>
        <v>0</v>
      </c>
      <c r="G149" s="38"/>
      <c r="H149" s="16">
        <v>43353</v>
      </c>
      <c r="I149" s="9">
        <v>2003023</v>
      </c>
      <c r="J149" s="44" t="s">
        <v>82</v>
      </c>
      <c r="K149" s="34" t="s">
        <v>4</v>
      </c>
      <c r="L149" s="24" t="s">
        <v>41</v>
      </c>
      <c r="M149" s="36"/>
      <c r="N149" s="36"/>
      <c r="O149" s="35"/>
    </row>
    <row r="150" s="1" customFormat="1" ht="17.25" customHeight="1" spans="1:15">
      <c r="A150" s="8"/>
      <c r="B150" s="26">
        <f t="shared" si="6"/>
        <v>0</v>
      </c>
      <c r="C150" s="27"/>
      <c r="D150" s="28"/>
      <c r="E150" s="29"/>
      <c r="F150" s="26">
        <f t="shared" si="7"/>
        <v>0</v>
      </c>
      <c r="G150" s="38"/>
      <c r="H150" s="16">
        <v>43455</v>
      </c>
      <c r="I150" s="9">
        <v>659043.81</v>
      </c>
      <c r="J150" s="44" t="s">
        <v>82</v>
      </c>
      <c r="K150" s="45" t="s">
        <v>4</v>
      </c>
      <c r="L150" s="24" t="s">
        <v>41</v>
      </c>
      <c r="M150" s="36"/>
      <c r="N150" s="36"/>
      <c r="O150" s="35"/>
    </row>
    <row r="151" s="1" customFormat="1" ht="17.25" customHeight="1" spans="1:15">
      <c r="A151" s="8"/>
      <c r="B151" s="26"/>
      <c r="C151" s="27"/>
      <c r="D151" s="28"/>
      <c r="E151" s="29"/>
      <c r="F151" s="26"/>
      <c r="G151" s="38"/>
      <c r="H151" s="16">
        <v>43420</v>
      </c>
      <c r="I151" s="9">
        <v>1960000</v>
      </c>
      <c r="J151" s="44" t="s">
        <v>82</v>
      </c>
      <c r="K151" s="45" t="s">
        <v>4</v>
      </c>
      <c r="L151" s="24" t="s">
        <v>41</v>
      </c>
      <c r="M151" s="36"/>
      <c r="N151" s="36"/>
      <c r="O151" s="35"/>
    </row>
    <row r="152" s="1" customFormat="1" ht="17.25" customHeight="1" spans="1:15">
      <c r="A152" s="8"/>
      <c r="B152" s="26"/>
      <c r="C152" s="27"/>
      <c r="D152" s="28"/>
      <c r="E152" s="29"/>
      <c r="F152" s="26"/>
      <c r="G152" s="38"/>
      <c r="H152" s="16">
        <v>43479</v>
      </c>
      <c r="I152" s="9">
        <v>50000</v>
      </c>
      <c r="J152" s="44" t="s">
        <v>82</v>
      </c>
      <c r="K152" s="45" t="s">
        <v>4</v>
      </c>
      <c r="L152" s="35" t="s">
        <v>111</v>
      </c>
      <c r="M152" s="36"/>
      <c r="N152" s="36"/>
      <c r="O152" s="35"/>
    </row>
    <row r="153" s="1" customFormat="1" ht="18" customHeight="1" spans="1:15">
      <c r="A153" s="8"/>
      <c r="B153" s="26">
        <f t="shared" si="6"/>
        <v>0</v>
      </c>
      <c r="C153" s="27"/>
      <c r="D153" s="28"/>
      <c r="E153" s="29"/>
      <c r="F153" s="26">
        <f t="shared" si="7"/>
        <v>0</v>
      </c>
      <c r="G153" s="38"/>
      <c r="H153" s="16"/>
      <c r="I153" s="9"/>
      <c r="J153" s="44"/>
      <c r="K153" s="34"/>
      <c r="L153" s="35"/>
      <c r="M153" s="36"/>
      <c r="N153" s="36"/>
      <c r="O153" s="35"/>
    </row>
    <row r="154" s="1" customFormat="1" ht="18" customHeight="1" spans="1:15">
      <c r="A154" s="8"/>
      <c r="B154" s="26">
        <f t="shared" si="6"/>
        <v>0</v>
      </c>
      <c r="C154" s="27"/>
      <c r="D154" s="28"/>
      <c r="E154" s="29"/>
      <c r="F154" s="26">
        <f t="shared" si="7"/>
        <v>0</v>
      </c>
      <c r="G154" s="38"/>
      <c r="H154" s="16"/>
      <c r="I154" s="9">
        <v>183492</v>
      </c>
      <c r="J154" s="44" t="s">
        <v>131</v>
      </c>
      <c r="K154" s="34" t="s">
        <v>132</v>
      </c>
      <c r="L154" s="35"/>
      <c r="M154" s="36"/>
      <c r="N154" s="36"/>
      <c r="O154" s="35"/>
    </row>
    <row r="155" s="1" customFormat="1" ht="18" customHeight="1" spans="1:15">
      <c r="A155" s="8"/>
      <c r="B155" s="26">
        <f t="shared" si="6"/>
        <v>0</v>
      </c>
      <c r="C155" s="27"/>
      <c r="D155" s="28"/>
      <c r="E155" s="29"/>
      <c r="F155" s="26">
        <f t="shared" si="7"/>
        <v>0</v>
      </c>
      <c r="G155" s="38"/>
      <c r="H155" s="16"/>
      <c r="I155" s="9">
        <v>120777</v>
      </c>
      <c r="J155" s="44" t="s">
        <v>131</v>
      </c>
      <c r="K155" s="34" t="s">
        <v>133</v>
      </c>
      <c r="L155" s="35"/>
      <c r="M155" s="36"/>
      <c r="N155" s="36"/>
      <c r="O155" s="35"/>
    </row>
    <row r="156" s="1" customFormat="1" ht="18" customHeight="1" spans="1:15">
      <c r="A156" s="8"/>
      <c r="B156" s="26">
        <f t="shared" si="6"/>
        <v>0</v>
      </c>
      <c r="C156" s="27"/>
      <c r="D156" s="28"/>
      <c r="E156" s="29"/>
      <c r="F156" s="26">
        <f t="shared" si="7"/>
        <v>0</v>
      </c>
      <c r="G156" s="38"/>
      <c r="H156" s="16"/>
      <c r="I156" s="26">
        <v>365353</v>
      </c>
      <c r="J156" s="72" t="s">
        <v>131</v>
      </c>
      <c r="K156" s="34" t="s">
        <v>132</v>
      </c>
      <c r="L156" s="35"/>
      <c r="M156" s="36"/>
      <c r="N156" s="36"/>
      <c r="O156" s="35"/>
    </row>
    <row r="157" s="1" customFormat="1" ht="18" customHeight="1" spans="1:15">
      <c r="A157" s="8"/>
      <c r="B157" s="26">
        <f t="shared" si="6"/>
        <v>0</v>
      </c>
      <c r="C157" s="27"/>
      <c r="D157" s="28"/>
      <c r="E157" s="29"/>
      <c r="F157" s="26">
        <f t="shared" si="7"/>
        <v>0</v>
      </c>
      <c r="G157" s="38"/>
      <c r="H157" s="16"/>
      <c r="I157" s="26">
        <v>53977</v>
      </c>
      <c r="J157" s="72" t="s">
        <v>131</v>
      </c>
      <c r="K157" s="34" t="s">
        <v>137</v>
      </c>
      <c r="L157" s="35"/>
      <c r="M157" s="36"/>
      <c r="N157" s="36"/>
      <c r="O157" s="35"/>
    </row>
    <row r="158" s="1" customFormat="1" ht="18" customHeight="1" spans="1:15">
      <c r="A158" s="8"/>
      <c r="B158" s="26">
        <f t="shared" si="6"/>
        <v>0</v>
      </c>
      <c r="C158" s="27"/>
      <c r="D158" s="28"/>
      <c r="E158" s="29"/>
      <c r="F158" s="26">
        <f t="shared" si="7"/>
        <v>0</v>
      </c>
      <c r="G158" s="38"/>
      <c r="H158" s="8"/>
      <c r="I158" s="26">
        <v>470674</v>
      </c>
      <c r="J158" s="72" t="s">
        <v>131</v>
      </c>
      <c r="K158" s="34" t="s">
        <v>133</v>
      </c>
      <c r="L158" s="35"/>
      <c r="M158" s="36"/>
      <c r="N158" s="36"/>
      <c r="O158" s="35"/>
    </row>
    <row r="159" s="1" customFormat="1" ht="18" customHeight="1" spans="1:15">
      <c r="A159" s="8"/>
      <c r="B159" s="26">
        <f t="shared" si="6"/>
        <v>0</v>
      </c>
      <c r="C159" s="27"/>
      <c r="D159" s="28"/>
      <c r="E159" s="29"/>
      <c r="F159" s="26">
        <f t="shared" si="7"/>
        <v>0</v>
      </c>
      <c r="G159" s="38"/>
      <c r="H159" s="8"/>
      <c r="I159" s="26">
        <v>-17306</v>
      </c>
      <c r="J159" s="72" t="s">
        <v>139</v>
      </c>
      <c r="K159" s="34" t="s">
        <v>140</v>
      </c>
      <c r="L159" s="35"/>
      <c r="M159" s="36"/>
      <c r="N159" s="36"/>
      <c r="O159" s="35"/>
    </row>
    <row r="160" s="1" customFormat="1" ht="18" customHeight="1" spans="1:15">
      <c r="A160" s="8"/>
      <c r="B160" s="26">
        <f>ROUND(G160/(1+E160),2)</f>
        <v>813296.14</v>
      </c>
      <c r="C160" s="27"/>
      <c r="D160" s="28"/>
      <c r="E160" s="29"/>
      <c r="F160" s="26">
        <f>ROUND(G160/(1+E160)*E160,2)</f>
        <v>0</v>
      </c>
      <c r="G160" s="38">
        <f>607227.14+40000+166069</f>
        <v>813296.14</v>
      </c>
      <c r="H160" s="8"/>
      <c r="I160" s="26">
        <f>G160</f>
        <v>813296.14</v>
      </c>
      <c r="J160" s="72" t="s">
        <v>131</v>
      </c>
      <c r="K160" s="34" t="s">
        <v>142</v>
      </c>
      <c r="L160" s="35"/>
      <c r="M160" s="36"/>
      <c r="N160" s="36"/>
      <c r="O160" s="35"/>
    </row>
    <row r="161" ht="18" customHeight="1" spans="1:15">
      <c r="A161" s="22" t="s">
        <v>22</v>
      </c>
      <c r="B161" s="21">
        <f>SUM(B15:B160)</f>
        <v>36392413.57</v>
      </c>
      <c r="C161" s="22"/>
      <c r="D161" s="50"/>
      <c r="E161" s="50"/>
      <c r="F161" s="23">
        <f>SUM(F15:F160)</f>
        <v>2474037.67</v>
      </c>
      <c r="G161" s="51">
        <f>SUM(G15:G160)</f>
        <v>38866451.24</v>
      </c>
      <c r="H161" s="52"/>
      <c r="I161" s="22">
        <f>SUM(I15:I160)</f>
        <v>40662247</v>
      </c>
      <c r="J161" s="73"/>
      <c r="K161" s="74"/>
      <c r="L161" s="24"/>
      <c r="M161" s="32"/>
      <c r="N161" s="32"/>
      <c r="O161" s="24"/>
    </row>
    <row r="162" ht="18" customHeight="1" spans="1:14">
      <c r="A162" s="53"/>
      <c r="B162" s="53">
        <f>B12*0.984-B161</f>
        <v>-18185.3445454612</v>
      </c>
      <c r="C162" s="53"/>
      <c r="D162" s="53"/>
      <c r="E162" s="54"/>
      <c r="F162" s="53"/>
      <c r="G162" s="53"/>
      <c r="H162" s="15" t="s">
        <v>143</v>
      </c>
      <c r="I162" s="22">
        <f>I12-I161</f>
        <v>0</v>
      </c>
      <c r="J162" s="5"/>
      <c r="K162" s="75"/>
      <c r="M162" s="76"/>
      <c r="N162" s="76"/>
    </row>
    <row r="163" ht="18" customHeight="1" spans="1:11">
      <c r="A163" s="2" t="s">
        <v>144</v>
      </c>
      <c r="C163" s="2"/>
      <c r="F163" s="55"/>
      <c r="G163" s="55"/>
      <c r="H163" s="56"/>
      <c r="I163" s="56"/>
      <c r="J163" s="77"/>
      <c r="K163" s="3"/>
    </row>
    <row r="164" ht="18" customHeight="1" spans="1:10">
      <c r="A164" s="15" t="s">
        <v>145</v>
      </c>
      <c r="B164" s="14" t="s">
        <v>146</v>
      </c>
      <c r="C164" s="24"/>
      <c r="D164" s="15" t="s">
        <v>145</v>
      </c>
      <c r="E164" s="14" t="s">
        <v>16</v>
      </c>
      <c r="F164" s="14" t="s">
        <v>146</v>
      </c>
      <c r="G164" s="55"/>
      <c r="H164" s="14" t="s">
        <v>147</v>
      </c>
      <c r="I164" s="14" t="s">
        <v>148</v>
      </c>
      <c r="J164" s="14" t="s">
        <v>149</v>
      </c>
    </row>
    <row r="165" ht="18" customHeight="1" spans="1:11">
      <c r="A165" s="24" t="s">
        <v>151</v>
      </c>
      <c r="B165" s="26">
        <f>(B12*0.984-B161)*0.25</f>
        <v>-4546.33613636531</v>
      </c>
      <c r="C165" s="24"/>
      <c r="D165" s="7" t="s">
        <v>152</v>
      </c>
      <c r="E165" s="32" t="s">
        <v>153</v>
      </c>
      <c r="F165" s="57">
        <f>F12-F161</f>
        <v>483216.657272728</v>
      </c>
      <c r="G165" s="55"/>
      <c r="H165" s="58">
        <v>316406.25</v>
      </c>
      <c r="I165" s="78">
        <v>0</v>
      </c>
      <c r="J165" s="78">
        <v>166810.407272728</v>
      </c>
      <c r="K165" s="3">
        <f>F165-H165</f>
        <v>166810.407272728</v>
      </c>
    </row>
    <row r="166" ht="18" customHeight="1" spans="1:10">
      <c r="A166" s="24" t="s">
        <v>154</v>
      </c>
      <c r="B166" s="59" t="s">
        <v>155</v>
      </c>
      <c r="C166" s="24"/>
      <c r="D166" s="60" t="s">
        <v>156</v>
      </c>
      <c r="E166" s="10">
        <v>0.05</v>
      </c>
      <c r="F166" s="9">
        <f>F165*E166</f>
        <v>24160.8328636364</v>
      </c>
      <c r="G166" s="55"/>
      <c r="H166" s="61">
        <f>H165*E166</f>
        <v>15820.3125</v>
      </c>
      <c r="I166" s="61">
        <v>0</v>
      </c>
      <c r="J166" s="61">
        <f>J165*E166</f>
        <v>8340.52036363639</v>
      </c>
    </row>
    <row r="167" ht="18" customHeight="1" spans="1:13">
      <c r="A167" s="24" t="s">
        <v>157</v>
      </c>
      <c r="B167" s="59" t="s">
        <v>155</v>
      </c>
      <c r="C167" s="24"/>
      <c r="D167" s="60" t="s">
        <v>158</v>
      </c>
      <c r="E167" s="10">
        <v>0.03</v>
      </c>
      <c r="F167" s="9">
        <f>F165*E167</f>
        <v>14496.4997181818</v>
      </c>
      <c r="G167" s="55"/>
      <c r="H167" s="61">
        <f>H165*E167</f>
        <v>9492.1875</v>
      </c>
      <c r="I167" s="61">
        <v>0</v>
      </c>
      <c r="J167" s="61">
        <f>J165*E167</f>
        <v>5004.31221818183</v>
      </c>
      <c r="L167" s="3">
        <f>SUM(F15:F99)</f>
        <v>1739692.44</v>
      </c>
      <c r="M167" s="5" t="s">
        <v>164</v>
      </c>
    </row>
    <row r="168" ht="18" customHeight="1" spans="1:12">
      <c r="A168" s="24"/>
      <c r="B168" s="61"/>
      <c r="C168" s="24"/>
      <c r="D168" s="60" t="s">
        <v>159</v>
      </c>
      <c r="E168" s="10">
        <v>0.02</v>
      </c>
      <c r="F168" s="9">
        <f>F165*E168</f>
        <v>9664.33314545455</v>
      </c>
      <c r="G168" s="55">
        <v>365353</v>
      </c>
      <c r="H168" s="61">
        <f>H165*E168</f>
        <v>6328.125</v>
      </c>
      <c r="I168" s="61">
        <f>I165*E168</f>
        <v>0</v>
      </c>
      <c r="J168" s="61">
        <f>J165*E168</f>
        <v>3336.20814545455</v>
      </c>
      <c r="L168" s="3">
        <f>F7-L167</f>
        <v>316406.250909091</v>
      </c>
    </row>
    <row r="169" ht="18" customHeight="1" spans="1:10">
      <c r="A169" s="20" t="s">
        <v>160</v>
      </c>
      <c r="B169" s="21">
        <f>SUM(B165:B168)</f>
        <v>-4546.33613636531</v>
      </c>
      <c r="C169" s="24"/>
      <c r="D169" s="20" t="s">
        <v>160</v>
      </c>
      <c r="E169" s="20"/>
      <c r="F169" s="23">
        <f>SUM(F165:F168)</f>
        <v>531538.323</v>
      </c>
      <c r="G169" s="62" t="s">
        <v>160</v>
      </c>
      <c r="H169" s="63">
        <f>SUM(H165:H168)</f>
        <v>348046.875</v>
      </c>
      <c r="I169" s="63">
        <f>SUM(I165:I168)</f>
        <v>0</v>
      </c>
      <c r="J169" s="63">
        <f>SUM(J165:J168)</f>
        <v>183491.448</v>
      </c>
    </row>
    <row r="170" ht="18" customHeight="1" spans="3:10">
      <c r="C170" s="2"/>
      <c r="D170" s="3" t="s">
        <v>151</v>
      </c>
      <c r="E170" s="55">
        <v>0.016</v>
      </c>
      <c r="F170" s="64">
        <f>B12*E170</f>
        <v>591450.865454545</v>
      </c>
      <c r="G170" s="62" t="s">
        <v>151</v>
      </c>
      <c r="H170" s="61">
        <v>411220</v>
      </c>
      <c r="I170" s="61">
        <f>B8*E170</f>
        <v>59454.1236363636</v>
      </c>
      <c r="J170" s="61">
        <f>B9*E170</f>
        <v>120777.003636364</v>
      </c>
    </row>
    <row r="171" ht="18" customHeight="1" spans="3:12">
      <c r="C171" s="2"/>
      <c r="D171" s="65"/>
      <c r="E171" s="65"/>
      <c r="F171" s="66"/>
      <c r="G171" s="66"/>
      <c r="H171" s="67"/>
      <c r="I171" s="63">
        <f>B8*E170</f>
        <v>59454.1236363636</v>
      </c>
      <c r="J171" s="63"/>
      <c r="L171" s="3"/>
    </row>
    <row r="172" ht="18" customHeight="1" spans="3:10">
      <c r="C172" s="2"/>
      <c r="D172" s="65"/>
      <c r="E172" s="65"/>
      <c r="F172" s="65"/>
      <c r="G172" s="66"/>
      <c r="J172" s="61"/>
    </row>
    <row r="173" ht="18" customHeight="1" spans="3:7">
      <c r="C173" s="2"/>
      <c r="D173" s="65"/>
      <c r="E173" s="68"/>
      <c r="F173" s="66"/>
      <c r="G173" s="66"/>
    </row>
    <row r="174" ht="18" customHeight="1" spans="3:8">
      <c r="C174" s="2"/>
      <c r="D174" s="65"/>
      <c r="E174" s="68"/>
      <c r="F174" s="66"/>
      <c r="G174" s="66"/>
      <c r="H174" s="3">
        <f>G168-H169</f>
        <v>17306.125</v>
      </c>
    </row>
    <row r="175" ht="18" customHeight="1" spans="3:7">
      <c r="C175" s="2"/>
      <c r="D175" s="65"/>
      <c r="E175" s="68"/>
      <c r="F175" s="66"/>
      <c r="G175" s="66"/>
    </row>
    <row r="176" ht="18" customHeight="1" spans="3:7">
      <c r="C176" s="2"/>
      <c r="D176" s="65"/>
      <c r="E176" s="65"/>
      <c r="F176" s="65"/>
      <c r="G176" s="66"/>
    </row>
    <row r="177" ht="18" customHeight="1" spans="3:7">
      <c r="C177" s="2"/>
      <c r="D177" s="65"/>
      <c r="E177" s="65"/>
      <c r="F177" s="66"/>
      <c r="G177" s="66"/>
    </row>
    <row r="178" spans="3:7">
      <c r="C178" s="2"/>
      <c r="D178" s="65"/>
      <c r="E178" s="65"/>
      <c r="F178" s="66"/>
      <c r="G178" s="66"/>
    </row>
    <row r="179" spans="3:7">
      <c r="C179" s="2"/>
      <c r="D179" s="65"/>
      <c r="E179" s="65"/>
      <c r="F179" s="66"/>
      <c r="G179" s="66"/>
    </row>
    <row r="180" spans="3:7">
      <c r="C180" s="2"/>
      <c r="D180" s="65"/>
      <c r="E180" s="65"/>
      <c r="F180" s="66"/>
      <c r="G180" s="66"/>
    </row>
    <row r="181" spans="3:7">
      <c r="C181" s="2"/>
      <c r="D181" s="65"/>
      <c r="E181" s="65"/>
      <c r="F181" s="66"/>
      <c r="G181" s="66"/>
    </row>
    <row r="182" spans="3:7">
      <c r="C182" s="2"/>
      <c r="F182" s="55"/>
      <c r="G182" s="55"/>
    </row>
    <row r="183" spans="3:7">
      <c r="C183" s="2"/>
      <c r="F183" s="55"/>
      <c r="G183" s="55"/>
    </row>
    <row r="184" spans="3:7">
      <c r="C184" s="2"/>
      <c r="F184" s="55"/>
      <c r="G184" s="55"/>
    </row>
    <row r="185" spans="3:7">
      <c r="C185" s="2"/>
      <c r="F185" s="55"/>
      <c r="G185" s="55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</sheetData>
  <protectedRanges>
    <protectedRange password="CF54" sqref="I146" name="区域1"/>
  </protectedRanges>
  <autoFilter ref="A14:O17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2021-10-12T01:19:30Z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C82CABBBD14343B481E730AF3113D115</vt:lpwstr>
  </property>
</Properties>
</file>