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安徽高速传媒有限公司跨桥广告牌零星工程询价采购" sheetId="7" r:id="rId1"/>
    <sheet name="新" sheetId="6" r:id="rId2"/>
    <sheet name="旧" sheetId="4" r:id="rId3"/>
    <sheet name="Sheet2" sheetId="5" r:id="rId4"/>
  </sheets>
  <definedNames>
    <definedName name="_xlnm._FilterDatabase" localSheetId="0" hidden="1">安徽高速传媒有限公司跨桥广告牌零星工程询价采购!$A$13:$O$67</definedName>
    <definedName name="_xlnm._FilterDatabase" localSheetId="1" hidden="1">新!$A$17:$O$209</definedName>
    <definedName name="_xlnm._FilterDatabase" localSheetId="2" hidden="1">旧!$A$17:$O$200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E2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2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5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5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E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9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97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cw05</author>
  </authors>
  <commentList>
    <comment ref="E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18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19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<sst xmlns="http://schemas.openxmlformats.org/spreadsheetml/2006/main" count="1162" uniqueCount="175">
  <si>
    <t>安徽高速传媒有限公司跨桥广告牌零星工程询价采购</t>
  </si>
  <si>
    <t>中标日期</t>
  </si>
  <si>
    <t>2018-12-</t>
  </si>
  <si>
    <t>中标价</t>
  </si>
  <si>
    <t>负责人</t>
  </si>
  <si>
    <t>建设单位</t>
  </si>
  <si>
    <t xml:space="preserve"> 安徽高速传媒有限公司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</si>
  <si>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</si>
  <si>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</si>
  <si>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</si>
  <si>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</si>
  <si>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</si>
  <si>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</si>
  <si>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</si>
  <si>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</si>
  <si>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</si>
  <si>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</si>
  <si>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</si>
  <si>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</si>
  <si>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</si>
  <si>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</si>
  <si>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</si>
  <si>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</si>
  <si>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</si>
  <si>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</si>
  <si>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</si>
  <si>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</si>
  <si>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</si>
  <si>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</si>
  <si>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</si>
  <si>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</si>
  <si>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</si>
  <si>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</si>
  <si>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</si>
  <si>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</si>
  <si>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</si>
  <si>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</si>
  <si>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陈昌飞</t>
  </si>
  <si>
    <t>2019-3-</t>
  </si>
  <si>
    <t>中行</t>
  </si>
  <si>
    <t>定远县红盛建材有限公司肥东分公司</t>
  </si>
  <si>
    <t>邯郸市锦昶紧固件有限公司</t>
  </si>
  <si>
    <t>合肥轩义通金属材料有限公司</t>
  </si>
  <si>
    <t>螺纹钢6.8吨</t>
  </si>
  <si>
    <t>2019-4-</t>
  </si>
  <si>
    <t>1份</t>
  </si>
  <si>
    <t>专</t>
  </si>
  <si>
    <t>螺栓413根、铁板12个</t>
  </si>
  <si>
    <t>过路费</t>
  </si>
  <si>
    <t>加油卷票</t>
  </si>
  <si>
    <t>商品混凝土114立方米</t>
  </si>
  <si>
    <t>油票</t>
  </si>
  <si>
    <t>安徽瑞鑫汽车销售服务有限公司</t>
  </si>
  <si>
    <t>维修费</t>
  </si>
  <si>
    <t>普代</t>
  </si>
  <si>
    <t>陈芳</t>
  </si>
  <si>
    <t>石子222.2吨、沙</t>
  </si>
  <si>
    <t>有</t>
  </si>
  <si>
    <t>工程服务</t>
  </si>
  <si>
    <t>过路费、加油票</t>
  </si>
  <si>
    <t>工程服务款</t>
  </si>
  <si>
    <t>合同价17万</t>
  </si>
  <si>
    <t>退垫付材料款</t>
  </si>
  <si>
    <t>1次</t>
  </si>
  <si>
    <t>扣</t>
  </si>
  <si>
    <t>转账手续费</t>
  </si>
  <si>
    <t>企业所得税0.6%</t>
  </si>
  <si>
    <t>工程地缴税2%增值税及附加</t>
  </si>
  <si>
    <t>增值税及附加、印花税、水利基金</t>
  </si>
  <si>
    <t>全部管理费2%</t>
  </si>
  <si>
    <t>应提供成本</t>
  </si>
  <si>
    <t>可支付金额</t>
  </si>
  <si>
    <t>尚需提供成本</t>
  </si>
  <si>
    <t>公司代缴税金：</t>
  </si>
  <si>
    <t>税种</t>
  </si>
  <si>
    <t>税额</t>
  </si>
  <si>
    <t>2020年工程地缴税2%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</si>
  <si>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</si>
  <si>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</si>
  <si>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</si>
  <si>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</si>
  <si>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</si>
  <si>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</si>
  <si>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</si>
  <si>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</si>
  <si>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</si>
  <si>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r>
      <rPr>
        <b/>
        <sz val="11"/>
        <color rgb="FF333333"/>
        <rFont val="宋体"/>
        <charset val="134"/>
      </rPr>
      <t>C9255  安徽高速传媒有限公司</t>
    </r>
    <r>
      <rPr>
        <b/>
        <sz val="11"/>
        <color rgb="FF333333"/>
        <rFont val="ˎ̥"/>
        <charset val="134"/>
      </rPr>
      <t>2018</t>
    </r>
    <r>
      <rPr>
        <b/>
        <sz val="11"/>
        <color rgb="FF333333"/>
        <rFont val="宋体"/>
        <charset val="134"/>
      </rPr>
      <t>年广告牌基础工程施工</t>
    </r>
  </si>
  <si>
    <t>安徽高速江南传媒有限公司  安徽高速传媒有限公司</t>
  </si>
  <si>
    <t>普</t>
  </si>
  <si>
    <t>住宿费</t>
  </si>
  <si>
    <t>合肥市包河区鑫义五金经营部</t>
  </si>
  <si>
    <t>安庆高速公路混凝土有限公司</t>
  </si>
  <si>
    <t>安庆市鑫田物资有限责任公司</t>
  </si>
  <si>
    <t>螺纹钢</t>
  </si>
  <si>
    <t>柴油</t>
  </si>
  <si>
    <t>混凝土</t>
  </si>
  <si>
    <t>长丰县长顺商贸有限公司</t>
  </si>
  <si>
    <t>芜湖日旺物资贸易有限公司</t>
  </si>
  <si>
    <t>芜湖市恒力混凝土有限公司</t>
  </si>
  <si>
    <t>水泥</t>
  </si>
  <si>
    <t>退材料款</t>
  </si>
  <si>
    <t>中国人寿财产保险股份有限公司合肥市中心支公司</t>
  </si>
  <si>
    <t>保险</t>
  </si>
  <si>
    <t>中国人寿保险股份有限公司合肥市分公司</t>
  </si>
  <si>
    <t>六安市强驽建设工程有限公司</t>
  </si>
  <si>
    <t>六安市中瑞新型建材有限公司</t>
  </si>
  <si>
    <t>长丰强大商品混凝土有限公司</t>
  </si>
  <si>
    <t>钢材</t>
  </si>
  <si>
    <t>滁州中联混凝土有限公司</t>
  </si>
  <si>
    <t>钢筋</t>
  </si>
  <si>
    <t>定远县胜阳新型建材有限公司</t>
  </si>
  <si>
    <t>宁国市荣信钢材销售有限公司</t>
  </si>
  <si>
    <t>宁国市新瑞混凝土有限公司</t>
  </si>
  <si>
    <t>打印机</t>
  </si>
  <si>
    <t>中国人寿保险股份有限公司合肥市中心支公司</t>
  </si>
  <si>
    <t>广德县广南酒店管理有限公司</t>
  </si>
  <si>
    <t>代转材料款</t>
  </si>
  <si>
    <t>陈芳、周承山</t>
  </si>
  <si>
    <t>工程款</t>
  </si>
  <si>
    <t>吴相荣、陈昌飞</t>
  </si>
  <si>
    <t>砂石</t>
  </si>
  <si>
    <t>紧固件</t>
  </si>
  <si>
    <t xml:space="preserve">    </t>
  </si>
  <si>
    <t>程蓉</t>
  </si>
  <si>
    <t>材料款</t>
  </si>
  <si>
    <t>巢湖市联群商品混凝土有限责任公司</t>
  </si>
  <si>
    <t>零星项目工程款转40300</t>
  </si>
  <si>
    <t>安徽省含山县瑞江水泥制品有限公司</t>
  </si>
  <si>
    <t>安徽省建筑工程质量第二监督检测站</t>
  </si>
  <si>
    <t>试验费</t>
  </si>
  <si>
    <t>蜀山区金科数码、广德县广德酒店</t>
  </si>
  <si>
    <t>住宿费、墨盒</t>
  </si>
  <si>
    <t>卷票、电子票</t>
  </si>
  <si>
    <t>电子票、卷票</t>
  </si>
  <si>
    <t>加油票</t>
  </si>
  <si>
    <t>铁板螺栓</t>
  </si>
  <si>
    <t>高瑛、徐晓红、周承山</t>
  </si>
  <si>
    <t>陈昌飞、陈芳</t>
  </si>
  <si>
    <t>合肥市包河鑫义五金经营部</t>
  </si>
  <si>
    <t>螺丝</t>
  </si>
  <si>
    <t>卷票</t>
  </si>
  <si>
    <t>庐江县吴忠钢材销售有限公司</t>
  </si>
  <si>
    <t xml:space="preserve">舒城华恒新城建材有限公司
</t>
  </si>
  <si>
    <t>混泥土款</t>
  </si>
  <si>
    <t>工程款、砂石等</t>
  </si>
  <si>
    <t>丁增好</t>
  </si>
  <si>
    <t>砂石材料款</t>
  </si>
  <si>
    <t>19-8-</t>
  </si>
  <si>
    <t>周悦</t>
  </si>
  <si>
    <t>石子、沙</t>
  </si>
  <si>
    <t>过路费、加油费</t>
  </si>
  <si>
    <t>5次</t>
  </si>
  <si>
    <t>退</t>
  </si>
  <si>
    <t>暂扣风险保证金</t>
  </si>
  <si>
    <t>补扣全部增值税及附加</t>
  </si>
  <si>
    <t>暂扣</t>
  </si>
  <si>
    <t>结算价1%的风险保证金</t>
  </si>
  <si>
    <t>18.9月多扣的1%企税</t>
  </si>
  <si>
    <t>企税0.6%</t>
  </si>
  <si>
    <t>印花税及水利基金</t>
  </si>
  <si>
    <t>增值税及附加（19年4月开票）</t>
  </si>
  <si>
    <t>补扣</t>
  </si>
  <si>
    <t>18年少扣税费（另外2%的税金）</t>
  </si>
  <si>
    <t>水利基金印花税（12月）</t>
  </si>
  <si>
    <t>增值税及附加（12月开票）</t>
  </si>
  <si>
    <t>增值税及附加</t>
  </si>
  <si>
    <t>水利基金印花税</t>
  </si>
  <si>
    <t>企业所得税1.6%</t>
  </si>
  <si>
    <t>管理费</t>
  </si>
  <si>
    <t>18.9月开票扣税</t>
  </si>
  <si>
    <t>18.12月开票扣税</t>
  </si>
  <si>
    <t>18年补扣税费</t>
  </si>
  <si>
    <t>19年4月开票扣税</t>
  </si>
  <si>
    <r>
      <rPr>
        <b/>
        <sz val="11"/>
        <color rgb="FF333333"/>
        <rFont val="宋体"/>
        <charset val="134"/>
      </rPr>
      <t>安徽高速传媒有限公司</t>
    </r>
    <r>
      <rPr>
        <b/>
        <sz val="11"/>
        <color rgb="FF333333"/>
        <rFont val="ˎ̥"/>
        <charset val="134"/>
      </rPr>
      <t>2018</t>
    </r>
    <r>
      <rPr>
        <b/>
        <sz val="11"/>
        <color rgb="FF333333"/>
        <rFont val="宋体"/>
        <charset val="134"/>
      </rPr>
      <t>年广告牌基础工程施工</t>
    </r>
  </si>
  <si>
    <t xml:space="preserve"> 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</si>
</sst>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.00_ "/>
    <numFmt numFmtId="178" formatCode="0.00_ "/>
    <numFmt numFmtId="179" formatCode="yy/m/d;@"/>
    <numFmt numFmtId="180" formatCode="#,##0_ "/>
    <numFmt numFmtId="181" formatCode="yyyy/m/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1" fillId="16" borderId="10" applyNumberFormat="0" applyAlignment="0" applyProtection="0">
      <alignment vertical="center"/>
    </xf>
    <xf numFmtId="0" fontId="22" fillId="16" borderId="6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129">
    <xf numFmtId="0" fontId="0" fillId="0" borderId="0" xfId="0"/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9" fontId="2" fillId="0" borderId="1" xfId="0" applyNumberFormat="1" applyFont="1" applyBorder="1" applyAlignment="1">
      <alignment vertical="center"/>
    </xf>
    <xf numFmtId="179" fontId="3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0" fontId="2" fillId="0" borderId="1" xfId="0" applyNumberFormat="1" applyFont="1" applyBorder="1" applyAlignment="1">
      <alignment vertical="center"/>
    </xf>
    <xf numFmtId="179" fontId="2" fillId="0" borderId="3" xfId="0" applyNumberFormat="1" applyFont="1" applyBorder="1" applyAlignment="1">
      <alignment horizontal="left" vertical="center"/>
    </xf>
    <xf numFmtId="178" fontId="3" fillId="0" borderId="1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horizontal="center" vertical="center"/>
    </xf>
    <xf numFmtId="9" fontId="2" fillId="0" borderId="1" xfId="11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vertical="center"/>
    </xf>
    <xf numFmtId="178" fontId="3" fillId="3" borderId="1" xfId="0" applyNumberFormat="1" applyFont="1" applyFill="1" applyBorder="1" applyAlignment="1">
      <alignment vertical="center"/>
    </xf>
    <xf numFmtId="179" fontId="1" fillId="0" borderId="1" xfId="0" applyNumberFormat="1" applyFont="1" applyBorder="1" applyAlignment="1">
      <alignment vertical="center"/>
    </xf>
    <xf numFmtId="178" fontId="1" fillId="4" borderId="1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8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79" fontId="1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9" fontId="3" fillId="5" borderId="1" xfId="11" applyFont="1" applyFill="1" applyBorder="1" applyAlignment="1">
      <alignment horizontal="center" vertical="center"/>
    </xf>
    <xf numFmtId="180" fontId="2" fillId="0" borderId="1" xfId="0" applyNumberFormat="1" applyFont="1" applyBorder="1" applyAlignment="1">
      <alignment horizontal="center" vertical="center"/>
    </xf>
    <xf numFmtId="9" fontId="2" fillId="5" borderId="1" xfId="1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9" fontId="2" fillId="0" borderId="5" xfId="0" applyNumberFormat="1" applyFont="1" applyBorder="1" applyAlignment="1">
      <alignment horizontal="left" vertical="center"/>
    </xf>
    <xf numFmtId="178" fontId="7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78" fontId="2" fillId="6" borderId="1" xfId="0" applyNumberFormat="1" applyFont="1" applyFill="1" applyBorder="1" applyAlignment="1">
      <alignment vertical="center"/>
    </xf>
    <xf numFmtId="0" fontId="3" fillId="0" borderId="1" xfId="0" applyNumberFormat="1" applyFont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179" fontId="2" fillId="6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vertical="center"/>
    </xf>
    <xf numFmtId="0" fontId="3" fillId="6" borderId="1" xfId="0" applyFont="1" applyFill="1" applyBorder="1" applyAlignment="1">
      <alignment vertical="center"/>
    </xf>
    <xf numFmtId="178" fontId="4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80" fontId="4" fillId="0" borderId="1" xfId="0" applyNumberFormat="1" applyFont="1" applyBorder="1" applyAlignment="1">
      <alignment horizontal="center" vertical="center"/>
    </xf>
    <xf numFmtId="9" fontId="4" fillId="5" borderId="1" xfId="1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8" fontId="4" fillId="3" borderId="1" xfId="0" applyNumberFormat="1" applyFont="1" applyFill="1" applyBorder="1" applyAlignment="1">
      <alignment vertical="center"/>
    </xf>
    <xf numFmtId="179" fontId="4" fillId="6" borderId="1" xfId="0" applyNumberFormat="1" applyFont="1" applyFill="1" applyBorder="1" applyAlignment="1">
      <alignment horizontal="center" vertical="center"/>
    </xf>
    <xf numFmtId="178" fontId="3" fillId="3" borderId="3" xfId="0" applyNumberFormat="1" applyFont="1" applyFill="1" applyBorder="1" applyAlignment="1">
      <alignment vertical="center"/>
    </xf>
    <xf numFmtId="0" fontId="1" fillId="0" borderId="1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179" fontId="1" fillId="2" borderId="1" xfId="0" applyNumberFormat="1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  <xf numFmtId="0" fontId="2" fillId="6" borderId="1" xfId="0" applyNumberFormat="1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77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177" fontId="1" fillId="2" borderId="1" xfId="0" applyNumberFormat="1" applyFont="1" applyFill="1" applyBorder="1" applyAlignment="1">
      <alignment vertical="center"/>
    </xf>
    <xf numFmtId="177" fontId="8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178" fontId="8" fillId="2" borderId="1" xfId="0" applyNumberFormat="1" applyFont="1" applyFill="1" applyBorder="1" applyAlignment="1">
      <alignment vertical="center"/>
    </xf>
    <xf numFmtId="177" fontId="3" fillId="3" borderId="1" xfId="0" applyNumberFormat="1" applyFont="1" applyFill="1" applyBorder="1" applyAlignment="1">
      <alignment vertical="center"/>
    </xf>
    <xf numFmtId="9" fontId="2" fillId="0" borderId="1" xfId="11" applyNumberFormat="1" applyFont="1" applyBorder="1" applyAlignment="1">
      <alignment horizontal="center" vertical="center"/>
    </xf>
    <xf numFmtId="177" fontId="1" fillId="4" borderId="1" xfId="0" applyNumberFormat="1" applyFont="1" applyFill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6" borderId="1" xfId="0" applyNumberFormat="1" applyFont="1" applyFill="1" applyBorder="1" applyAlignment="1">
      <alignment vertical="center"/>
    </xf>
    <xf numFmtId="17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76" fontId="3" fillId="6" borderId="1" xfId="0" applyNumberFormat="1" applyFont="1" applyFill="1" applyBorder="1" applyAlignment="1">
      <alignment horizontal="center" vertical="center"/>
    </xf>
    <xf numFmtId="180" fontId="3" fillId="6" borderId="1" xfId="0" applyNumberFormat="1" applyFont="1" applyFill="1" applyBorder="1" applyAlignment="1">
      <alignment horizontal="center" vertical="center"/>
    </xf>
    <xf numFmtId="0" fontId="3" fillId="6" borderId="1" xfId="0" applyNumberFormat="1" applyFont="1" applyFill="1" applyBorder="1" applyAlignment="1">
      <alignment horizontal="center" vertical="center"/>
    </xf>
    <xf numFmtId="9" fontId="3" fillId="5" borderId="1" xfId="11" applyNumberFormat="1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177" fontId="3" fillId="3" borderId="3" xfId="0" applyNumberFormat="1" applyFont="1" applyFill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3" fillId="6" borderId="1" xfId="0" applyNumberFormat="1" applyFont="1" applyFill="1" applyBorder="1" applyAlignment="1">
      <alignment vertical="center" wrapText="1"/>
    </xf>
    <xf numFmtId="177" fontId="3" fillId="0" borderId="1" xfId="0" applyNumberFormat="1" applyFont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>
      <alignment vertical="center"/>
    </xf>
    <xf numFmtId="177" fontId="1" fillId="6" borderId="1" xfId="0" applyNumberFormat="1" applyFont="1" applyFill="1" applyBorder="1" applyAlignment="1">
      <alignment horizontal="center" vertical="center"/>
    </xf>
    <xf numFmtId="0" fontId="1" fillId="6" borderId="1" xfId="0" applyNumberFormat="1" applyFont="1" applyFill="1" applyBorder="1" applyAlignment="1">
      <alignment vertical="center"/>
    </xf>
    <xf numFmtId="177" fontId="1" fillId="6" borderId="1" xfId="0" applyNumberFormat="1" applyFont="1" applyFill="1" applyBorder="1" applyAlignment="1">
      <alignment vertical="center"/>
    </xf>
    <xf numFmtId="177" fontId="8" fillId="6" borderId="1" xfId="0" applyNumberFormat="1" applyFont="1" applyFill="1" applyBorder="1" applyAlignment="1">
      <alignment vertical="center"/>
    </xf>
    <xf numFmtId="0" fontId="8" fillId="6" borderId="1" xfId="0" applyNumberFormat="1" applyFont="1" applyFill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181" fontId="2" fillId="0" borderId="1" xfId="0" applyNumberFormat="1" applyFont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78" fontId="1" fillId="6" borderId="0" xfId="0" applyNumberFormat="1" applyFont="1" applyFill="1" applyBorder="1" applyAlignment="1">
      <alignment horizontal="center" vertical="center"/>
    </xf>
    <xf numFmtId="177" fontId="1" fillId="6" borderId="0" xfId="0" applyNumberFormat="1" applyFont="1" applyFill="1" applyBorder="1" applyAlignment="1">
      <alignment vertical="center"/>
    </xf>
    <xf numFmtId="177" fontId="2" fillId="6" borderId="1" xfId="0" applyNumberFormat="1" applyFont="1" applyFill="1" applyBorder="1" applyAlignment="1">
      <alignment vertical="center"/>
    </xf>
    <xf numFmtId="177" fontId="3" fillId="6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left" vertical="center"/>
    </xf>
    <xf numFmtId="10" fontId="2" fillId="6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0"/>
  <sheetViews>
    <sheetView workbookViewId="0">
      <selection activeCell="G16" sqref="G16"/>
    </sheetView>
  </sheetViews>
  <sheetFormatPr defaultColWidth="9" defaultRowHeight="11.25"/>
  <cols>
    <col min="1" max="1" width="10.775" style="15" customWidth="1"/>
    <col min="2" max="2" width="13.1083333333333" style="16" customWidth="1"/>
    <col min="3" max="3" width="6" style="17" customWidth="1"/>
    <col min="4" max="4" width="13.3333333333333" style="17" customWidth="1"/>
    <col min="5" max="5" width="8" style="17" customWidth="1"/>
    <col min="6" max="6" width="13.775" style="16" customWidth="1"/>
    <col min="7" max="7" width="14.1083333333333" style="16" customWidth="1"/>
    <col min="8" max="8" width="15" style="17" customWidth="1"/>
    <col min="9" max="9" width="13.8833333333333" style="16" customWidth="1"/>
    <col min="10" max="10" width="6.10833333333333" style="18" customWidth="1"/>
    <col min="11" max="11" width="37" style="19" customWidth="1"/>
    <col min="12" max="12" width="16.3333333333333" style="19" customWidth="1"/>
    <col min="13" max="13" width="6" style="19" customWidth="1"/>
    <col min="14" max="14" width="5.66666666666667" style="19" customWidth="1"/>
    <col min="15" max="15" width="12.2166666666667" style="19" customWidth="1"/>
    <col min="16" max="16384" width="9" style="19"/>
  </cols>
  <sheetData>
    <row r="1" ht="21.9" customHeight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9"/>
      <c r="L1" s="29"/>
    </row>
    <row r="2" ht="18" customHeight="1" spans="1:12">
      <c r="A2" s="22" t="s">
        <v>1</v>
      </c>
      <c r="B2" s="23" t="s">
        <v>2</v>
      </c>
      <c r="C2" s="24" t="s">
        <v>3</v>
      </c>
      <c r="D2" s="24">
        <v>586544.79</v>
      </c>
      <c r="E2" s="8" t="s">
        <v>4</v>
      </c>
      <c r="F2" s="26"/>
      <c r="G2" s="9" t="s">
        <v>5</v>
      </c>
      <c r="H2" s="27" t="s">
        <v>6</v>
      </c>
      <c r="I2" s="47"/>
      <c r="J2" s="48"/>
      <c r="K2" s="29"/>
      <c r="L2" s="29"/>
    </row>
    <row r="3" ht="18" customHeight="1" spans="1:12">
      <c r="A3" s="22" t="s">
        <v>7</v>
      </c>
      <c r="B3" s="28"/>
      <c r="C3" s="24" t="s">
        <v>8</v>
      </c>
      <c r="D3" s="24">
        <v>438887.65</v>
      </c>
      <c r="H3" s="29"/>
      <c r="I3" s="49"/>
      <c r="J3" s="29"/>
      <c r="K3" s="29"/>
      <c r="L3" s="29"/>
    </row>
    <row r="4" ht="18" customHeight="1" spans="1:12">
      <c r="A4" s="15" t="s">
        <v>9</v>
      </c>
      <c r="D4" s="17">
        <f>D3*0.02</f>
        <v>8777.753</v>
      </c>
      <c r="H4" s="29"/>
      <c r="I4" s="49"/>
      <c r="J4" s="29"/>
      <c r="K4" s="29"/>
      <c r="L4" s="29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7">
        <v>43368</v>
      </c>
      <c r="B7" s="24">
        <f>G7/(1+C7+E7)</f>
        <v>402649.220183486</v>
      </c>
      <c r="C7" s="98">
        <v>0.02</v>
      </c>
      <c r="D7" s="31">
        <f>G7/(1+E7+C7)*C7</f>
        <v>8052.98440366972</v>
      </c>
      <c r="E7" s="98">
        <v>0.07</v>
      </c>
      <c r="F7" s="24">
        <f>G7/(1+C7+E7)*E7</f>
        <v>28185.445412844</v>
      </c>
      <c r="G7" s="97">
        <v>438887.65</v>
      </c>
      <c r="H7" s="23">
        <v>44194</v>
      </c>
      <c r="I7" s="100">
        <v>394998.89</v>
      </c>
      <c r="J7" s="50" t="s">
        <v>21</v>
      </c>
    </row>
    <row r="8" ht="18" customHeight="1" spans="1:10">
      <c r="A8" s="7"/>
      <c r="B8" s="24">
        <f>G8/(1+C8+E8)</f>
        <v>0</v>
      </c>
      <c r="C8" s="30"/>
      <c r="D8" s="31">
        <f>G8/(1+E8+C8)*C8</f>
        <v>0</v>
      </c>
      <c r="E8" s="30">
        <v>0.1</v>
      </c>
      <c r="F8" s="24">
        <f>G8/(1+C8+E8)*E8</f>
        <v>0</v>
      </c>
      <c r="G8" s="97"/>
      <c r="H8" s="23"/>
      <c r="I8" s="100"/>
      <c r="J8" s="50"/>
    </row>
    <row r="9" ht="18" customHeight="1" spans="1:10">
      <c r="A9" s="7"/>
      <c r="B9" s="24">
        <f>G9/(1+C9+E9)</f>
        <v>0</v>
      </c>
      <c r="C9" s="30"/>
      <c r="D9" s="31">
        <f>G9/(1+E9+C9)*C9</f>
        <v>0</v>
      </c>
      <c r="E9" s="30">
        <v>0.1</v>
      </c>
      <c r="F9" s="24">
        <f>G9/(1+C9+E9)*E9</f>
        <v>0</v>
      </c>
      <c r="G9" s="97"/>
      <c r="H9" s="23"/>
      <c r="I9" s="100"/>
      <c r="J9" s="50"/>
    </row>
    <row r="10" ht="18" customHeight="1" spans="1:10">
      <c r="A10" s="7"/>
      <c r="B10" s="24">
        <f>G10/(1+C10+E10)</f>
        <v>0</v>
      </c>
      <c r="C10" s="30"/>
      <c r="D10" s="31">
        <f>G10/(1+E10+C10)*C10</f>
        <v>0</v>
      </c>
      <c r="E10" s="30">
        <v>0.09</v>
      </c>
      <c r="F10" s="24">
        <f>G10/(1+C10+E10)*E10</f>
        <v>0</v>
      </c>
      <c r="G10" s="97"/>
      <c r="H10" s="23"/>
      <c r="I10" s="100"/>
      <c r="J10" s="50"/>
    </row>
    <row r="11" ht="18" customHeight="1" spans="1:10">
      <c r="A11" s="33" t="s">
        <v>22</v>
      </c>
      <c r="B11" s="99">
        <f t="shared" ref="B11:G11" si="0">SUM(B7:B10)</f>
        <v>402649.220183486</v>
      </c>
      <c r="C11" s="35"/>
      <c r="D11" s="36">
        <f t="shared" si="0"/>
        <v>8052.98440366972</v>
      </c>
      <c r="E11" s="35"/>
      <c r="F11" s="93">
        <f t="shared" si="0"/>
        <v>28185.445412844</v>
      </c>
      <c r="G11" s="35">
        <f t="shared" si="0"/>
        <v>438887.65</v>
      </c>
      <c r="H11" s="38"/>
      <c r="I11" s="35">
        <f>SUM(I7:I10)</f>
        <v>394998.89</v>
      </c>
      <c r="J11" s="38"/>
    </row>
    <row r="12" ht="18" customHeight="1" spans="1:12">
      <c r="A12" s="15" t="s">
        <v>23</v>
      </c>
      <c r="I12" s="16">
        <f>D3-I11</f>
        <v>43888.76</v>
      </c>
      <c r="J12" s="17"/>
      <c r="K12" s="17"/>
      <c r="L12" s="18"/>
    </row>
    <row r="13" ht="18" customHeight="1" spans="1:15">
      <c r="A13" s="39" t="s">
        <v>24</v>
      </c>
      <c r="B13" s="3" t="s">
        <v>25</v>
      </c>
      <c r="C13" s="2" t="s">
        <v>26</v>
      </c>
      <c r="D13" s="2" t="s">
        <v>27</v>
      </c>
      <c r="E13" s="2" t="s">
        <v>16</v>
      </c>
      <c r="F13" s="3" t="s">
        <v>28</v>
      </c>
      <c r="G13" s="3" t="s">
        <v>14</v>
      </c>
      <c r="H13" s="2" t="s">
        <v>29</v>
      </c>
      <c r="I13" s="3" t="s">
        <v>30</v>
      </c>
      <c r="J13" s="2" t="s">
        <v>20</v>
      </c>
      <c r="K13" s="51" t="s">
        <v>31</v>
      </c>
      <c r="L13" s="1" t="s">
        <v>32</v>
      </c>
      <c r="M13" s="1" t="s">
        <v>33</v>
      </c>
      <c r="N13" s="1" t="s">
        <v>34</v>
      </c>
      <c r="O13" s="1" t="s">
        <v>35</v>
      </c>
    </row>
    <row r="14" customFormat="1" ht="18" customHeight="1" spans="1:15">
      <c r="A14" s="39"/>
      <c r="B14" s="3"/>
      <c r="C14" s="2"/>
      <c r="D14" s="2"/>
      <c r="E14" s="2"/>
      <c r="F14" s="3"/>
      <c r="G14" s="3"/>
      <c r="H14" s="121">
        <v>43535</v>
      </c>
      <c r="I14" s="126">
        <v>-17040</v>
      </c>
      <c r="J14" s="8" t="s">
        <v>36</v>
      </c>
      <c r="K14" s="52" t="s">
        <v>37</v>
      </c>
      <c r="L14" s="1"/>
      <c r="M14" s="1"/>
      <c r="N14" s="1"/>
      <c r="O14" s="1"/>
    </row>
    <row r="15" customFormat="1" ht="18" customHeight="1" spans="1:15">
      <c r="A15" s="39"/>
      <c r="B15" s="3"/>
      <c r="C15" s="2"/>
      <c r="D15" s="2"/>
      <c r="E15" s="2"/>
      <c r="F15" s="3"/>
      <c r="G15" s="3"/>
      <c r="H15" s="121">
        <v>43535</v>
      </c>
      <c r="I15" s="126">
        <v>-40000</v>
      </c>
      <c r="J15" s="8" t="s">
        <v>36</v>
      </c>
      <c r="K15" s="52" t="s">
        <v>37</v>
      </c>
      <c r="L15" s="1"/>
      <c r="M15" s="1"/>
      <c r="N15" s="1"/>
      <c r="O15" s="1"/>
    </row>
    <row r="16" customFormat="1" ht="18" customHeight="1" spans="1:15">
      <c r="A16" s="39"/>
      <c r="B16" s="3"/>
      <c r="C16" s="2"/>
      <c r="D16" s="2"/>
      <c r="E16" s="2"/>
      <c r="F16" s="3"/>
      <c r="G16" s="3"/>
      <c r="H16" s="121" t="s">
        <v>38</v>
      </c>
      <c r="I16" s="126">
        <v>40000</v>
      </c>
      <c r="J16" s="8" t="s">
        <v>39</v>
      </c>
      <c r="K16" s="127" t="s">
        <v>40</v>
      </c>
      <c r="L16" s="1"/>
      <c r="M16" s="1"/>
      <c r="N16" s="1"/>
      <c r="O16" s="1"/>
    </row>
    <row r="17" customFormat="1" ht="18" customHeight="1" spans="1:15">
      <c r="A17" s="39"/>
      <c r="B17" s="3"/>
      <c r="C17" s="2"/>
      <c r="D17" s="8"/>
      <c r="E17" s="8"/>
      <c r="F17" s="9"/>
      <c r="G17" s="9"/>
      <c r="H17" s="121" t="s">
        <v>38</v>
      </c>
      <c r="I17" s="126">
        <v>17040</v>
      </c>
      <c r="J17" s="8" t="s">
        <v>39</v>
      </c>
      <c r="K17" s="52" t="s">
        <v>41</v>
      </c>
      <c r="L17" s="50"/>
      <c r="M17" s="1"/>
      <c r="N17" s="1"/>
      <c r="O17" s="1"/>
    </row>
    <row r="18" customFormat="1" ht="18" customHeight="1" spans="1:15">
      <c r="A18" s="39"/>
      <c r="B18" s="3"/>
      <c r="C18" s="2"/>
      <c r="D18" s="8"/>
      <c r="E18" s="8"/>
      <c r="F18" s="9"/>
      <c r="G18" s="9"/>
      <c r="H18" s="121">
        <v>43542</v>
      </c>
      <c r="I18" s="126">
        <v>-5500</v>
      </c>
      <c r="J18" s="8" t="s">
        <v>36</v>
      </c>
      <c r="K18" s="52" t="s">
        <v>37</v>
      </c>
      <c r="L18" s="50"/>
      <c r="M18" s="1"/>
      <c r="N18" s="1"/>
      <c r="O18" s="1"/>
    </row>
    <row r="19" customFormat="1" ht="18" customHeight="1" spans="1:15">
      <c r="A19" s="39"/>
      <c r="B19" s="3"/>
      <c r="C19" s="2"/>
      <c r="D19" s="8"/>
      <c r="E19" s="8"/>
      <c r="F19" s="9"/>
      <c r="G19" s="9"/>
      <c r="H19" s="121" t="s">
        <v>38</v>
      </c>
      <c r="I19" s="126">
        <v>5500</v>
      </c>
      <c r="J19" s="8" t="s">
        <v>39</v>
      </c>
      <c r="K19" s="52" t="s">
        <v>41</v>
      </c>
      <c r="L19" s="50"/>
      <c r="M19" s="1"/>
      <c r="N19" s="1"/>
      <c r="O19" s="1"/>
    </row>
    <row r="20" customFormat="1" ht="18" customHeight="1" spans="1:15">
      <c r="A20" s="39"/>
      <c r="B20" s="3"/>
      <c r="C20" s="2"/>
      <c r="D20" s="8"/>
      <c r="E20" s="8"/>
      <c r="F20" s="9"/>
      <c r="G20" s="9"/>
      <c r="H20" s="121">
        <v>43542</v>
      </c>
      <c r="I20" s="126">
        <v>-15000</v>
      </c>
      <c r="J20" s="8" t="s">
        <v>36</v>
      </c>
      <c r="K20" s="52" t="s">
        <v>37</v>
      </c>
      <c r="L20" s="50"/>
      <c r="M20" s="1"/>
      <c r="N20" s="1"/>
      <c r="O20" s="1"/>
    </row>
    <row r="21" customFormat="1" ht="18" customHeight="1" spans="1:15">
      <c r="A21" s="39"/>
      <c r="B21" s="3"/>
      <c r="C21" s="2"/>
      <c r="D21" s="8"/>
      <c r="E21" s="8"/>
      <c r="F21" s="9"/>
      <c r="G21" s="9"/>
      <c r="H21" s="121" t="s">
        <v>38</v>
      </c>
      <c r="I21" s="126">
        <v>15000</v>
      </c>
      <c r="J21" s="8" t="s">
        <v>39</v>
      </c>
      <c r="K21" s="127" t="s">
        <v>40</v>
      </c>
      <c r="L21" s="50"/>
      <c r="M21" s="1"/>
      <c r="N21" s="1"/>
      <c r="O21" s="1"/>
    </row>
    <row r="22" customFormat="1" ht="18" customHeight="1" spans="1:15">
      <c r="A22" s="39"/>
      <c r="B22" s="3"/>
      <c r="C22" s="2"/>
      <c r="D22" s="8"/>
      <c r="E22" s="8"/>
      <c r="F22" s="9"/>
      <c r="G22" s="9"/>
      <c r="H22" s="121">
        <v>43542</v>
      </c>
      <c r="I22" s="126">
        <v>-29780</v>
      </c>
      <c r="J22" s="8" t="s">
        <v>36</v>
      </c>
      <c r="K22" s="52" t="s">
        <v>37</v>
      </c>
      <c r="L22" s="50"/>
      <c r="M22" s="1"/>
      <c r="N22" s="1"/>
      <c r="O22" s="1"/>
    </row>
    <row r="23" customFormat="1" ht="18" customHeight="1" spans="1:15">
      <c r="A23" s="39"/>
      <c r="B23" s="3"/>
      <c r="C23" s="2"/>
      <c r="D23" s="8"/>
      <c r="E23" s="8"/>
      <c r="F23" s="9"/>
      <c r="G23" s="9"/>
      <c r="H23" s="121">
        <v>43542</v>
      </c>
      <c r="I23" s="126">
        <v>29780</v>
      </c>
      <c r="J23" s="8" t="s">
        <v>39</v>
      </c>
      <c r="K23" s="52" t="s">
        <v>42</v>
      </c>
      <c r="L23" s="50" t="s">
        <v>43</v>
      </c>
      <c r="M23" s="1"/>
      <c r="N23" s="1"/>
      <c r="O23" s="1"/>
    </row>
    <row r="24" customFormat="1" ht="18" customHeight="1" spans="1:15">
      <c r="A24" s="39"/>
      <c r="B24" s="3"/>
      <c r="C24" s="2"/>
      <c r="D24" s="8"/>
      <c r="E24" s="8"/>
      <c r="F24" s="9"/>
      <c r="G24" s="9"/>
      <c r="H24" s="121">
        <v>43555</v>
      </c>
      <c r="I24" s="126">
        <v>-17040</v>
      </c>
      <c r="J24" s="8" t="s">
        <v>36</v>
      </c>
      <c r="K24" s="52" t="s">
        <v>37</v>
      </c>
      <c r="L24" s="50"/>
      <c r="M24" s="1"/>
      <c r="N24" s="1"/>
      <c r="O24" s="1"/>
    </row>
    <row r="25" customFormat="1" ht="18" customHeight="1" spans="1:15">
      <c r="A25" s="39"/>
      <c r="B25" s="3"/>
      <c r="C25" s="2"/>
      <c r="D25" s="8"/>
      <c r="E25" s="8"/>
      <c r="F25" s="9"/>
      <c r="G25" s="9"/>
      <c r="H25" s="121" t="s">
        <v>38</v>
      </c>
      <c r="I25" s="126">
        <v>17040</v>
      </c>
      <c r="J25" s="8" t="s">
        <v>39</v>
      </c>
      <c r="K25" s="52" t="s">
        <v>41</v>
      </c>
      <c r="L25" s="50"/>
      <c r="M25" s="1"/>
      <c r="N25" s="1"/>
      <c r="O25" s="1"/>
    </row>
    <row r="26" customFormat="1" ht="18" customHeight="1" spans="1:15">
      <c r="A26" s="39"/>
      <c r="B26" s="3"/>
      <c r="C26" s="2"/>
      <c r="D26" s="8"/>
      <c r="E26" s="8"/>
      <c r="F26" s="9"/>
      <c r="G26" s="9"/>
      <c r="H26" s="121">
        <v>43570</v>
      </c>
      <c r="I26" s="126">
        <v>-860</v>
      </c>
      <c r="J26" s="8" t="s">
        <v>36</v>
      </c>
      <c r="K26" s="52" t="s">
        <v>37</v>
      </c>
      <c r="L26" s="50"/>
      <c r="M26" s="1"/>
      <c r="N26" s="1"/>
      <c r="O26" s="1"/>
    </row>
    <row r="27" customFormat="1" ht="18" customHeight="1" spans="1:15">
      <c r="A27" s="39"/>
      <c r="B27" s="3"/>
      <c r="C27" s="2"/>
      <c r="D27" s="8"/>
      <c r="E27" s="8"/>
      <c r="F27" s="9"/>
      <c r="G27" s="9"/>
      <c r="H27" s="121" t="s">
        <v>44</v>
      </c>
      <c r="I27" s="126">
        <v>860</v>
      </c>
      <c r="J27" s="8" t="s">
        <v>39</v>
      </c>
      <c r="K27" s="127" t="s">
        <v>40</v>
      </c>
      <c r="L27" s="50"/>
      <c r="M27" s="1"/>
      <c r="N27" s="1"/>
      <c r="O27" s="1"/>
    </row>
    <row r="28" s="13" customFormat="1" ht="18" customHeight="1" spans="1:15">
      <c r="A28" s="40">
        <v>43556</v>
      </c>
      <c r="B28" s="100">
        <f t="shared" ref="B28:B39" si="1">ROUND(G28/(1+E28),2)</f>
        <v>25672.41</v>
      </c>
      <c r="C28" s="41" t="s">
        <v>45</v>
      </c>
      <c r="D28" s="42" t="s">
        <v>46</v>
      </c>
      <c r="E28" s="107">
        <v>0.16</v>
      </c>
      <c r="F28" s="100">
        <f t="shared" ref="F28:F39" si="2">ROUND(G28/(1+E28)*E28,2)</f>
        <v>4107.59</v>
      </c>
      <c r="G28" s="97">
        <v>29780</v>
      </c>
      <c r="H28" s="121"/>
      <c r="I28" s="24"/>
      <c r="J28" s="50"/>
      <c r="K28" s="52" t="s">
        <v>42</v>
      </c>
      <c r="L28" s="53" t="s">
        <v>43</v>
      </c>
      <c r="M28" s="54"/>
      <c r="N28" s="54"/>
      <c r="O28" s="53"/>
    </row>
    <row r="29" s="13" customFormat="1" ht="18" customHeight="1" spans="1:15">
      <c r="A29" s="40">
        <v>43556</v>
      </c>
      <c r="B29" s="100">
        <f t="shared" si="1"/>
        <v>34120.69</v>
      </c>
      <c r="C29" s="41" t="s">
        <v>45</v>
      </c>
      <c r="D29" s="42" t="s">
        <v>46</v>
      </c>
      <c r="E29" s="107">
        <v>0.16</v>
      </c>
      <c r="F29" s="100">
        <f t="shared" si="2"/>
        <v>5459.31</v>
      </c>
      <c r="G29" s="97">
        <v>39580</v>
      </c>
      <c r="H29" s="121"/>
      <c r="I29" s="101"/>
      <c r="J29" s="54"/>
      <c r="K29" s="52" t="s">
        <v>41</v>
      </c>
      <c r="L29" s="53" t="s">
        <v>47</v>
      </c>
      <c r="M29" s="54"/>
      <c r="N29" s="54"/>
      <c r="O29" s="53"/>
    </row>
    <row r="30" s="13" customFormat="1" ht="18" customHeight="1" spans="1:15">
      <c r="A30" s="40">
        <v>43556</v>
      </c>
      <c r="B30" s="100">
        <f t="shared" si="1"/>
        <v>1420</v>
      </c>
      <c r="C30" s="41"/>
      <c r="D30" s="42"/>
      <c r="E30" s="43"/>
      <c r="F30" s="100">
        <f t="shared" si="2"/>
        <v>0</v>
      </c>
      <c r="G30" s="97">
        <v>1420</v>
      </c>
      <c r="H30" s="121"/>
      <c r="I30" s="101"/>
      <c r="J30" s="54"/>
      <c r="K30" s="52"/>
      <c r="L30" s="53" t="s">
        <v>48</v>
      </c>
      <c r="M30" s="54"/>
      <c r="N30" s="54"/>
      <c r="O30" s="53"/>
    </row>
    <row r="31" s="13" customFormat="1" ht="18" customHeight="1" spans="1:15">
      <c r="A31" s="40">
        <v>43556</v>
      </c>
      <c r="B31" s="100">
        <f t="shared" si="1"/>
        <v>5248.94</v>
      </c>
      <c r="C31" s="41"/>
      <c r="D31" s="42"/>
      <c r="E31" s="43"/>
      <c r="F31" s="100">
        <f t="shared" si="2"/>
        <v>0</v>
      </c>
      <c r="G31" s="97">
        <v>5248.94</v>
      </c>
      <c r="H31" s="121"/>
      <c r="I31" s="101"/>
      <c r="J31" s="54"/>
      <c r="K31" s="52"/>
      <c r="L31" s="53" t="s">
        <v>49</v>
      </c>
      <c r="M31" s="54"/>
      <c r="N31" s="54"/>
      <c r="O31" s="53"/>
    </row>
    <row r="32" s="13" customFormat="1" ht="18" customHeight="1" spans="1:15">
      <c r="A32" s="40">
        <v>43678</v>
      </c>
      <c r="B32" s="100">
        <f t="shared" si="1"/>
        <v>54233.01</v>
      </c>
      <c r="C32" s="41" t="s">
        <v>45</v>
      </c>
      <c r="D32" s="42" t="s">
        <v>46</v>
      </c>
      <c r="E32" s="107">
        <v>0.03</v>
      </c>
      <c r="F32" s="100">
        <f t="shared" si="2"/>
        <v>1626.99</v>
      </c>
      <c r="G32" s="97">
        <v>55860</v>
      </c>
      <c r="H32" s="7"/>
      <c r="I32" s="101"/>
      <c r="J32" s="54"/>
      <c r="K32" s="52" t="s">
        <v>40</v>
      </c>
      <c r="L32" s="53" t="s">
        <v>50</v>
      </c>
      <c r="M32" s="54"/>
      <c r="N32" s="54"/>
      <c r="O32" s="53"/>
    </row>
    <row r="33" s="13" customFormat="1" ht="18" customHeight="1" spans="1:15">
      <c r="A33" s="40">
        <v>43678</v>
      </c>
      <c r="B33" s="100">
        <f t="shared" si="1"/>
        <v>5934.9</v>
      </c>
      <c r="C33" s="41"/>
      <c r="D33" s="42"/>
      <c r="E33" s="43">
        <v>0.16</v>
      </c>
      <c r="F33" s="100">
        <f t="shared" si="2"/>
        <v>949.58</v>
      </c>
      <c r="G33" s="97">
        <v>6884.48</v>
      </c>
      <c r="H33" s="7"/>
      <c r="I33" s="101"/>
      <c r="J33" s="54"/>
      <c r="K33" s="52"/>
      <c r="L33" s="53" t="s">
        <v>51</v>
      </c>
      <c r="M33" s="54"/>
      <c r="N33" s="54"/>
      <c r="O33" s="53"/>
    </row>
    <row r="34" s="13" customFormat="1" ht="18" customHeight="1" spans="1:15">
      <c r="A34" s="40">
        <v>43678</v>
      </c>
      <c r="B34" s="100">
        <f t="shared" si="1"/>
        <v>80</v>
      </c>
      <c r="C34" s="41"/>
      <c r="D34" s="42"/>
      <c r="E34" s="43"/>
      <c r="F34" s="100">
        <f t="shared" si="2"/>
        <v>0</v>
      </c>
      <c r="G34" s="97">
        <v>80</v>
      </c>
      <c r="H34" s="7"/>
      <c r="I34" s="101"/>
      <c r="J34" s="54"/>
      <c r="K34" s="52"/>
      <c r="L34" s="53" t="s">
        <v>48</v>
      </c>
      <c r="M34" s="54"/>
      <c r="N34" s="54"/>
      <c r="O34" s="53"/>
    </row>
    <row r="35" s="13" customFormat="1" ht="18" customHeight="1" spans="1:15">
      <c r="A35" s="40">
        <v>43678</v>
      </c>
      <c r="B35" s="100">
        <f t="shared" si="1"/>
        <v>1086.21</v>
      </c>
      <c r="C35" s="41" t="s">
        <v>45</v>
      </c>
      <c r="D35" s="42" t="s">
        <v>46</v>
      </c>
      <c r="E35" s="107">
        <v>0.16</v>
      </c>
      <c r="F35" s="100">
        <f t="shared" si="2"/>
        <v>173.79</v>
      </c>
      <c r="G35" s="97">
        <v>1260</v>
      </c>
      <c r="H35" s="7"/>
      <c r="I35" s="101"/>
      <c r="J35" s="54"/>
      <c r="K35" s="52" t="s">
        <v>52</v>
      </c>
      <c r="L35" s="53" t="s">
        <v>53</v>
      </c>
      <c r="M35" s="54"/>
      <c r="N35" s="54"/>
      <c r="O35" s="53"/>
    </row>
    <row r="36" s="13" customFormat="1" ht="18" customHeight="1" spans="1:15">
      <c r="A36" s="40">
        <v>44166</v>
      </c>
      <c r="B36" s="100">
        <f t="shared" si="1"/>
        <v>80000</v>
      </c>
      <c r="C36" s="41" t="s">
        <v>45</v>
      </c>
      <c r="D36" s="42" t="s">
        <v>54</v>
      </c>
      <c r="E36" s="43"/>
      <c r="F36" s="100">
        <f t="shared" si="2"/>
        <v>0</v>
      </c>
      <c r="G36" s="97">
        <v>80000</v>
      </c>
      <c r="H36" s="7"/>
      <c r="I36" s="101"/>
      <c r="J36" s="54"/>
      <c r="K36" s="52" t="s">
        <v>55</v>
      </c>
      <c r="L36" s="53" t="s">
        <v>56</v>
      </c>
      <c r="M36" s="54" t="s">
        <v>57</v>
      </c>
      <c r="N36" s="54"/>
      <c r="O36" s="53"/>
    </row>
    <row r="37" s="13" customFormat="1" ht="18" customHeight="1" spans="1:15">
      <c r="A37" s="40">
        <v>44166</v>
      </c>
      <c r="B37" s="100">
        <f t="shared" si="1"/>
        <v>130000</v>
      </c>
      <c r="C37" s="41" t="s">
        <v>45</v>
      </c>
      <c r="D37" s="42" t="s">
        <v>54</v>
      </c>
      <c r="E37" s="43"/>
      <c r="F37" s="100">
        <f t="shared" si="2"/>
        <v>0</v>
      </c>
      <c r="G37" s="97">
        <v>130000</v>
      </c>
      <c r="H37" s="7"/>
      <c r="I37" s="101"/>
      <c r="J37" s="54"/>
      <c r="K37" s="52" t="s">
        <v>37</v>
      </c>
      <c r="L37" s="53" t="s">
        <v>58</v>
      </c>
      <c r="M37" s="54" t="s">
        <v>57</v>
      </c>
      <c r="N37" s="54"/>
      <c r="O37" s="53"/>
    </row>
    <row r="38" s="13" customFormat="1" ht="18" customHeight="1" spans="1:15">
      <c r="A38" s="40">
        <v>44166</v>
      </c>
      <c r="B38" s="100">
        <f t="shared" si="1"/>
        <v>6129</v>
      </c>
      <c r="C38" s="41"/>
      <c r="D38" s="42"/>
      <c r="E38" s="107"/>
      <c r="F38" s="100">
        <f t="shared" si="2"/>
        <v>0</v>
      </c>
      <c r="G38" s="97">
        <v>6129</v>
      </c>
      <c r="H38" s="7"/>
      <c r="I38" s="101"/>
      <c r="J38" s="54"/>
      <c r="K38" s="52" t="s">
        <v>59</v>
      </c>
      <c r="L38" s="53"/>
      <c r="M38" s="54"/>
      <c r="N38" s="54"/>
      <c r="O38" s="53"/>
    </row>
    <row r="39" s="13" customFormat="1" ht="18" customHeight="1" spans="1:15">
      <c r="A39" s="40">
        <v>44197</v>
      </c>
      <c r="B39" s="100">
        <f t="shared" si="1"/>
        <v>40000</v>
      </c>
      <c r="C39" s="41" t="s">
        <v>45</v>
      </c>
      <c r="D39" s="42" t="s">
        <v>54</v>
      </c>
      <c r="E39" s="43"/>
      <c r="F39" s="100">
        <f t="shared" si="2"/>
        <v>0</v>
      </c>
      <c r="G39" s="97">
        <v>40000</v>
      </c>
      <c r="H39" s="7"/>
      <c r="I39" s="101"/>
      <c r="J39" s="54"/>
      <c r="K39" s="52" t="s">
        <v>37</v>
      </c>
      <c r="L39" s="53" t="s">
        <v>60</v>
      </c>
      <c r="M39" s="54" t="s">
        <v>57</v>
      </c>
      <c r="N39" s="54"/>
      <c r="O39" s="53" t="s">
        <v>61</v>
      </c>
    </row>
    <row r="40" s="13" customFormat="1" ht="18" customHeight="1" spans="1:15">
      <c r="A40" s="40"/>
      <c r="B40" s="100"/>
      <c r="C40" s="41"/>
      <c r="D40" s="42"/>
      <c r="E40" s="43"/>
      <c r="F40" s="100"/>
      <c r="G40" s="97"/>
      <c r="H40" s="23">
        <v>44201</v>
      </c>
      <c r="I40" s="101">
        <v>170000</v>
      </c>
      <c r="J40" s="54"/>
      <c r="K40" s="52" t="s">
        <v>37</v>
      </c>
      <c r="L40" s="53" t="s">
        <v>60</v>
      </c>
      <c r="M40" s="54"/>
      <c r="N40" s="54"/>
      <c r="O40" s="53"/>
    </row>
    <row r="41" s="13" customFormat="1" ht="18" customHeight="1" spans="1:15">
      <c r="A41" s="40"/>
      <c r="B41" s="100"/>
      <c r="C41" s="41"/>
      <c r="D41" s="42"/>
      <c r="E41" s="43"/>
      <c r="F41" s="100"/>
      <c r="G41" s="97"/>
      <c r="H41" s="23">
        <v>44201</v>
      </c>
      <c r="I41" s="101">
        <v>80000</v>
      </c>
      <c r="J41" s="54"/>
      <c r="K41" s="52" t="s">
        <v>55</v>
      </c>
      <c r="L41" s="53" t="s">
        <v>56</v>
      </c>
      <c r="M41" s="54"/>
      <c r="N41" s="54"/>
      <c r="O41" s="53"/>
    </row>
    <row r="42" s="13" customFormat="1" ht="18" customHeight="1" spans="1:15">
      <c r="A42" s="40"/>
      <c r="B42" s="100"/>
      <c r="C42" s="41"/>
      <c r="D42" s="42"/>
      <c r="E42" s="43"/>
      <c r="F42" s="100"/>
      <c r="G42" s="97"/>
      <c r="H42" s="23">
        <v>44201</v>
      </c>
      <c r="I42" s="101">
        <v>106172.85</v>
      </c>
      <c r="J42" s="54"/>
      <c r="K42" s="52" t="s">
        <v>37</v>
      </c>
      <c r="L42" s="53" t="s">
        <v>62</v>
      </c>
      <c r="M42" s="54"/>
      <c r="N42" s="54"/>
      <c r="O42" s="53"/>
    </row>
    <row r="43" s="13" customFormat="1" ht="18" customHeight="1" spans="1:15">
      <c r="A43" s="40"/>
      <c r="B43" s="100">
        <f t="shared" ref="B43:B50" si="3">ROUND(G43/(1+E43),2)</f>
        <v>0</v>
      </c>
      <c r="C43" s="44"/>
      <c r="D43" s="10"/>
      <c r="E43" s="45"/>
      <c r="F43" s="100">
        <f t="shared" ref="F43:F50" si="4">ROUND(G43/(1+E43)*E43,2)</f>
        <v>0</v>
      </c>
      <c r="G43" s="108"/>
      <c r="H43" s="7"/>
      <c r="I43" s="101"/>
      <c r="J43" s="54"/>
      <c r="K43" s="52"/>
      <c r="L43" s="53"/>
      <c r="M43" s="54"/>
      <c r="N43" s="54"/>
      <c r="O43" s="53"/>
    </row>
    <row r="44" s="13" customFormat="1" ht="18" customHeight="1" spans="1:15">
      <c r="A44" s="40"/>
      <c r="B44" s="100">
        <f t="shared" si="3"/>
        <v>0</v>
      </c>
      <c r="C44" s="41"/>
      <c r="D44" s="42"/>
      <c r="E44" s="43"/>
      <c r="F44" s="100">
        <f t="shared" si="4"/>
        <v>0</v>
      </c>
      <c r="G44" s="97"/>
      <c r="H44" s="7"/>
      <c r="I44" s="101"/>
      <c r="J44" s="54"/>
      <c r="K44" s="52"/>
      <c r="L44" s="53"/>
      <c r="M44" s="54"/>
      <c r="N44" s="54"/>
      <c r="O44" s="53"/>
    </row>
    <row r="45" s="13" customFormat="1" ht="18" customHeight="1" spans="1:15">
      <c r="A45" s="40"/>
      <c r="B45" s="100">
        <f t="shared" si="3"/>
        <v>0</v>
      </c>
      <c r="C45" s="41"/>
      <c r="D45" s="42"/>
      <c r="E45" s="43"/>
      <c r="F45" s="100">
        <f t="shared" si="4"/>
        <v>0</v>
      </c>
      <c r="G45" s="97"/>
      <c r="H45" s="7"/>
      <c r="I45" s="101"/>
      <c r="J45" s="54"/>
      <c r="K45" s="52"/>
      <c r="L45" s="53"/>
      <c r="M45" s="54"/>
      <c r="N45" s="54"/>
      <c r="O45" s="53"/>
    </row>
    <row r="46" s="13" customFormat="1" ht="18" customHeight="1" spans="1:15">
      <c r="A46" s="40"/>
      <c r="B46" s="100">
        <f t="shared" si="3"/>
        <v>0</v>
      </c>
      <c r="C46" s="41"/>
      <c r="D46" s="42"/>
      <c r="E46" s="43"/>
      <c r="F46" s="100">
        <f t="shared" si="4"/>
        <v>0</v>
      </c>
      <c r="G46" s="97"/>
      <c r="H46" s="7" t="s">
        <v>63</v>
      </c>
      <c r="I46" s="101">
        <v>250</v>
      </c>
      <c r="J46" s="54" t="s">
        <v>64</v>
      </c>
      <c r="K46" s="52" t="s">
        <v>65</v>
      </c>
      <c r="L46" s="53"/>
      <c r="M46" s="54"/>
      <c r="N46" s="54"/>
      <c r="O46" s="53"/>
    </row>
    <row r="47" s="13" customFormat="1" ht="18" customHeight="1" spans="1:15">
      <c r="A47" s="40"/>
      <c r="B47" s="100">
        <f t="shared" si="3"/>
        <v>0</v>
      </c>
      <c r="C47" s="41"/>
      <c r="D47" s="42"/>
      <c r="E47" s="43"/>
      <c r="F47" s="100">
        <f t="shared" si="4"/>
        <v>0</v>
      </c>
      <c r="G47" s="97"/>
      <c r="H47" s="7" t="s">
        <v>63</v>
      </c>
      <c r="I47" s="101">
        <v>2633.33</v>
      </c>
      <c r="J47" s="54" t="s">
        <v>64</v>
      </c>
      <c r="K47" s="52" t="s">
        <v>66</v>
      </c>
      <c r="L47" s="53"/>
      <c r="M47" s="54"/>
      <c r="N47" s="54"/>
      <c r="O47" s="53"/>
    </row>
    <row r="48" s="13" customFormat="1" ht="18" customHeight="1" spans="1:15">
      <c r="A48" s="40"/>
      <c r="B48" s="100">
        <f t="shared" si="3"/>
        <v>0</v>
      </c>
      <c r="C48" s="41"/>
      <c r="D48" s="42"/>
      <c r="E48" s="43"/>
      <c r="F48" s="100">
        <f t="shared" si="4"/>
        <v>0</v>
      </c>
      <c r="G48" s="97"/>
      <c r="H48" s="7" t="s">
        <v>63</v>
      </c>
      <c r="I48" s="101">
        <v>9019.34</v>
      </c>
      <c r="J48" s="54" t="s">
        <v>64</v>
      </c>
      <c r="K48" s="52" t="s">
        <v>67</v>
      </c>
      <c r="L48" s="53"/>
      <c r="M48" s="54"/>
      <c r="N48" s="54"/>
      <c r="O48" s="53"/>
    </row>
    <row r="49" s="13" customFormat="1" ht="18" customHeight="1" spans="1:15">
      <c r="A49" s="40"/>
      <c r="B49" s="100">
        <f t="shared" si="3"/>
        <v>0</v>
      </c>
      <c r="C49" s="41"/>
      <c r="D49" s="42"/>
      <c r="E49" s="43"/>
      <c r="F49" s="100">
        <f t="shared" si="4"/>
        <v>0</v>
      </c>
      <c r="G49" s="97"/>
      <c r="H49" s="7" t="s">
        <v>63</v>
      </c>
      <c r="I49" s="101">
        <v>18145.62</v>
      </c>
      <c r="J49" s="54" t="s">
        <v>64</v>
      </c>
      <c r="K49" s="52" t="s">
        <v>68</v>
      </c>
      <c r="L49" s="53"/>
      <c r="M49" s="54"/>
      <c r="N49" s="54"/>
      <c r="O49" s="53"/>
    </row>
    <row r="50" s="13" customFormat="1" ht="18" customHeight="1" spans="1:15">
      <c r="A50" s="40"/>
      <c r="B50" s="100">
        <f t="shared" si="3"/>
        <v>8777.75</v>
      </c>
      <c r="C50" s="41"/>
      <c r="D50" s="42"/>
      <c r="E50" s="43"/>
      <c r="F50" s="100">
        <f t="shared" si="4"/>
        <v>0</v>
      </c>
      <c r="G50" s="97">
        <v>8777.75</v>
      </c>
      <c r="H50" s="7" t="s">
        <v>63</v>
      </c>
      <c r="I50" s="101">
        <v>8777.75</v>
      </c>
      <c r="J50" s="54" t="s">
        <v>64</v>
      </c>
      <c r="K50" s="52" t="s">
        <v>69</v>
      </c>
      <c r="L50" s="53"/>
      <c r="M50" s="54"/>
      <c r="N50" s="54"/>
      <c r="O50" s="53"/>
    </row>
    <row r="51" ht="18" customHeight="1" spans="1:15">
      <c r="A51" s="35" t="s">
        <v>22</v>
      </c>
      <c r="B51" s="99">
        <f>SUM(B28:B50)</f>
        <v>392702.91</v>
      </c>
      <c r="C51" s="35"/>
      <c r="D51" s="71"/>
      <c r="E51" s="71"/>
      <c r="F51" s="93">
        <f>SUM(F28:F50)</f>
        <v>12317.26</v>
      </c>
      <c r="G51" s="111">
        <f>SUM(G28:G50)</f>
        <v>405020.17</v>
      </c>
      <c r="H51" s="73"/>
      <c r="I51" s="35">
        <f>SUM(I28:I50)</f>
        <v>394998.89</v>
      </c>
      <c r="J51" s="89"/>
      <c r="K51" s="71"/>
      <c r="L51" s="38"/>
      <c r="M51" s="50"/>
      <c r="N51" s="50"/>
      <c r="O51" s="38"/>
    </row>
    <row r="52" ht="18" customHeight="1" spans="1:14">
      <c r="A52" s="74" t="s">
        <v>70</v>
      </c>
      <c r="B52" s="74">
        <f>B11*0.976</f>
        <v>392985.638899083</v>
      </c>
      <c r="C52" s="74"/>
      <c r="D52" s="76"/>
      <c r="E52" s="76"/>
      <c r="F52" s="74"/>
      <c r="G52" s="74">
        <f>G11-G51</f>
        <v>33867.48</v>
      </c>
      <c r="H52" s="1" t="s">
        <v>71</v>
      </c>
      <c r="I52" s="35">
        <f>I11-I51</f>
        <v>0</v>
      </c>
      <c r="J52" s="19"/>
      <c r="K52" s="90"/>
      <c r="M52" s="91"/>
      <c r="N52" s="91"/>
    </row>
    <row r="53" ht="18" customHeight="1" spans="1:15">
      <c r="A53" s="74" t="s">
        <v>72</v>
      </c>
      <c r="B53" s="74">
        <f>B52-B51</f>
        <v>282.728899082518</v>
      </c>
      <c r="C53" s="74"/>
      <c r="D53" s="76"/>
      <c r="E53" s="76"/>
      <c r="F53" s="75"/>
      <c r="G53" s="75"/>
      <c r="H53" s="77"/>
      <c r="I53" s="75"/>
      <c r="J53" s="19"/>
      <c r="K53" s="90"/>
      <c r="L53" s="74"/>
      <c r="M53" s="90"/>
      <c r="N53" s="90"/>
      <c r="O53" s="90"/>
    </row>
    <row r="54" ht="18" customHeight="1" spans="1:15">
      <c r="A54" s="15" t="s">
        <v>73</v>
      </c>
      <c r="C54" s="15"/>
      <c r="M54" s="90"/>
      <c r="N54" s="90"/>
      <c r="O54" s="90"/>
    </row>
    <row r="55" ht="18" customHeight="1" spans="1:15">
      <c r="A55" s="1" t="s">
        <v>74</v>
      </c>
      <c r="B55" s="3" t="s">
        <v>75</v>
      </c>
      <c r="C55" s="38"/>
      <c r="D55" s="1" t="s">
        <v>74</v>
      </c>
      <c r="E55" s="2" t="s">
        <v>16</v>
      </c>
      <c r="F55" s="3" t="s">
        <v>75</v>
      </c>
      <c r="G55" s="122" t="s">
        <v>76</v>
      </c>
      <c r="H55" s="123"/>
      <c r="I55" s="123"/>
      <c r="J55" s="128"/>
      <c r="K55" s="123"/>
      <c r="L55" s="16"/>
      <c r="M55" s="90"/>
      <c r="N55" s="90"/>
      <c r="O55" s="90"/>
    </row>
    <row r="56" ht="18" customHeight="1" spans="1:15">
      <c r="A56" s="38" t="s">
        <v>77</v>
      </c>
      <c r="B56" s="28">
        <f>(B52-B51)*0.25</f>
        <v>70.6822247706295</v>
      </c>
      <c r="C56" s="38"/>
      <c r="D56" s="78" t="s">
        <v>78</v>
      </c>
      <c r="E56" s="5" t="s">
        <v>79</v>
      </c>
      <c r="F56" s="93">
        <f>F11-F51</f>
        <v>15868.185412844</v>
      </c>
      <c r="G56" s="93">
        <f>D7</f>
        <v>8052.98440366972</v>
      </c>
      <c r="H56" s="124"/>
      <c r="I56" s="124"/>
      <c r="J56" s="120"/>
      <c r="K56" s="124"/>
      <c r="M56" s="90"/>
      <c r="N56" s="90"/>
      <c r="O56" s="90"/>
    </row>
    <row r="57" ht="18" customHeight="1" spans="1:15">
      <c r="A57" s="38" t="s">
        <v>80</v>
      </c>
      <c r="B57" s="79"/>
      <c r="C57" s="38"/>
      <c r="D57" s="80" t="s">
        <v>81</v>
      </c>
      <c r="E57" s="8">
        <v>0.07</v>
      </c>
      <c r="F57" s="24">
        <f>F56*E57</f>
        <v>1110.77297889908</v>
      </c>
      <c r="G57" s="125">
        <f>G56*E57</f>
        <v>563.708908256881</v>
      </c>
      <c r="H57" s="120"/>
      <c r="I57" s="120"/>
      <c r="J57" s="120"/>
      <c r="K57" s="120"/>
      <c r="O57" s="16"/>
    </row>
    <row r="58" ht="18" customHeight="1" spans="1:11">
      <c r="A58" s="38" t="s">
        <v>82</v>
      </c>
      <c r="B58" s="79"/>
      <c r="C58" s="38"/>
      <c r="D58" s="80" t="s">
        <v>83</v>
      </c>
      <c r="E58" s="8">
        <v>0.03</v>
      </c>
      <c r="F58" s="24">
        <f>F56*E58</f>
        <v>476.045562385321</v>
      </c>
      <c r="G58" s="125">
        <f>G56*E58</f>
        <v>241.589532110092</v>
      </c>
      <c r="H58" s="120"/>
      <c r="I58" s="120"/>
      <c r="J58" s="120"/>
      <c r="K58" s="120"/>
    </row>
    <row r="59" ht="18" customHeight="1" spans="1:15">
      <c r="A59" s="38"/>
      <c r="B59" s="25"/>
      <c r="C59" s="38"/>
      <c r="D59" s="80" t="s">
        <v>84</v>
      </c>
      <c r="E59" s="8">
        <v>0.02</v>
      </c>
      <c r="F59" s="24">
        <f>F56*E59</f>
        <v>317.363708256881</v>
      </c>
      <c r="G59" s="125">
        <f>G56*E59</f>
        <v>161.059688073395</v>
      </c>
      <c r="H59" s="120"/>
      <c r="I59" s="120"/>
      <c r="J59" s="120"/>
      <c r="K59" s="120"/>
      <c r="O59" s="16"/>
    </row>
    <row r="60" ht="18" customHeight="1" spans="1:11">
      <c r="A60" s="33" t="s">
        <v>85</v>
      </c>
      <c r="B60" s="34">
        <f>SUM(B56:B59)</f>
        <v>70.6822247706295</v>
      </c>
      <c r="C60" s="38"/>
      <c r="D60" s="4" t="s">
        <v>85</v>
      </c>
      <c r="E60" s="78"/>
      <c r="F60" s="93">
        <f>SUM(F56:F59)</f>
        <v>17772.3676623853</v>
      </c>
      <c r="G60" s="93">
        <f>SUM(G56:G59)</f>
        <v>9019.34253211009</v>
      </c>
      <c r="H60" s="124"/>
      <c r="I60" s="124"/>
      <c r="J60" s="120"/>
      <c r="K60" s="124"/>
    </row>
    <row r="61" ht="18" customHeight="1" spans="3:11">
      <c r="C61" s="15"/>
      <c r="D61" s="24" t="s">
        <v>80</v>
      </c>
      <c r="E61" s="26">
        <v>0.0003</v>
      </c>
      <c r="F61" s="24">
        <f>G11*0.0003</f>
        <v>131.666295</v>
      </c>
      <c r="G61" s="120"/>
      <c r="H61" s="120"/>
      <c r="I61" s="120"/>
      <c r="J61" s="120"/>
      <c r="K61" s="120"/>
    </row>
    <row r="62" ht="18" customHeight="1" spans="3:11">
      <c r="C62" s="15"/>
      <c r="D62" s="24" t="s">
        <v>82</v>
      </c>
      <c r="E62" s="26">
        <v>0.0006</v>
      </c>
      <c r="F62" s="24">
        <f>B11*0.0006</f>
        <v>241.589532110092</v>
      </c>
      <c r="G62" s="120"/>
      <c r="H62" s="120"/>
      <c r="I62" s="120"/>
      <c r="J62" s="120"/>
      <c r="K62" s="120"/>
    </row>
    <row r="63" ht="18" customHeight="1" spans="3:11">
      <c r="C63" s="15"/>
      <c r="D63" s="115" t="s">
        <v>85</v>
      </c>
      <c r="E63" s="116"/>
      <c r="F63" s="117">
        <f>F62+F61</f>
        <v>373.255827110092</v>
      </c>
      <c r="G63" s="124"/>
      <c r="H63" s="124"/>
      <c r="I63" s="124"/>
      <c r="J63" s="120"/>
      <c r="K63" s="124"/>
    </row>
    <row r="64" ht="18" customHeight="1" spans="3:11">
      <c r="C64" s="15"/>
      <c r="D64" s="11" t="s">
        <v>22</v>
      </c>
      <c r="E64" s="93"/>
      <c r="F64" s="93">
        <f t="shared" ref="F64" si="5">F60+F63</f>
        <v>18145.6234894954</v>
      </c>
      <c r="G64" s="124"/>
      <c r="H64" s="124"/>
      <c r="I64" s="124"/>
      <c r="J64" s="120"/>
      <c r="K64" s="124"/>
    </row>
    <row r="65" ht="18" customHeight="1" spans="3:11">
      <c r="C65" s="15"/>
      <c r="D65" s="117" t="s">
        <v>77</v>
      </c>
      <c r="E65" s="116">
        <v>0.006</v>
      </c>
      <c r="F65" s="117">
        <f>D3*E65</f>
        <v>2633.3259</v>
      </c>
      <c r="G65" s="124"/>
      <c r="H65" s="124"/>
      <c r="I65" s="124"/>
      <c r="J65" s="120"/>
      <c r="K65" s="124"/>
    </row>
    <row r="66" ht="18" customHeight="1" spans="3:12">
      <c r="C66" s="15"/>
      <c r="K66" s="74"/>
      <c r="L66" s="16"/>
    </row>
    <row r="67" ht="18" customHeight="1" spans="3:3">
      <c r="C67" s="15"/>
    </row>
    <row r="68" spans="3:3">
      <c r="C68" s="15"/>
    </row>
    <row r="69" spans="3:3">
      <c r="C69" s="15"/>
    </row>
    <row r="70" spans="3:11">
      <c r="C70" s="15"/>
      <c r="K70" s="16"/>
    </row>
    <row r="71" spans="3:3">
      <c r="C71" s="15"/>
    </row>
    <row r="72" spans="3:3">
      <c r="C72" s="15"/>
    </row>
    <row r="73" spans="3:3">
      <c r="C73" s="15"/>
    </row>
    <row r="74" spans="3:3">
      <c r="C74" s="15"/>
    </row>
    <row r="75" spans="3:3">
      <c r="C75" s="15"/>
    </row>
    <row r="76" spans="3:3">
      <c r="C76" s="15"/>
    </row>
    <row r="77" spans="3:3">
      <c r="C77" s="15"/>
    </row>
    <row r="78" spans="3:3">
      <c r="C78" s="15"/>
    </row>
    <row r="79" spans="3:3">
      <c r="C79" s="15"/>
    </row>
    <row r="80" spans="3:3">
      <c r="C80" s="15"/>
    </row>
    <row r="81" spans="3:3">
      <c r="C81" s="15"/>
    </row>
    <row r="82" spans="3:3">
      <c r="C82" s="15"/>
    </row>
    <row r="83" spans="3:3">
      <c r="C83" s="15"/>
    </row>
    <row r="280" spans="9:9">
      <c r="I280" s="16">
        <v>6.22841363041483e+18</v>
      </c>
    </row>
  </sheetData>
  <autoFilter ref="A13:O67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20"/>
  <sheetViews>
    <sheetView tabSelected="1" topLeftCell="A180" workbookViewId="0">
      <selection activeCell="I194" sqref="I194"/>
    </sheetView>
  </sheetViews>
  <sheetFormatPr defaultColWidth="9" defaultRowHeight="11.25"/>
  <cols>
    <col min="1" max="1" width="10.775" style="15" customWidth="1"/>
    <col min="2" max="2" width="13.1083333333333" style="16" customWidth="1"/>
    <col min="3" max="3" width="6" style="17" customWidth="1"/>
    <col min="4" max="4" width="13.3333333333333" style="17" customWidth="1"/>
    <col min="5" max="5" width="8" style="17" customWidth="1"/>
    <col min="6" max="6" width="13.775" style="16" customWidth="1"/>
    <col min="7" max="7" width="14.1083333333333" style="16" customWidth="1"/>
    <col min="8" max="8" width="15" style="17" customWidth="1"/>
    <col min="9" max="9" width="13.8833333333333" style="16" customWidth="1"/>
    <col min="10" max="10" width="6.10833333333333" style="18" customWidth="1"/>
    <col min="11" max="11" width="37" style="19" customWidth="1"/>
    <col min="12" max="12" width="12.775" style="19" customWidth="1"/>
    <col min="13" max="13" width="6" style="19" customWidth="1"/>
    <col min="14" max="14" width="5.66666666666667" style="19" customWidth="1"/>
    <col min="15" max="15" width="9.775" style="19" customWidth="1"/>
    <col min="16" max="16384" width="9" style="19"/>
  </cols>
  <sheetData>
    <row r="1" ht="21.9" customHeight="1" spans="1:12">
      <c r="A1" s="20" t="s">
        <v>86</v>
      </c>
      <c r="B1" s="21"/>
      <c r="C1" s="21"/>
      <c r="D1" s="21"/>
      <c r="E1" s="21"/>
      <c r="F1" s="21"/>
      <c r="G1" s="21"/>
      <c r="H1" s="21"/>
      <c r="I1" s="21"/>
      <c r="J1" s="21"/>
      <c r="K1" s="29"/>
      <c r="L1" s="29"/>
    </row>
    <row r="2" ht="18" customHeight="1" spans="1:12">
      <c r="A2" s="22" t="s">
        <v>1</v>
      </c>
      <c r="B2" s="23">
        <v>43160</v>
      </c>
      <c r="C2" s="24" t="s">
        <v>3</v>
      </c>
      <c r="D2" s="24">
        <v>2686002.38</v>
      </c>
      <c r="E2" s="8" t="s">
        <v>4</v>
      </c>
      <c r="F2" s="26"/>
      <c r="G2" s="9" t="s">
        <v>5</v>
      </c>
      <c r="H2" s="27" t="s">
        <v>87</v>
      </c>
      <c r="I2" s="47"/>
      <c r="J2" s="48"/>
      <c r="K2" s="29"/>
      <c r="L2" s="29"/>
    </row>
    <row r="3" ht="18" customHeight="1" spans="1:12">
      <c r="A3" s="22" t="s">
        <v>7</v>
      </c>
      <c r="B3" s="28"/>
      <c r="C3" s="24" t="s">
        <v>8</v>
      </c>
      <c r="D3" s="24">
        <v>2833913.81</v>
      </c>
      <c r="H3" s="29"/>
      <c r="I3" s="49"/>
      <c r="J3" s="29"/>
      <c r="K3" s="29"/>
      <c r="L3" s="29"/>
    </row>
    <row r="4" ht="18" customHeight="1" spans="1:12">
      <c r="A4" s="15" t="s">
        <v>9</v>
      </c>
      <c r="H4" s="29"/>
      <c r="I4" s="49"/>
      <c r="J4" s="29"/>
      <c r="K4" s="29"/>
      <c r="L4" s="29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7">
        <v>43368</v>
      </c>
      <c r="B7" s="24">
        <f t="shared" ref="B7:B14" si="0">G7/(1+C7+E7)</f>
        <v>211312.736363636</v>
      </c>
      <c r="C7" s="30"/>
      <c r="D7" s="31">
        <f t="shared" ref="D7:D14" si="1">G7/(1+E7+C7)*C7</f>
        <v>0</v>
      </c>
      <c r="E7" s="30">
        <v>0.1</v>
      </c>
      <c r="F7" s="24">
        <f t="shared" ref="F7:F14" si="2">G7/(1+C7+E7)*E7</f>
        <v>21131.2736363636</v>
      </c>
      <c r="G7" s="97">
        <v>232444.01</v>
      </c>
      <c r="H7" s="23">
        <v>43371</v>
      </c>
      <c r="I7" s="100">
        <v>610508.58</v>
      </c>
      <c r="J7" s="50" t="s">
        <v>39</v>
      </c>
    </row>
    <row r="8" ht="18" customHeight="1" spans="1:10">
      <c r="A8" s="7">
        <v>43368</v>
      </c>
      <c r="B8" s="24">
        <f t="shared" si="0"/>
        <v>616675.327272727</v>
      </c>
      <c r="C8" s="30"/>
      <c r="D8" s="31">
        <f t="shared" si="1"/>
        <v>0</v>
      </c>
      <c r="E8" s="30">
        <v>0.1</v>
      </c>
      <c r="F8" s="24">
        <f t="shared" si="2"/>
        <v>61667.5327272727</v>
      </c>
      <c r="G8" s="97">
        <v>678342.86</v>
      </c>
      <c r="H8" s="23">
        <v>43371</v>
      </c>
      <c r="I8" s="100">
        <v>209199.61</v>
      </c>
      <c r="J8" s="50" t="s">
        <v>39</v>
      </c>
    </row>
    <row r="9" ht="18" customHeight="1" spans="1:10">
      <c r="A9" s="7">
        <v>43441</v>
      </c>
      <c r="B9" s="24">
        <f t="shared" si="0"/>
        <v>1518839.73636364</v>
      </c>
      <c r="C9" s="30"/>
      <c r="D9" s="31">
        <f t="shared" si="1"/>
        <v>0</v>
      </c>
      <c r="E9" s="30">
        <v>0.1</v>
      </c>
      <c r="F9" s="24">
        <f t="shared" si="2"/>
        <v>151883.973636364</v>
      </c>
      <c r="G9" s="97">
        <f>1361440.6+309283.11</f>
        <v>1670723.71</v>
      </c>
      <c r="H9" s="23">
        <v>43444</v>
      </c>
      <c r="I9" s="100">
        <v>1225296.54</v>
      </c>
      <c r="J9" s="50" t="s">
        <v>39</v>
      </c>
    </row>
    <row r="10" ht="18" customHeight="1" spans="1:10">
      <c r="A10" s="7">
        <v>43559</v>
      </c>
      <c r="B10" s="24">
        <f t="shared" si="0"/>
        <v>231562.596330275</v>
      </c>
      <c r="C10" s="30"/>
      <c r="D10" s="31">
        <f t="shared" si="1"/>
        <v>0</v>
      </c>
      <c r="E10" s="30">
        <v>0.09</v>
      </c>
      <c r="F10" s="24">
        <f t="shared" si="2"/>
        <v>20840.6336697248</v>
      </c>
      <c r="G10" s="97">
        <v>252403.23</v>
      </c>
      <c r="H10" s="23">
        <v>43445</v>
      </c>
      <c r="I10" s="100">
        <v>278354.79</v>
      </c>
      <c r="J10" s="50" t="s">
        <v>39</v>
      </c>
    </row>
    <row r="11" ht="18" customHeight="1" spans="1:10">
      <c r="A11" s="7"/>
      <c r="B11" s="24">
        <f t="shared" si="0"/>
        <v>0</v>
      </c>
      <c r="C11" s="98">
        <v>0.02</v>
      </c>
      <c r="D11" s="31">
        <f t="shared" si="1"/>
        <v>0</v>
      </c>
      <c r="E11" s="98">
        <v>0.07</v>
      </c>
      <c r="F11" s="24">
        <f t="shared" si="2"/>
        <v>0</v>
      </c>
      <c r="G11" s="97"/>
      <c r="H11" s="23">
        <v>43563</v>
      </c>
      <c r="I11" s="100">
        <v>227162.91</v>
      </c>
      <c r="J11" s="50" t="s">
        <v>39</v>
      </c>
    </row>
    <row r="12" ht="18" customHeight="1" spans="1:10">
      <c r="A12" s="7"/>
      <c r="B12" s="24">
        <f t="shared" si="0"/>
        <v>0</v>
      </c>
      <c r="C12" s="30"/>
      <c r="D12" s="31">
        <f t="shared" si="1"/>
        <v>0</v>
      </c>
      <c r="E12" s="30"/>
      <c r="F12" s="24">
        <f t="shared" si="2"/>
        <v>0</v>
      </c>
      <c r="G12" s="97"/>
      <c r="H12" s="23">
        <v>43690</v>
      </c>
      <c r="I12" s="100">
        <v>101989.17</v>
      </c>
      <c r="J12" s="50" t="s">
        <v>39</v>
      </c>
    </row>
    <row r="13" ht="18" customHeight="1" spans="1:10">
      <c r="A13" s="7"/>
      <c r="B13" s="24">
        <f t="shared" si="0"/>
        <v>0</v>
      </c>
      <c r="C13" s="30"/>
      <c r="D13" s="31">
        <f t="shared" si="1"/>
        <v>0</v>
      </c>
      <c r="E13" s="30"/>
      <c r="F13" s="24">
        <f t="shared" si="2"/>
        <v>0</v>
      </c>
      <c r="G13" s="97"/>
      <c r="H13" s="23">
        <v>43691</v>
      </c>
      <c r="I13" s="100">
        <v>27086.36</v>
      </c>
      <c r="J13" s="50" t="s">
        <v>39</v>
      </c>
    </row>
    <row r="14" ht="18" customHeight="1" spans="1:10">
      <c r="A14" s="7"/>
      <c r="B14" s="24">
        <f t="shared" si="0"/>
        <v>0</v>
      </c>
      <c r="C14" s="30"/>
      <c r="D14" s="31">
        <f t="shared" si="1"/>
        <v>0</v>
      </c>
      <c r="E14" s="30"/>
      <c r="F14" s="24">
        <f t="shared" si="2"/>
        <v>0</v>
      </c>
      <c r="G14" s="97"/>
      <c r="H14" s="23">
        <v>44060</v>
      </c>
      <c r="I14" s="100">
        <v>12620.16</v>
      </c>
      <c r="J14" s="50" t="s">
        <v>21</v>
      </c>
    </row>
    <row r="15" ht="18" customHeight="1" spans="1:10">
      <c r="A15" s="33" t="s">
        <v>22</v>
      </c>
      <c r="B15" s="99">
        <f t="shared" ref="B15:F15" si="3">SUM(B7:B10)</f>
        <v>2578390.39633028</v>
      </c>
      <c r="C15" s="35"/>
      <c r="D15" s="36">
        <f t="shared" si="3"/>
        <v>0</v>
      </c>
      <c r="E15" s="35"/>
      <c r="F15" s="93">
        <f t="shared" si="3"/>
        <v>255523.413669725</v>
      </c>
      <c r="G15" s="35">
        <f>SUM(G7:G14)</f>
        <v>2833913.81</v>
      </c>
      <c r="H15" s="38"/>
      <c r="I15" s="35">
        <f>SUM(I7:I14)</f>
        <v>2692218.12</v>
      </c>
      <c r="J15" s="38"/>
    </row>
    <row r="16" ht="18" customHeight="1" spans="1:12">
      <c r="A16" s="15" t="s">
        <v>23</v>
      </c>
      <c r="I16" s="16">
        <f>D3-I15</f>
        <v>141695.69</v>
      </c>
      <c r="J16" s="17"/>
      <c r="K16" s="17"/>
      <c r="L16" s="18"/>
    </row>
    <row r="17" ht="18" customHeight="1" spans="1:15">
      <c r="A17" s="39" t="s">
        <v>24</v>
      </c>
      <c r="B17" s="3" t="s">
        <v>25</v>
      </c>
      <c r="C17" s="2" t="s">
        <v>26</v>
      </c>
      <c r="D17" s="2" t="s">
        <v>27</v>
      </c>
      <c r="E17" s="2" t="s">
        <v>16</v>
      </c>
      <c r="F17" s="3" t="s">
        <v>28</v>
      </c>
      <c r="G17" s="3" t="s">
        <v>14</v>
      </c>
      <c r="H17" s="2" t="s">
        <v>29</v>
      </c>
      <c r="I17" s="3" t="s">
        <v>30</v>
      </c>
      <c r="J17" s="2" t="s">
        <v>20</v>
      </c>
      <c r="K17" s="51" t="s">
        <v>31</v>
      </c>
      <c r="L17" s="1" t="s">
        <v>32</v>
      </c>
      <c r="M17" s="1" t="s">
        <v>33</v>
      </c>
      <c r="N17" s="1" t="s">
        <v>34</v>
      </c>
      <c r="O17" s="1" t="s">
        <v>35</v>
      </c>
    </row>
    <row r="18" s="13" customFormat="1" ht="18" customHeight="1" spans="1:15">
      <c r="A18" s="40">
        <v>43238</v>
      </c>
      <c r="B18" s="100">
        <f t="shared" ref="B18:B55" si="4">ROUND(G18/(1+E18),2)</f>
        <v>1000</v>
      </c>
      <c r="C18" s="41"/>
      <c r="D18" s="42" t="s">
        <v>88</v>
      </c>
      <c r="E18" s="43"/>
      <c r="F18" s="100">
        <f t="shared" ref="F18:F81" si="5">ROUND(G18/(1+E18)*E18,2)</f>
        <v>0</v>
      </c>
      <c r="G18" s="97">
        <v>1000</v>
      </c>
      <c r="H18" s="23"/>
      <c r="I18" s="100"/>
      <c r="J18" s="54"/>
      <c r="K18" s="53" t="s">
        <v>89</v>
      </c>
      <c r="L18" s="53" t="s">
        <v>89</v>
      </c>
      <c r="M18" s="54"/>
      <c r="N18" s="54"/>
      <c r="O18" s="53"/>
    </row>
    <row r="19" s="13" customFormat="1" ht="18" customHeight="1" spans="1:15">
      <c r="A19" s="40"/>
      <c r="B19" s="100">
        <f t="shared" si="4"/>
        <v>0</v>
      </c>
      <c r="C19" s="41"/>
      <c r="D19" s="42"/>
      <c r="E19" s="43"/>
      <c r="F19" s="100">
        <f t="shared" si="5"/>
        <v>0</v>
      </c>
      <c r="G19" s="97"/>
      <c r="H19" s="23">
        <v>43237</v>
      </c>
      <c r="I19" s="101">
        <v>40300</v>
      </c>
      <c r="J19" s="54" t="s">
        <v>39</v>
      </c>
      <c r="K19" s="52" t="s">
        <v>90</v>
      </c>
      <c r="L19" s="53"/>
      <c r="M19" s="54"/>
      <c r="N19" s="54"/>
      <c r="O19" s="53"/>
    </row>
    <row r="20" s="13" customFormat="1" ht="18" customHeight="1" spans="1:15">
      <c r="A20" s="40"/>
      <c r="B20" s="100">
        <f t="shared" si="4"/>
        <v>0</v>
      </c>
      <c r="C20" s="41"/>
      <c r="D20" s="42"/>
      <c r="E20" s="43"/>
      <c r="F20" s="100">
        <f t="shared" si="5"/>
        <v>0</v>
      </c>
      <c r="G20" s="97"/>
      <c r="H20" s="23">
        <v>43237</v>
      </c>
      <c r="I20" s="101">
        <v>-40300</v>
      </c>
      <c r="J20" s="54" t="s">
        <v>36</v>
      </c>
      <c r="K20" s="52" t="s">
        <v>37</v>
      </c>
      <c r="L20" s="53"/>
      <c r="M20" s="54"/>
      <c r="N20" s="54"/>
      <c r="O20" s="53"/>
    </row>
    <row r="21" s="13" customFormat="1" ht="18" customHeight="1" spans="1:15">
      <c r="A21" s="40"/>
      <c r="B21" s="100">
        <f t="shared" si="4"/>
        <v>0</v>
      </c>
      <c r="C21" s="41"/>
      <c r="D21" s="42"/>
      <c r="E21" s="43"/>
      <c r="F21" s="100">
        <f t="shared" si="5"/>
        <v>0</v>
      </c>
      <c r="G21" s="97"/>
      <c r="H21" s="23">
        <v>43241</v>
      </c>
      <c r="I21" s="101">
        <v>40000</v>
      </c>
      <c r="J21" s="54" t="s">
        <v>39</v>
      </c>
      <c r="K21" s="52" t="s">
        <v>91</v>
      </c>
      <c r="L21" s="53"/>
      <c r="M21" s="54"/>
      <c r="N21" s="54"/>
      <c r="O21" s="53"/>
    </row>
    <row r="22" s="13" customFormat="1" ht="18" customHeight="1" spans="1:15">
      <c r="A22" s="40"/>
      <c r="B22" s="100">
        <f t="shared" si="4"/>
        <v>0</v>
      </c>
      <c r="C22" s="41"/>
      <c r="D22" s="42"/>
      <c r="E22" s="43"/>
      <c r="F22" s="100">
        <f t="shared" si="5"/>
        <v>0</v>
      </c>
      <c r="G22" s="97"/>
      <c r="H22" s="23">
        <v>43239</v>
      </c>
      <c r="I22" s="101">
        <v>-40000</v>
      </c>
      <c r="J22" s="54" t="s">
        <v>36</v>
      </c>
      <c r="K22" s="52" t="s">
        <v>37</v>
      </c>
      <c r="L22" s="53"/>
      <c r="M22" s="54"/>
      <c r="N22" s="54"/>
      <c r="O22" s="53"/>
    </row>
    <row r="23" s="13" customFormat="1" ht="18" customHeight="1" spans="1:15">
      <c r="A23" s="40">
        <v>43269</v>
      </c>
      <c r="B23" s="100">
        <f t="shared" si="4"/>
        <v>12465.52</v>
      </c>
      <c r="C23" s="41"/>
      <c r="D23" s="42" t="s">
        <v>46</v>
      </c>
      <c r="E23" s="43">
        <v>0.16</v>
      </c>
      <c r="F23" s="100">
        <f t="shared" si="5"/>
        <v>1994.48</v>
      </c>
      <c r="G23" s="97">
        <v>14460</v>
      </c>
      <c r="H23" s="23">
        <v>43255</v>
      </c>
      <c r="I23" s="101">
        <v>14460</v>
      </c>
      <c r="J23" s="54" t="s">
        <v>39</v>
      </c>
      <c r="K23" s="52" t="s">
        <v>92</v>
      </c>
      <c r="L23" s="53" t="s">
        <v>93</v>
      </c>
      <c r="M23" s="54"/>
      <c r="N23" s="54"/>
      <c r="O23" s="53"/>
    </row>
    <row r="24" s="13" customFormat="1" ht="18" customHeight="1" spans="1:15">
      <c r="A24" s="40"/>
      <c r="B24" s="100">
        <f t="shared" si="4"/>
        <v>0</v>
      </c>
      <c r="C24" s="41"/>
      <c r="D24" s="42"/>
      <c r="E24" s="43"/>
      <c r="F24" s="100">
        <f t="shared" si="5"/>
        <v>0</v>
      </c>
      <c r="G24" s="97"/>
      <c r="H24" s="23">
        <v>43255</v>
      </c>
      <c r="I24" s="101">
        <v>-14460</v>
      </c>
      <c r="J24" s="54" t="s">
        <v>36</v>
      </c>
      <c r="K24" s="52" t="s">
        <v>37</v>
      </c>
      <c r="L24" s="53"/>
      <c r="M24" s="54"/>
      <c r="N24" s="54"/>
      <c r="O24" s="53"/>
    </row>
    <row r="25" s="13" customFormat="1" ht="18" customHeight="1" spans="1:15">
      <c r="A25" s="40">
        <v>43269</v>
      </c>
      <c r="B25" s="100">
        <f t="shared" si="4"/>
        <v>2625</v>
      </c>
      <c r="C25" s="41"/>
      <c r="D25" s="42" t="s">
        <v>88</v>
      </c>
      <c r="E25" s="43"/>
      <c r="F25" s="100">
        <f t="shared" si="5"/>
        <v>0</v>
      </c>
      <c r="G25" s="97">
        <v>2625</v>
      </c>
      <c r="H25" s="23"/>
      <c r="I25" s="101"/>
      <c r="J25" s="54"/>
      <c r="K25" s="52"/>
      <c r="L25" s="53" t="s">
        <v>48</v>
      </c>
      <c r="M25" s="54"/>
      <c r="N25" s="54"/>
      <c r="O25" s="53"/>
    </row>
    <row r="26" s="13" customFormat="1" ht="18" customHeight="1" spans="1:15">
      <c r="A26" s="40">
        <v>43269</v>
      </c>
      <c r="B26" s="100">
        <f t="shared" si="4"/>
        <v>3025</v>
      </c>
      <c r="C26" s="41"/>
      <c r="D26" s="42" t="s">
        <v>88</v>
      </c>
      <c r="E26" s="43"/>
      <c r="F26" s="100">
        <f t="shared" si="5"/>
        <v>0</v>
      </c>
      <c r="G26" s="97">
        <v>3025</v>
      </c>
      <c r="H26" s="23"/>
      <c r="I26" s="101"/>
      <c r="J26" s="54"/>
      <c r="K26" s="52"/>
      <c r="L26" s="53" t="s">
        <v>94</v>
      </c>
      <c r="M26" s="54"/>
      <c r="N26" s="54"/>
      <c r="O26" s="53"/>
    </row>
    <row r="27" s="13" customFormat="1" ht="18" customHeight="1" spans="1:15">
      <c r="A27" s="40">
        <v>43344</v>
      </c>
      <c r="B27" s="100">
        <f t="shared" si="4"/>
        <v>31728.16</v>
      </c>
      <c r="C27" s="41"/>
      <c r="D27" s="42" t="s">
        <v>46</v>
      </c>
      <c r="E27" s="43">
        <v>0.03</v>
      </c>
      <c r="F27" s="100">
        <f t="shared" si="5"/>
        <v>951.84</v>
      </c>
      <c r="G27" s="97">
        <v>32680</v>
      </c>
      <c r="H27" s="23">
        <v>43258</v>
      </c>
      <c r="I27" s="101">
        <v>-7320</v>
      </c>
      <c r="J27" s="54" t="s">
        <v>39</v>
      </c>
      <c r="K27" s="52" t="s">
        <v>91</v>
      </c>
      <c r="L27" s="53" t="s">
        <v>95</v>
      </c>
      <c r="M27" s="54"/>
      <c r="N27" s="54"/>
      <c r="O27" s="53"/>
    </row>
    <row r="28" s="13" customFormat="1" ht="18" customHeight="1" spans="1:15">
      <c r="A28" s="40"/>
      <c r="B28" s="100">
        <f t="shared" si="4"/>
        <v>0</v>
      </c>
      <c r="C28" s="41"/>
      <c r="D28" s="42"/>
      <c r="E28" s="43"/>
      <c r="F28" s="100">
        <f t="shared" si="5"/>
        <v>0</v>
      </c>
      <c r="G28" s="97"/>
      <c r="H28" s="23">
        <v>43271</v>
      </c>
      <c r="I28" s="101">
        <v>-32680</v>
      </c>
      <c r="J28" s="54" t="s">
        <v>36</v>
      </c>
      <c r="K28" s="52" t="s">
        <v>37</v>
      </c>
      <c r="L28" s="53"/>
      <c r="M28" s="54"/>
      <c r="N28" s="54"/>
      <c r="O28" s="53"/>
    </row>
    <row r="29" s="13" customFormat="1" ht="18" customHeight="1" spans="1:15">
      <c r="A29" s="40"/>
      <c r="B29" s="100">
        <f t="shared" si="4"/>
        <v>0</v>
      </c>
      <c r="C29" s="41"/>
      <c r="D29" s="42"/>
      <c r="E29" s="43"/>
      <c r="F29" s="100">
        <f t="shared" si="5"/>
        <v>0</v>
      </c>
      <c r="G29" s="97"/>
      <c r="H29" s="23">
        <v>43276</v>
      </c>
      <c r="I29" s="101">
        <v>40000</v>
      </c>
      <c r="J29" s="54" t="s">
        <v>39</v>
      </c>
      <c r="K29" s="52" t="s">
        <v>90</v>
      </c>
      <c r="L29" s="53"/>
      <c r="M29" s="54"/>
      <c r="N29" s="54"/>
      <c r="O29" s="53"/>
    </row>
    <row r="30" s="13" customFormat="1" ht="18" customHeight="1" spans="1:15">
      <c r="A30" s="40"/>
      <c r="B30" s="100">
        <f t="shared" si="4"/>
        <v>0</v>
      </c>
      <c r="C30" s="41"/>
      <c r="D30" s="42"/>
      <c r="E30" s="43"/>
      <c r="F30" s="100">
        <f t="shared" si="5"/>
        <v>0</v>
      </c>
      <c r="G30" s="97"/>
      <c r="H30" s="23">
        <v>43272</v>
      </c>
      <c r="I30" s="101">
        <v>40000</v>
      </c>
      <c r="J30" s="54" t="s">
        <v>39</v>
      </c>
      <c r="K30" s="52" t="s">
        <v>96</v>
      </c>
      <c r="L30" s="53"/>
      <c r="M30" s="54"/>
      <c r="N30" s="54"/>
      <c r="O30" s="53"/>
    </row>
    <row r="31" s="13" customFormat="1" ht="18" customHeight="1" spans="1:15">
      <c r="A31" s="40"/>
      <c r="B31" s="100">
        <f t="shared" si="4"/>
        <v>0</v>
      </c>
      <c r="C31" s="41"/>
      <c r="D31" s="42"/>
      <c r="E31" s="43"/>
      <c r="F31" s="100">
        <f t="shared" si="5"/>
        <v>0</v>
      </c>
      <c r="G31" s="97"/>
      <c r="H31" s="23">
        <v>43272</v>
      </c>
      <c r="I31" s="101">
        <v>-40000</v>
      </c>
      <c r="J31" s="54" t="s">
        <v>36</v>
      </c>
      <c r="K31" s="52" t="s">
        <v>37</v>
      </c>
      <c r="L31" s="53"/>
      <c r="M31" s="54"/>
      <c r="N31" s="54"/>
      <c r="O31" s="53"/>
    </row>
    <row r="32" s="13" customFormat="1" ht="18" customHeight="1" spans="1:15">
      <c r="A32" s="40">
        <v>43269</v>
      </c>
      <c r="B32" s="100">
        <f t="shared" si="4"/>
        <v>5859.89</v>
      </c>
      <c r="C32" s="41"/>
      <c r="D32" s="42" t="s">
        <v>46</v>
      </c>
      <c r="E32" s="43">
        <v>0.16</v>
      </c>
      <c r="F32" s="100">
        <f t="shared" si="5"/>
        <v>937.58</v>
      </c>
      <c r="G32" s="97">
        <v>6797.47</v>
      </c>
      <c r="H32" s="23">
        <v>43273</v>
      </c>
      <c r="I32" s="101">
        <v>6797.47</v>
      </c>
      <c r="J32" s="54" t="s">
        <v>39</v>
      </c>
      <c r="K32" s="52" t="s">
        <v>97</v>
      </c>
      <c r="L32" s="53" t="s">
        <v>93</v>
      </c>
      <c r="M32" s="54"/>
      <c r="N32" s="54"/>
      <c r="O32" s="53"/>
    </row>
    <row r="33" s="13" customFormat="1" ht="18" customHeight="1" spans="1:15">
      <c r="A33" s="40"/>
      <c r="B33" s="100">
        <f t="shared" si="4"/>
        <v>0</v>
      </c>
      <c r="C33" s="41"/>
      <c r="D33" s="42"/>
      <c r="E33" s="43"/>
      <c r="F33" s="100">
        <f t="shared" si="5"/>
        <v>0</v>
      </c>
      <c r="G33" s="97"/>
      <c r="H33" s="23">
        <v>43273</v>
      </c>
      <c r="I33" s="101">
        <v>-6797.47</v>
      </c>
      <c r="J33" s="54" t="s">
        <v>36</v>
      </c>
      <c r="K33" s="52" t="s">
        <v>37</v>
      </c>
      <c r="L33" s="53"/>
      <c r="M33" s="54"/>
      <c r="N33" s="54"/>
      <c r="O33" s="53"/>
    </row>
    <row r="34" s="13" customFormat="1" ht="18" customHeight="1" spans="1:15">
      <c r="A34" s="40">
        <v>43299</v>
      </c>
      <c r="B34" s="100">
        <f t="shared" si="4"/>
        <v>16001.94</v>
      </c>
      <c r="C34" s="41"/>
      <c r="D34" s="42" t="s">
        <v>46</v>
      </c>
      <c r="E34" s="43">
        <v>0.03</v>
      </c>
      <c r="F34" s="100">
        <f t="shared" si="5"/>
        <v>480.06</v>
      </c>
      <c r="G34" s="97">
        <v>16482</v>
      </c>
      <c r="H34" s="23">
        <v>43273</v>
      </c>
      <c r="I34" s="101">
        <v>20100</v>
      </c>
      <c r="J34" s="54" t="s">
        <v>39</v>
      </c>
      <c r="K34" s="52" t="s">
        <v>98</v>
      </c>
      <c r="L34" s="53" t="s">
        <v>95</v>
      </c>
      <c r="M34" s="54"/>
      <c r="N34" s="54"/>
      <c r="O34" s="53"/>
    </row>
    <row r="35" s="13" customFormat="1" ht="18" customHeight="1" spans="1:15">
      <c r="A35" s="40"/>
      <c r="B35" s="100">
        <f t="shared" si="4"/>
        <v>0</v>
      </c>
      <c r="C35" s="41"/>
      <c r="D35" s="42"/>
      <c r="E35" s="43"/>
      <c r="F35" s="100">
        <f t="shared" si="5"/>
        <v>0</v>
      </c>
      <c r="G35" s="97"/>
      <c r="H35" s="23">
        <v>43273</v>
      </c>
      <c r="I35" s="101">
        <v>-20100</v>
      </c>
      <c r="J35" s="54" t="s">
        <v>36</v>
      </c>
      <c r="K35" s="52" t="s">
        <v>37</v>
      </c>
      <c r="L35" s="53"/>
      <c r="M35" s="54"/>
      <c r="N35" s="54"/>
      <c r="O35" s="53"/>
    </row>
    <row r="36" s="13" customFormat="1" ht="18" customHeight="1" spans="1:15">
      <c r="A36" s="40"/>
      <c r="B36" s="100">
        <f t="shared" si="4"/>
        <v>0</v>
      </c>
      <c r="C36" s="41"/>
      <c r="D36" s="42"/>
      <c r="E36" s="43"/>
      <c r="F36" s="100">
        <f t="shared" si="5"/>
        <v>0</v>
      </c>
      <c r="G36" s="97"/>
      <c r="H36" s="23">
        <v>43283</v>
      </c>
      <c r="I36" s="101">
        <v>28150</v>
      </c>
      <c r="J36" s="54" t="s">
        <v>39</v>
      </c>
      <c r="K36" s="52" t="s">
        <v>42</v>
      </c>
      <c r="L36" s="53"/>
      <c r="M36" s="54"/>
      <c r="N36" s="54"/>
      <c r="O36" s="53"/>
    </row>
    <row r="37" s="13" customFormat="1" ht="18" customHeight="1" spans="1:15">
      <c r="A37" s="40"/>
      <c r="B37" s="100">
        <f t="shared" si="4"/>
        <v>0</v>
      </c>
      <c r="C37" s="41"/>
      <c r="D37" s="42"/>
      <c r="E37" s="43"/>
      <c r="F37" s="100">
        <f t="shared" si="5"/>
        <v>0</v>
      </c>
      <c r="G37" s="97"/>
      <c r="H37" s="23">
        <v>43283</v>
      </c>
      <c r="I37" s="101">
        <v>-28150</v>
      </c>
      <c r="J37" s="54" t="s">
        <v>36</v>
      </c>
      <c r="K37" s="52" t="s">
        <v>37</v>
      </c>
      <c r="L37" s="53"/>
      <c r="M37" s="54"/>
      <c r="N37" s="54"/>
      <c r="O37" s="53"/>
    </row>
    <row r="38" s="13" customFormat="1" ht="18" customHeight="1" spans="1:15">
      <c r="A38" s="40">
        <v>43344</v>
      </c>
      <c r="B38" s="100">
        <f t="shared" si="4"/>
        <v>84482.76</v>
      </c>
      <c r="C38" s="41"/>
      <c r="D38" s="42" t="s">
        <v>46</v>
      </c>
      <c r="E38" s="43">
        <v>0.16</v>
      </c>
      <c r="F38" s="100">
        <f t="shared" si="5"/>
        <v>13517.24</v>
      </c>
      <c r="G38" s="97">
        <v>98000</v>
      </c>
      <c r="H38" s="23">
        <v>43284</v>
      </c>
      <c r="I38" s="101">
        <v>40000</v>
      </c>
      <c r="J38" s="54" t="s">
        <v>39</v>
      </c>
      <c r="K38" s="52" t="s">
        <v>96</v>
      </c>
      <c r="L38" s="53" t="s">
        <v>99</v>
      </c>
      <c r="M38" s="54"/>
      <c r="N38" s="54"/>
      <c r="O38" s="53"/>
    </row>
    <row r="39" s="13" customFormat="1" ht="18" customHeight="1" spans="1:15">
      <c r="A39" s="40"/>
      <c r="B39" s="100">
        <f t="shared" si="4"/>
        <v>0</v>
      </c>
      <c r="C39" s="41"/>
      <c r="D39" s="42"/>
      <c r="E39" s="43"/>
      <c r="F39" s="100">
        <f t="shared" si="5"/>
        <v>0</v>
      </c>
      <c r="G39" s="97"/>
      <c r="H39" s="23">
        <v>43284</v>
      </c>
      <c r="I39" s="101">
        <v>-40000</v>
      </c>
      <c r="J39" s="54" t="s">
        <v>36</v>
      </c>
      <c r="K39" s="52" t="s">
        <v>37</v>
      </c>
      <c r="L39" s="53"/>
      <c r="M39" s="54"/>
      <c r="N39" s="54"/>
      <c r="O39" s="53"/>
    </row>
    <row r="40" s="13" customFormat="1" ht="18" customHeight="1" spans="1:15">
      <c r="A40" s="40"/>
      <c r="B40" s="100">
        <f t="shared" si="4"/>
        <v>0</v>
      </c>
      <c r="C40" s="41"/>
      <c r="D40" s="42"/>
      <c r="E40" s="43"/>
      <c r="F40" s="100">
        <f t="shared" si="5"/>
        <v>0</v>
      </c>
      <c r="G40" s="97"/>
      <c r="H40" s="23">
        <v>43284</v>
      </c>
      <c r="I40" s="101">
        <v>-3458</v>
      </c>
      <c r="J40" s="54" t="s">
        <v>39</v>
      </c>
      <c r="K40" s="52" t="s">
        <v>98</v>
      </c>
      <c r="L40" s="53" t="s">
        <v>100</v>
      </c>
      <c r="M40" s="54"/>
      <c r="N40" s="54"/>
      <c r="O40" s="53"/>
    </row>
    <row r="41" s="13" customFormat="1" ht="18" customHeight="1" spans="1:15">
      <c r="A41" s="40">
        <v>43344</v>
      </c>
      <c r="B41" s="100">
        <f t="shared" si="4"/>
        <v>7698.11</v>
      </c>
      <c r="C41" s="41"/>
      <c r="D41" s="42" t="s">
        <v>46</v>
      </c>
      <c r="E41" s="43">
        <v>0.06</v>
      </c>
      <c r="F41" s="100">
        <f t="shared" si="5"/>
        <v>461.89</v>
      </c>
      <c r="G41" s="97">
        <v>8160</v>
      </c>
      <c r="H41" s="23">
        <v>43306</v>
      </c>
      <c r="I41" s="101">
        <v>5760</v>
      </c>
      <c r="J41" s="54" t="s">
        <v>39</v>
      </c>
      <c r="K41" s="52" t="s">
        <v>101</v>
      </c>
      <c r="L41" s="53" t="s">
        <v>102</v>
      </c>
      <c r="M41" s="54"/>
      <c r="N41" s="54"/>
      <c r="O41" s="53"/>
    </row>
    <row r="42" s="13" customFormat="1" ht="18" customHeight="1" spans="1:15">
      <c r="A42" s="40"/>
      <c r="B42" s="100">
        <f t="shared" si="4"/>
        <v>0</v>
      </c>
      <c r="C42" s="41"/>
      <c r="D42" s="42"/>
      <c r="E42" s="43"/>
      <c r="F42" s="100">
        <f t="shared" si="5"/>
        <v>0</v>
      </c>
      <c r="G42" s="97"/>
      <c r="H42" s="23">
        <v>43306</v>
      </c>
      <c r="I42" s="101">
        <v>-5662</v>
      </c>
      <c r="J42" s="54" t="s">
        <v>36</v>
      </c>
      <c r="K42" s="52" t="s">
        <v>37</v>
      </c>
      <c r="L42" s="53"/>
      <c r="M42" s="54"/>
      <c r="N42" s="54"/>
      <c r="O42" s="53"/>
    </row>
    <row r="43" s="13" customFormat="1" ht="18" customHeight="1" spans="1:15">
      <c r="A43" s="40"/>
      <c r="B43" s="100">
        <f t="shared" si="4"/>
        <v>0</v>
      </c>
      <c r="C43" s="41"/>
      <c r="D43" s="42"/>
      <c r="E43" s="43"/>
      <c r="F43" s="100">
        <f t="shared" si="5"/>
        <v>0</v>
      </c>
      <c r="G43" s="97"/>
      <c r="H43" s="23">
        <v>43306</v>
      </c>
      <c r="I43" s="101">
        <v>3360</v>
      </c>
      <c r="J43" s="54" t="s">
        <v>39</v>
      </c>
      <c r="K43" s="52" t="s">
        <v>103</v>
      </c>
      <c r="L43" s="53"/>
      <c r="M43" s="54"/>
      <c r="N43" s="54"/>
      <c r="O43" s="53"/>
    </row>
    <row r="44" s="13" customFormat="1" ht="18" customHeight="1" spans="1:15">
      <c r="A44" s="40"/>
      <c r="B44" s="100">
        <f t="shared" si="4"/>
        <v>0</v>
      </c>
      <c r="C44" s="41"/>
      <c r="D44" s="42"/>
      <c r="E44" s="43"/>
      <c r="F44" s="100">
        <f t="shared" si="5"/>
        <v>0</v>
      </c>
      <c r="G44" s="97"/>
      <c r="H44" s="23">
        <v>43293</v>
      </c>
      <c r="I44" s="101">
        <v>40600</v>
      </c>
      <c r="J44" s="54" t="s">
        <v>39</v>
      </c>
      <c r="K44" s="52" t="s">
        <v>90</v>
      </c>
      <c r="L44" s="53"/>
      <c r="M44" s="54"/>
      <c r="N44" s="54"/>
      <c r="O44" s="53"/>
    </row>
    <row r="45" s="13" customFormat="1" ht="18" customHeight="1" spans="1:15">
      <c r="A45" s="40"/>
      <c r="B45" s="100">
        <f t="shared" si="4"/>
        <v>0</v>
      </c>
      <c r="C45" s="41"/>
      <c r="D45" s="42"/>
      <c r="E45" s="43"/>
      <c r="F45" s="100">
        <f t="shared" si="5"/>
        <v>0</v>
      </c>
      <c r="G45" s="97"/>
      <c r="H45" s="23">
        <v>43293</v>
      </c>
      <c r="I45" s="101">
        <v>-40600</v>
      </c>
      <c r="J45" s="54" t="s">
        <v>36</v>
      </c>
      <c r="K45" s="52" t="s">
        <v>37</v>
      </c>
      <c r="L45" s="53"/>
      <c r="M45" s="54"/>
      <c r="N45" s="54"/>
      <c r="O45" s="53"/>
    </row>
    <row r="46" s="13" customFormat="1" ht="18" customHeight="1" spans="1:15">
      <c r="A46" s="40"/>
      <c r="B46" s="100">
        <f t="shared" si="4"/>
        <v>0</v>
      </c>
      <c r="C46" s="41"/>
      <c r="D46" s="42"/>
      <c r="E46" s="43"/>
      <c r="F46" s="100">
        <f t="shared" si="5"/>
        <v>0</v>
      </c>
      <c r="G46" s="97"/>
      <c r="H46" s="23">
        <v>43294</v>
      </c>
      <c r="I46" s="101">
        <v>14830</v>
      </c>
      <c r="J46" s="54" t="s">
        <v>39</v>
      </c>
      <c r="K46" s="52" t="s">
        <v>42</v>
      </c>
      <c r="L46" s="53"/>
      <c r="M46" s="54"/>
      <c r="N46" s="54"/>
      <c r="O46" s="53"/>
    </row>
    <row r="47" s="13" customFormat="1" ht="18" customHeight="1" spans="1:15">
      <c r="A47" s="40"/>
      <c r="B47" s="100">
        <f t="shared" si="4"/>
        <v>0</v>
      </c>
      <c r="C47" s="41"/>
      <c r="D47" s="42"/>
      <c r="E47" s="43"/>
      <c r="F47" s="100">
        <f t="shared" si="5"/>
        <v>0</v>
      </c>
      <c r="G47" s="97"/>
      <c r="H47" s="23">
        <v>43294</v>
      </c>
      <c r="I47" s="101">
        <v>-14830</v>
      </c>
      <c r="J47" s="54" t="s">
        <v>36</v>
      </c>
      <c r="K47" s="52" t="s">
        <v>37</v>
      </c>
      <c r="L47" s="53"/>
      <c r="M47" s="54"/>
      <c r="N47" s="54"/>
      <c r="O47" s="53"/>
    </row>
    <row r="48" s="13" customFormat="1" ht="18" customHeight="1" spans="1:15">
      <c r="A48" s="40"/>
      <c r="B48" s="100">
        <f t="shared" si="4"/>
        <v>0</v>
      </c>
      <c r="C48" s="41"/>
      <c r="D48" s="42"/>
      <c r="E48" s="43"/>
      <c r="F48" s="100">
        <f t="shared" si="5"/>
        <v>0</v>
      </c>
      <c r="G48" s="97"/>
      <c r="H48" s="23">
        <v>43297</v>
      </c>
      <c r="I48" s="101">
        <v>18000</v>
      </c>
      <c r="J48" s="54" t="s">
        <v>39</v>
      </c>
      <c r="K48" s="52" t="s">
        <v>96</v>
      </c>
      <c r="L48" s="53"/>
      <c r="M48" s="54"/>
      <c r="N48" s="54"/>
      <c r="O48" s="53"/>
    </row>
    <row r="49" s="13" customFormat="1" ht="18" customHeight="1" spans="1:15">
      <c r="A49" s="40"/>
      <c r="B49" s="100">
        <f t="shared" si="4"/>
        <v>0</v>
      </c>
      <c r="C49" s="41"/>
      <c r="D49" s="42"/>
      <c r="E49" s="43"/>
      <c r="F49" s="100">
        <f t="shared" si="5"/>
        <v>0</v>
      </c>
      <c r="G49" s="97"/>
      <c r="H49" s="23">
        <v>43297</v>
      </c>
      <c r="I49" s="101">
        <v>-18000</v>
      </c>
      <c r="J49" s="54" t="s">
        <v>36</v>
      </c>
      <c r="K49" s="52" t="s">
        <v>37</v>
      </c>
      <c r="L49" s="53"/>
      <c r="M49" s="54"/>
      <c r="N49" s="54"/>
      <c r="O49" s="53"/>
    </row>
    <row r="50" s="13" customFormat="1" ht="18" customHeight="1" spans="1:15">
      <c r="A50" s="40"/>
      <c r="B50" s="100">
        <f t="shared" si="4"/>
        <v>0</v>
      </c>
      <c r="C50" s="41"/>
      <c r="D50" s="42"/>
      <c r="E50" s="43"/>
      <c r="F50" s="100">
        <f t="shared" si="5"/>
        <v>0</v>
      </c>
      <c r="G50" s="97"/>
      <c r="H50" s="23">
        <v>43299</v>
      </c>
      <c r="I50" s="101">
        <v>3780</v>
      </c>
      <c r="J50" s="54" t="s">
        <v>39</v>
      </c>
      <c r="K50" s="52" t="s">
        <v>90</v>
      </c>
      <c r="L50" s="53"/>
      <c r="M50" s="54"/>
      <c r="N50" s="54"/>
      <c r="O50" s="53"/>
    </row>
    <row r="51" s="13" customFormat="1" ht="18" customHeight="1" spans="1:15">
      <c r="A51" s="40"/>
      <c r="B51" s="100">
        <f t="shared" si="4"/>
        <v>0</v>
      </c>
      <c r="C51" s="41"/>
      <c r="D51" s="42"/>
      <c r="E51" s="43"/>
      <c r="F51" s="100">
        <f t="shared" si="5"/>
        <v>0</v>
      </c>
      <c r="G51" s="97"/>
      <c r="H51" s="23">
        <v>43299</v>
      </c>
      <c r="I51" s="101">
        <v>-3780</v>
      </c>
      <c r="J51" s="54" t="s">
        <v>36</v>
      </c>
      <c r="K51" s="52" t="s">
        <v>37</v>
      </c>
      <c r="L51" s="53"/>
      <c r="M51" s="54"/>
      <c r="N51" s="54"/>
      <c r="O51" s="53"/>
    </row>
    <row r="52" s="13" customFormat="1" ht="18" customHeight="1" spans="1:15">
      <c r="A52" s="40"/>
      <c r="B52" s="100">
        <f t="shared" si="4"/>
        <v>0</v>
      </c>
      <c r="C52" s="41"/>
      <c r="D52" s="42"/>
      <c r="E52" s="43"/>
      <c r="F52" s="100">
        <f t="shared" si="5"/>
        <v>0</v>
      </c>
      <c r="G52" s="97"/>
      <c r="H52" s="23">
        <v>43312</v>
      </c>
      <c r="I52" s="101">
        <v>15000</v>
      </c>
      <c r="J52" s="54" t="s">
        <v>39</v>
      </c>
      <c r="K52" s="52" t="s">
        <v>104</v>
      </c>
      <c r="L52" s="53"/>
      <c r="M52" s="54"/>
      <c r="N52" s="54"/>
      <c r="O52" s="53"/>
    </row>
    <row r="53" s="13" customFormat="1" ht="18" customHeight="1" spans="1:15">
      <c r="A53" s="40"/>
      <c r="B53" s="100">
        <f t="shared" si="4"/>
        <v>0</v>
      </c>
      <c r="C53" s="41"/>
      <c r="D53" s="42"/>
      <c r="E53" s="43"/>
      <c r="F53" s="100">
        <f t="shared" si="5"/>
        <v>0</v>
      </c>
      <c r="G53" s="97"/>
      <c r="H53" s="23">
        <v>43312</v>
      </c>
      <c r="I53" s="101">
        <v>-15000</v>
      </c>
      <c r="J53" s="54" t="s">
        <v>36</v>
      </c>
      <c r="K53" s="52" t="s">
        <v>37</v>
      </c>
      <c r="L53" s="53"/>
      <c r="M53" s="54"/>
      <c r="N53" s="54"/>
      <c r="O53" s="53"/>
    </row>
    <row r="54" s="13" customFormat="1" ht="18" customHeight="1" spans="1:15">
      <c r="A54" s="40">
        <v>43299</v>
      </c>
      <c r="B54" s="100">
        <f t="shared" si="4"/>
        <v>160</v>
      </c>
      <c r="C54" s="41"/>
      <c r="D54" s="42" t="s">
        <v>88</v>
      </c>
      <c r="E54" s="43"/>
      <c r="F54" s="100">
        <f t="shared" si="5"/>
        <v>0</v>
      </c>
      <c r="G54" s="97">
        <v>160</v>
      </c>
      <c r="H54" s="23"/>
      <c r="I54" s="101"/>
      <c r="J54" s="54"/>
      <c r="K54" s="52"/>
      <c r="L54" s="53" t="s">
        <v>48</v>
      </c>
      <c r="M54" s="54"/>
      <c r="N54" s="54"/>
      <c r="O54" s="53"/>
    </row>
    <row r="55" s="13" customFormat="1" ht="18" customHeight="1" spans="1:15">
      <c r="A55" s="40"/>
      <c r="B55" s="100">
        <f t="shared" si="4"/>
        <v>0</v>
      </c>
      <c r="C55" s="41"/>
      <c r="D55" s="42"/>
      <c r="E55" s="43"/>
      <c r="F55" s="100">
        <f t="shared" si="5"/>
        <v>0</v>
      </c>
      <c r="G55" s="97"/>
      <c r="H55" s="23">
        <v>43313</v>
      </c>
      <c r="I55" s="101">
        <v>-15000</v>
      </c>
      <c r="J55" s="54" t="s">
        <v>39</v>
      </c>
      <c r="K55" s="52" t="s">
        <v>104</v>
      </c>
      <c r="L55" s="53"/>
      <c r="M55" s="54"/>
      <c r="N55" s="54"/>
      <c r="O55" s="53"/>
    </row>
    <row r="56" s="13" customFormat="1" ht="18" customHeight="1" spans="1:15">
      <c r="A56" s="40"/>
      <c r="B56" s="100"/>
      <c r="C56" s="41"/>
      <c r="D56" s="42"/>
      <c r="E56" s="43"/>
      <c r="F56" s="100">
        <f t="shared" si="5"/>
        <v>0</v>
      </c>
      <c r="G56" s="97"/>
      <c r="H56" s="23">
        <v>43314</v>
      </c>
      <c r="I56" s="101">
        <v>17000</v>
      </c>
      <c r="J56" s="54" t="s">
        <v>39</v>
      </c>
      <c r="K56" s="56" t="s">
        <v>105</v>
      </c>
      <c r="L56" s="53"/>
      <c r="M56" s="54"/>
      <c r="N56" s="54"/>
      <c r="O56" s="53"/>
    </row>
    <row r="57" s="13" customFormat="1" ht="18" customHeight="1" spans="1:15">
      <c r="A57" s="40"/>
      <c r="B57" s="100">
        <f t="shared" ref="B57:B61" si="6">ROUND(G57/(1+E57),2)</f>
        <v>0</v>
      </c>
      <c r="C57" s="41"/>
      <c r="D57" s="42"/>
      <c r="E57" s="43"/>
      <c r="F57" s="100">
        <f t="shared" si="5"/>
        <v>0</v>
      </c>
      <c r="G57" s="97"/>
      <c r="H57" s="23">
        <v>43314</v>
      </c>
      <c r="I57" s="101">
        <v>-2000</v>
      </c>
      <c r="J57" s="54" t="s">
        <v>36</v>
      </c>
      <c r="K57" s="52" t="s">
        <v>37</v>
      </c>
      <c r="L57" s="53"/>
      <c r="M57" s="54"/>
      <c r="N57" s="54"/>
      <c r="O57" s="53"/>
    </row>
    <row r="58" s="13" customFormat="1" ht="18" customHeight="1" spans="1:15">
      <c r="A58" s="40"/>
      <c r="B58" s="100">
        <f t="shared" si="6"/>
        <v>0</v>
      </c>
      <c r="C58" s="41"/>
      <c r="D58" s="42"/>
      <c r="E58" s="43"/>
      <c r="F58" s="100">
        <f t="shared" si="5"/>
        <v>0</v>
      </c>
      <c r="G58" s="97"/>
      <c r="H58" s="23">
        <v>43315</v>
      </c>
      <c r="I58" s="101">
        <v>12050</v>
      </c>
      <c r="J58" s="54" t="s">
        <v>39</v>
      </c>
      <c r="K58" s="52" t="s">
        <v>42</v>
      </c>
      <c r="L58" s="53"/>
      <c r="M58" s="54"/>
      <c r="N58" s="54"/>
      <c r="O58" s="53"/>
    </row>
    <row r="59" s="13" customFormat="1" ht="18" customHeight="1" spans="1:15">
      <c r="A59" s="40"/>
      <c r="B59" s="100">
        <f t="shared" si="6"/>
        <v>0</v>
      </c>
      <c r="C59" s="41"/>
      <c r="D59" s="42"/>
      <c r="E59" s="43"/>
      <c r="F59" s="100">
        <f t="shared" si="5"/>
        <v>0</v>
      </c>
      <c r="G59" s="97"/>
      <c r="H59" s="23">
        <v>43315</v>
      </c>
      <c r="I59" s="101">
        <v>-12050</v>
      </c>
      <c r="J59" s="54" t="s">
        <v>36</v>
      </c>
      <c r="K59" s="52" t="s">
        <v>37</v>
      </c>
      <c r="L59" s="53"/>
      <c r="M59" s="54"/>
      <c r="N59" s="54"/>
      <c r="O59" s="53"/>
    </row>
    <row r="60" s="13" customFormat="1" ht="18" customHeight="1" spans="1:15">
      <c r="A60" s="40">
        <v>43344</v>
      </c>
      <c r="B60" s="100">
        <f t="shared" si="6"/>
        <v>31106.8</v>
      </c>
      <c r="C60" s="41"/>
      <c r="D60" s="42" t="s">
        <v>46</v>
      </c>
      <c r="E60" s="43">
        <v>0.03</v>
      </c>
      <c r="F60" s="100">
        <f t="shared" si="5"/>
        <v>933.2</v>
      </c>
      <c r="G60" s="97">
        <v>32040</v>
      </c>
      <c r="H60" s="23">
        <v>43334</v>
      </c>
      <c r="I60" s="101">
        <v>33000</v>
      </c>
      <c r="J60" s="54" t="s">
        <v>39</v>
      </c>
      <c r="K60" s="52" t="s">
        <v>106</v>
      </c>
      <c r="L60" s="53" t="s">
        <v>95</v>
      </c>
      <c r="M60" s="54"/>
      <c r="N60" s="54"/>
      <c r="O60" s="53"/>
    </row>
    <row r="61" s="13" customFormat="1" ht="18" customHeight="1" spans="1:15">
      <c r="A61" s="40"/>
      <c r="B61" s="100">
        <f t="shared" si="6"/>
        <v>0</v>
      </c>
      <c r="C61" s="41"/>
      <c r="D61" s="42"/>
      <c r="E61" s="43"/>
      <c r="F61" s="100">
        <f t="shared" si="5"/>
        <v>0</v>
      </c>
      <c r="G61" s="97"/>
      <c r="H61" s="23">
        <v>43334</v>
      </c>
      <c r="I61" s="101">
        <v>-33000</v>
      </c>
      <c r="J61" s="54" t="s">
        <v>36</v>
      </c>
      <c r="K61" s="52" t="s">
        <v>37</v>
      </c>
      <c r="L61" s="53"/>
      <c r="M61" s="54"/>
      <c r="N61" s="54"/>
      <c r="O61" s="53"/>
    </row>
    <row r="62" s="13" customFormat="1" ht="18" customHeight="1" spans="1:15">
      <c r="A62" s="40"/>
      <c r="B62" s="100"/>
      <c r="C62" s="41"/>
      <c r="D62" s="42"/>
      <c r="E62" s="43"/>
      <c r="F62" s="100">
        <f t="shared" si="5"/>
        <v>0</v>
      </c>
      <c r="G62" s="97"/>
      <c r="H62" s="23">
        <v>43354</v>
      </c>
      <c r="I62" s="101">
        <v>-960</v>
      </c>
      <c r="J62" s="54" t="s">
        <v>39</v>
      </c>
      <c r="K62" s="52" t="s">
        <v>106</v>
      </c>
      <c r="L62" s="53"/>
      <c r="M62" s="54"/>
      <c r="N62" s="54"/>
      <c r="O62" s="53"/>
    </row>
    <row r="63" s="13" customFormat="1" ht="18" customHeight="1" spans="1:15">
      <c r="A63" s="40">
        <v>43344</v>
      </c>
      <c r="B63" s="100">
        <f t="shared" ref="B63:B91" si="7">ROUND(G63/(1+E63),2)</f>
        <v>76065.52</v>
      </c>
      <c r="C63" s="41"/>
      <c r="D63" s="42" t="s">
        <v>46</v>
      </c>
      <c r="E63" s="43">
        <v>0.16</v>
      </c>
      <c r="F63" s="100">
        <f t="shared" si="5"/>
        <v>12170.48</v>
      </c>
      <c r="G63" s="97">
        <v>88236</v>
      </c>
      <c r="H63" s="23">
        <v>43340</v>
      </c>
      <c r="I63" s="101">
        <v>11280</v>
      </c>
      <c r="J63" s="54" t="s">
        <v>39</v>
      </c>
      <c r="K63" s="52" t="s">
        <v>42</v>
      </c>
      <c r="L63" s="53" t="s">
        <v>107</v>
      </c>
      <c r="M63" s="54"/>
      <c r="N63" s="54"/>
      <c r="O63" s="53"/>
    </row>
    <row r="64" s="13" customFormat="1" ht="18" customHeight="1" spans="1:15">
      <c r="A64" s="40"/>
      <c r="B64" s="100">
        <f t="shared" si="7"/>
        <v>0</v>
      </c>
      <c r="C64" s="41"/>
      <c r="D64" s="42"/>
      <c r="E64" s="43"/>
      <c r="F64" s="100">
        <f t="shared" si="5"/>
        <v>0</v>
      </c>
      <c r="G64" s="97"/>
      <c r="H64" s="23">
        <v>43340</v>
      </c>
      <c r="I64" s="101">
        <v>-11280</v>
      </c>
      <c r="J64" s="54" t="s">
        <v>36</v>
      </c>
      <c r="K64" s="52" t="s">
        <v>37</v>
      </c>
      <c r="L64" s="53"/>
      <c r="M64" s="54"/>
      <c r="N64" s="54"/>
      <c r="O64" s="53"/>
    </row>
    <row r="65" s="13" customFormat="1" ht="18" customHeight="1" spans="1:15">
      <c r="A65" s="40"/>
      <c r="B65" s="100">
        <f t="shared" si="7"/>
        <v>0</v>
      </c>
      <c r="C65" s="41"/>
      <c r="D65" s="42"/>
      <c r="E65" s="43"/>
      <c r="F65" s="100">
        <f t="shared" si="5"/>
        <v>0</v>
      </c>
      <c r="G65" s="97"/>
      <c r="H65" s="23">
        <v>43343</v>
      </c>
      <c r="I65" s="101">
        <v>20000</v>
      </c>
      <c r="J65" s="54" t="s">
        <v>39</v>
      </c>
      <c r="K65" s="52" t="s">
        <v>108</v>
      </c>
      <c r="L65" s="53"/>
      <c r="M65" s="54"/>
      <c r="N65" s="54"/>
      <c r="O65" s="53"/>
    </row>
    <row r="66" s="13" customFormat="1" ht="18" customHeight="1" spans="1:15">
      <c r="A66" s="40"/>
      <c r="B66" s="100">
        <f t="shared" si="7"/>
        <v>0</v>
      </c>
      <c r="C66" s="41"/>
      <c r="D66" s="42"/>
      <c r="E66" s="43"/>
      <c r="F66" s="100">
        <f t="shared" si="5"/>
        <v>0</v>
      </c>
      <c r="G66" s="97"/>
      <c r="H66" s="23">
        <v>43343</v>
      </c>
      <c r="I66" s="101">
        <v>-20000</v>
      </c>
      <c r="J66" s="54" t="s">
        <v>36</v>
      </c>
      <c r="K66" s="52" t="s">
        <v>37</v>
      </c>
      <c r="L66" s="53"/>
      <c r="M66" s="54"/>
      <c r="N66" s="54"/>
      <c r="O66" s="53"/>
    </row>
    <row r="67" s="13" customFormat="1" ht="18" customHeight="1" spans="1:15">
      <c r="A67" s="40"/>
      <c r="B67" s="100">
        <f t="shared" si="7"/>
        <v>0</v>
      </c>
      <c r="C67" s="41"/>
      <c r="D67" s="42"/>
      <c r="E67" s="43"/>
      <c r="F67" s="100">
        <f t="shared" si="5"/>
        <v>0</v>
      </c>
      <c r="G67" s="97"/>
      <c r="H67" s="23">
        <v>43343</v>
      </c>
      <c r="I67" s="101">
        <v>3040</v>
      </c>
      <c r="J67" s="54" t="s">
        <v>39</v>
      </c>
      <c r="K67" s="52" t="s">
        <v>108</v>
      </c>
      <c r="L67" s="53"/>
      <c r="M67" s="54"/>
      <c r="N67" s="54"/>
      <c r="O67" s="53"/>
    </row>
    <row r="68" s="13" customFormat="1" ht="18" customHeight="1" spans="1:15">
      <c r="A68" s="40"/>
      <c r="B68" s="100">
        <f t="shared" si="7"/>
        <v>0</v>
      </c>
      <c r="C68" s="41"/>
      <c r="D68" s="42"/>
      <c r="E68" s="43"/>
      <c r="F68" s="100">
        <f t="shared" si="5"/>
        <v>0</v>
      </c>
      <c r="G68" s="97"/>
      <c r="H68" s="23">
        <v>43343</v>
      </c>
      <c r="I68" s="101">
        <v>-30000</v>
      </c>
      <c r="J68" s="54" t="s">
        <v>36</v>
      </c>
      <c r="K68" s="52" t="s">
        <v>37</v>
      </c>
      <c r="L68" s="53"/>
      <c r="M68" s="54"/>
      <c r="N68" s="54"/>
      <c r="O68" s="53"/>
    </row>
    <row r="69" s="13" customFormat="1" ht="18" customHeight="1" spans="1:15">
      <c r="A69" s="40"/>
      <c r="B69" s="100">
        <f t="shared" si="7"/>
        <v>0</v>
      </c>
      <c r="C69" s="41"/>
      <c r="D69" s="42"/>
      <c r="E69" s="43"/>
      <c r="F69" s="100">
        <f t="shared" si="5"/>
        <v>0</v>
      </c>
      <c r="G69" s="97"/>
      <c r="H69" s="23">
        <v>43350</v>
      </c>
      <c r="I69" s="101">
        <v>20000</v>
      </c>
      <c r="J69" s="54" t="s">
        <v>39</v>
      </c>
      <c r="K69" s="52" t="s">
        <v>108</v>
      </c>
      <c r="L69" s="53"/>
      <c r="M69" s="54"/>
      <c r="N69" s="54"/>
      <c r="O69" s="53"/>
    </row>
    <row r="70" s="13" customFormat="1" ht="18" customHeight="1" spans="1:15">
      <c r="A70" s="40"/>
      <c r="B70" s="100">
        <f t="shared" si="7"/>
        <v>0</v>
      </c>
      <c r="C70" s="41"/>
      <c r="D70" s="42"/>
      <c r="E70" s="43"/>
      <c r="F70" s="100">
        <f t="shared" si="5"/>
        <v>0</v>
      </c>
      <c r="G70" s="97"/>
      <c r="H70" s="23">
        <v>43353</v>
      </c>
      <c r="I70" s="101">
        <v>20000</v>
      </c>
      <c r="J70" s="54" t="s">
        <v>39</v>
      </c>
      <c r="K70" s="52" t="s">
        <v>108</v>
      </c>
      <c r="L70" s="53"/>
      <c r="M70" s="54"/>
      <c r="N70" s="54"/>
      <c r="O70" s="53"/>
    </row>
    <row r="71" s="13" customFormat="1" ht="18" customHeight="1" spans="1:15">
      <c r="A71" s="40"/>
      <c r="B71" s="100">
        <f t="shared" si="7"/>
        <v>0</v>
      </c>
      <c r="C71" s="41"/>
      <c r="D71" s="42"/>
      <c r="E71" s="43"/>
      <c r="F71" s="100">
        <f t="shared" si="5"/>
        <v>0</v>
      </c>
      <c r="G71" s="97"/>
      <c r="H71" s="23">
        <v>43353</v>
      </c>
      <c r="I71" s="101">
        <v>-20000</v>
      </c>
      <c r="J71" s="54" t="s">
        <v>36</v>
      </c>
      <c r="K71" s="52" t="s">
        <v>37</v>
      </c>
      <c r="L71" s="53"/>
      <c r="M71" s="54"/>
      <c r="N71" s="54"/>
      <c r="O71" s="53"/>
    </row>
    <row r="72" s="13" customFormat="1" ht="18" customHeight="1" spans="1:15">
      <c r="A72" s="40"/>
      <c r="B72" s="100">
        <f t="shared" si="7"/>
        <v>0</v>
      </c>
      <c r="C72" s="41"/>
      <c r="D72" s="42"/>
      <c r="E72" s="43"/>
      <c r="F72" s="100">
        <f t="shared" si="5"/>
        <v>0</v>
      </c>
      <c r="G72" s="97"/>
      <c r="H72" s="23"/>
      <c r="I72" s="101"/>
      <c r="J72" s="54"/>
      <c r="K72" s="52"/>
      <c r="L72" s="53"/>
      <c r="M72" s="54"/>
      <c r="N72" s="54"/>
      <c r="O72" s="53"/>
    </row>
    <row r="73" s="13" customFormat="1" ht="18" customHeight="1" spans="1:15">
      <c r="A73" s="40"/>
      <c r="B73" s="100">
        <f t="shared" si="7"/>
        <v>0</v>
      </c>
      <c r="C73" s="41"/>
      <c r="D73" s="42"/>
      <c r="E73" s="43"/>
      <c r="F73" s="100">
        <f t="shared" si="5"/>
        <v>0</v>
      </c>
      <c r="G73" s="97"/>
      <c r="H73" s="23">
        <v>43353</v>
      </c>
      <c r="I73" s="101">
        <v>10000</v>
      </c>
      <c r="J73" s="54" t="s">
        <v>39</v>
      </c>
      <c r="K73" s="52" t="s">
        <v>90</v>
      </c>
      <c r="L73" s="53" t="s">
        <v>109</v>
      </c>
      <c r="M73" s="54"/>
      <c r="N73" s="54"/>
      <c r="O73" s="53"/>
    </row>
    <row r="74" s="13" customFormat="1" ht="18" customHeight="1" spans="1:15">
      <c r="A74" s="40"/>
      <c r="B74" s="100">
        <f t="shared" si="7"/>
        <v>0</v>
      </c>
      <c r="C74" s="41"/>
      <c r="D74" s="42"/>
      <c r="E74" s="43"/>
      <c r="F74" s="100">
        <f t="shared" si="5"/>
        <v>0</v>
      </c>
      <c r="G74" s="97"/>
      <c r="H74" s="23">
        <v>43353</v>
      </c>
      <c r="I74" s="101">
        <v>-10000</v>
      </c>
      <c r="J74" s="54" t="s">
        <v>36</v>
      </c>
      <c r="K74" s="52" t="s">
        <v>37</v>
      </c>
      <c r="L74" s="53"/>
      <c r="M74" s="54"/>
      <c r="N74" s="54"/>
      <c r="O74" s="53"/>
    </row>
    <row r="75" s="13" customFormat="1" ht="18" customHeight="1" spans="1:15">
      <c r="A75" s="40"/>
      <c r="B75" s="100">
        <f t="shared" si="7"/>
        <v>0</v>
      </c>
      <c r="C75" s="41"/>
      <c r="D75" s="42"/>
      <c r="E75" s="43"/>
      <c r="F75" s="100">
        <f t="shared" si="5"/>
        <v>0</v>
      </c>
      <c r="G75" s="97"/>
      <c r="H75" s="23">
        <v>43354</v>
      </c>
      <c r="I75" s="101">
        <v>30000</v>
      </c>
      <c r="J75" s="54" t="s">
        <v>39</v>
      </c>
      <c r="K75" s="52" t="s">
        <v>90</v>
      </c>
      <c r="L75" s="53"/>
      <c r="M75" s="54"/>
      <c r="N75" s="54"/>
      <c r="O75" s="53"/>
    </row>
    <row r="76" s="13" customFormat="1" ht="18" customHeight="1" spans="1:15">
      <c r="A76" s="40"/>
      <c r="B76" s="100">
        <f t="shared" si="7"/>
        <v>0</v>
      </c>
      <c r="C76" s="41"/>
      <c r="D76" s="42"/>
      <c r="E76" s="43"/>
      <c r="F76" s="100">
        <f t="shared" si="5"/>
        <v>0</v>
      </c>
      <c r="G76" s="97"/>
      <c r="H76" s="23">
        <v>43354</v>
      </c>
      <c r="I76" s="101">
        <v>-30000</v>
      </c>
      <c r="J76" s="54" t="s">
        <v>36</v>
      </c>
      <c r="K76" s="52" t="s">
        <v>37</v>
      </c>
      <c r="L76" s="53"/>
      <c r="M76" s="54"/>
      <c r="N76" s="54"/>
      <c r="O76" s="53"/>
    </row>
    <row r="77" s="13" customFormat="1" ht="18" customHeight="1" spans="1:15">
      <c r="A77" s="40"/>
      <c r="B77" s="100">
        <f t="shared" si="7"/>
        <v>0</v>
      </c>
      <c r="C77" s="41"/>
      <c r="D77" s="42"/>
      <c r="E77" s="43"/>
      <c r="F77" s="100">
        <f t="shared" si="5"/>
        <v>0</v>
      </c>
      <c r="G77" s="97"/>
      <c r="H77" s="23">
        <v>43354</v>
      </c>
      <c r="I77" s="101">
        <v>10000</v>
      </c>
      <c r="J77" s="54" t="s">
        <v>39</v>
      </c>
      <c r="K77" s="52" t="s">
        <v>108</v>
      </c>
      <c r="L77" s="53"/>
      <c r="M77" s="54"/>
      <c r="N77" s="54"/>
      <c r="O77" s="53"/>
    </row>
    <row r="78" s="13" customFormat="1" ht="18" customHeight="1" spans="1:15">
      <c r="A78" s="40"/>
      <c r="B78" s="100">
        <f t="shared" si="7"/>
        <v>0</v>
      </c>
      <c r="C78" s="41"/>
      <c r="D78" s="42"/>
      <c r="E78" s="43"/>
      <c r="F78" s="100">
        <f t="shared" si="5"/>
        <v>0</v>
      </c>
      <c r="G78" s="97"/>
      <c r="H78" s="23">
        <v>43354</v>
      </c>
      <c r="I78" s="101">
        <v>-10000</v>
      </c>
      <c r="J78" s="54" t="s">
        <v>36</v>
      </c>
      <c r="K78" s="52" t="s">
        <v>37</v>
      </c>
      <c r="L78" s="53"/>
      <c r="M78" s="54"/>
      <c r="N78" s="54"/>
      <c r="O78" s="53"/>
    </row>
    <row r="79" s="13" customFormat="1" ht="18" customHeight="1" spans="1:15">
      <c r="A79" s="40"/>
      <c r="B79" s="100">
        <f t="shared" si="7"/>
        <v>0</v>
      </c>
      <c r="C79" s="41"/>
      <c r="D79" s="42"/>
      <c r="E79" s="43"/>
      <c r="F79" s="100">
        <f t="shared" si="5"/>
        <v>0</v>
      </c>
      <c r="G79" s="97"/>
      <c r="H79" s="23">
        <v>43356</v>
      </c>
      <c r="I79" s="101">
        <v>30000</v>
      </c>
      <c r="J79" s="54" t="s">
        <v>39</v>
      </c>
      <c r="K79" s="52" t="s">
        <v>110</v>
      </c>
      <c r="L79" s="53" t="s">
        <v>99</v>
      </c>
      <c r="M79" s="54"/>
      <c r="N79" s="54"/>
      <c r="O79" s="53"/>
    </row>
    <row r="80" s="13" customFormat="1" ht="18" customHeight="1" spans="1:15">
      <c r="A80" s="40"/>
      <c r="B80" s="100">
        <f t="shared" si="7"/>
        <v>0</v>
      </c>
      <c r="C80" s="41"/>
      <c r="D80" s="42"/>
      <c r="E80" s="43"/>
      <c r="F80" s="100">
        <f t="shared" si="5"/>
        <v>0</v>
      </c>
      <c r="G80" s="97"/>
      <c r="H80" s="23">
        <v>43355</v>
      </c>
      <c r="I80" s="101">
        <v>-22080</v>
      </c>
      <c r="J80" s="54" t="s">
        <v>36</v>
      </c>
      <c r="K80" s="52" t="s">
        <v>37</v>
      </c>
      <c r="L80" s="53"/>
      <c r="M80" s="54"/>
      <c r="N80" s="54"/>
      <c r="O80" s="53"/>
    </row>
    <row r="81" s="13" customFormat="1" ht="18" customHeight="1" spans="1:15">
      <c r="A81" s="40"/>
      <c r="B81" s="100">
        <f t="shared" si="7"/>
        <v>0</v>
      </c>
      <c r="C81" s="41"/>
      <c r="D81" s="42"/>
      <c r="E81" s="43"/>
      <c r="F81" s="100">
        <f t="shared" si="5"/>
        <v>0</v>
      </c>
      <c r="G81" s="97"/>
      <c r="H81" s="23">
        <v>43361</v>
      </c>
      <c r="I81" s="101">
        <v>1950</v>
      </c>
      <c r="J81" s="54" t="s">
        <v>39</v>
      </c>
      <c r="K81" s="52" t="s">
        <v>110</v>
      </c>
      <c r="L81" s="53" t="s">
        <v>99</v>
      </c>
      <c r="M81" s="54"/>
      <c r="N81" s="54"/>
      <c r="O81" s="53"/>
    </row>
    <row r="82" s="13" customFormat="1" ht="18" customHeight="1" spans="1:15">
      <c r="A82" s="40"/>
      <c r="B82" s="100">
        <f t="shared" si="7"/>
        <v>0</v>
      </c>
      <c r="C82" s="41"/>
      <c r="D82" s="42"/>
      <c r="E82" s="43"/>
      <c r="F82" s="100">
        <f t="shared" ref="F82:F91" si="8">ROUND(G82/(1+E82)*E82,2)</f>
        <v>0</v>
      </c>
      <c r="G82" s="97"/>
      <c r="H82" s="23">
        <v>43361</v>
      </c>
      <c r="I82" s="101">
        <v>-1950</v>
      </c>
      <c r="J82" s="54" t="s">
        <v>36</v>
      </c>
      <c r="K82" s="52" t="s">
        <v>37</v>
      </c>
      <c r="L82" s="53"/>
      <c r="M82" s="54"/>
      <c r="N82" s="54"/>
      <c r="O82" s="53"/>
    </row>
    <row r="83" s="13" customFormat="1" ht="18" customHeight="1" spans="1:15">
      <c r="A83" s="40">
        <v>43344</v>
      </c>
      <c r="B83" s="100">
        <f t="shared" si="7"/>
        <v>20301.72</v>
      </c>
      <c r="C83" s="41"/>
      <c r="D83" s="42" t="s">
        <v>46</v>
      </c>
      <c r="E83" s="43">
        <v>0.16</v>
      </c>
      <c r="F83" s="100">
        <f t="shared" si="8"/>
        <v>3248.28</v>
      </c>
      <c r="G83" s="97">
        <v>23550</v>
      </c>
      <c r="H83" s="23">
        <v>43362</v>
      </c>
      <c r="I83" s="101">
        <v>23550</v>
      </c>
      <c r="J83" s="54" t="s">
        <v>39</v>
      </c>
      <c r="K83" s="52" t="s">
        <v>111</v>
      </c>
      <c r="L83" s="53" t="s">
        <v>107</v>
      </c>
      <c r="M83" s="54"/>
      <c r="N83" s="54"/>
      <c r="O83" s="53"/>
    </row>
    <row r="84" s="13" customFormat="1" ht="18" customHeight="1" spans="1:15">
      <c r="A84" s="40"/>
      <c r="B84" s="100">
        <f t="shared" si="7"/>
        <v>0</v>
      </c>
      <c r="C84" s="41"/>
      <c r="D84" s="42"/>
      <c r="E84" s="43"/>
      <c r="F84" s="100">
        <f t="shared" si="8"/>
        <v>0</v>
      </c>
      <c r="G84" s="97"/>
      <c r="H84" s="23">
        <v>43362</v>
      </c>
      <c r="I84" s="101">
        <v>-23550</v>
      </c>
      <c r="J84" s="54" t="s">
        <v>36</v>
      </c>
      <c r="K84" s="52" t="s">
        <v>37</v>
      </c>
      <c r="L84" s="53"/>
      <c r="M84" s="54"/>
      <c r="N84" s="54"/>
      <c r="O84" s="53"/>
    </row>
    <row r="85" s="13" customFormat="1" ht="18" customHeight="1" spans="1:15">
      <c r="A85" s="57">
        <v>43344</v>
      </c>
      <c r="B85" s="100">
        <f t="shared" si="7"/>
        <v>65062.14</v>
      </c>
      <c r="C85" s="41"/>
      <c r="D85" s="42" t="s">
        <v>46</v>
      </c>
      <c r="E85" s="43">
        <v>0.03</v>
      </c>
      <c r="F85" s="100">
        <f t="shared" si="8"/>
        <v>1951.86</v>
      </c>
      <c r="G85" s="97">
        <v>67014</v>
      </c>
      <c r="H85" s="23">
        <v>43363</v>
      </c>
      <c r="I85" s="101">
        <v>50000</v>
      </c>
      <c r="J85" s="54" t="s">
        <v>39</v>
      </c>
      <c r="K85" s="52" t="s">
        <v>112</v>
      </c>
      <c r="L85" s="53" t="s">
        <v>95</v>
      </c>
      <c r="M85" s="54"/>
      <c r="N85" s="54"/>
      <c r="O85" s="53"/>
    </row>
    <row r="86" s="13" customFormat="1" ht="18" customHeight="1" spans="1:15">
      <c r="A86" s="40"/>
      <c r="B86" s="100">
        <f t="shared" si="7"/>
        <v>0</v>
      </c>
      <c r="C86" s="41"/>
      <c r="D86" s="42"/>
      <c r="E86" s="43"/>
      <c r="F86" s="100">
        <f t="shared" si="8"/>
        <v>0</v>
      </c>
      <c r="G86" s="97"/>
      <c r="H86" s="23">
        <v>43363</v>
      </c>
      <c r="I86" s="101">
        <v>-50000</v>
      </c>
      <c r="J86" s="54" t="s">
        <v>36</v>
      </c>
      <c r="K86" s="52" t="s">
        <v>37</v>
      </c>
      <c r="L86" s="53"/>
      <c r="M86" s="54"/>
      <c r="N86" s="54"/>
      <c r="O86" s="53"/>
    </row>
    <row r="87" s="13" customFormat="1" ht="18" customHeight="1" spans="1:15">
      <c r="A87" s="40"/>
      <c r="B87" s="100">
        <f t="shared" si="7"/>
        <v>0</v>
      </c>
      <c r="C87" s="41"/>
      <c r="D87" s="42"/>
      <c r="E87" s="43"/>
      <c r="F87" s="100">
        <f t="shared" si="8"/>
        <v>0</v>
      </c>
      <c r="G87" s="97"/>
      <c r="H87" s="23">
        <v>43364</v>
      </c>
      <c r="I87" s="101">
        <v>17000</v>
      </c>
      <c r="J87" s="54" t="s">
        <v>39</v>
      </c>
      <c r="K87" s="52" t="s">
        <v>112</v>
      </c>
      <c r="L87" s="53" t="s">
        <v>95</v>
      </c>
      <c r="M87" s="54"/>
      <c r="N87" s="54"/>
      <c r="O87" s="53"/>
    </row>
    <row r="88" s="13" customFormat="1" ht="18" customHeight="1" spans="1:15">
      <c r="A88" s="40"/>
      <c r="B88" s="100">
        <f t="shared" si="7"/>
        <v>0</v>
      </c>
      <c r="C88" s="41"/>
      <c r="D88" s="42"/>
      <c r="E88" s="43"/>
      <c r="F88" s="100">
        <f t="shared" si="8"/>
        <v>0</v>
      </c>
      <c r="G88" s="97"/>
      <c r="H88" s="23">
        <v>43364</v>
      </c>
      <c r="I88" s="101">
        <v>-17000</v>
      </c>
      <c r="J88" s="54" t="s">
        <v>36</v>
      </c>
      <c r="K88" s="52" t="s">
        <v>37</v>
      </c>
      <c r="L88" s="53"/>
      <c r="M88" s="54"/>
      <c r="N88" s="54"/>
      <c r="O88" s="53"/>
    </row>
    <row r="89" s="13" customFormat="1" ht="18" customHeight="1" spans="1:15">
      <c r="A89" s="40"/>
      <c r="B89" s="100">
        <f t="shared" si="7"/>
        <v>0</v>
      </c>
      <c r="C89" s="41"/>
      <c r="D89" s="42"/>
      <c r="E89" s="43"/>
      <c r="F89" s="100">
        <f t="shared" si="8"/>
        <v>0</v>
      </c>
      <c r="G89" s="97"/>
      <c r="H89" s="23">
        <v>43364</v>
      </c>
      <c r="I89" s="101">
        <v>20240</v>
      </c>
      <c r="J89" s="54" t="s">
        <v>39</v>
      </c>
      <c r="K89" s="52" t="s">
        <v>110</v>
      </c>
      <c r="L89" s="53" t="s">
        <v>99</v>
      </c>
      <c r="M89" s="54"/>
      <c r="N89" s="54"/>
      <c r="O89" s="53"/>
    </row>
    <row r="90" s="13" customFormat="1" ht="18" customHeight="1" spans="1:15">
      <c r="A90" s="40"/>
      <c r="B90" s="100">
        <f t="shared" si="7"/>
        <v>0</v>
      </c>
      <c r="C90" s="41"/>
      <c r="D90" s="42"/>
      <c r="E90" s="43"/>
      <c r="F90" s="100">
        <f t="shared" si="8"/>
        <v>0</v>
      </c>
      <c r="G90" s="97"/>
      <c r="H90" s="23">
        <v>43364</v>
      </c>
      <c r="I90" s="101">
        <v>-20240</v>
      </c>
      <c r="J90" s="54" t="s">
        <v>36</v>
      </c>
      <c r="K90" s="52" t="s">
        <v>37</v>
      </c>
      <c r="L90" s="53"/>
      <c r="M90" s="54"/>
      <c r="N90" s="54"/>
      <c r="O90" s="53"/>
    </row>
    <row r="91" s="13" customFormat="1" ht="18" customHeight="1" spans="1:15">
      <c r="A91" s="40">
        <v>43344</v>
      </c>
      <c r="B91" s="100">
        <f t="shared" si="7"/>
        <v>1034.48</v>
      </c>
      <c r="C91" s="41"/>
      <c r="D91" s="42" t="s">
        <v>46</v>
      </c>
      <c r="E91" s="43">
        <v>0.16</v>
      </c>
      <c r="F91" s="100">
        <f t="shared" si="8"/>
        <v>165.52</v>
      </c>
      <c r="G91" s="97">
        <v>1200</v>
      </c>
      <c r="H91" s="23"/>
      <c r="I91" s="101"/>
      <c r="J91" s="54"/>
      <c r="K91" s="53" t="s">
        <v>113</v>
      </c>
      <c r="L91" s="53" t="s">
        <v>113</v>
      </c>
      <c r="M91" s="54"/>
      <c r="N91" s="54"/>
      <c r="O91" s="53"/>
    </row>
    <row r="92" s="13" customFormat="1" ht="18" customHeight="1" spans="1:15">
      <c r="A92" s="40"/>
      <c r="B92" s="100"/>
      <c r="C92" s="41"/>
      <c r="D92" s="42"/>
      <c r="E92" s="43"/>
      <c r="F92" s="100"/>
      <c r="G92" s="97"/>
      <c r="H92" s="23"/>
      <c r="I92" s="101"/>
      <c r="J92" s="54"/>
      <c r="K92" s="52"/>
      <c r="L92" s="53"/>
      <c r="M92" s="54"/>
      <c r="N92" s="54"/>
      <c r="O92" s="53"/>
    </row>
    <row r="93" s="13" customFormat="1" ht="18" customHeight="1" spans="1:15">
      <c r="A93" s="40"/>
      <c r="B93" s="100">
        <f t="shared" ref="B93:B107" si="9">ROUND(G93/(1+E93),2)</f>
        <v>960</v>
      </c>
      <c r="C93" s="41"/>
      <c r="D93" s="42" t="s">
        <v>88</v>
      </c>
      <c r="E93" s="43"/>
      <c r="F93" s="100">
        <f t="shared" ref="F93:F156" si="10">ROUND(G93/(1+E93)*E93,2)</f>
        <v>0</v>
      </c>
      <c r="G93" s="97">
        <v>960</v>
      </c>
      <c r="H93" s="23"/>
      <c r="I93" s="101"/>
      <c r="J93" s="54"/>
      <c r="K93" s="52" t="s">
        <v>114</v>
      </c>
      <c r="L93" s="53" t="s">
        <v>102</v>
      </c>
      <c r="M93" s="54"/>
      <c r="N93" s="54"/>
      <c r="O93" s="53"/>
    </row>
    <row r="94" s="13" customFormat="1" ht="18" customHeight="1" spans="1:15">
      <c r="A94" s="40"/>
      <c r="B94" s="100">
        <f t="shared" si="9"/>
        <v>3630</v>
      </c>
      <c r="C94" s="41"/>
      <c r="D94" s="42" t="s">
        <v>88</v>
      </c>
      <c r="E94" s="43"/>
      <c r="F94" s="100">
        <f t="shared" si="10"/>
        <v>0</v>
      </c>
      <c r="G94" s="97">
        <v>3630</v>
      </c>
      <c r="H94" s="23"/>
      <c r="I94" s="101"/>
      <c r="J94" s="54"/>
      <c r="K94" s="52"/>
      <c r="L94" s="53" t="s">
        <v>48</v>
      </c>
      <c r="M94" s="54"/>
      <c r="N94" s="54"/>
      <c r="O94" s="53"/>
    </row>
    <row r="95" s="13" customFormat="1" ht="18" customHeight="1" spans="1:15">
      <c r="A95" s="40"/>
      <c r="B95" s="100">
        <f t="shared" si="9"/>
        <v>860</v>
      </c>
      <c r="C95" s="41"/>
      <c r="D95" s="42" t="s">
        <v>88</v>
      </c>
      <c r="E95" s="43"/>
      <c r="F95" s="100">
        <f t="shared" si="10"/>
        <v>0</v>
      </c>
      <c r="G95" s="97">
        <v>860</v>
      </c>
      <c r="H95" s="23"/>
      <c r="I95" s="101"/>
      <c r="J95" s="54"/>
      <c r="K95" s="52" t="s">
        <v>115</v>
      </c>
      <c r="L95" s="53" t="s">
        <v>89</v>
      </c>
      <c r="M95" s="54"/>
      <c r="N95" s="54"/>
      <c r="O95" s="53"/>
    </row>
    <row r="96" s="13" customFormat="1" ht="18" customHeight="1" spans="1:15">
      <c r="A96" s="40"/>
      <c r="B96" s="100">
        <f t="shared" si="9"/>
        <v>15560.84</v>
      </c>
      <c r="C96" s="41"/>
      <c r="D96" s="42" t="s">
        <v>88</v>
      </c>
      <c r="E96" s="43"/>
      <c r="F96" s="100">
        <f t="shared" si="10"/>
        <v>0</v>
      </c>
      <c r="G96" s="97">
        <v>15560.84</v>
      </c>
      <c r="H96" s="23"/>
      <c r="I96" s="101"/>
      <c r="J96" s="54"/>
      <c r="K96" s="52"/>
      <c r="L96" s="53" t="s">
        <v>51</v>
      </c>
      <c r="M96" s="54"/>
      <c r="N96" s="54"/>
      <c r="O96" s="53"/>
    </row>
    <row r="97" s="13" customFormat="1" ht="18" customHeight="1" spans="1:15">
      <c r="A97" s="40">
        <v>43344</v>
      </c>
      <c r="B97" s="100">
        <f t="shared" si="9"/>
        <v>44991.38</v>
      </c>
      <c r="C97" s="41"/>
      <c r="D97" s="42" t="s">
        <v>46</v>
      </c>
      <c r="E97" s="43">
        <v>0.16</v>
      </c>
      <c r="F97" s="100">
        <f t="shared" si="10"/>
        <v>7198.62</v>
      </c>
      <c r="G97" s="97">
        <v>52190</v>
      </c>
      <c r="H97" s="23"/>
      <c r="I97" s="101"/>
      <c r="J97" s="54"/>
      <c r="K97" s="52" t="s">
        <v>110</v>
      </c>
      <c r="L97" s="53" t="s">
        <v>99</v>
      </c>
      <c r="M97" s="54"/>
      <c r="N97" s="54"/>
      <c r="O97" s="53"/>
    </row>
    <row r="98" s="13" customFormat="1" ht="18" customHeight="1" spans="1:15">
      <c r="A98" s="40"/>
      <c r="B98" s="100">
        <f t="shared" si="9"/>
        <v>0</v>
      </c>
      <c r="C98" s="41"/>
      <c r="D98" s="42"/>
      <c r="E98" s="43"/>
      <c r="F98" s="100">
        <f t="shared" si="10"/>
        <v>0</v>
      </c>
      <c r="G98" s="97"/>
      <c r="H98" s="102">
        <v>43371</v>
      </c>
      <c r="I98" s="101">
        <v>418789.47</v>
      </c>
      <c r="J98" s="103" t="s">
        <v>36</v>
      </c>
      <c r="K98" s="60" t="s">
        <v>37</v>
      </c>
      <c r="L98" s="61" t="s">
        <v>116</v>
      </c>
      <c r="M98" s="54"/>
      <c r="N98" s="54"/>
      <c r="O98" s="53"/>
    </row>
    <row r="99" s="13" customFormat="1" ht="18" customHeight="1" spans="1:15">
      <c r="A99" s="40"/>
      <c r="B99" s="100">
        <f t="shared" si="9"/>
        <v>0</v>
      </c>
      <c r="C99" s="41"/>
      <c r="D99" s="42"/>
      <c r="E99" s="43"/>
      <c r="F99" s="100">
        <f t="shared" si="10"/>
        <v>0</v>
      </c>
      <c r="G99" s="97"/>
      <c r="H99" s="102">
        <v>43371</v>
      </c>
      <c r="I99" s="101">
        <v>21926</v>
      </c>
      <c r="J99" s="103" t="s">
        <v>39</v>
      </c>
      <c r="K99" s="60" t="s">
        <v>42</v>
      </c>
      <c r="L99" s="61" t="s">
        <v>93</v>
      </c>
      <c r="M99" s="54"/>
      <c r="N99" s="54"/>
      <c r="O99" s="53"/>
    </row>
    <row r="100" s="13" customFormat="1" ht="18" customHeight="1" spans="1:15">
      <c r="A100" s="40">
        <v>43374</v>
      </c>
      <c r="B100" s="100">
        <f t="shared" si="9"/>
        <v>200000</v>
      </c>
      <c r="C100" s="41">
        <v>2</v>
      </c>
      <c r="D100" s="42" t="s">
        <v>54</v>
      </c>
      <c r="E100" s="43"/>
      <c r="F100" s="100">
        <f t="shared" si="10"/>
        <v>0</v>
      </c>
      <c r="G100" s="97">
        <f>100000*2</f>
        <v>200000</v>
      </c>
      <c r="H100" s="102"/>
      <c r="I100" s="101"/>
      <c r="J100" s="103"/>
      <c r="K100" s="60" t="s">
        <v>117</v>
      </c>
      <c r="L100" s="61" t="s">
        <v>118</v>
      </c>
      <c r="M100" s="54"/>
      <c r="N100" s="54"/>
      <c r="O100" s="53"/>
    </row>
    <row r="101" s="13" customFormat="1" ht="18" customHeight="1" spans="1:15">
      <c r="A101" s="40">
        <v>43374</v>
      </c>
      <c r="B101" s="100">
        <f t="shared" si="9"/>
        <v>200000</v>
      </c>
      <c r="C101" s="41">
        <v>2</v>
      </c>
      <c r="D101" s="42" t="s">
        <v>54</v>
      </c>
      <c r="E101" s="43"/>
      <c r="F101" s="100">
        <f t="shared" si="10"/>
        <v>0</v>
      </c>
      <c r="G101" s="97">
        <f>100000*2</f>
        <v>200000</v>
      </c>
      <c r="H101" s="102"/>
      <c r="I101" s="101"/>
      <c r="J101" s="103"/>
      <c r="K101" s="60" t="s">
        <v>119</v>
      </c>
      <c r="L101" s="61" t="s">
        <v>120</v>
      </c>
      <c r="M101" s="54"/>
      <c r="N101" s="54"/>
      <c r="O101" s="53"/>
    </row>
    <row r="102" s="13" customFormat="1" ht="18" customHeight="1" spans="1:16">
      <c r="A102" s="40">
        <v>43374</v>
      </c>
      <c r="B102" s="100">
        <f t="shared" si="9"/>
        <v>31886.21</v>
      </c>
      <c r="C102" s="41"/>
      <c r="D102" s="42" t="s">
        <v>46</v>
      </c>
      <c r="E102" s="43">
        <v>0.16</v>
      </c>
      <c r="F102" s="100">
        <f t="shared" si="10"/>
        <v>5101.79</v>
      </c>
      <c r="G102" s="97">
        <v>36988</v>
      </c>
      <c r="H102" s="102">
        <v>43383</v>
      </c>
      <c r="I102" s="101">
        <v>36988</v>
      </c>
      <c r="J102" s="103" t="s">
        <v>39</v>
      </c>
      <c r="K102" s="60" t="s">
        <v>41</v>
      </c>
      <c r="L102" s="61" t="s">
        <v>121</v>
      </c>
      <c r="M102" s="54"/>
      <c r="N102" s="54"/>
      <c r="O102" s="53"/>
      <c r="P102" s="13" t="s">
        <v>122</v>
      </c>
    </row>
    <row r="103" s="13" customFormat="1" ht="18" customHeight="1" spans="1:15">
      <c r="A103" s="40">
        <v>43374</v>
      </c>
      <c r="B103" s="100">
        <f t="shared" si="9"/>
        <v>102876.4</v>
      </c>
      <c r="C103" s="41">
        <v>1</v>
      </c>
      <c r="D103" s="42" t="s">
        <v>54</v>
      </c>
      <c r="E103" s="43"/>
      <c r="F103" s="100">
        <f t="shared" si="10"/>
        <v>0</v>
      </c>
      <c r="G103" s="97">
        <v>102876.4</v>
      </c>
      <c r="H103" s="102"/>
      <c r="I103" s="101"/>
      <c r="J103" s="103"/>
      <c r="K103" s="60" t="s">
        <v>123</v>
      </c>
      <c r="L103" s="61" t="s">
        <v>99</v>
      </c>
      <c r="M103" s="54"/>
      <c r="N103" s="54"/>
      <c r="O103" s="53"/>
    </row>
    <row r="104" s="13" customFormat="1" ht="18" customHeight="1" spans="1:15">
      <c r="A104" s="40"/>
      <c r="B104" s="100">
        <f t="shared" si="9"/>
        <v>0</v>
      </c>
      <c r="C104" s="41"/>
      <c r="D104" s="42"/>
      <c r="E104" s="43"/>
      <c r="F104" s="100">
        <f t="shared" si="10"/>
        <v>0</v>
      </c>
      <c r="G104" s="97"/>
      <c r="H104" s="102">
        <v>43385</v>
      </c>
      <c r="I104" s="101">
        <v>4018</v>
      </c>
      <c r="J104" s="103" t="s">
        <v>39</v>
      </c>
      <c r="K104" s="60" t="s">
        <v>42</v>
      </c>
      <c r="L104" s="61" t="s">
        <v>93</v>
      </c>
      <c r="M104" s="54"/>
      <c r="N104" s="54"/>
      <c r="O104" s="53"/>
    </row>
    <row r="105" s="13" customFormat="1" ht="18" customHeight="1" spans="1:15">
      <c r="A105" s="40"/>
      <c r="B105" s="100">
        <f t="shared" si="9"/>
        <v>0</v>
      </c>
      <c r="C105" s="41"/>
      <c r="D105" s="42"/>
      <c r="E105" s="43"/>
      <c r="F105" s="100">
        <f t="shared" si="10"/>
        <v>0</v>
      </c>
      <c r="G105" s="97"/>
      <c r="H105" s="102">
        <v>43385</v>
      </c>
      <c r="I105" s="101">
        <v>283122.56</v>
      </c>
      <c r="J105" s="103" t="s">
        <v>36</v>
      </c>
      <c r="K105" s="60" t="s">
        <v>37</v>
      </c>
      <c r="L105" s="61" t="s">
        <v>124</v>
      </c>
      <c r="M105" s="54"/>
      <c r="N105" s="54"/>
      <c r="O105" s="53"/>
    </row>
    <row r="106" s="13" customFormat="1" ht="18" customHeight="1" spans="1:15">
      <c r="A106" s="40"/>
      <c r="B106" s="100">
        <f t="shared" si="9"/>
        <v>0</v>
      </c>
      <c r="C106" s="41"/>
      <c r="D106" s="42"/>
      <c r="E106" s="43"/>
      <c r="F106" s="100">
        <f t="shared" si="10"/>
        <v>0</v>
      </c>
      <c r="G106" s="97"/>
      <c r="H106" s="102">
        <v>43391</v>
      </c>
      <c r="I106" s="101">
        <v>30000</v>
      </c>
      <c r="J106" s="103" t="s">
        <v>39</v>
      </c>
      <c r="K106" s="60" t="s">
        <v>125</v>
      </c>
      <c r="L106" s="61" t="s">
        <v>95</v>
      </c>
      <c r="M106" s="54"/>
      <c r="N106" s="54"/>
      <c r="O106" s="53"/>
    </row>
    <row r="107" s="13" customFormat="1" ht="18" customHeight="1" spans="1:15">
      <c r="A107" s="40"/>
      <c r="B107" s="100">
        <f t="shared" si="9"/>
        <v>0</v>
      </c>
      <c r="C107" s="41"/>
      <c r="D107" s="42"/>
      <c r="E107" s="43"/>
      <c r="F107" s="100">
        <f t="shared" si="10"/>
        <v>0</v>
      </c>
      <c r="G107" s="97"/>
      <c r="H107" s="102">
        <v>43391</v>
      </c>
      <c r="I107" s="101">
        <v>-30000</v>
      </c>
      <c r="J107" s="103" t="s">
        <v>36</v>
      </c>
      <c r="K107" s="60" t="s">
        <v>37</v>
      </c>
      <c r="L107" s="61"/>
      <c r="M107" s="54"/>
      <c r="N107" s="54"/>
      <c r="O107" s="53"/>
    </row>
    <row r="108" s="13" customFormat="1" ht="18" customHeight="1" spans="1:15">
      <c r="A108" s="40"/>
      <c r="B108" s="100"/>
      <c r="C108" s="41"/>
      <c r="D108" s="42"/>
      <c r="E108" s="43"/>
      <c r="F108" s="100">
        <f t="shared" si="10"/>
        <v>0</v>
      </c>
      <c r="G108" s="97"/>
      <c r="H108" s="102">
        <v>43397</v>
      </c>
      <c r="I108" s="101">
        <v>20000</v>
      </c>
      <c r="J108" s="103" t="s">
        <v>39</v>
      </c>
      <c r="K108" s="60" t="s">
        <v>125</v>
      </c>
      <c r="L108" s="61" t="s">
        <v>95</v>
      </c>
      <c r="M108" s="54"/>
      <c r="N108" s="54"/>
      <c r="O108" s="53"/>
    </row>
    <row r="109" s="13" customFormat="1" ht="18" customHeight="1" spans="1:15">
      <c r="A109" s="40"/>
      <c r="B109" s="100"/>
      <c r="C109" s="41"/>
      <c r="D109" s="42"/>
      <c r="E109" s="43"/>
      <c r="F109" s="100">
        <f t="shared" si="10"/>
        <v>0</v>
      </c>
      <c r="G109" s="97"/>
      <c r="H109" s="102">
        <v>43397</v>
      </c>
      <c r="I109" s="101">
        <v>-20000</v>
      </c>
      <c r="J109" s="103" t="s">
        <v>36</v>
      </c>
      <c r="K109" s="60" t="s">
        <v>37</v>
      </c>
      <c r="L109" s="61"/>
      <c r="M109" s="54"/>
      <c r="N109" s="54"/>
      <c r="O109" s="53"/>
    </row>
    <row r="110" s="13" customFormat="1" ht="18" customHeight="1" spans="1:15">
      <c r="A110" s="40"/>
      <c r="B110" s="100"/>
      <c r="C110" s="41"/>
      <c r="D110" s="42"/>
      <c r="E110" s="43"/>
      <c r="F110" s="100">
        <f t="shared" si="10"/>
        <v>0</v>
      </c>
      <c r="G110" s="97"/>
      <c r="H110" s="102">
        <v>43402</v>
      </c>
      <c r="I110" s="101">
        <v>50000</v>
      </c>
      <c r="J110" s="103" t="s">
        <v>39</v>
      </c>
      <c r="K110" s="60" t="s">
        <v>42</v>
      </c>
      <c r="L110" s="61" t="s">
        <v>93</v>
      </c>
      <c r="M110" s="54"/>
      <c r="N110" s="54"/>
      <c r="O110" s="53"/>
    </row>
    <row r="111" s="13" customFormat="1" ht="18" customHeight="1" spans="1:15">
      <c r="A111" s="40"/>
      <c r="B111" s="100"/>
      <c r="C111" s="41"/>
      <c r="D111" s="42"/>
      <c r="E111" s="43"/>
      <c r="F111" s="100">
        <f t="shared" si="10"/>
        <v>0</v>
      </c>
      <c r="G111" s="97"/>
      <c r="H111" s="102">
        <v>43402</v>
      </c>
      <c r="I111" s="101">
        <v>-50000</v>
      </c>
      <c r="J111" s="103" t="s">
        <v>36</v>
      </c>
      <c r="K111" s="60" t="s">
        <v>37</v>
      </c>
      <c r="L111" s="61" t="s">
        <v>124</v>
      </c>
      <c r="M111" s="54"/>
      <c r="N111" s="54"/>
      <c r="O111" s="53"/>
    </row>
    <row r="112" s="13" customFormat="1" ht="18" customHeight="1" spans="1:15">
      <c r="A112" s="40"/>
      <c r="B112" s="100"/>
      <c r="C112" s="41"/>
      <c r="D112" s="42"/>
      <c r="E112" s="43"/>
      <c r="F112" s="100">
        <f t="shared" si="10"/>
        <v>0</v>
      </c>
      <c r="G112" s="97"/>
      <c r="H112" s="102">
        <v>43404</v>
      </c>
      <c r="I112" s="101">
        <v>30000</v>
      </c>
      <c r="J112" s="103" t="s">
        <v>39</v>
      </c>
      <c r="K112" s="60" t="s">
        <v>125</v>
      </c>
      <c r="L112" s="61" t="s">
        <v>95</v>
      </c>
      <c r="M112" s="54"/>
      <c r="N112" s="54"/>
      <c r="O112" s="53"/>
    </row>
    <row r="113" s="13" customFormat="1" ht="18" customHeight="1" spans="1:15">
      <c r="A113" s="40"/>
      <c r="B113" s="100"/>
      <c r="C113" s="41"/>
      <c r="D113" s="42"/>
      <c r="E113" s="43"/>
      <c r="F113" s="100">
        <f t="shared" si="10"/>
        <v>0</v>
      </c>
      <c r="G113" s="97"/>
      <c r="H113" s="102">
        <v>43404</v>
      </c>
      <c r="I113" s="101">
        <v>-30000</v>
      </c>
      <c r="J113" s="103" t="s">
        <v>36</v>
      </c>
      <c r="K113" s="60" t="s">
        <v>37</v>
      </c>
      <c r="L113" s="61"/>
      <c r="M113" s="54"/>
      <c r="N113" s="54"/>
      <c r="O113" s="53"/>
    </row>
    <row r="114" s="13" customFormat="1" ht="18" customHeight="1" spans="1:15">
      <c r="A114" s="40">
        <v>43405</v>
      </c>
      <c r="B114" s="100">
        <f t="shared" ref="B114:B154" si="11">ROUND(G114/(1+E114),2)</f>
        <v>209000</v>
      </c>
      <c r="C114" s="41"/>
      <c r="D114" s="42" t="s">
        <v>88</v>
      </c>
      <c r="E114" s="43"/>
      <c r="F114" s="100">
        <f t="shared" si="10"/>
        <v>0</v>
      </c>
      <c r="G114" s="97">
        <v>209000</v>
      </c>
      <c r="H114" s="102">
        <v>43426</v>
      </c>
      <c r="I114" s="101"/>
      <c r="J114" s="54" t="s">
        <v>39</v>
      </c>
      <c r="K114" s="60" t="s">
        <v>90</v>
      </c>
      <c r="L114" s="61" t="s">
        <v>109</v>
      </c>
      <c r="M114" s="54"/>
      <c r="N114" s="54"/>
      <c r="O114" s="63" t="s">
        <v>126</v>
      </c>
    </row>
    <row r="115" s="13" customFormat="1" ht="18" customHeight="1" spans="1:15">
      <c r="A115" s="40">
        <v>43405</v>
      </c>
      <c r="B115" s="100">
        <f t="shared" si="11"/>
        <v>40300</v>
      </c>
      <c r="C115" s="41"/>
      <c r="D115" s="42" t="s">
        <v>88</v>
      </c>
      <c r="E115" s="43"/>
      <c r="F115" s="100">
        <f t="shared" si="10"/>
        <v>0</v>
      </c>
      <c r="G115" s="97">
        <f>10000*2+4300+8000*2</f>
        <v>40300</v>
      </c>
      <c r="H115" s="102">
        <v>43399</v>
      </c>
      <c r="I115" s="101">
        <v>40000</v>
      </c>
      <c r="J115" s="54" t="s">
        <v>39</v>
      </c>
      <c r="K115" s="60" t="s">
        <v>90</v>
      </c>
      <c r="L115" s="61" t="s">
        <v>109</v>
      </c>
      <c r="M115" s="54"/>
      <c r="N115" s="54"/>
      <c r="O115" s="53"/>
    </row>
    <row r="116" s="13" customFormat="1" ht="18" customHeight="1" spans="1:15">
      <c r="A116" s="40"/>
      <c r="B116" s="100"/>
      <c r="C116" s="41"/>
      <c r="D116" s="42"/>
      <c r="E116" s="43"/>
      <c r="F116" s="100">
        <f t="shared" si="10"/>
        <v>0</v>
      </c>
      <c r="G116" s="97"/>
      <c r="H116" s="102">
        <v>43399</v>
      </c>
      <c r="I116" s="101">
        <v>-40000</v>
      </c>
      <c r="J116" s="54" t="s">
        <v>36</v>
      </c>
      <c r="K116" s="60" t="s">
        <v>37</v>
      </c>
      <c r="L116" s="61"/>
      <c r="M116" s="54"/>
      <c r="N116" s="54"/>
      <c r="O116" s="53"/>
    </row>
    <row r="117" s="13" customFormat="1" ht="18" customHeight="1" spans="1:15">
      <c r="A117" s="40"/>
      <c r="B117" s="100">
        <f t="shared" si="11"/>
        <v>0</v>
      </c>
      <c r="C117" s="41"/>
      <c r="D117" s="42"/>
      <c r="E117" s="43"/>
      <c r="F117" s="100">
        <f t="shared" si="10"/>
        <v>0</v>
      </c>
      <c r="G117" s="97"/>
      <c r="H117" s="102">
        <v>43405</v>
      </c>
      <c r="I117" s="101">
        <v>20000</v>
      </c>
      <c r="J117" s="103" t="s">
        <v>39</v>
      </c>
      <c r="K117" s="60" t="s">
        <v>125</v>
      </c>
      <c r="L117" s="61" t="s">
        <v>95</v>
      </c>
      <c r="M117" s="54"/>
      <c r="N117" s="54"/>
      <c r="O117" s="53"/>
    </row>
    <row r="118" s="13" customFormat="1" ht="18" customHeight="1" spans="1:15">
      <c r="A118" s="40"/>
      <c r="B118" s="100">
        <f t="shared" si="11"/>
        <v>0</v>
      </c>
      <c r="C118" s="41"/>
      <c r="D118" s="42"/>
      <c r="E118" s="43"/>
      <c r="F118" s="100">
        <f t="shared" si="10"/>
        <v>0</v>
      </c>
      <c r="G118" s="97"/>
      <c r="H118" s="102">
        <v>43405</v>
      </c>
      <c r="I118" s="101">
        <v>-20000</v>
      </c>
      <c r="J118" s="103" t="s">
        <v>36</v>
      </c>
      <c r="K118" s="60" t="s">
        <v>37</v>
      </c>
      <c r="L118" s="61"/>
      <c r="M118" s="54"/>
      <c r="N118" s="54"/>
      <c r="O118" s="53"/>
    </row>
    <row r="119" s="13" customFormat="1" ht="18" customHeight="1" spans="1:15">
      <c r="A119" s="40">
        <v>43405</v>
      </c>
      <c r="B119" s="100">
        <f t="shared" si="11"/>
        <v>6783.62</v>
      </c>
      <c r="C119" s="41"/>
      <c r="D119" s="42" t="s">
        <v>46</v>
      </c>
      <c r="E119" s="43">
        <v>0.16</v>
      </c>
      <c r="F119" s="100">
        <f t="shared" si="10"/>
        <v>1085.38</v>
      </c>
      <c r="G119" s="97">
        <v>7869</v>
      </c>
      <c r="H119" s="102">
        <v>43406</v>
      </c>
      <c r="I119" s="101">
        <v>7869</v>
      </c>
      <c r="J119" s="103" t="s">
        <v>39</v>
      </c>
      <c r="K119" s="60" t="s">
        <v>111</v>
      </c>
      <c r="L119" s="61" t="s">
        <v>107</v>
      </c>
      <c r="M119" s="54"/>
      <c r="N119" s="54"/>
      <c r="O119" s="53"/>
    </row>
    <row r="120" s="13" customFormat="1" ht="18" customHeight="1" spans="1:15">
      <c r="A120" s="40"/>
      <c r="B120" s="100">
        <f t="shared" si="11"/>
        <v>0</v>
      </c>
      <c r="C120" s="41"/>
      <c r="D120" s="42"/>
      <c r="E120" s="43"/>
      <c r="F120" s="100">
        <f t="shared" si="10"/>
        <v>0</v>
      </c>
      <c r="G120" s="97"/>
      <c r="H120" s="102">
        <v>43406</v>
      </c>
      <c r="I120" s="101">
        <v>-7869</v>
      </c>
      <c r="J120" s="103" t="s">
        <v>36</v>
      </c>
      <c r="K120" s="60" t="s">
        <v>37</v>
      </c>
      <c r="L120" s="61"/>
      <c r="M120" s="54"/>
      <c r="N120" s="54"/>
      <c r="O120" s="53"/>
    </row>
    <row r="121" s="13" customFormat="1" ht="18" customHeight="1" spans="1:15">
      <c r="A121" s="40">
        <v>43405</v>
      </c>
      <c r="B121" s="100">
        <f t="shared" si="11"/>
        <v>9616.5</v>
      </c>
      <c r="C121" s="41"/>
      <c r="D121" s="42" t="s">
        <v>46</v>
      </c>
      <c r="E121" s="43">
        <v>0.03</v>
      </c>
      <c r="F121" s="100">
        <f t="shared" si="10"/>
        <v>288.5</v>
      </c>
      <c r="G121" s="97">
        <v>9905</v>
      </c>
      <c r="H121" s="102">
        <v>43406</v>
      </c>
      <c r="I121" s="101">
        <v>9000</v>
      </c>
      <c r="J121" s="103" t="s">
        <v>39</v>
      </c>
      <c r="K121" s="60" t="s">
        <v>112</v>
      </c>
      <c r="L121" s="61" t="s">
        <v>95</v>
      </c>
      <c r="M121" s="54"/>
      <c r="N121" s="54"/>
      <c r="O121" s="53"/>
    </row>
    <row r="122" s="13" customFormat="1" ht="18" customHeight="1" spans="1:15">
      <c r="A122" s="40"/>
      <c r="B122" s="100">
        <f t="shared" si="11"/>
        <v>0</v>
      </c>
      <c r="C122" s="41"/>
      <c r="D122" s="42"/>
      <c r="E122" s="43"/>
      <c r="F122" s="100">
        <f t="shared" si="10"/>
        <v>0</v>
      </c>
      <c r="G122" s="97"/>
      <c r="H122" s="102">
        <v>43406</v>
      </c>
      <c r="I122" s="101">
        <v>-9000</v>
      </c>
      <c r="J122" s="103" t="s">
        <v>36</v>
      </c>
      <c r="K122" s="60" t="s">
        <v>37</v>
      </c>
      <c r="L122" s="61"/>
      <c r="M122" s="54"/>
      <c r="N122" s="54"/>
      <c r="O122" s="53"/>
    </row>
    <row r="123" s="13" customFormat="1" ht="18" customHeight="1" spans="1:15">
      <c r="A123" s="40"/>
      <c r="B123" s="100">
        <f t="shared" si="11"/>
        <v>0</v>
      </c>
      <c r="C123" s="41"/>
      <c r="D123" s="42"/>
      <c r="E123" s="43"/>
      <c r="F123" s="100">
        <f t="shared" si="10"/>
        <v>0</v>
      </c>
      <c r="G123" s="97"/>
      <c r="H123" s="102">
        <v>43413</v>
      </c>
      <c r="I123" s="101">
        <v>4310</v>
      </c>
      <c r="J123" s="103" t="s">
        <v>39</v>
      </c>
      <c r="K123" s="60" t="s">
        <v>41</v>
      </c>
      <c r="L123" s="61" t="s">
        <v>121</v>
      </c>
      <c r="M123" s="54"/>
      <c r="N123" s="54"/>
      <c r="O123" s="53"/>
    </row>
    <row r="124" s="13" customFormat="1" ht="18" customHeight="1" spans="1:15">
      <c r="A124" s="40"/>
      <c r="B124" s="100">
        <f t="shared" si="11"/>
        <v>0</v>
      </c>
      <c r="C124" s="41"/>
      <c r="D124" s="42"/>
      <c r="E124" s="43"/>
      <c r="F124" s="100">
        <f t="shared" si="10"/>
        <v>0</v>
      </c>
      <c r="G124" s="97"/>
      <c r="H124" s="102">
        <v>43412</v>
      </c>
      <c r="I124" s="101">
        <v>-4310</v>
      </c>
      <c r="J124" s="103" t="s">
        <v>36</v>
      </c>
      <c r="K124" s="60" t="s">
        <v>37</v>
      </c>
      <c r="L124" s="61"/>
      <c r="M124" s="54"/>
      <c r="N124" s="54"/>
      <c r="O124" s="53"/>
    </row>
    <row r="125" s="13" customFormat="1" ht="18" customHeight="1" spans="1:15">
      <c r="A125" s="40">
        <v>43405</v>
      </c>
      <c r="B125" s="100">
        <f t="shared" si="11"/>
        <v>32398.06</v>
      </c>
      <c r="C125" s="41"/>
      <c r="D125" s="42" t="s">
        <v>46</v>
      </c>
      <c r="E125" s="43">
        <v>0.03</v>
      </c>
      <c r="F125" s="100">
        <f t="shared" si="10"/>
        <v>971.94</v>
      </c>
      <c r="G125" s="97">
        <v>33370</v>
      </c>
      <c r="H125" s="102">
        <v>43416</v>
      </c>
      <c r="I125" s="101">
        <v>30000</v>
      </c>
      <c r="J125" s="103" t="s">
        <v>39</v>
      </c>
      <c r="K125" s="60" t="s">
        <v>127</v>
      </c>
      <c r="L125" s="61" t="s">
        <v>95</v>
      </c>
      <c r="M125" s="54"/>
      <c r="N125" s="54"/>
      <c r="O125" s="53"/>
    </row>
    <row r="126" s="13" customFormat="1" ht="18" customHeight="1" spans="1:15">
      <c r="A126" s="40"/>
      <c r="B126" s="100">
        <f t="shared" si="11"/>
        <v>0</v>
      </c>
      <c r="C126" s="41"/>
      <c r="D126" s="42"/>
      <c r="E126" s="43"/>
      <c r="F126" s="100">
        <f t="shared" si="10"/>
        <v>0</v>
      </c>
      <c r="G126" s="97"/>
      <c r="H126" s="102">
        <v>43416</v>
      </c>
      <c r="I126" s="101">
        <v>-30000</v>
      </c>
      <c r="J126" s="103" t="s">
        <v>36</v>
      </c>
      <c r="K126" s="60" t="s">
        <v>37</v>
      </c>
      <c r="L126" s="61"/>
      <c r="M126" s="54"/>
      <c r="N126" s="54"/>
      <c r="O126" s="53"/>
    </row>
    <row r="127" s="13" customFormat="1" ht="18" customHeight="1" spans="1:15">
      <c r="A127" s="40"/>
      <c r="B127" s="100">
        <f t="shared" si="11"/>
        <v>0</v>
      </c>
      <c r="C127" s="41"/>
      <c r="D127" s="42"/>
      <c r="E127" s="43"/>
      <c r="F127" s="100">
        <f t="shared" si="10"/>
        <v>0</v>
      </c>
      <c r="G127" s="97"/>
      <c r="H127" s="102">
        <v>43416</v>
      </c>
      <c r="I127" s="101">
        <v>2900</v>
      </c>
      <c r="J127" s="103" t="s">
        <v>39</v>
      </c>
      <c r="K127" s="60" t="s">
        <v>127</v>
      </c>
      <c r="L127" s="61" t="s">
        <v>95</v>
      </c>
      <c r="M127" s="54"/>
      <c r="N127" s="54"/>
      <c r="O127" s="53"/>
    </row>
    <row r="128" s="13" customFormat="1" ht="18" customHeight="1" spans="1:15">
      <c r="A128" s="40"/>
      <c r="B128" s="100">
        <f t="shared" si="11"/>
        <v>0</v>
      </c>
      <c r="C128" s="41"/>
      <c r="D128" s="42"/>
      <c r="E128" s="43"/>
      <c r="F128" s="100">
        <f t="shared" si="10"/>
        <v>0</v>
      </c>
      <c r="G128" s="97"/>
      <c r="H128" s="102">
        <v>43416</v>
      </c>
      <c r="I128" s="101">
        <v>-2900</v>
      </c>
      <c r="J128" s="103" t="s">
        <v>36</v>
      </c>
      <c r="K128" s="60" t="s">
        <v>37</v>
      </c>
      <c r="L128" s="61"/>
      <c r="M128" s="54"/>
      <c r="N128" s="54"/>
      <c r="O128" s="53"/>
    </row>
    <row r="129" s="13" customFormat="1" ht="18" customHeight="1" spans="1:15">
      <c r="A129" s="40">
        <v>43405</v>
      </c>
      <c r="B129" s="100">
        <f t="shared" si="11"/>
        <v>65417.48</v>
      </c>
      <c r="C129" s="41"/>
      <c r="D129" s="42" t="s">
        <v>46</v>
      </c>
      <c r="E129" s="43">
        <v>0.03</v>
      </c>
      <c r="F129" s="100">
        <f t="shared" si="10"/>
        <v>1962.52</v>
      </c>
      <c r="G129" s="97">
        <v>67380</v>
      </c>
      <c r="H129" s="102">
        <v>43418</v>
      </c>
      <c r="I129" s="101">
        <v>-5660</v>
      </c>
      <c r="J129" s="103" t="s">
        <v>39</v>
      </c>
      <c r="K129" s="60" t="s">
        <v>108</v>
      </c>
      <c r="L129" s="61" t="s">
        <v>95</v>
      </c>
      <c r="M129" s="54"/>
      <c r="N129" s="54"/>
      <c r="O129" s="53"/>
    </row>
    <row r="130" s="13" customFormat="1" ht="18" customHeight="1" spans="1:15">
      <c r="A130" s="40"/>
      <c r="B130" s="100">
        <f t="shared" si="11"/>
        <v>0</v>
      </c>
      <c r="C130" s="41"/>
      <c r="D130" s="42"/>
      <c r="E130" s="43"/>
      <c r="F130" s="100">
        <f t="shared" si="10"/>
        <v>0</v>
      </c>
      <c r="G130" s="97"/>
      <c r="H130" s="102">
        <v>43418</v>
      </c>
      <c r="I130" s="101">
        <v>40000</v>
      </c>
      <c r="J130" s="103" t="s">
        <v>39</v>
      </c>
      <c r="K130" s="60" t="s">
        <v>125</v>
      </c>
      <c r="L130" s="61" t="s">
        <v>95</v>
      </c>
      <c r="M130" s="54"/>
      <c r="N130" s="54"/>
      <c r="O130" s="53"/>
    </row>
    <row r="131" s="13" customFormat="1" ht="18" customHeight="1" spans="1:15">
      <c r="A131" s="40"/>
      <c r="B131" s="100">
        <f t="shared" si="11"/>
        <v>0</v>
      </c>
      <c r="C131" s="41"/>
      <c r="D131" s="42"/>
      <c r="E131" s="43"/>
      <c r="F131" s="100">
        <f t="shared" si="10"/>
        <v>0</v>
      </c>
      <c r="G131" s="97"/>
      <c r="H131" s="102">
        <v>43418</v>
      </c>
      <c r="I131" s="101">
        <v>-40000</v>
      </c>
      <c r="J131" s="103" t="s">
        <v>36</v>
      </c>
      <c r="K131" s="60" t="s">
        <v>37</v>
      </c>
      <c r="L131" s="61"/>
      <c r="M131" s="54"/>
      <c r="N131" s="54"/>
      <c r="O131" s="53"/>
    </row>
    <row r="132" s="13" customFormat="1" ht="18" customHeight="1" spans="1:15">
      <c r="A132" s="40"/>
      <c r="B132" s="100">
        <f t="shared" si="11"/>
        <v>0</v>
      </c>
      <c r="C132" s="41"/>
      <c r="D132" s="42"/>
      <c r="E132" s="43"/>
      <c r="F132" s="100">
        <f t="shared" si="10"/>
        <v>0</v>
      </c>
      <c r="G132" s="97"/>
      <c r="H132" s="102">
        <v>43419</v>
      </c>
      <c r="I132" s="101">
        <v>20000</v>
      </c>
      <c r="J132" s="103" t="s">
        <v>39</v>
      </c>
      <c r="K132" s="60" t="s">
        <v>125</v>
      </c>
      <c r="L132" s="61" t="s">
        <v>95</v>
      </c>
      <c r="M132" s="54"/>
      <c r="N132" s="54"/>
      <c r="O132" s="53"/>
    </row>
    <row r="133" s="13" customFormat="1" ht="18" customHeight="1" spans="1:15">
      <c r="A133" s="40"/>
      <c r="B133" s="100">
        <f t="shared" si="11"/>
        <v>0</v>
      </c>
      <c r="C133" s="41"/>
      <c r="D133" s="42"/>
      <c r="E133" s="43"/>
      <c r="F133" s="100">
        <f t="shared" si="10"/>
        <v>0</v>
      </c>
      <c r="G133" s="97"/>
      <c r="H133" s="102">
        <v>43419</v>
      </c>
      <c r="I133" s="101">
        <v>-14340</v>
      </c>
      <c r="J133" s="103" t="s">
        <v>36</v>
      </c>
      <c r="K133" s="60" t="s">
        <v>37</v>
      </c>
      <c r="L133" s="61"/>
      <c r="M133" s="54"/>
      <c r="N133" s="54"/>
      <c r="O133" s="53"/>
    </row>
    <row r="134" s="13" customFormat="1" ht="18" customHeight="1" spans="1:15">
      <c r="A134" s="40">
        <v>43405</v>
      </c>
      <c r="B134" s="100">
        <f t="shared" si="11"/>
        <v>849.06</v>
      </c>
      <c r="C134" s="41"/>
      <c r="D134" s="42" t="s">
        <v>46</v>
      </c>
      <c r="E134" s="43">
        <v>0.06</v>
      </c>
      <c r="F134" s="100">
        <f t="shared" si="10"/>
        <v>50.94</v>
      </c>
      <c r="G134" s="97">
        <v>900</v>
      </c>
      <c r="H134" s="102"/>
      <c r="I134" s="101"/>
      <c r="J134" s="103"/>
      <c r="K134" s="60" t="s">
        <v>128</v>
      </c>
      <c r="L134" s="61" t="s">
        <v>129</v>
      </c>
      <c r="M134" s="54"/>
      <c r="N134" s="54"/>
      <c r="O134" s="53"/>
    </row>
    <row r="135" s="13" customFormat="1" ht="18" customHeight="1" spans="1:15">
      <c r="A135" s="40">
        <v>43405</v>
      </c>
      <c r="B135" s="100">
        <f t="shared" si="11"/>
        <v>1140</v>
      </c>
      <c r="C135" s="41"/>
      <c r="D135" s="42" t="s">
        <v>88</v>
      </c>
      <c r="E135" s="43"/>
      <c r="F135" s="100">
        <f t="shared" si="10"/>
        <v>0</v>
      </c>
      <c r="G135" s="97">
        <f>300+840</f>
        <v>1140</v>
      </c>
      <c r="H135" s="102"/>
      <c r="I135" s="101"/>
      <c r="J135" s="103"/>
      <c r="K135" s="60" t="s">
        <v>130</v>
      </c>
      <c r="L135" s="61" t="s">
        <v>131</v>
      </c>
      <c r="M135" s="54"/>
      <c r="N135" s="54"/>
      <c r="O135" s="53"/>
    </row>
    <row r="136" s="13" customFormat="1" ht="18" customHeight="1" spans="1:15">
      <c r="A136" s="40">
        <v>43405</v>
      </c>
      <c r="B136" s="100">
        <f t="shared" si="11"/>
        <v>1370</v>
      </c>
      <c r="C136" s="41"/>
      <c r="D136" s="42" t="s">
        <v>88</v>
      </c>
      <c r="E136" s="43"/>
      <c r="F136" s="100">
        <f t="shared" si="10"/>
        <v>0</v>
      </c>
      <c r="G136" s="97">
        <v>1370</v>
      </c>
      <c r="H136" s="102"/>
      <c r="I136" s="101"/>
      <c r="J136" s="103"/>
      <c r="K136" s="60"/>
      <c r="L136" s="61" t="s">
        <v>48</v>
      </c>
      <c r="M136" s="54"/>
      <c r="N136" s="54"/>
      <c r="O136" s="53"/>
    </row>
    <row r="137" s="13" customFormat="1" ht="18" customHeight="1" spans="1:15">
      <c r="A137" s="40">
        <v>43405</v>
      </c>
      <c r="B137" s="100">
        <f t="shared" si="11"/>
        <v>9351.16</v>
      </c>
      <c r="C137" s="41"/>
      <c r="D137" s="42" t="s">
        <v>88</v>
      </c>
      <c r="E137" s="43"/>
      <c r="F137" s="100">
        <f t="shared" si="10"/>
        <v>0</v>
      </c>
      <c r="G137" s="97">
        <v>9351.16</v>
      </c>
      <c r="H137" s="102"/>
      <c r="I137" s="101"/>
      <c r="J137" s="103"/>
      <c r="K137" s="60" t="s">
        <v>132</v>
      </c>
      <c r="L137" s="61" t="s">
        <v>94</v>
      </c>
      <c r="M137" s="54"/>
      <c r="N137" s="54"/>
      <c r="O137" s="53"/>
    </row>
    <row r="138" s="13" customFormat="1" ht="18" customHeight="1" spans="1:15">
      <c r="A138" s="104">
        <v>43435</v>
      </c>
      <c r="B138" s="101">
        <f t="shared" si="11"/>
        <v>16504.85</v>
      </c>
      <c r="C138" s="105"/>
      <c r="D138" s="106" t="s">
        <v>46</v>
      </c>
      <c r="E138" s="107">
        <v>0.03</v>
      </c>
      <c r="F138" s="101">
        <f t="shared" si="10"/>
        <v>495.15</v>
      </c>
      <c r="G138" s="97">
        <v>17000</v>
      </c>
      <c r="H138" s="102"/>
      <c r="I138" s="101"/>
      <c r="J138" s="103"/>
      <c r="K138" s="60" t="s">
        <v>105</v>
      </c>
      <c r="L138" s="61"/>
      <c r="M138" s="54"/>
      <c r="N138" s="54"/>
      <c r="O138" s="53"/>
    </row>
    <row r="139" s="13" customFormat="1" ht="18" customHeight="1" spans="1:15">
      <c r="A139" s="40">
        <v>43435</v>
      </c>
      <c r="B139" s="100">
        <f t="shared" si="11"/>
        <v>2440</v>
      </c>
      <c r="C139" s="41"/>
      <c r="D139" s="42" t="s">
        <v>88</v>
      </c>
      <c r="E139" s="43"/>
      <c r="F139" s="100">
        <f t="shared" si="10"/>
        <v>0</v>
      </c>
      <c r="G139" s="97">
        <v>2440</v>
      </c>
      <c r="H139" s="102"/>
      <c r="I139" s="101"/>
      <c r="J139" s="103"/>
      <c r="K139" s="60" t="s">
        <v>132</v>
      </c>
      <c r="L139" s="61" t="s">
        <v>94</v>
      </c>
      <c r="M139" s="54"/>
      <c r="N139" s="54"/>
      <c r="O139" s="53"/>
    </row>
    <row r="140" s="13" customFormat="1" ht="18" customHeight="1" spans="1:15">
      <c r="A140" s="40">
        <v>43435</v>
      </c>
      <c r="B140" s="100">
        <f t="shared" si="11"/>
        <v>295</v>
      </c>
      <c r="C140" s="41"/>
      <c r="D140" s="42" t="s">
        <v>88</v>
      </c>
      <c r="E140" s="43"/>
      <c r="F140" s="100">
        <f t="shared" si="10"/>
        <v>0</v>
      </c>
      <c r="G140" s="97">
        <v>295</v>
      </c>
      <c r="H140" s="102"/>
      <c r="I140" s="101"/>
      <c r="J140" s="103"/>
      <c r="K140" s="60" t="s">
        <v>48</v>
      </c>
      <c r="L140" s="61"/>
      <c r="M140" s="54"/>
      <c r="N140" s="54"/>
      <c r="O140" s="53"/>
    </row>
    <row r="141" ht="18" customHeight="1" spans="1:15">
      <c r="A141" s="57">
        <v>43435</v>
      </c>
      <c r="B141" s="100">
        <f t="shared" si="11"/>
        <v>156902.91</v>
      </c>
      <c r="C141" s="41"/>
      <c r="D141" s="42"/>
      <c r="E141" s="43">
        <v>0.03</v>
      </c>
      <c r="F141" s="100">
        <f t="shared" si="10"/>
        <v>4707.09</v>
      </c>
      <c r="G141" s="97">
        <v>161610</v>
      </c>
      <c r="H141" s="102"/>
      <c r="I141" s="101"/>
      <c r="J141" s="103"/>
      <c r="K141" s="60" t="s">
        <v>125</v>
      </c>
      <c r="L141" s="61" t="s">
        <v>95</v>
      </c>
      <c r="M141" s="50"/>
      <c r="N141" s="50"/>
      <c r="O141" s="38"/>
    </row>
    <row r="142" ht="18" customHeight="1" spans="1:15">
      <c r="A142" s="57">
        <v>43435</v>
      </c>
      <c r="B142" s="100">
        <f t="shared" si="11"/>
        <v>79719.83</v>
      </c>
      <c r="C142" s="41"/>
      <c r="D142" s="42"/>
      <c r="E142" s="43">
        <v>0.16</v>
      </c>
      <c r="F142" s="100">
        <f t="shared" si="10"/>
        <v>12755.17</v>
      </c>
      <c r="G142" s="97">
        <v>92475</v>
      </c>
      <c r="H142" s="102"/>
      <c r="I142" s="101"/>
      <c r="J142" s="103"/>
      <c r="K142" s="60" t="s">
        <v>42</v>
      </c>
      <c r="L142" s="61" t="s">
        <v>93</v>
      </c>
      <c r="M142" s="50"/>
      <c r="N142" s="50"/>
      <c r="O142" s="38"/>
    </row>
    <row r="143" ht="18" customHeight="1" spans="1:15">
      <c r="A143" s="57">
        <v>43435</v>
      </c>
      <c r="B143" s="100">
        <f t="shared" si="11"/>
        <v>1245</v>
      </c>
      <c r="C143" s="41"/>
      <c r="D143" s="42"/>
      <c r="E143" s="43"/>
      <c r="F143" s="100">
        <f t="shared" si="10"/>
        <v>0</v>
      </c>
      <c r="G143" s="97">
        <v>1245</v>
      </c>
      <c r="H143" s="102"/>
      <c r="I143" s="101"/>
      <c r="J143" s="103"/>
      <c r="K143" s="60" t="s">
        <v>133</v>
      </c>
      <c r="L143" s="61" t="s">
        <v>134</v>
      </c>
      <c r="M143" s="50"/>
      <c r="N143" s="50"/>
      <c r="O143" s="38"/>
    </row>
    <row r="144" ht="18" customHeight="1" spans="1:15">
      <c r="A144" s="57">
        <v>43435</v>
      </c>
      <c r="B144" s="100">
        <f t="shared" si="11"/>
        <v>835</v>
      </c>
      <c r="C144" s="41"/>
      <c r="D144" s="42"/>
      <c r="E144" s="43"/>
      <c r="F144" s="100">
        <f t="shared" si="10"/>
        <v>0</v>
      </c>
      <c r="G144" s="97">
        <v>835</v>
      </c>
      <c r="H144" s="102"/>
      <c r="I144" s="101"/>
      <c r="J144" s="103"/>
      <c r="K144" s="60"/>
      <c r="L144" s="61" t="s">
        <v>48</v>
      </c>
      <c r="M144" s="50"/>
      <c r="N144" s="50"/>
      <c r="O144" s="38"/>
    </row>
    <row r="145" ht="18" customHeight="1" spans="1:15">
      <c r="A145" s="57">
        <v>43435</v>
      </c>
      <c r="B145" s="100">
        <f t="shared" si="11"/>
        <v>3715.52</v>
      </c>
      <c r="C145" s="41"/>
      <c r="D145" s="42"/>
      <c r="E145" s="43">
        <v>0.16</v>
      </c>
      <c r="F145" s="100">
        <f t="shared" si="10"/>
        <v>594.48</v>
      </c>
      <c r="G145" s="97">
        <v>4310</v>
      </c>
      <c r="H145" s="102"/>
      <c r="I145" s="101"/>
      <c r="J145" s="103"/>
      <c r="K145" s="60" t="s">
        <v>41</v>
      </c>
      <c r="L145" s="61" t="s">
        <v>135</v>
      </c>
      <c r="M145" s="50"/>
      <c r="N145" s="50"/>
      <c r="O145" s="38"/>
    </row>
    <row r="146" ht="18" customHeight="1" spans="1:15">
      <c r="A146" s="57">
        <v>43435</v>
      </c>
      <c r="B146" s="100">
        <f t="shared" si="11"/>
        <v>300000</v>
      </c>
      <c r="C146" s="41"/>
      <c r="D146" s="42" t="s">
        <v>54</v>
      </c>
      <c r="E146" s="43"/>
      <c r="F146" s="100">
        <f t="shared" si="10"/>
        <v>0</v>
      </c>
      <c r="G146" s="97">
        <v>300000</v>
      </c>
      <c r="H146" s="102"/>
      <c r="I146" s="101"/>
      <c r="J146" s="103"/>
      <c r="K146" s="60" t="s">
        <v>136</v>
      </c>
      <c r="L146" s="61" t="s">
        <v>118</v>
      </c>
      <c r="M146" s="50"/>
      <c r="N146" s="50"/>
      <c r="O146" s="38"/>
    </row>
    <row r="147" ht="18" customHeight="1" spans="1:15">
      <c r="A147" s="57">
        <v>43435</v>
      </c>
      <c r="B147" s="100">
        <f t="shared" si="11"/>
        <v>200000</v>
      </c>
      <c r="C147" s="41"/>
      <c r="D147" s="42" t="s">
        <v>54</v>
      </c>
      <c r="E147" s="43"/>
      <c r="F147" s="100">
        <f t="shared" si="10"/>
        <v>0</v>
      </c>
      <c r="G147" s="97">
        <v>200000</v>
      </c>
      <c r="H147" s="102"/>
      <c r="I147" s="101"/>
      <c r="J147" s="103"/>
      <c r="K147" s="60" t="s">
        <v>137</v>
      </c>
      <c r="L147" s="61" t="s">
        <v>120</v>
      </c>
      <c r="M147" s="50"/>
      <c r="N147" s="50"/>
      <c r="O147" s="38"/>
    </row>
    <row r="148" ht="18" customHeight="1" spans="1:15">
      <c r="A148" s="57">
        <v>43435</v>
      </c>
      <c r="B148" s="100">
        <f t="shared" si="11"/>
        <v>1330</v>
      </c>
      <c r="C148" s="41"/>
      <c r="D148" s="42" t="s">
        <v>88</v>
      </c>
      <c r="E148" s="43"/>
      <c r="F148" s="100">
        <f t="shared" si="10"/>
        <v>0</v>
      </c>
      <c r="G148" s="97">
        <v>1330</v>
      </c>
      <c r="H148" s="102"/>
      <c r="I148" s="101"/>
      <c r="J148" s="103"/>
      <c r="K148" s="60"/>
      <c r="L148" s="61" t="s">
        <v>48</v>
      </c>
      <c r="M148" s="50"/>
      <c r="N148" s="50"/>
      <c r="O148" s="38"/>
    </row>
    <row r="149" ht="18" customHeight="1" spans="1:15">
      <c r="A149" s="57">
        <v>43435</v>
      </c>
      <c r="B149" s="100">
        <f t="shared" si="11"/>
        <v>1870</v>
      </c>
      <c r="C149" s="41"/>
      <c r="D149" s="42" t="s">
        <v>88</v>
      </c>
      <c r="E149" s="43"/>
      <c r="F149" s="100">
        <f t="shared" si="10"/>
        <v>0</v>
      </c>
      <c r="G149" s="97">
        <v>1870</v>
      </c>
      <c r="H149" s="102"/>
      <c r="I149" s="101"/>
      <c r="J149" s="103"/>
      <c r="K149" s="60"/>
      <c r="L149" s="61" t="s">
        <v>134</v>
      </c>
      <c r="M149" s="50"/>
      <c r="N149" s="50"/>
      <c r="O149" s="38"/>
    </row>
    <row r="150" ht="18" customHeight="1" spans="1:15">
      <c r="A150" s="57">
        <v>43466</v>
      </c>
      <c r="B150" s="100">
        <f t="shared" si="11"/>
        <v>9780</v>
      </c>
      <c r="C150" s="41"/>
      <c r="D150" s="42" t="s">
        <v>88</v>
      </c>
      <c r="E150" s="43"/>
      <c r="F150" s="100">
        <f t="shared" si="10"/>
        <v>0</v>
      </c>
      <c r="G150" s="97">
        <f>3780+6000</f>
        <v>9780</v>
      </c>
      <c r="H150" s="102"/>
      <c r="I150" s="101"/>
      <c r="J150" s="103"/>
      <c r="K150" s="60" t="s">
        <v>138</v>
      </c>
      <c r="L150" s="61" t="s">
        <v>139</v>
      </c>
      <c r="M150" s="50"/>
      <c r="N150" s="50"/>
      <c r="O150" s="38"/>
    </row>
    <row r="151" ht="18" customHeight="1" spans="1:15">
      <c r="A151" s="57">
        <v>43467</v>
      </c>
      <c r="B151" s="100">
        <f t="shared" si="11"/>
        <v>840</v>
      </c>
      <c r="C151" s="41"/>
      <c r="D151" s="42" t="s">
        <v>88</v>
      </c>
      <c r="E151" s="43"/>
      <c r="F151" s="100">
        <f t="shared" si="10"/>
        <v>0</v>
      </c>
      <c r="G151" s="97">
        <f>550+130+160</f>
        <v>840</v>
      </c>
      <c r="H151" s="102"/>
      <c r="I151" s="101"/>
      <c r="J151" s="103"/>
      <c r="K151" s="60" t="s">
        <v>134</v>
      </c>
      <c r="L151" s="61" t="s">
        <v>140</v>
      </c>
      <c r="M151" s="50"/>
      <c r="N151" s="50"/>
      <c r="O151" s="38"/>
    </row>
    <row r="152" ht="18" customHeight="1" spans="1:15">
      <c r="A152" s="57">
        <v>43468</v>
      </c>
      <c r="B152" s="100">
        <f t="shared" si="11"/>
        <v>460</v>
      </c>
      <c r="C152" s="41"/>
      <c r="D152" s="42" t="s">
        <v>88</v>
      </c>
      <c r="E152" s="43"/>
      <c r="F152" s="100">
        <f t="shared" si="10"/>
        <v>0</v>
      </c>
      <c r="G152" s="97">
        <f>20*19+25*2+30</f>
        <v>460</v>
      </c>
      <c r="H152" s="102"/>
      <c r="I152" s="101"/>
      <c r="J152" s="103"/>
      <c r="K152" s="60" t="s">
        <v>48</v>
      </c>
      <c r="L152" s="61"/>
      <c r="M152" s="50"/>
      <c r="N152" s="50"/>
      <c r="O152" s="38"/>
    </row>
    <row r="153" ht="18" customHeight="1" spans="1:15">
      <c r="A153" s="57">
        <v>43466</v>
      </c>
      <c r="B153" s="100">
        <f t="shared" si="11"/>
        <v>30000</v>
      </c>
      <c r="C153" s="41"/>
      <c r="D153" s="42" t="s">
        <v>54</v>
      </c>
      <c r="E153" s="43"/>
      <c r="F153" s="100">
        <f t="shared" si="10"/>
        <v>0</v>
      </c>
      <c r="G153" s="97">
        <v>30000</v>
      </c>
      <c r="H153" s="102">
        <v>43474</v>
      </c>
      <c r="I153" s="101">
        <v>12507.46</v>
      </c>
      <c r="J153" s="103"/>
      <c r="K153" s="60" t="s">
        <v>37</v>
      </c>
      <c r="L153" s="61" t="s">
        <v>120</v>
      </c>
      <c r="M153" s="50"/>
      <c r="N153" s="50"/>
      <c r="O153" s="38"/>
    </row>
    <row r="154" ht="18" customHeight="1" spans="1:15">
      <c r="A154" s="57"/>
      <c r="B154" s="100">
        <f t="shared" si="11"/>
        <v>0</v>
      </c>
      <c r="C154" s="41"/>
      <c r="D154" s="42"/>
      <c r="E154" s="43"/>
      <c r="F154" s="100">
        <f t="shared" si="10"/>
        <v>0</v>
      </c>
      <c r="G154" s="97"/>
      <c r="H154" s="102">
        <v>43451</v>
      </c>
      <c r="I154" s="101">
        <v>14100</v>
      </c>
      <c r="J154" s="103" t="s">
        <v>39</v>
      </c>
      <c r="K154" s="60" t="s">
        <v>90</v>
      </c>
      <c r="L154" s="61" t="s">
        <v>109</v>
      </c>
      <c r="M154" s="50"/>
      <c r="N154" s="50"/>
      <c r="O154" s="38"/>
    </row>
    <row r="155" ht="18" customHeight="1" spans="1:15">
      <c r="A155" s="57"/>
      <c r="B155" s="100"/>
      <c r="C155" s="41"/>
      <c r="D155" s="42"/>
      <c r="E155" s="43"/>
      <c r="F155" s="100">
        <f t="shared" si="10"/>
        <v>0</v>
      </c>
      <c r="G155" s="97"/>
      <c r="H155" s="102">
        <v>43451</v>
      </c>
      <c r="I155" s="101">
        <v>-14100</v>
      </c>
      <c r="J155" s="103" t="s">
        <v>36</v>
      </c>
      <c r="K155" s="60" t="s">
        <v>37</v>
      </c>
      <c r="L155" s="61"/>
      <c r="M155" s="50"/>
      <c r="N155" s="50"/>
      <c r="O155" s="38"/>
    </row>
    <row r="156" ht="18" customHeight="1" spans="1:15">
      <c r="A156" s="57">
        <v>43466</v>
      </c>
      <c r="B156" s="100">
        <f>ROUND(G156/(1+E156),2)</f>
        <v>9145.69</v>
      </c>
      <c r="C156" s="41"/>
      <c r="D156" s="42" t="s">
        <v>46</v>
      </c>
      <c r="E156" s="43">
        <v>0.16</v>
      </c>
      <c r="F156" s="100">
        <f t="shared" si="10"/>
        <v>1463.31</v>
      </c>
      <c r="G156" s="97">
        <v>10609</v>
      </c>
      <c r="H156" s="102">
        <v>43451</v>
      </c>
      <c r="I156" s="101">
        <v>10609</v>
      </c>
      <c r="J156" s="103" t="s">
        <v>39</v>
      </c>
      <c r="K156" s="60" t="s">
        <v>141</v>
      </c>
      <c r="L156" s="61" t="s">
        <v>107</v>
      </c>
      <c r="M156" s="50"/>
      <c r="N156" s="50"/>
      <c r="O156" s="38"/>
    </row>
    <row r="157" ht="18" customHeight="1" spans="1:15">
      <c r="A157" s="57"/>
      <c r="B157" s="100"/>
      <c r="C157" s="41"/>
      <c r="D157" s="42"/>
      <c r="E157" s="43"/>
      <c r="F157" s="100">
        <f t="shared" ref="F157:F177" si="12">ROUND(G157/(1+E157)*E157,2)</f>
        <v>0</v>
      </c>
      <c r="G157" s="97"/>
      <c r="H157" s="102">
        <v>43451</v>
      </c>
      <c r="I157" s="101">
        <v>-10609</v>
      </c>
      <c r="J157" s="103" t="s">
        <v>36</v>
      </c>
      <c r="K157" s="60" t="s">
        <v>37</v>
      </c>
      <c r="L157" s="61"/>
      <c r="M157" s="50"/>
      <c r="N157" s="50"/>
      <c r="O157" s="38"/>
    </row>
    <row r="158" ht="18" customHeight="1" spans="1:15">
      <c r="A158" s="57"/>
      <c r="B158" s="100">
        <f>ROUND(G158/(1+E158),2)</f>
        <v>0</v>
      </c>
      <c r="C158" s="41"/>
      <c r="D158" s="42"/>
      <c r="E158" s="43"/>
      <c r="F158" s="100">
        <f t="shared" si="12"/>
        <v>0</v>
      </c>
      <c r="G158" s="97"/>
      <c r="H158" s="102">
        <v>43453</v>
      </c>
      <c r="I158" s="101">
        <v>50000</v>
      </c>
      <c r="J158" s="103" t="s">
        <v>39</v>
      </c>
      <c r="K158" s="112" t="s">
        <v>142</v>
      </c>
      <c r="L158" s="61" t="s">
        <v>143</v>
      </c>
      <c r="M158" s="50"/>
      <c r="N158" s="50"/>
      <c r="O158" s="38"/>
    </row>
    <row r="159" ht="18" customHeight="1" spans="1:15">
      <c r="A159" s="57"/>
      <c r="B159" s="100"/>
      <c r="C159" s="41"/>
      <c r="D159" s="42"/>
      <c r="E159" s="43"/>
      <c r="F159" s="100">
        <f t="shared" si="12"/>
        <v>0</v>
      </c>
      <c r="G159" s="97"/>
      <c r="H159" s="102">
        <v>43453</v>
      </c>
      <c r="I159" s="101">
        <v>-50000</v>
      </c>
      <c r="J159" s="103" t="s">
        <v>36</v>
      </c>
      <c r="K159" s="60" t="s">
        <v>37</v>
      </c>
      <c r="L159" s="61"/>
      <c r="M159" s="50"/>
      <c r="N159" s="50"/>
      <c r="O159" s="38"/>
    </row>
    <row r="160" ht="18" customHeight="1" spans="1:15">
      <c r="A160" s="57"/>
      <c r="B160" s="100">
        <f t="shared" ref="B160:B177" si="13">ROUND(G160/(1+E160),2)</f>
        <v>0</v>
      </c>
      <c r="C160" s="41"/>
      <c r="D160" s="42"/>
      <c r="E160" s="43"/>
      <c r="F160" s="100">
        <f t="shared" si="12"/>
        <v>0</v>
      </c>
      <c r="G160" s="97"/>
      <c r="H160" s="102">
        <v>43460</v>
      </c>
      <c r="I160" s="101">
        <v>719753.84</v>
      </c>
      <c r="J160" s="103" t="s">
        <v>36</v>
      </c>
      <c r="K160" s="60" t="s">
        <v>37</v>
      </c>
      <c r="L160" s="61" t="s">
        <v>144</v>
      </c>
      <c r="M160" s="50"/>
      <c r="N160" s="50"/>
      <c r="O160" s="38"/>
    </row>
    <row r="161" ht="18" customHeight="1" spans="1:15">
      <c r="A161" s="57">
        <v>43466</v>
      </c>
      <c r="B161" s="100">
        <f t="shared" si="13"/>
        <v>53174.76</v>
      </c>
      <c r="C161" s="41"/>
      <c r="D161" s="42" t="s">
        <v>46</v>
      </c>
      <c r="E161" s="43">
        <v>0.03</v>
      </c>
      <c r="F161" s="100">
        <f t="shared" si="12"/>
        <v>1595.24</v>
      </c>
      <c r="G161" s="97">
        <v>54770</v>
      </c>
      <c r="H161" s="102">
        <v>43462</v>
      </c>
      <c r="I161" s="101">
        <v>5000</v>
      </c>
      <c r="J161" s="103" t="s">
        <v>39</v>
      </c>
      <c r="K161" s="60" t="s">
        <v>142</v>
      </c>
      <c r="L161" s="61" t="s">
        <v>143</v>
      </c>
      <c r="M161" s="50"/>
      <c r="N161" s="50"/>
      <c r="O161" s="38"/>
    </row>
    <row r="162" ht="18" customHeight="1" spans="1:15">
      <c r="A162" s="57"/>
      <c r="B162" s="100">
        <f t="shared" si="13"/>
        <v>0</v>
      </c>
      <c r="C162" s="41"/>
      <c r="D162" s="42"/>
      <c r="E162" s="43"/>
      <c r="F162" s="100">
        <f t="shared" si="12"/>
        <v>0</v>
      </c>
      <c r="G162" s="97"/>
      <c r="H162" s="102">
        <v>43462</v>
      </c>
      <c r="I162" s="101">
        <v>-5000</v>
      </c>
      <c r="J162" s="103" t="s">
        <v>36</v>
      </c>
      <c r="K162" s="60" t="s">
        <v>37</v>
      </c>
      <c r="L162" s="61"/>
      <c r="M162" s="50"/>
      <c r="N162" s="50"/>
      <c r="O162" s="38"/>
    </row>
    <row r="163" ht="18" customHeight="1" spans="1:15">
      <c r="A163" s="57"/>
      <c r="B163" s="100">
        <f t="shared" si="13"/>
        <v>0</v>
      </c>
      <c r="C163" s="41"/>
      <c r="D163" s="42"/>
      <c r="E163" s="43"/>
      <c r="F163" s="100">
        <f t="shared" si="12"/>
        <v>0</v>
      </c>
      <c r="G163" s="97"/>
      <c r="H163" s="102">
        <v>43474</v>
      </c>
      <c r="I163" s="101">
        <v>632848</v>
      </c>
      <c r="J163" s="103" t="s">
        <v>36</v>
      </c>
      <c r="K163" s="60" t="s">
        <v>37</v>
      </c>
      <c r="L163" s="61" t="s">
        <v>116</v>
      </c>
      <c r="M163" s="50"/>
      <c r="N163" s="50"/>
      <c r="O163" s="38"/>
    </row>
    <row r="164" ht="18" customHeight="1" spans="1:15">
      <c r="A164" s="57">
        <v>43466</v>
      </c>
      <c r="B164" s="100">
        <f t="shared" si="13"/>
        <v>4179.31</v>
      </c>
      <c r="C164" s="41"/>
      <c r="D164" s="42" t="s">
        <v>46</v>
      </c>
      <c r="E164" s="43">
        <v>0.16</v>
      </c>
      <c r="F164" s="100">
        <f t="shared" si="12"/>
        <v>668.69</v>
      </c>
      <c r="G164" s="97">
        <v>4848</v>
      </c>
      <c r="H164" s="102">
        <v>43480</v>
      </c>
      <c r="I164" s="101">
        <v>43275</v>
      </c>
      <c r="J164" s="103" t="s">
        <v>39</v>
      </c>
      <c r="K164" s="60" t="s">
        <v>42</v>
      </c>
      <c r="L164" s="61" t="s">
        <v>93</v>
      </c>
      <c r="M164" s="50"/>
      <c r="N164" s="50"/>
      <c r="O164" s="38"/>
    </row>
    <row r="165" ht="18" customHeight="1" spans="1:15">
      <c r="A165" s="57"/>
      <c r="B165" s="100">
        <f t="shared" si="13"/>
        <v>0</v>
      </c>
      <c r="C165" s="41"/>
      <c r="D165" s="42"/>
      <c r="E165" s="43"/>
      <c r="F165" s="100">
        <f t="shared" si="12"/>
        <v>0</v>
      </c>
      <c r="G165" s="97"/>
      <c r="H165" s="102">
        <v>43480</v>
      </c>
      <c r="I165" s="101">
        <v>-43275</v>
      </c>
      <c r="J165" s="103" t="s">
        <v>36</v>
      </c>
      <c r="K165" s="60" t="s">
        <v>37</v>
      </c>
      <c r="L165" s="61"/>
      <c r="M165" s="50"/>
      <c r="N165" s="50"/>
      <c r="O165" s="38"/>
    </row>
    <row r="166" ht="18" customHeight="1" spans="1:15">
      <c r="A166" s="57">
        <v>43466</v>
      </c>
      <c r="B166" s="100">
        <f t="shared" si="13"/>
        <v>100000</v>
      </c>
      <c r="C166" s="41"/>
      <c r="D166" s="42" t="s">
        <v>54</v>
      </c>
      <c r="E166" s="43"/>
      <c r="F166" s="100">
        <f t="shared" si="12"/>
        <v>0</v>
      </c>
      <c r="G166" s="97">
        <v>100000</v>
      </c>
      <c r="H166" s="102"/>
      <c r="I166" s="101"/>
      <c r="J166" s="103"/>
      <c r="K166" s="60" t="s">
        <v>145</v>
      </c>
      <c r="L166" s="61" t="s">
        <v>146</v>
      </c>
      <c r="M166" s="50"/>
      <c r="N166" s="50"/>
      <c r="O166" s="38"/>
    </row>
    <row r="167" s="14" customFormat="1" ht="18" customHeight="1" spans="1:15">
      <c r="A167" s="57">
        <v>43466</v>
      </c>
      <c r="B167" s="100">
        <f t="shared" si="13"/>
        <v>70000</v>
      </c>
      <c r="C167" s="41"/>
      <c r="D167" s="42" t="s">
        <v>54</v>
      </c>
      <c r="E167" s="43"/>
      <c r="F167" s="100">
        <f t="shared" si="12"/>
        <v>0</v>
      </c>
      <c r="G167" s="97">
        <v>70000</v>
      </c>
      <c r="H167" s="102">
        <v>43593</v>
      </c>
      <c r="I167" s="113">
        <v>158837.91</v>
      </c>
      <c r="J167" s="103" t="s">
        <v>36</v>
      </c>
      <c r="K167" s="60" t="s">
        <v>37</v>
      </c>
      <c r="L167" s="61" t="s">
        <v>118</v>
      </c>
      <c r="M167" s="84"/>
      <c r="N167" s="84"/>
      <c r="O167" s="63"/>
    </row>
    <row r="168" s="14" customFormat="1" ht="18" customHeight="1" spans="1:15">
      <c r="A168" s="57"/>
      <c r="B168" s="100">
        <f t="shared" si="13"/>
        <v>0</v>
      </c>
      <c r="C168" s="41"/>
      <c r="D168" s="42"/>
      <c r="E168" s="43"/>
      <c r="F168" s="100">
        <f t="shared" si="12"/>
        <v>0</v>
      </c>
      <c r="G168" s="97"/>
      <c r="H168" s="102" t="s">
        <v>147</v>
      </c>
      <c r="I168" s="101">
        <v>95007.53</v>
      </c>
      <c r="J168" s="103" t="s">
        <v>36</v>
      </c>
      <c r="K168" s="60" t="s">
        <v>37</v>
      </c>
      <c r="L168" s="61" t="s">
        <v>118</v>
      </c>
      <c r="M168" s="84"/>
      <c r="N168" s="84"/>
      <c r="O168" s="63"/>
    </row>
    <row r="169" s="14" customFormat="1" ht="18" customHeight="1" spans="1:15">
      <c r="A169" s="57">
        <v>44166</v>
      </c>
      <c r="B169" s="100">
        <f t="shared" si="13"/>
        <v>80000</v>
      </c>
      <c r="C169" s="41" t="s">
        <v>45</v>
      </c>
      <c r="D169" s="42" t="s">
        <v>54</v>
      </c>
      <c r="E169" s="43"/>
      <c r="F169" s="100">
        <f t="shared" si="12"/>
        <v>0</v>
      </c>
      <c r="G169" s="97">
        <v>80000</v>
      </c>
      <c r="H169" s="102"/>
      <c r="I169" s="101"/>
      <c r="J169" s="103"/>
      <c r="K169" s="60" t="s">
        <v>148</v>
      </c>
      <c r="L169" s="61" t="s">
        <v>149</v>
      </c>
      <c r="M169" s="50" t="s">
        <v>57</v>
      </c>
      <c r="N169" s="84"/>
      <c r="O169" s="63"/>
    </row>
    <row r="170" s="14" customFormat="1" ht="18" customHeight="1" spans="1:15">
      <c r="A170" s="57">
        <v>44197</v>
      </c>
      <c r="B170" s="100">
        <f t="shared" si="13"/>
        <v>1723</v>
      </c>
      <c r="C170" s="41"/>
      <c r="D170" s="42"/>
      <c r="E170" s="43"/>
      <c r="F170" s="100">
        <f t="shared" si="12"/>
        <v>0</v>
      </c>
      <c r="G170" s="97">
        <v>1723</v>
      </c>
      <c r="H170" s="102"/>
      <c r="I170" s="101"/>
      <c r="J170" s="103"/>
      <c r="K170" s="60" t="s">
        <v>150</v>
      </c>
      <c r="L170" s="61"/>
      <c r="M170" s="50"/>
      <c r="N170" s="84"/>
      <c r="O170" s="63"/>
    </row>
    <row r="171" s="14" customFormat="1" ht="18" customHeight="1" spans="1:15">
      <c r="A171" s="57"/>
      <c r="B171" s="100">
        <f t="shared" si="13"/>
        <v>0</v>
      </c>
      <c r="C171" s="41"/>
      <c r="D171" s="42"/>
      <c r="E171" s="43"/>
      <c r="F171" s="100">
        <f t="shared" si="12"/>
        <v>0</v>
      </c>
      <c r="G171" s="97"/>
      <c r="H171" s="102">
        <v>44224</v>
      </c>
      <c r="I171" s="101">
        <v>36069.78</v>
      </c>
      <c r="J171" s="103" t="s">
        <v>36</v>
      </c>
      <c r="K171" s="60" t="s">
        <v>37</v>
      </c>
      <c r="L171" s="61" t="s">
        <v>62</v>
      </c>
      <c r="M171" s="50"/>
      <c r="N171" s="84"/>
      <c r="O171" s="63"/>
    </row>
    <row r="172" s="14" customFormat="1" ht="18" customHeight="1" spans="1:15">
      <c r="A172" s="57"/>
      <c r="B172" s="100">
        <f t="shared" si="13"/>
        <v>0</v>
      </c>
      <c r="C172" s="41"/>
      <c r="D172" s="42"/>
      <c r="E172" s="107"/>
      <c r="F172" s="100">
        <f t="shared" si="12"/>
        <v>0</v>
      </c>
      <c r="G172" s="97"/>
      <c r="H172" s="102"/>
      <c r="I172" s="101"/>
      <c r="J172" s="103"/>
      <c r="K172" s="60"/>
      <c r="L172" s="61"/>
      <c r="M172" s="84"/>
      <c r="N172" s="84"/>
      <c r="O172" s="63"/>
    </row>
    <row r="173" s="14" customFormat="1" ht="18" customHeight="1" spans="1:15">
      <c r="A173" s="57"/>
      <c r="B173" s="100">
        <f t="shared" si="13"/>
        <v>0</v>
      </c>
      <c r="C173" s="41"/>
      <c r="D173" s="42"/>
      <c r="E173" s="107"/>
      <c r="F173" s="100">
        <f t="shared" si="12"/>
        <v>0</v>
      </c>
      <c r="G173" s="97"/>
      <c r="H173" s="102"/>
      <c r="I173" s="101"/>
      <c r="J173" s="103"/>
      <c r="K173" s="60"/>
      <c r="L173" s="61"/>
      <c r="M173" s="84"/>
      <c r="N173" s="84"/>
      <c r="O173" s="63"/>
    </row>
    <row r="174" s="14" customFormat="1" ht="18" customHeight="1" spans="1:15">
      <c r="A174" s="57"/>
      <c r="B174" s="100">
        <f t="shared" si="13"/>
        <v>0</v>
      </c>
      <c r="C174" s="41"/>
      <c r="D174" s="42"/>
      <c r="E174" s="43"/>
      <c r="F174" s="100">
        <f t="shared" si="12"/>
        <v>0</v>
      </c>
      <c r="G174" s="97"/>
      <c r="H174" s="102" t="s">
        <v>151</v>
      </c>
      <c r="I174" s="101">
        <v>50</v>
      </c>
      <c r="J174" s="103" t="s">
        <v>64</v>
      </c>
      <c r="K174" s="60" t="s">
        <v>65</v>
      </c>
      <c r="L174" s="61"/>
      <c r="M174" s="84"/>
      <c r="N174" s="84"/>
      <c r="O174" s="63"/>
    </row>
    <row r="175" s="14" customFormat="1" ht="18" customHeight="1" spans="1:15">
      <c r="A175" s="57"/>
      <c r="B175" s="100">
        <f t="shared" si="13"/>
        <v>0</v>
      </c>
      <c r="C175" s="41"/>
      <c r="D175" s="42"/>
      <c r="E175" s="43"/>
      <c r="F175" s="100">
        <f t="shared" si="12"/>
        <v>0</v>
      </c>
      <c r="G175" s="97"/>
      <c r="H175" s="102" t="s">
        <v>151</v>
      </c>
      <c r="I175" s="101">
        <v>-28400</v>
      </c>
      <c r="J175" s="103" t="s">
        <v>152</v>
      </c>
      <c r="K175" s="60" t="s">
        <v>153</v>
      </c>
      <c r="L175" s="61"/>
      <c r="M175" s="84"/>
      <c r="N175" s="84"/>
      <c r="O175" s="63"/>
    </row>
    <row r="176" s="14" customFormat="1" ht="18" customHeight="1" spans="1:15">
      <c r="A176" s="57"/>
      <c r="B176" s="100">
        <f t="shared" si="13"/>
        <v>0</v>
      </c>
      <c r="C176" s="41"/>
      <c r="D176" s="42"/>
      <c r="E176" s="43"/>
      <c r="F176" s="100">
        <f t="shared" si="12"/>
        <v>0</v>
      </c>
      <c r="G176" s="97"/>
      <c r="H176" s="102" t="s">
        <v>151</v>
      </c>
      <c r="I176" s="101">
        <v>4900.38</v>
      </c>
      <c r="J176" s="103" t="s">
        <v>64</v>
      </c>
      <c r="K176" s="60" t="s">
        <v>154</v>
      </c>
      <c r="L176" s="82"/>
      <c r="M176" s="84"/>
      <c r="N176" s="84"/>
      <c r="O176" s="63"/>
    </row>
    <row r="177" s="14" customFormat="1" ht="18" customHeight="1" spans="1:15">
      <c r="A177" s="57"/>
      <c r="B177" s="100">
        <f t="shared" si="13"/>
        <v>0</v>
      </c>
      <c r="C177" s="41"/>
      <c r="D177" s="42"/>
      <c r="E177" s="43"/>
      <c r="F177" s="100">
        <f t="shared" si="12"/>
        <v>0</v>
      </c>
      <c r="G177" s="97"/>
      <c r="H177" s="102"/>
      <c r="I177" s="101">
        <v>28400</v>
      </c>
      <c r="J177" s="103" t="s">
        <v>155</v>
      </c>
      <c r="K177" s="60" t="s">
        <v>156</v>
      </c>
      <c r="L177" s="82"/>
      <c r="M177" s="84"/>
      <c r="N177" s="84"/>
      <c r="O177" s="63"/>
    </row>
    <row r="178" s="14" customFormat="1" ht="18" customHeight="1" spans="1:15">
      <c r="A178" s="57"/>
      <c r="B178" s="24">
        <f t="shared" ref="B178:B189" si="14">ROUND(G178/(1+E178),2)</f>
        <v>0</v>
      </c>
      <c r="C178" s="64"/>
      <c r="D178" s="10"/>
      <c r="E178" s="65"/>
      <c r="F178" s="24">
        <f t="shared" ref="F178:F189" si="15">ROUND(G178/(1+E178)*E178,2)</f>
        <v>0</v>
      </c>
      <c r="G178" s="108"/>
      <c r="H178" s="58"/>
      <c r="I178" s="101">
        <v>-8280</v>
      </c>
      <c r="J178" s="59" t="s">
        <v>152</v>
      </c>
      <c r="K178" s="60" t="s">
        <v>157</v>
      </c>
      <c r="L178" s="82"/>
      <c r="M178" s="84"/>
      <c r="N178" s="84"/>
      <c r="O178" s="63"/>
    </row>
    <row r="179" s="14" customFormat="1" ht="18" customHeight="1" spans="1:15">
      <c r="A179" s="57"/>
      <c r="B179" s="24">
        <f t="shared" si="14"/>
        <v>0</v>
      </c>
      <c r="C179" s="64"/>
      <c r="D179" s="10"/>
      <c r="E179" s="65"/>
      <c r="F179" s="24">
        <f t="shared" si="15"/>
        <v>0</v>
      </c>
      <c r="G179" s="108"/>
      <c r="H179" s="58"/>
      <c r="I179" s="101">
        <v>1390</v>
      </c>
      <c r="J179" s="59" t="s">
        <v>64</v>
      </c>
      <c r="K179" s="60" t="s">
        <v>158</v>
      </c>
      <c r="L179" s="82"/>
      <c r="M179" s="84"/>
      <c r="N179" s="84"/>
      <c r="O179" s="63"/>
    </row>
    <row r="180" s="14" customFormat="1" ht="18" customHeight="1" spans="1:15">
      <c r="A180" s="57"/>
      <c r="B180" s="24">
        <f t="shared" si="14"/>
        <v>0</v>
      </c>
      <c r="C180" s="64"/>
      <c r="D180" s="10"/>
      <c r="E180" s="65"/>
      <c r="F180" s="24">
        <f t="shared" si="15"/>
        <v>0</v>
      </c>
      <c r="G180" s="108"/>
      <c r="H180" s="58"/>
      <c r="I180" s="101">
        <v>215</v>
      </c>
      <c r="J180" s="59" t="s">
        <v>64</v>
      </c>
      <c r="K180" s="60" t="s">
        <v>159</v>
      </c>
      <c r="L180" s="82"/>
      <c r="M180" s="84"/>
      <c r="N180" s="84"/>
      <c r="O180" s="63"/>
    </row>
    <row r="181" s="14" customFormat="1" ht="18" customHeight="1" spans="1:15">
      <c r="A181" s="66"/>
      <c r="B181" s="24">
        <f t="shared" si="14"/>
        <v>0</v>
      </c>
      <c r="C181" s="64"/>
      <c r="D181" s="67"/>
      <c r="E181" s="65"/>
      <c r="F181" s="24">
        <f t="shared" si="15"/>
        <v>0</v>
      </c>
      <c r="G181" s="109"/>
      <c r="H181" s="58"/>
      <c r="I181" s="101">
        <v>18825</v>
      </c>
      <c r="J181" s="59" t="s">
        <v>64</v>
      </c>
      <c r="K181" s="60" t="s">
        <v>160</v>
      </c>
      <c r="L181" s="82"/>
      <c r="M181" s="84"/>
      <c r="N181" s="84"/>
      <c r="O181" s="63"/>
    </row>
    <row r="182" s="14" customFormat="1" ht="18" customHeight="1" spans="1:15">
      <c r="A182" s="66"/>
      <c r="B182" s="24">
        <f t="shared" si="14"/>
        <v>0</v>
      </c>
      <c r="C182" s="64"/>
      <c r="D182" s="67"/>
      <c r="E182" s="65"/>
      <c r="F182" s="24">
        <f t="shared" si="15"/>
        <v>0</v>
      </c>
      <c r="G182" s="109"/>
      <c r="H182" s="69"/>
      <c r="I182" s="101">
        <v>51631</v>
      </c>
      <c r="J182" s="103" t="s">
        <v>161</v>
      </c>
      <c r="K182" s="60" t="s">
        <v>162</v>
      </c>
      <c r="L182" s="87"/>
      <c r="M182" s="84"/>
      <c r="N182" s="84"/>
      <c r="O182" s="63"/>
    </row>
    <row r="183" s="13" customFormat="1" ht="18" customHeight="1" spans="1:15">
      <c r="A183" s="40"/>
      <c r="B183" s="24">
        <f t="shared" si="14"/>
        <v>0</v>
      </c>
      <c r="C183" s="41"/>
      <c r="D183" s="42"/>
      <c r="E183" s="43"/>
      <c r="F183" s="24">
        <f t="shared" si="15"/>
        <v>0</v>
      </c>
      <c r="G183" s="97"/>
      <c r="H183" s="7"/>
      <c r="I183" s="101">
        <v>9114</v>
      </c>
      <c r="J183" s="50" t="s">
        <v>64</v>
      </c>
      <c r="K183" s="52" t="s">
        <v>66</v>
      </c>
      <c r="L183" s="53"/>
      <c r="M183" s="54"/>
      <c r="N183" s="54"/>
      <c r="O183" s="53"/>
    </row>
    <row r="184" s="13" customFormat="1" ht="18" customHeight="1" spans="1:15">
      <c r="A184" s="40"/>
      <c r="B184" s="24">
        <f t="shared" si="14"/>
        <v>0</v>
      </c>
      <c r="C184" s="41"/>
      <c r="D184" s="42"/>
      <c r="E184" s="43"/>
      <c r="F184" s="24">
        <f t="shared" si="15"/>
        <v>0</v>
      </c>
      <c r="G184" s="97"/>
      <c r="H184" s="7"/>
      <c r="I184" s="101">
        <v>1413</v>
      </c>
      <c r="J184" s="50" t="s">
        <v>64</v>
      </c>
      <c r="K184" s="52" t="s">
        <v>163</v>
      </c>
      <c r="L184" s="53"/>
      <c r="M184" s="54"/>
      <c r="N184" s="54"/>
      <c r="O184" s="53"/>
    </row>
    <row r="185" s="13" customFormat="1" ht="18" customHeight="1" spans="1:15">
      <c r="A185" s="40"/>
      <c r="B185" s="100">
        <f t="shared" si="14"/>
        <v>0</v>
      </c>
      <c r="C185" s="41"/>
      <c r="D185" s="42"/>
      <c r="E185" s="43"/>
      <c r="F185" s="100">
        <f t="shared" si="15"/>
        <v>0</v>
      </c>
      <c r="G185" s="97"/>
      <c r="H185" s="7"/>
      <c r="I185" s="114">
        <v>97942</v>
      </c>
      <c r="J185" s="50" t="s">
        <v>64</v>
      </c>
      <c r="K185" s="52" t="s">
        <v>164</v>
      </c>
      <c r="L185" s="53"/>
      <c r="M185" s="54"/>
      <c r="N185" s="54"/>
      <c r="O185" s="53"/>
    </row>
    <row r="186" s="13" customFormat="1" ht="18" customHeight="1" spans="1:15">
      <c r="A186" s="40"/>
      <c r="B186" s="100">
        <f t="shared" si="14"/>
        <v>0</v>
      </c>
      <c r="C186" s="41"/>
      <c r="D186" s="42"/>
      <c r="E186" s="43"/>
      <c r="F186" s="100">
        <f t="shared" si="15"/>
        <v>0</v>
      </c>
      <c r="G186" s="97"/>
      <c r="H186" s="7"/>
      <c r="I186" s="114">
        <v>24451</v>
      </c>
      <c r="J186" s="50" t="s">
        <v>64</v>
      </c>
      <c r="K186" s="52" t="s">
        <v>165</v>
      </c>
      <c r="L186" s="53"/>
      <c r="M186" s="54"/>
      <c r="N186" s="54"/>
      <c r="O186" s="53"/>
    </row>
    <row r="187" s="13" customFormat="1" ht="18" customHeight="1" spans="1:15">
      <c r="A187" s="40"/>
      <c r="B187" s="100">
        <f t="shared" si="14"/>
        <v>0</v>
      </c>
      <c r="C187" s="41"/>
      <c r="D187" s="42"/>
      <c r="E187" s="43"/>
      <c r="F187" s="100">
        <f t="shared" si="15"/>
        <v>0</v>
      </c>
      <c r="G187" s="97"/>
      <c r="H187" s="7"/>
      <c r="I187" s="100">
        <v>771</v>
      </c>
      <c r="J187" s="50" t="s">
        <v>64</v>
      </c>
      <c r="K187" s="52" t="s">
        <v>166</v>
      </c>
      <c r="L187" s="53"/>
      <c r="M187" s="54"/>
      <c r="N187" s="54"/>
      <c r="O187" s="53"/>
    </row>
    <row r="188" s="13" customFormat="1" ht="18" customHeight="1" spans="1:15">
      <c r="A188" s="40"/>
      <c r="B188" s="100">
        <f t="shared" si="14"/>
        <v>0</v>
      </c>
      <c r="C188" s="41"/>
      <c r="D188" s="42"/>
      <c r="E188" s="43"/>
      <c r="F188" s="100">
        <f t="shared" si="15"/>
        <v>0</v>
      </c>
      <c r="G188" s="97"/>
      <c r="H188" s="7"/>
      <c r="I188" s="100">
        <v>13248</v>
      </c>
      <c r="J188" s="50" t="s">
        <v>64</v>
      </c>
      <c r="K188" s="52" t="s">
        <v>167</v>
      </c>
      <c r="L188" s="53"/>
      <c r="M188" s="54"/>
      <c r="N188" s="54"/>
      <c r="O188" s="53"/>
    </row>
    <row r="189" s="13" customFormat="1" ht="18" customHeight="1" spans="1:15">
      <c r="A189" s="40"/>
      <c r="B189" s="100">
        <f t="shared" si="14"/>
        <v>56679.19</v>
      </c>
      <c r="C189" s="41"/>
      <c r="D189" s="42"/>
      <c r="E189" s="43"/>
      <c r="F189" s="100">
        <f t="shared" si="15"/>
        <v>0</v>
      </c>
      <c r="G189" s="110">
        <f>12210.17+4183.99+24505.93+5567.1+4544+5668</f>
        <v>56679.19</v>
      </c>
      <c r="H189" s="7"/>
      <c r="I189" s="100">
        <f>G189</f>
        <v>56679.19</v>
      </c>
      <c r="J189" s="88" t="s">
        <v>64</v>
      </c>
      <c r="K189" s="52" t="s">
        <v>168</v>
      </c>
      <c r="L189" s="53"/>
      <c r="M189" s="54"/>
      <c r="N189" s="54"/>
      <c r="O189" s="53"/>
    </row>
    <row r="190" ht="18" customHeight="1" spans="1:15">
      <c r="A190" s="35" t="s">
        <v>22</v>
      </c>
      <c r="B190" s="99">
        <f>SUM(B18:B189)</f>
        <v>2516447.81</v>
      </c>
      <c r="C190" s="35"/>
      <c r="D190" s="71"/>
      <c r="E190" s="71"/>
      <c r="F190" s="93">
        <f>SUM(F18:F189)</f>
        <v>75751.25</v>
      </c>
      <c r="G190" s="111">
        <f>SUM(G18:G189)</f>
        <v>2592199.06</v>
      </c>
      <c r="H190" s="73"/>
      <c r="I190" s="35">
        <f>SUM(I18:I189)</f>
        <v>2692218.12</v>
      </c>
      <c r="J190" s="89"/>
      <c r="K190" s="71"/>
      <c r="L190" s="38"/>
      <c r="M190" s="50"/>
      <c r="N190" s="50"/>
      <c r="O190" s="38"/>
    </row>
    <row r="191" ht="18" customHeight="1" spans="1:14">
      <c r="A191" s="74" t="s">
        <v>70</v>
      </c>
      <c r="B191" s="74">
        <f>B15*0.976</f>
        <v>2516509.02681835</v>
      </c>
      <c r="C191" s="74"/>
      <c r="D191" s="76"/>
      <c r="E191" s="76"/>
      <c r="F191" s="74"/>
      <c r="G191" s="74"/>
      <c r="H191" s="1" t="s">
        <v>71</v>
      </c>
      <c r="I191" s="35">
        <f>I15-I190</f>
        <v>0</v>
      </c>
      <c r="J191" s="19"/>
      <c r="K191" s="90"/>
      <c r="M191" s="91"/>
      <c r="N191" s="91"/>
    </row>
    <row r="192" ht="18" customHeight="1" spans="1:15">
      <c r="A192" s="74" t="s">
        <v>72</v>
      </c>
      <c r="B192" s="74">
        <f>B191-B190</f>
        <v>61.2168183499016</v>
      </c>
      <c r="C192" s="74"/>
      <c r="D192" s="76"/>
      <c r="E192" s="76"/>
      <c r="F192" s="75"/>
      <c r="G192" s="75"/>
      <c r="H192" s="77"/>
      <c r="I192" s="75"/>
      <c r="J192" s="19"/>
      <c r="K192" s="90"/>
      <c r="L192" s="74"/>
      <c r="M192" s="90"/>
      <c r="N192" s="90"/>
      <c r="O192" s="90"/>
    </row>
    <row r="193" ht="18" customHeight="1" spans="1:15">
      <c r="A193" s="15" t="s">
        <v>73</v>
      </c>
      <c r="C193" s="15"/>
      <c r="I193" s="16">
        <f>I186+I185+I181+I176</f>
        <v>146118.38</v>
      </c>
      <c r="M193" s="90"/>
      <c r="N193" s="90"/>
      <c r="O193" s="90"/>
    </row>
    <row r="194" ht="18" customHeight="1" spans="1:15">
      <c r="A194" s="1" t="s">
        <v>74</v>
      </c>
      <c r="B194" s="3" t="s">
        <v>75</v>
      </c>
      <c r="C194" s="38"/>
      <c r="D194" s="1" t="s">
        <v>74</v>
      </c>
      <c r="E194" s="2" t="s">
        <v>16</v>
      </c>
      <c r="F194" s="3" t="s">
        <v>75</v>
      </c>
      <c r="G194" s="3" t="s">
        <v>169</v>
      </c>
      <c r="H194" s="3" t="s">
        <v>170</v>
      </c>
      <c r="I194" s="3" t="s">
        <v>171</v>
      </c>
      <c r="K194" s="3" t="s">
        <v>172</v>
      </c>
      <c r="L194" s="16"/>
      <c r="M194" s="90"/>
      <c r="N194" s="90"/>
      <c r="O194" s="90"/>
    </row>
    <row r="195" ht="18" customHeight="1" spans="1:15">
      <c r="A195" s="38" t="s">
        <v>77</v>
      </c>
      <c r="B195" s="28">
        <f>(B191-B190)*0.25</f>
        <v>15.3042045874754</v>
      </c>
      <c r="C195" s="38"/>
      <c r="D195" s="78" t="s">
        <v>78</v>
      </c>
      <c r="E195" s="5" t="s">
        <v>79</v>
      </c>
      <c r="F195" s="93">
        <f>F15-F190</f>
        <v>179772.163669725</v>
      </c>
      <c r="G195" s="93">
        <v>22227.9950909091</v>
      </c>
      <c r="H195" s="93">
        <v>89037.9089090909</v>
      </c>
      <c r="I195" s="93">
        <f>F195-G195-H195-K195</f>
        <v>51392.8660000002</v>
      </c>
      <c r="J195" s="17"/>
      <c r="K195" s="93">
        <f>F10-F156-F161-F164</f>
        <v>17113.3936697248</v>
      </c>
      <c r="M195" s="90"/>
      <c r="N195" s="90"/>
      <c r="O195" s="90"/>
    </row>
    <row r="196" ht="18" customHeight="1" spans="1:15">
      <c r="A196" s="38" t="s">
        <v>80</v>
      </c>
      <c r="B196" s="79"/>
      <c r="C196" s="38"/>
      <c r="D196" s="80" t="s">
        <v>81</v>
      </c>
      <c r="E196" s="8">
        <v>0.05</v>
      </c>
      <c r="F196" s="24">
        <f>F195*E196</f>
        <v>8988.60818348625</v>
      </c>
      <c r="G196" s="24">
        <f>G195*E196</f>
        <v>1111.39975454545</v>
      </c>
      <c r="H196" s="24">
        <f>H195*E196</f>
        <v>4451.89544545454</v>
      </c>
      <c r="I196" s="24">
        <f>I195*E196</f>
        <v>2569.64330000001</v>
      </c>
      <c r="J196" s="17"/>
      <c r="K196" s="24">
        <f>K195*E196</f>
        <v>855.66968348624</v>
      </c>
      <c r="O196" s="16"/>
    </row>
    <row r="197" ht="18" customHeight="1" spans="1:11">
      <c r="A197" s="38" t="s">
        <v>82</v>
      </c>
      <c r="B197" s="79"/>
      <c r="C197" s="38"/>
      <c r="D197" s="80" t="s">
        <v>83</v>
      </c>
      <c r="E197" s="8">
        <v>0.03</v>
      </c>
      <c r="F197" s="24">
        <f>F195*E197</f>
        <v>5393.16491009175</v>
      </c>
      <c r="G197" s="24">
        <f>G195*E197</f>
        <v>666.839852727273</v>
      </c>
      <c r="H197" s="24">
        <f>H195*E197</f>
        <v>2671.13726727273</v>
      </c>
      <c r="I197" s="24">
        <f>I195*E197</f>
        <v>1541.78598000001</v>
      </c>
      <c r="J197" s="17"/>
      <c r="K197" s="24">
        <f>K195*E197</f>
        <v>513.401810091744</v>
      </c>
    </row>
    <row r="198" ht="18" customHeight="1" spans="1:15">
      <c r="A198" s="38"/>
      <c r="B198" s="25"/>
      <c r="C198" s="38"/>
      <c r="D198" s="80" t="s">
        <v>84</v>
      </c>
      <c r="E198" s="8">
        <v>0.02</v>
      </c>
      <c r="F198" s="24">
        <f>F195*E198</f>
        <v>3595.4432733945</v>
      </c>
      <c r="G198" s="24">
        <f>G195*E198</f>
        <v>444.559901818182</v>
      </c>
      <c r="H198" s="24">
        <f>H195*E198</f>
        <v>1780.75817818182</v>
      </c>
      <c r="I198" s="24">
        <f>I195*E198</f>
        <v>1027.85732</v>
      </c>
      <c r="J198" s="17"/>
      <c r="K198" s="24">
        <f>K195*E198</f>
        <v>342.267873394496</v>
      </c>
      <c r="O198" s="16"/>
    </row>
    <row r="199" ht="18" customHeight="1" spans="1:11">
      <c r="A199" s="33" t="s">
        <v>85</v>
      </c>
      <c r="B199" s="34">
        <f t="shared" ref="B199:I199" si="16">SUM(B195:B198)</f>
        <v>15.3042045874754</v>
      </c>
      <c r="C199" s="38"/>
      <c r="D199" s="4" t="s">
        <v>85</v>
      </c>
      <c r="E199" s="78"/>
      <c r="F199" s="93">
        <f t="shared" si="16"/>
        <v>197749.380036698</v>
      </c>
      <c r="G199" s="93">
        <f t="shared" si="16"/>
        <v>24450.7946</v>
      </c>
      <c r="H199" s="93">
        <f t="shared" si="16"/>
        <v>97941.6998</v>
      </c>
      <c r="I199" s="93">
        <f t="shared" si="16"/>
        <v>56532.1526000002</v>
      </c>
      <c r="J199" s="17"/>
      <c r="K199" s="93">
        <f>SUM(K195:K198)</f>
        <v>18824.7330366973</v>
      </c>
    </row>
    <row r="200" ht="18" customHeight="1" spans="3:11">
      <c r="C200" s="15"/>
      <c r="D200" s="24" t="s">
        <v>80</v>
      </c>
      <c r="E200" s="26">
        <v>0.0003</v>
      </c>
      <c r="F200" s="24">
        <f>G15*0.0003</f>
        <v>850.174143</v>
      </c>
      <c r="G200" s="24">
        <f>(G7+G8)*E200</f>
        <v>273.236061</v>
      </c>
      <c r="H200" s="24">
        <f>G9*E200</f>
        <v>501.217113</v>
      </c>
      <c r="I200" s="24"/>
      <c r="J200" s="17"/>
      <c r="K200" s="24">
        <f>G10*E200</f>
        <v>75.720969</v>
      </c>
    </row>
    <row r="201" ht="18" customHeight="1" spans="3:11">
      <c r="C201" s="15"/>
      <c r="D201" s="24" t="s">
        <v>82</v>
      </c>
      <c r="E201" s="26">
        <v>0.0006</v>
      </c>
      <c r="F201" s="24">
        <f>B15*0.0006</f>
        <v>1547.03423779816</v>
      </c>
      <c r="G201" s="24">
        <f>(B7+B8)*E201</f>
        <v>496.792838181818</v>
      </c>
      <c r="H201" s="24">
        <f>B9*E201</f>
        <v>911.303841818182</v>
      </c>
      <c r="I201" s="24"/>
      <c r="J201" s="17"/>
      <c r="K201" s="24">
        <f>B10*E201</f>
        <v>138.937557798165</v>
      </c>
    </row>
    <row r="202" ht="18" customHeight="1" spans="3:11">
      <c r="C202" s="15"/>
      <c r="D202" s="115" t="s">
        <v>85</v>
      </c>
      <c r="E202" s="116"/>
      <c r="F202" s="117">
        <f>F201+F200</f>
        <v>2397.20838079816</v>
      </c>
      <c r="G202" s="117">
        <f t="shared" ref="G202:K202" si="17">G200+G201</f>
        <v>770.028899181818</v>
      </c>
      <c r="H202" s="117">
        <f t="shared" si="17"/>
        <v>1412.52095481818</v>
      </c>
      <c r="I202" s="117"/>
      <c r="J202" s="120"/>
      <c r="K202" s="117">
        <f t="shared" si="17"/>
        <v>214.658526798165</v>
      </c>
    </row>
    <row r="203" ht="18" customHeight="1" spans="3:11">
      <c r="C203" s="15"/>
      <c r="D203" s="11" t="s">
        <v>22</v>
      </c>
      <c r="E203" s="93"/>
      <c r="F203" s="93">
        <f t="shared" ref="F203:H203" si="18">F199+F202</f>
        <v>200146.588417496</v>
      </c>
      <c r="G203" s="93">
        <f t="shared" si="18"/>
        <v>25220.8234991818</v>
      </c>
      <c r="H203" s="93">
        <f t="shared" si="18"/>
        <v>99354.2207548182</v>
      </c>
      <c r="I203" s="93"/>
      <c r="J203" s="17"/>
      <c r="K203" s="93">
        <f>K199+K202</f>
        <v>19039.3915634954</v>
      </c>
    </row>
    <row r="204" ht="18" customHeight="1" spans="3:11">
      <c r="C204" s="15"/>
      <c r="D204" s="118" t="s">
        <v>77</v>
      </c>
      <c r="E204" s="119">
        <v>0.016</v>
      </c>
      <c r="F204" s="118">
        <f>B15*E204</f>
        <v>41254.2463412844</v>
      </c>
      <c r="G204" s="118">
        <f>(B7+B8)*E204</f>
        <v>13247.8090181818</v>
      </c>
      <c r="H204" s="117"/>
      <c r="I204" s="117"/>
      <c r="J204" s="120"/>
      <c r="K204" s="117"/>
    </row>
    <row r="205" ht="18" customHeight="1" spans="3:11">
      <c r="C205" s="15"/>
      <c r="D205" s="93" t="s">
        <v>77</v>
      </c>
      <c r="E205" s="92">
        <v>0.006</v>
      </c>
      <c r="F205" s="93">
        <f>B16*E205</f>
        <v>0</v>
      </c>
      <c r="G205" s="93"/>
      <c r="H205" s="93">
        <f>B9*E205</f>
        <v>9113.03841818182</v>
      </c>
      <c r="I205" s="93"/>
      <c r="J205" s="17"/>
      <c r="K205" s="93">
        <f>B10*E205</f>
        <v>1389.37557798165</v>
      </c>
    </row>
    <row r="206" ht="18" customHeight="1" spans="3:12">
      <c r="C206" s="15"/>
      <c r="G206" s="16">
        <f>(B7+B8)*E205</f>
        <v>4967.92838181818</v>
      </c>
      <c r="K206" s="74">
        <f>F199-I186-I185-I182-I181</f>
        <v>4900.38003669752</v>
      </c>
      <c r="L206" s="16" t="s">
        <v>154</v>
      </c>
    </row>
    <row r="207" ht="18" customHeight="1" spans="3:7">
      <c r="C207" s="15"/>
      <c r="G207" s="16">
        <f>G204-G206</f>
        <v>8279.88063636363</v>
      </c>
    </row>
    <row r="208" spans="3:3">
      <c r="C208" s="15"/>
    </row>
    <row r="209" spans="3:3">
      <c r="C209" s="15"/>
    </row>
    <row r="210" spans="3:11">
      <c r="C210" s="15"/>
      <c r="K210" s="16"/>
    </row>
    <row r="211" spans="3:3">
      <c r="C211" s="15"/>
    </row>
    <row r="212" spans="3:3">
      <c r="C212" s="15"/>
    </row>
    <row r="213" spans="3:3">
      <c r="C213" s="15"/>
    </row>
    <row r="214" spans="3:3">
      <c r="C214" s="15"/>
    </row>
    <row r="215" spans="3:3">
      <c r="C215" s="15"/>
    </row>
    <row r="216" spans="3:3">
      <c r="C216" s="15"/>
    </row>
    <row r="217" spans="3:3">
      <c r="C217" s="15"/>
    </row>
    <row r="218" spans="3:3">
      <c r="C218" s="15"/>
    </row>
    <row r="219" spans="3:3">
      <c r="C219" s="15"/>
    </row>
    <row r="220" spans="3:3">
      <c r="C220" s="15"/>
    </row>
    <row r="221" spans="3:3">
      <c r="C221" s="15"/>
    </row>
    <row r="222" spans="3:3">
      <c r="C222" s="15"/>
    </row>
    <row r="223" spans="3:3">
      <c r="C223" s="15"/>
    </row>
    <row r="420" spans="9:9">
      <c r="I420" s="16">
        <v>6.22841363041483e+18</v>
      </c>
    </row>
  </sheetData>
  <autoFilter ref="A17:O209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3"/>
  <sheetViews>
    <sheetView topLeftCell="A109" workbookViewId="0">
      <selection activeCell="K14" sqref="K14"/>
    </sheetView>
  </sheetViews>
  <sheetFormatPr defaultColWidth="9" defaultRowHeight="11.25"/>
  <cols>
    <col min="1" max="1" width="10.775" style="15" customWidth="1"/>
    <col min="2" max="2" width="13.1083333333333" style="16" customWidth="1"/>
    <col min="3" max="3" width="6" style="17" customWidth="1"/>
    <col min="4" max="4" width="13.3333333333333" style="17" customWidth="1"/>
    <col min="5" max="5" width="8" style="17" customWidth="1"/>
    <col min="6" max="6" width="9.33333333333333" style="16" customWidth="1"/>
    <col min="7" max="7" width="14.1083333333333" style="16" customWidth="1"/>
    <col min="8" max="8" width="15" style="17" customWidth="1"/>
    <col min="9" max="9" width="13.8833333333333" style="16" customWidth="1"/>
    <col min="10" max="10" width="6.10833333333333" style="18" customWidth="1"/>
    <col min="11" max="11" width="37" style="19" customWidth="1"/>
    <col min="12" max="12" width="12.775" style="19" customWidth="1"/>
    <col min="13" max="13" width="6" style="19" customWidth="1"/>
    <col min="14" max="14" width="5.66666666666667" style="19" customWidth="1"/>
    <col min="15" max="15" width="9.775" style="19" customWidth="1"/>
    <col min="16" max="16384" width="9" style="19"/>
  </cols>
  <sheetData>
    <row r="1" ht="21.9" customHeight="1" spans="1:12">
      <c r="A1" s="20" t="s">
        <v>173</v>
      </c>
      <c r="B1" s="21"/>
      <c r="C1" s="21"/>
      <c r="D1" s="21"/>
      <c r="E1" s="21"/>
      <c r="F1" s="21"/>
      <c r="G1" s="21"/>
      <c r="H1" s="21"/>
      <c r="I1" s="21"/>
      <c r="J1" s="21"/>
      <c r="K1" s="29"/>
      <c r="L1" s="29"/>
    </row>
    <row r="2" ht="18" customHeight="1" spans="1:12">
      <c r="A2" s="22" t="s">
        <v>1</v>
      </c>
      <c r="B2" s="23">
        <v>43160</v>
      </c>
      <c r="C2" s="24" t="s">
        <v>3</v>
      </c>
      <c r="D2" s="25">
        <v>2686002.38</v>
      </c>
      <c r="E2" s="8" t="s">
        <v>4</v>
      </c>
      <c r="F2" s="26"/>
      <c r="G2" s="9" t="s">
        <v>5</v>
      </c>
      <c r="H2" s="27" t="s">
        <v>87</v>
      </c>
      <c r="I2" s="47"/>
      <c r="J2" s="48"/>
      <c r="K2" s="29"/>
      <c r="L2" s="29"/>
    </row>
    <row r="3" ht="18" customHeight="1" spans="1:12">
      <c r="A3" s="22" t="s">
        <v>7</v>
      </c>
      <c r="B3" s="28"/>
      <c r="C3" s="24" t="s">
        <v>8</v>
      </c>
      <c r="D3" s="24"/>
      <c r="H3" s="29"/>
      <c r="I3" s="49"/>
      <c r="J3" s="29"/>
      <c r="K3" s="29"/>
      <c r="L3" s="29"/>
    </row>
    <row r="4" ht="18" customHeight="1" spans="1:12">
      <c r="A4" s="15" t="s">
        <v>9</v>
      </c>
      <c r="H4" s="29"/>
      <c r="I4" s="49"/>
      <c r="J4" s="29"/>
      <c r="K4" s="29"/>
      <c r="L4" s="29"/>
    </row>
    <row r="5" ht="18" customHeight="1" spans="1:10">
      <c r="A5" s="2" t="s">
        <v>10</v>
      </c>
      <c r="B5" s="3" t="s">
        <v>11</v>
      </c>
      <c r="C5" s="2" t="s">
        <v>12</v>
      </c>
      <c r="D5" s="2"/>
      <c r="E5" s="2" t="s">
        <v>13</v>
      </c>
      <c r="F5" s="3"/>
      <c r="G5" s="3" t="s">
        <v>14</v>
      </c>
      <c r="H5" s="1" t="s">
        <v>15</v>
      </c>
      <c r="I5" s="3"/>
      <c r="J5" s="1"/>
    </row>
    <row r="6" ht="18" customHeight="1" spans="1:10">
      <c r="A6" s="2"/>
      <c r="B6" s="3"/>
      <c r="C6" s="2" t="s">
        <v>16</v>
      </c>
      <c r="D6" s="2" t="s">
        <v>17</v>
      </c>
      <c r="E6" s="2" t="s">
        <v>16</v>
      </c>
      <c r="F6" s="3" t="s">
        <v>17</v>
      </c>
      <c r="G6" s="3"/>
      <c r="H6" s="1" t="s">
        <v>18</v>
      </c>
      <c r="I6" s="3" t="s">
        <v>19</v>
      </c>
      <c r="J6" s="1" t="s">
        <v>20</v>
      </c>
    </row>
    <row r="7" ht="18" customHeight="1" spans="1:10">
      <c r="A7" s="7">
        <v>43368</v>
      </c>
      <c r="B7" s="25">
        <f>G7/(1+C7+E7)</f>
        <v>211312.736363636</v>
      </c>
      <c r="C7" s="30"/>
      <c r="D7" s="31">
        <f>G7/(1+E7+C7)*C7</f>
        <v>0</v>
      </c>
      <c r="E7" s="30">
        <v>0.1</v>
      </c>
      <c r="F7" s="25">
        <f>G7/(1+C7+E7)*E7</f>
        <v>21131.2736363636</v>
      </c>
      <c r="G7" s="32">
        <v>232444.01</v>
      </c>
      <c r="H7" s="7">
        <v>43371</v>
      </c>
      <c r="I7" s="25">
        <v>610508.58</v>
      </c>
      <c r="J7" s="50" t="s">
        <v>39</v>
      </c>
    </row>
    <row r="8" ht="18" customHeight="1" spans="1:10">
      <c r="A8" s="7">
        <v>43368</v>
      </c>
      <c r="B8" s="25">
        <f t="shared" ref="B8:B10" si="0">G8/(1+C8+E8)</f>
        <v>616675.327272727</v>
      </c>
      <c r="C8" s="30"/>
      <c r="D8" s="31">
        <f t="shared" ref="D8:D10" si="1">G8/(1+E8+C8)*C8</f>
        <v>0</v>
      </c>
      <c r="E8" s="30">
        <v>0.1</v>
      </c>
      <c r="F8" s="25">
        <f t="shared" ref="F8:F10" si="2">G8/(1+C8+E8)*E8</f>
        <v>61667.5327272727</v>
      </c>
      <c r="G8" s="32">
        <v>678342.86</v>
      </c>
      <c r="H8" s="7">
        <v>43371</v>
      </c>
      <c r="I8" s="25">
        <v>209199.61</v>
      </c>
      <c r="J8" s="50" t="s">
        <v>39</v>
      </c>
    </row>
    <row r="9" ht="18" customHeight="1" spans="1:10">
      <c r="A9" s="7">
        <v>43441</v>
      </c>
      <c r="B9" s="25">
        <f t="shared" si="0"/>
        <v>1518839.73636364</v>
      </c>
      <c r="C9" s="30"/>
      <c r="D9" s="31">
        <f t="shared" si="1"/>
        <v>0</v>
      </c>
      <c r="E9" s="30">
        <v>0.1</v>
      </c>
      <c r="F9" s="25">
        <f t="shared" si="2"/>
        <v>151883.973636364</v>
      </c>
      <c r="G9" s="32">
        <f>1361440.6+309283.11</f>
        <v>1670723.71</v>
      </c>
      <c r="H9" s="7">
        <v>43444</v>
      </c>
      <c r="I9" s="25">
        <v>1225296.54</v>
      </c>
      <c r="J9" s="50" t="s">
        <v>39</v>
      </c>
    </row>
    <row r="10" ht="18" customHeight="1" spans="1:10">
      <c r="A10" s="7">
        <v>43559</v>
      </c>
      <c r="B10" s="25">
        <f t="shared" si="0"/>
        <v>231562.596330275</v>
      </c>
      <c r="C10" s="30"/>
      <c r="D10" s="31">
        <f t="shared" si="1"/>
        <v>0</v>
      </c>
      <c r="E10" s="30">
        <v>0.09</v>
      </c>
      <c r="F10" s="25">
        <f t="shared" si="2"/>
        <v>20840.6336697248</v>
      </c>
      <c r="G10" s="32">
        <v>252403.23</v>
      </c>
      <c r="H10" s="7">
        <v>43445</v>
      </c>
      <c r="I10" s="25">
        <v>278354.79</v>
      </c>
      <c r="J10" s="50" t="s">
        <v>39</v>
      </c>
    </row>
    <row r="11" ht="18" customHeight="1" spans="1:10">
      <c r="A11" s="7"/>
      <c r="B11" s="25"/>
      <c r="C11" s="30"/>
      <c r="D11" s="31"/>
      <c r="E11" s="30"/>
      <c r="F11" s="25"/>
      <c r="G11" s="32"/>
      <c r="H11" s="7">
        <v>43563</v>
      </c>
      <c r="I11" s="25">
        <v>227162.91</v>
      </c>
      <c r="J11" s="50" t="s">
        <v>39</v>
      </c>
    </row>
    <row r="12" ht="18" customHeight="1" spans="1:10">
      <c r="A12" s="7"/>
      <c r="B12" s="25"/>
      <c r="C12" s="30"/>
      <c r="D12" s="31"/>
      <c r="E12" s="30"/>
      <c r="F12" s="25"/>
      <c r="G12" s="32"/>
      <c r="H12" s="7">
        <v>43690</v>
      </c>
      <c r="I12" s="25">
        <v>101989.17</v>
      </c>
      <c r="J12" s="50" t="s">
        <v>39</v>
      </c>
    </row>
    <row r="13" ht="18" customHeight="1" spans="1:10">
      <c r="A13" s="7"/>
      <c r="B13" s="25"/>
      <c r="C13" s="30"/>
      <c r="D13" s="31"/>
      <c r="E13" s="30"/>
      <c r="F13" s="25"/>
      <c r="G13" s="32"/>
      <c r="H13" s="7">
        <v>43691</v>
      </c>
      <c r="I13" s="25">
        <v>27086.36</v>
      </c>
      <c r="J13" s="50" t="s">
        <v>39</v>
      </c>
    </row>
    <row r="14" ht="18" customHeight="1" spans="1:10">
      <c r="A14" s="7"/>
      <c r="B14" s="25"/>
      <c r="C14" s="30"/>
      <c r="D14" s="31"/>
      <c r="E14" s="30"/>
      <c r="F14" s="25"/>
      <c r="G14" s="32"/>
      <c r="H14" s="7"/>
      <c r="I14" s="25"/>
      <c r="J14" s="50"/>
    </row>
    <row r="15" ht="18" customHeight="1" spans="1:10">
      <c r="A15" s="33" t="s">
        <v>22</v>
      </c>
      <c r="B15" s="34">
        <f>SUM(B7:B10)</f>
        <v>2578390.39633028</v>
      </c>
      <c r="C15" s="35"/>
      <c r="D15" s="36">
        <f t="shared" ref="D15:G15" si="3">SUM(D7:D10)</f>
        <v>0</v>
      </c>
      <c r="E15" s="35"/>
      <c r="F15" s="37">
        <f t="shared" si="3"/>
        <v>255523.413669725</v>
      </c>
      <c r="G15" s="36">
        <f t="shared" si="3"/>
        <v>2833913.81</v>
      </c>
      <c r="H15" s="38"/>
      <c r="I15" s="36">
        <f>SUM(I7:I13)</f>
        <v>2679597.96</v>
      </c>
      <c r="J15" s="38"/>
    </row>
    <row r="16" ht="18" customHeight="1" spans="1:12">
      <c r="A16" s="15" t="s">
        <v>23</v>
      </c>
      <c r="J16" s="17"/>
      <c r="K16" s="17"/>
      <c r="L16" s="18"/>
    </row>
    <row r="17" ht="18" customHeight="1" spans="1:15">
      <c r="A17" s="39" t="s">
        <v>24</v>
      </c>
      <c r="B17" s="3" t="s">
        <v>25</v>
      </c>
      <c r="C17" s="2" t="s">
        <v>26</v>
      </c>
      <c r="D17" s="2" t="s">
        <v>27</v>
      </c>
      <c r="E17" s="2" t="s">
        <v>16</v>
      </c>
      <c r="F17" s="3" t="s">
        <v>28</v>
      </c>
      <c r="G17" s="3" t="s">
        <v>14</v>
      </c>
      <c r="H17" s="2" t="s">
        <v>29</v>
      </c>
      <c r="I17" s="3" t="s">
        <v>30</v>
      </c>
      <c r="J17" s="2" t="s">
        <v>20</v>
      </c>
      <c r="K17" s="51" t="s">
        <v>31</v>
      </c>
      <c r="L17" s="1" t="s">
        <v>32</v>
      </c>
      <c r="M17" s="1" t="s">
        <v>33</v>
      </c>
      <c r="N17" s="1" t="s">
        <v>34</v>
      </c>
      <c r="O17" s="1" t="s">
        <v>35</v>
      </c>
    </row>
    <row r="18" s="13" customFormat="1" ht="18" customHeight="1" spans="1:15">
      <c r="A18" s="40">
        <v>43238</v>
      </c>
      <c r="B18" s="28">
        <f>ROUND(G18/(1+E18),2)</f>
        <v>1000</v>
      </c>
      <c r="C18" s="41"/>
      <c r="D18" s="42" t="s">
        <v>88</v>
      </c>
      <c r="E18" s="43"/>
      <c r="F18" s="28">
        <f>ROUND(G18/(1+E18)*E18,2)</f>
        <v>0</v>
      </c>
      <c r="G18" s="32">
        <v>1000</v>
      </c>
      <c r="H18" s="7"/>
      <c r="I18" s="25"/>
      <c r="J18" s="50"/>
      <c r="K18" s="52"/>
      <c r="L18" s="53" t="s">
        <v>89</v>
      </c>
      <c r="M18" s="54"/>
      <c r="N18" s="54"/>
      <c r="O18" s="53"/>
    </row>
    <row r="19" s="13" customFormat="1" ht="18" customHeight="1" spans="1:15">
      <c r="A19" s="40"/>
      <c r="B19" s="28">
        <f t="shared" ref="B19:B181" si="4">ROUND(G19/(1+E19),2)</f>
        <v>0</v>
      </c>
      <c r="C19" s="41"/>
      <c r="D19" s="42"/>
      <c r="E19" s="43"/>
      <c r="F19" s="28">
        <f t="shared" ref="F19:F181" si="5">ROUND(G19/(1+E19)*E19,2)</f>
        <v>0</v>
      </c>
      <c r="G19" s="32"/>
      <c r="H19" s="7">
        <v>43237</v>
      </c>
      <c r="I19" s="55">
        <v>40300</v>
      </c>
      <c r="J19" s="50" t="s">
        <v>39</v>
      </c>
      <c r="K19" s="52" t="s">
        <v>90</v>
      </c>
      <c r="L19" s="53"/>
      <c r="M19" s="54"/>
      <c r="N19" s="54"/>
      <c r="O19" s="53"/>
    </row>
    <row r="20" s="13" customFormat="1" ht="18" customHeight="1" spans="1:15">
      <c r="A20" s="40"/>
      <c r="B20" s="28">
        <f t="shared" si="4"/>
        <v>0</v>
      </c>
      <c r="C20" s="41"/>
      <c r="D20" s="42"/>
      <c r="E20" s="43"/>
      <c r="F20" s="28">
        <f t="shared" si="5"/>
        <v>0</v>
      </c>
      <c r="G20" s="32"/>
      <c r="H20" s="7">
        <v>43237</v>
      </c>
      <c r="I20" s="55">
        <v>-40300</v>
      </c>
      <c r="J20" s="50" t="s">
        <v>36</v>
      </c>
      <c r="K20" s="52" t="s">
        <v>37</v>
      </c>
      <c r="L20" s="53"/>
      <c r="M20" s="54"/>
      <c r="N20" s="54"/>
      <c r="O20" s="53"/>
    </row>
    <row r="21" s="13" customFormat="1" ht="18" customHeight="1" spans="1:15">
      <c r="A21" s="40"/>
      <c r="B21" s="28">
        <f t="shared" si="4"/>
        <v>0</v>
      </c>
      <c r="C21" s="41"/>
      <c r="D21" s="42"/>
      <c r="E21" s="43"/>
      <c r="F21" s="28">
        <f t="shared" si="5"/>
        <v>0</v>
      </c>
      <c r="G21" s="32"/>
      <c r="H21" s="7">
        <v>43241</v>
      </c>
      <c r="I21" s="55">
        <v>40000</v>
      </c>
      <c r="J21" s="50" t="s">
        <v>39</v>
      </c>
      <c r="K21" s="52" t="s">
        <v>91</v>
      </c>
      <c r="L21" s="53"/>
      <c r="M21" s="54"/>
      <c r="N21" s="54"/>
      <c r="O21" s="53"/>
    </row>
    <row r="22" s="13" customFormat="1" ht="18" customHeight="1" spans="1:15">
      <c r="A22" s="40"/>
      <c r="B22" s="28">
        <f t="shared" si="4"/>
        <v>0</v>
      </c>
      <c r="C22" s="41"/>
      <c r="D22" s="42"/>
      <c r="E22" s="43"/>
      <c r="F22" s="28">
        <f t="shared" si="5"/>
        <v>0</v>
      </c>
      <c r="G22" s="32"/>
      <c r="H22" s="7">
        <v>43239</v>
      </c>
      <c r="I22" s="55">
        <v>-40000</v>
      </c>
      <c r="J22" s="50" t="s">
        <v>36</v>
      </c>
      <c r="K22" s="52" t="s">
        <v>37</v>
      </c>
      <c r="L22" s="53"/>
      <c r="M22" s="54"/>
      <c r="N22" s="54"/>
      <c r="O22" s="53"/>
    </row>
    <row r="23" s="13" customFormat="1" ht="18" customHeight="1" spans="1:15">
      <c r="A23" s="40">
        <v>43269</v>
      </c>
      <c r="B23" s="28">
        <f t="shared" si="4"/>
        <v>12465.52</v>
      </c>
      <c r="C23" s="41"/>
      <c r="D23" s="42" t="s">
        <v>46</v>
      </c>
      <c r="E23" s="43">
        <v>0.16</v>
      </c>
      <c r="F23" s="28">
        <f t="shared" si="5"/>
        <v>1994.48</v>
      </c>
      <c r="G23" s="32">
        <v>14460</v>
      </c>
      <c r="H23" s="7">
        <v>43255</v>
      </c>
      <c r="I23" s="55">
        <v>14460</v>
      </c>
      <c r="J23" s="50" t="s">
        <v>39</v>
      </c>
      <c r="K23" s="52" t="s">
        <v>92</v>
      </c>
      <c r="L23" s="53" t="s">
        <v>93</v>
      </c>
      <c r="M23" s="54"/>
      <c r="N23" s="54"/>
      <c r="O23" s="53"/>
    </row>
    <row r="24" s="13" customFormat="1" ht="18" customHeight="1" spans="1:15">
      <c r="A24" s="40"/>
      <c r="B24" s="28">
        <f t="shared" si="4"/>
        <v>0</v>
      </c>
      <c r="C24" s="41"/>
      <c r="D24" s="42"/>
      <c r="E24" s="43"/>
      <c r="F24" s="28">
        <f t="shared" si="5"/>
        <v>0</v>
      </c>
      <c r="G24" s="32"/>
      <c r="H24" s="7">
        <v>43255</v>
      </c>
      <c r="I24" s="55">
        <v>-14460</v>
      </c>
      <c r="J24" s="50" t="s">
        <v>36</v>
      </c>
      <c r="K24" s="52" t="s">
        <v>37</v>
      </c>
      <c r="L24" s="53"/>
      <c r="M24" s="54"/>
      <c r="N24" s="54"/>
      <c r="O24" s="53"/>
    </row>
    <row r="25" s="13" customFormat="1" ht="18" customHeight="1" spans="1:15">
      <c r="A25" s="40">
        <v>43269</v>
      </c>
      <c r="B25" s="28">
        <f t="shared" si="4"/>
        <v>2625</v>
      </c>
      <c r="C25" s="41"/>
      <c r="D25" s="42" t="s">
        <v>88</v>
      </c>
      <c r="E25" s="43"/>
      <c r="F25" s="28">
        <f t="shared" si="5"/>
        <v>0</v>
      </c>
      <c r="G25" s="32">
        <v>2625</v>
      </c>
      <c r="H25" s="7"/>
      <c r="I25" s="55"/>
      <c r="J25" s="50"/>
      <c r="K25" s="52"/>
      <c r="L25" s="53" t="s">
        <v>48</v>
      </c>
      <c r="M25" s="54"/>
      <c r="N25" s="54"/>
      <c r="O25" s="53"/>
    </row>
    <row r="26" s="13" customFormat="1" ht="18" customHeight="1" spans="1:15">
      <c r="A26" s="40">
        <v>43269</v>
      </c>
      <c r="B26" s="28">
        <f t="shared" si="4"/>
        <v>3025</v>
      </c>
      <c r="C26" s="41"/>
      <c r="D26" s="42" t="s">
        <v>88</v>
      </c>
      <c r="E26" s="43"/>
      <c r="F26" s="28">
        <f t="shared" si="5"/>
        <v>0</v>
      </c>
      <c r="G26" s="32">
        <v>3025</v>
      </c>
      <c r="H26" s="7"/>
      <c r="I26" s="55"/>
      <c r="J26" s="50"/>
      <c r="K26" s="52"/>
      <c r="L26" s="53" t="s">
        <v>94</v>
      </c>
      <c r="M26" s="54"/>
      <c r="N26" s="54"/>
      <c r="O26" s="53"/>
    </row>
    <row r="27" s="13" customFormat="1" ht="18" customHeight="1" spans="1:15">
      <c r="A27" s="40">
        <v>43344</v>
      </c>
      <c r="B27" s="25">
        <f t="shared" si="4"/>
        <v>31728.16</v>
      </c>
      <c r="C27" s="44"/>
      <c r="D27" s="10" t="s">
        <v>46</v>
      </c>
      <c r="E27" s="45">
        <v>0.03</v>
      </c>
      <c r="F27" s="25">
        <f t="shared" si="5"/>
        <v>951.84</v>
      </c>
      <c r="G27" s="46">
        <v>32680</v>
      </c>
      <c r="H27" s="7">
        <v>43258</v>
      </c>
      <c r="I27" s="55">
        <v>-7320</v>
      </c>
      <c r="J27" s="50" t="s">
        <v>39</v>
      </c>
      <c r="K27" s="52" t="s">
        <v>91</v>
      </c>
      <c r="L27" s="53" t="s">
        <v>95</v>
      </c>
      <c r="M27" s="54"/>
      <c r="N27" s="54"/>
      <c r="O27" s="53"/>
    </row>
    <row r="28" s="13" customFormat="1" ht="18" customHeight="1" spans="1:15">
      <c r="A28" s="40"/>
      <c r="B28" s="28">
        <f t="shared" si="4"/>
        <v>0</v>
      </c>
      <c r="C28" s="41"/>
      <c r="D28" s="42"/>
      <c r="E28" s="43"/>
      <c r="F28" s="28">
        <f t="shared" si="5"/>
        <v>0</v>
      </c>
      <c r="G28" s="32"/>
      <c r="H28" s="7">
        <v>43271</v>
      </c>
      <c r="I28" s="55">
        <v>-32680</v>
      </c>
      <c r="J28" s="50" t="s">
        <v>36</v>
      </c>
      <c r="K28" s="52" t="s">
        <v>37</v>
      </c>
      <c r="L28" s="53"/>
      <c r="M28" s="54"/>
      <c r="N28" s="54"/>
      <c r="O28" s="53"/>
    </row>
    <row r="29" s="13" customFormat="1" ht="18" customHeight="1" spans="1:15">
      <c r="A29" s="40"/>
      <c r="B29" s="28">
        <f t="shared" si="4"/>
        <v>0</v>
      </c>
      <c r="C29" s="41"/>
      <c r="D29" s="42"/>
      <c r="E29" s="43"/>
      <c r="F29" s="28">
        <f t="shared" si="5"/>
        <v>0</v>
      </c>
      <c r="G29" s="32"/>
      <c r="H29" s="7">
        <v>43276</v>
      </c>
      <c r="I29" s="55">
        <v>40000</v>
      </c>
      <c r="J29" s="50" t="s">
        <v>39</v>
      </c>
      <c r="K29" s="52" t="s">
        <v>90</v>
      </c>
      <c r="L29" s="53"/>
      <c r="M29" s="54"/>
      <c r="N29" s="54"/>
      <c r="O29" s="53"/>
    </row>
    <row r="30" s="13" customFormat="1" ht="18" customHeight="1" spans="1:15">
      <c r="A30" s="40"/>
      <c r="B30" s="28">
        <f t="shared" si="4"/>
        <v>0</v>
      </c>
      <c r="C30" s="41"/>
      <c r="D30" s="42"/>
      <c r="E30" s="43"/>
      <c r="F30" s="28">
        <f t="shared" si="5"/>
        <v>0</v>
      </c>
      <c r="G30" s="32"/>
      <c r="H30" s="7">
        <v>43272</v>
      </c>
      <c r="I30" s="55">
        <v>40000</v>
      </c>
      <c r="J30" s="50" t="s">
        <v>39</v>
      </c>
      <c r="K30" s="52" t="s">
        <v>96</v>
      </c>
      <c r="L30" s="53"/>
      <c r="M30" s="54"/>
      <c r="N30" s="54"/>
      <c r="O30" s="53"/>
    </row>
    <row r="31" s="13" customFormat="1" ht="18" customHeight="1" spans="1:15">
      <c r="A31" s="40"/>
      <c r="B31" s="28">
        <f t="shared" si="4"/>
        <v>0</v>
      </c>
      <c r="C31" s="41"/>
      <c r="D31" s="42"/>
      <c r="E31" s="43"/>
      <c r="F31" s="28">
        <f t="shared" si="5"/>
        <v>0</v>
      </c>
      <c r="G31" s="32"/>
      <c r="H31" s="7">
        <v>43272</v>
      </c>
      <c r="I31" s="55">
        <v>-40000</v>
      </c>
      <c r="J31" s="50" t="s">
        <v>36</v>
      </c>
      <c r="K31" s="52" t="s">
        <v>37</v>
      </c>
      <c r="L31" s="53"/>
      <c r="M31" s="54"/>
      <c r="N31" s="54"/>
      <c r="O31" s="53"/>
    </row>
    <row r="32" s="13" customFormat="1" ht="18" customHeight="1" spans="1:15">
      <c r="A32" s="40">
        <v>43269</v>
      </c>
      <c r="B32" s="28">
        <f t="shared" si="4"/>
        <v>5859.89</v>
      </c>
      <c r="C32" s="41"/>
      <c r="D32" s="42" t="s">
        <v>46</v>
      </c>
      <c r="E32" s="43">
        <v>0.16</v>
      </c>
      <c r="F32" s="28">
        <f t="shared" si="5"/>
        <v>937.58</v>
      </c>
      <c r="G32" s="32">
        <v>6797.47</v>
      </c>
      <c r="H32" s="7">
        <v>43273</v>
      </c>
      <c r="I32" s="55">
        <v>6797.47</v>
      </c>
      <c r="J32" s="50" t="s">
        <v>39</v>
      </c>
      <c r="K32" s="52" t="s">
        <v>97</v>
      </c>
      <c r="L32" s="53" t="s">
        <v>93</v>
      </c>
      <c r="M32" s="54"/>
      <c r="N32" s="54"/>
      <c r="O32" s="53"/>
    </row>
    <row r="33" s="13" customFormat="1" ht="18" customHeight="1" spans="1:15">
      <c r="A33" s="40"/>
      <c r="B33" s="28">
        <f t="shared" si="4"/>
        <v>0</v>
      </c>
      <c r="C33" s="41"/>
      <c r="D33" s="42"/>
      <c r="E33" s="43"/>
      <c r="F33" s="28">
        <f t="shared" si="5"/>
        <v>0</v>
      </c>
      <c r="G33" s="32"/>
      <c r="H33" s="7">
        <v>43273</v>
      </c>
      <c r="I33" s="55">
        <v>-6797.47</v>
      </c>
      <c r="J33" s="50" t="s">
        <v>36</v>
      </c>
      <c r="K33" s="52" t="s">
        <v>37</v>
      </c>
      <c r="L33" s="53"/>
      <c r="M33" s="54"/>
      <c r="N33" s="54"/>
      <c r="O33" s="53"/>
    </row>
    <row r="34" s="13" customFormat="1" ht="18" customHeight="1" spans="1:15">
      <c r="A34" s="40">
        <v>43299</v>
      </c>
      <c r="B34" s="28">
        <f t="shared" si="4"/>
        <v>16001.94</v>
      </c>
      <c r="C34" s="41"/>
      <c r="D34" s="42" t="s">
        <v>46</v>
      </c>
      <c r="E34" s="43">
        <v>0.03</v>
      </c>
      <c r="F34" s="28">
        <f t="shared" si="5"/>
        <v>480.06</v>
      </c>
      <c r="G34" s="32">
        <v>16482</v>
      </c>
      <c r="H34" s="7">
        <v>43273</v>
      </c>
      <c r="I34" s="55">
        <v>20100</v>
      </c>
      <c r="J34" s="50" t="s">
        <v>39</v>
      </c>
      <c r="K34" s="52" t="s">
        <v>98</v>
      </c>
      <c r="L34" s="53" t="s">
        <v>95</v>
      </c>
      <c r="M34" s="54"/>
      <c r="N34" s="54"/>
      <c r="O34" s="53"/>
    </row>
    <row r="35" s="13" customFormat="1" ht="18" customHeight="1" spans="1:15">
      <c r="A35" s="40"/>
      <c r="B35" s="28">
        <f t="shared" si="4"/>
        <v>0</v>
      </c>
      <c r="C35" s="41"/>
      <c r="D35" s="42"/>
      <c r="E35" s="43"/>
      <c r="F35" s="28">
        <f t="shared" si="5"/>
        <v>0</v>
      </c>
      <c r="G35" s="32"/>
      <c r="H35" s="7">
        <v>43273</v>
      </c>
      <c r="I35" s="55">
        <v>-20100</v>
      </c>
      <c r="J35" s="50" t="s">
        <v>36</v>
      </c>
      <c r="K35" s="52" t="s">
        <v>37</v>
      </c>
      <c r="L35" s="53"/>
      <c r="M35" s="54"/>
      <c r="N35" s="54"/>
      <c r="O35" s="53"/>
    </row>
    <row r="36" s="13" customFormat="1" ht="18" customHeight="1" spans="1:15">
      <c r="A36" s="40"/>
      <c r="B36" s="28">
        <f t="shared" si="4"/>
        <v>0</v>
      </c>
      <c r="C36" s="41"/>
      <c r="D36" s="42"/>
      <c r="E36" s="43"/>
      <c r="F36" s="28">
        <f t="shared" si="5"/>
        <v>0</v>
      </c>
      <c r="G36" s="32"/>
      <c r="H36" s="7">
        <v>43283</v>
      </c>
      <c r="I36" s="55">
        <v>28150</v>
      </c>
      <c r="J36" s="50" t="s">
        <v>39</v>
      </c>
      <c r="K36" s="52" t="s">
        <v>42</v>
      </c>
      <c r="L36" s="53"/>
      <c r="M36" s="54"/>
      <c r="N36" s="54"/>
      <c r="O36" s="53"/>
    </row>
    <row r="37" s="13" customFormat="1" ht="18" customHeight="1" spans="1:15">
      <c r="A37" s="40"/>
      <c r="B37" s="28">
        <f t="shared" si="4"/>
        <v>0</v>
      </c>
      <c r="C37" s="41"/>
      <c r="D37" s="42"/>
      <c r="E37" s="43"/>
      <c r="F37" s="28">
        <f t="shared" si="5"/>
        <v>0</v>
      </c>
      <c r="G37" s="32"/>
      <c r="H37" s="7">
        <v>43283</v>
      </c>
      <c r="I37" s="55">
        <v>-28150</v>
      </c>
      <c r="J37" s="50" t="s">
        <v>36</v>
      </c>
      <c r="K37" s="52" t="s">
        <v>37</v>
      </c>
      <c r="L37" s="53"/>
      <c r="M37" s="54"/>
      <c r="N37" s="54"/>
      <c r="O37" s="53"/>
    </row>
    <row r="38" s="13" customFormat="1" ht="18" customHeight="1" spans="1:15">
      <c r="A38" s="40">
        <v>43344</v>
      </c>
      <c r="B38" s="25">
        <f t="shared" si="4"/>
        <v>84482.76</v>
      </c>
      <c r="C38" s="44"/>
      <c r="D38" s="10" t="s">
        <v>46</v>
      </c>
      <c r="E38" s="45">
        <v>0.16</v>
      </c>
      <c r="F38" s="25">
        <f t="shared" si="5"/>
        <v>13517.24</v>
      </c>
      <c r="G38" s="46">
        <v>98000</v>
      </c>
      <c r="H38" s="7">
        <v>43284</v>
      </c>
      <c r="I38" s="55">
        <v>40000</v>
      </c>
      <c r="J38" s="50" t="s">
        <v>39</v>
      </c>
      <c r="K38" s="52" t="s">
        <v>96</v>
      </c>
      <c r="L38" s="53" t="s">
        <v>99</v>
      </c>
      <c r="M38" s="54"/>
      <c r="N38" s="54"/>
      <c r="O38" s="53"/>
    </row>
    <row r="39" s="13" customFormat="1" ht="18" customHeight="1" spans="1:15">
      <c r="A39" s="40"/>
      <c r="B39" s="25">
        <f t="shared" si="4"/>
        <v>0</v>
      </c>
      <c r="C39" s="44"/>
      <c r="D39" s="10"/>
      <c r="E39" s="45"/>
      <c r="F39" s="25">
        <f t="shared" si="5"/>
        <v>0</v>
      </c>
      <c r="G39" s="46"/>
      <c r="H39" s="7">
        <v>43284</v>
      </c>
      <c r="I39" s="55">
        <v>-40000</v>
      </c>
      <c r="J39" s="50" t="s">
        <v>36</v>
      </c>
      <c r="K39" s="52" t="s">
        <v>37</v>
      </c>
      <c r="L39" s="53"/>
      <c r="M39" s="54"/>
      <c r="N39" s="54"/>
      <c r="O39" s="53"/>
    </row>
    <row r="40" s="13" customFormat="1" ht="18" customHeight="1" spans="1:15">
      <c r="A40" s="40"/>
      <c r="B40" s="25">
        <f t="shared" si="4"/>
        <v>0</v>
      </c>
      <c r="C40" s="44"/>
      <c r="D40" s="10"/>
      <c r="E40" s="45"/>
      <c r="F40" s="25">
        <f t="shared" si="5"/>
        <v>0</v>
      </c>
      <c r="G40" s="46"/>
      <c r="H40" s="7">
        <v>43284</v>
      </c>
      <c r="I40" s="55">
        <v>-3458</v>
      </c>
      <c r="J40" s="50" t="s">
        <v>39</v>
      </c>
      <c r="K40" s="52" t="s">
        <v>98</v>
      </c>
      <c r="L40" s="53" t="s">
        <v>100</v>
      </c>
      <c r="M40" s="54"/>
      <c r="N40" s="54"/>
      <c r="O40" s="53"/>
    </row>
    <row r="41" s="13" customFormat="1" ht="18" customHeight="1" spans="1:15">
      <c r="A41" s="40">
        <v>43344</v>
      </c>
      <c r="B41" s="25">
        <f t="shared" si="4"/>
        <v>7698.11</v>
      </c>
      <c r="C41" s="44"/>
      <c r="D41" s="10" t="s">
        <v>46</v>
      </c>
      <c r="E41" s="45">
        <v>0.06</v>
      </c>
      <c r="F41" s="25">
        <f t="shared" si="5"/>
        <v>461.89</v>
      </c>
      <c r="G41" s="46">
        <v>8160</v>
      </c>
      <c r="H41" s="7">
        <v>43306</v>
      </c>
      <c r="I41" s="55">
        <v>5760</v>
      </c>
      <c r="J41" s="50" t="s">
        <v>39</v>
      </c>
      <c r="K41" s="52" t="s">
        <v>101</v>
      </c>
      <c r="L41" s="53" t="s">
        <v>102</v>
      </c>
      <c r="M41" s="54"/>
      <c r="N41" s="54"/>
      <c r="O41" s="53"/>
    </row>
    <row r="42" s="13" customFormat="1" ht="18" customHeight="1" spans="1:15">
      <c r="A42" s="40"/>
      <c r="B42" s="28">
        <f t="shared" si="4"/>
        <v>0</v>
      </c>
      <c r="C42" s="41"/>
      <c r="D42" s="42"/>
      <c r="E42" s="43"/>
      <c r="F42" s="28">
        <f t="shared" si="5"/>
        <v>0</v>
      </c>
      <c r="G42" s="32"/>
      <c r="H42" s="7">
        <v>43306</v>
      </c>
      <c r="I42" s="55">
        <v>-5662</v>
      </c>
      <c r="J42" s="50" t="s">
        <v>36</v>
      </c>
      <c r="K42" s="52" t="s">
        <v>37</v>
      </c>
      <c r="L42" s="53"/>
      <c r="M42" s="54"/>
      <c r="N42" s="54"/>
      <c r="O42" s="53"/>
    </row>
    <row r="43" s="13" customFormat="1" ht="18" customHeight="1" spans="1:15">
      <c r="A43" s="40"/>
      <c r="B43" s="28">
        <f t="shared" si="4"/>
        <v>0</v>
      </c>
      <c r="C43" s="41"/>
      <c r="D43" s="42"/>
      <c r="E43" s="43"/>
      <c r="F43" s="28">
        <f t="shared" si="5"/>
        <v>0</v>
      </c>
      <c r="G43" s="32"/>
      <c r="H43" s="7">
        <v>43306</v>
      </c>
      <c r="I43" s="55">
        <v>3360</v>
      </c>
      <c r="J43" s="50" t="s">
        <v>39</v>
      </c>
      <c r="K43" s="52" t="s">
        <v>103</v>
      </c>
      <c r="L43" s="53"/>
      <c r="M43" s="54"/>
      <c r="N43" s="54"/>
      <c r="O43" s="53"/>
    </row>
    <row r="44" s="13" customFormat="1" ht="18" customHeight="1" spans="1:15">
      <c r="A44" s="40"/>
      <c r="B44" s="28">
        <f t="shared" si="4"/>
        <v>0</v>
      </c>
      <c r="C44" s="41"/>
      <c r="D44" s="42"/>
      <c r="E44" s="43"/>
      <c r="F44" s="28">
        <f t="shared" si="5"/>
        <v>0</v>
      </c>
      <c r="G44" s="32"/>
      <c r="H44" s="7">
        <v>43293</v>
      </c>
      <c r="I44" s="55">
        <v>40600</v>
      </c>
      <c r="J44" s="50" t="s">
        <v>39</v>
      </c>
      <c r="K44" s="52" t="s">
        <v>90</v>
      </c>
      <c r="L44" s="53"/>
      <c r="M44" s="54"/>
      <c r="N44" s="54"/>
      <c r="O44" s="53"/>
    </row>
    <row r="45" s="13" customFormat="1" ht="18" customHeight="1" spans="1:15">
      <c r="A45" s="40"/>
      <c r="B45" s="28">
        <f t="shared" si="4"/>
        <v>0</v>
      </c>
      <c r="C45" s="41"/>
      <c r="D45" s="42"/>
      <c r="E45" s="43"/>
      <c r="F45" s="28">
        <f t="shared" si="5"/>
        <v>0</v>
      </c>
      <c r="G45" s="32"/>
      <c r="H45" s="7">
        <v>43293</v>
      </c>
      <c r="I45" s="55">
        <v>-40600</v>
      </c>
      <c r="J45" s="50" t="s">
        <v>36</v>
      </c>
      <c r="K45" s="52" t="s">
        <v>37</v>
      </c>
      <c r="L45" s="53"/>
      <c r="M45" s="54"/>
      <c r="N45" s="54"/>
      <c r="O45" s="53"/>
    </row>
    <row r="46" s="13" customFormat="1" ht="18" customHeight="1" spans="1:15">
      <c r="A46" s="40"/>
      <c r="B46" s="28">
        <f t="shared" si="4"/>
        <v>0</v>
      </c>
      <c r="C46" s="41"/>
      <c r="D46" s="42"/>
      <c r="E46" s="43"/>
      <c r="F46" s="28">
        <f t="shared" si="5"/>
        <v>0</v>
      </c>
      <c r="G46" s="32"/>
      <c r="H46" s="7">
        <v>43294</v>
      </c>
      <c r="I46" s="55">
        <v>14830</v>
      </c>
      <c r="J46" s="50" t="s">
        <v>39</v>
      </c>
      <c r="K46" s="52" t="s">
        <v>42</v>
      </c>
      <c r="L46" s="53"/>
      <c r="M46" s="54"/>
      <c r="N46" s="54"/>
      <c r="O46" s="53"/>
    </row>
    <row r="47" s="13" customFormat="1" ht="18" customHeight="1" spans="1:15">
      <c r="A47" s="40"/>
      <c r="B47" s="28">
        <f t="shared" si="4"/>
        <v>0</v>
      </c>
      <c r="C47" s="41"/>
      <c r="D47" s="42"/>
      <c r="E47" s="43"/>
      <c r="F47" s="28">
        <f t="shared" si="5"/>
        <v>0</v>
      </c>
      <c r="G47" s="32"/>
      <c r="H47" s="7">
        <v>43294</v>
      </c>
      <c r="I47" s="55">
        <v>-14830</v>
      </c>
      <c r="J47" s="50" t="s">
        <v>36</v>
      </c>
      <c r="K47" s="52" t="s">
        <v>37</v>
      </c>
      <c r="L47" s="53"/>
      <c r="M47" s="54"/>
      <c r="N47" s="54"/>
      <c r="O47" s="53"/>
    </row>
    <row r="48" s="13" customFormat="1" ht="18" customHeight="1" spans="1:15">
      <c r="A48" s="40"/>
      <c r="B48" s="28">
        <f t="shared" si="4"/>
        <v>0</v>
      </c>
      <c r="C48" s="41"/>
      <c r="D48" s="42"/>
      <c r="E48" s="43"/>
      <c r="F48" s="28">
        <f t="shared" si="5"/>
        <v>0</v>
      </c>
      <c r="G48" s="32"/>
      <c r="H48" s="7">
        <v>43297</v>
      </c>
      <c r="I48" s="55">
        <v>18000</v>
      </c>
      <c r="J48" s="50" t="s">
        <v>39</v>
      </c>
      <c r="K48" s="52" t="s">
        <v>96</v>
      </c>
      <c r="L48" s="53"/>
      <c r="M48" s="54"/>
      <c r="N48" s="54"/>
      <c r="O48" s="53"/>
    </row>
    <row r="49" s="13" customFormat="1" ht="18" customHeight="1" spans="1:15">
      <c r="A49" s="40"/>
      <c r="B49" s="28">
        <f t="shared" si="4"/>
        <v>0</v>
      </c>
      <c r="C49" s="41"/>
      <c r="D49" s="42"/>
      <c r="E49" s="43"/>
      <c r="F49" s="28">
        <f t="shared" si="5"/>
        <v>0</v>
      </c>
      <c r="G49" s="32"/>
      <c r="H49" s="7">
        <v>43297</v>
      </c>
      <c r="I49" s="55">
        <v>-18000</v>
      </c>
      <c r="J49" s="50" t="s">
        <v>36</v>
      </c>
      <c r="K49" s="52" t="s">
        <v>37</v>
      </c>
      <c r="L49" s="53"/>
      <c r="M49" s="54"/>
      <c r="N49" s="54"/>
      <c r="O49" s="53"/>
    </row>
    <row r="50" s="13" customFormat="1" ht="18" customHeight="1" spans="1:15">
      <c r="A50" s="40"/>
      <c r="B50" s="28">
        <f t="shared" si="4"/>
        <v>0</v>
      </c>
      <c r="C50" s="41"/>
      <c r="D50" s="42"/>
      <c r="E50" s="43"/>
      <c r="F50" s="28">
        <f t="shared" si="5"/>
        <v>0</v>
      </c>
      <c r="G50" s="32"/>
      <c r="H50" s="7">
        <v>43299</v>
      </c>
      <c r="I50" s="55">
        <v>3780</v>
      </c>
      <c r="J50" s="50" t="s">
        <v>39</v>
      </c>
      <c r="K50" s="52" t="s">
        <v>90</v>
      </c>
      <c r="L50" s="53"/>
      <c r="M50" s="54"/>
      <c r="N50" s="54"/>
      <c r="O50" s="53"/>
    </row>
    <row r="51" s="13" customFormat="1" ht="18" customHeight="1" spans="1:15">
      <c r="A51" s="40"/>
      <c r="B51" s="28">
        <f t="shared" si="4"/>
        <v>0</v>
      </c>
      <c r="C51" s="41"/>
      <c r="D51" s="42"/>
      <c r="E51" s="43"/>
      <c r="F51" s="28">
        <f t="shared" si="5"/>
        <v>0</v>
      </c>
      <c r="G51" s="32"/>
      <c r="H51" s="7">
        <v>43299</v>
      </c>
      <c r="I51" s="55">
        <v>-3780</v>
      </c>
      <c r="J51" s="50" t="s">
        <v>36</v>
      </c>
      <c r="K51" s="52" t="s">
        <v>37</v>
      </c>
      <c r="L51" s="53"/>
      <c r="M51" s="54"/>
      <c r="N51" s="54"/>
      <c r="O51" s="53"/>
    </row>
    <row r="52" s="13" customFormat="1" ht="18" customHeight="1" spans="1:15">
      <c r="A52" s="40"/>
      <c r="B52" s="28">
        <f t="shared" si="4"/>
        <v>0</v>
      </c>
      <c r="C52" s="41"/>
      <c r="D52" s="42"/>
      <c r="E52" s="43"/>
      <c r="F52" s="28">
        <f t="shared" si="5"/>
        <v>0</v>
      </c>
      <c r="G52" s="32"/>
      <c r="H52" s="7">
        <v>43312</v>
      </c>
      <c r="I52" s="55">
        <v>15000</v>
      </c>
      <c r="J52" s="50" t="s">
        <v>39</v>
      </c>
      <c r="K52" s="52" t="s">
        <v>104</v>
      </c>
      <c r="L52" s="53"/>
      <c r="M52" s="54"/>
      <c r="N52" s="54"/>
      <c r="O52" s="53"/>
    </row>
    <row r="53" s="13" customFormat="1" ht="18" customHeight="1" spans="1:15">
      <c r="A53" s="40"/>
      <c r="B53" s="28">
        <f t="shared" si="4"/>
        <v>0</v>
      </c>
      <c r="C53" s="41"/>
      <c r="D53" s="42"/>
      <c r="E53" s="43"/>
      <c r="F53" s="28">
        <f t="shared" si="5"/>
        <v>0</v>
      </c>
      <c r="G53" s="32"/>
      <c r="H53" s="7">
        <v>43312</v>
      </c>
      <c r="I53" s="55">
        <v>-15000</v>
      </c>
      <c r="J53" s="50" t="s">
        <v>36</v>
      </c>
      <c r="K53" s="52" t="s">
        <v>37</v>
      </c>
      <c r="L53" s="53"/>
      <c r="M53" s="54"/>
      <c r="N53" s="54"/>
      <c r="O53" s="53"/>
    </row>
    <row r="54" s="13" customFormat="1" ht="18" customHeight="1" spans="1:15">
      <c r="A54" s="40">
        <v>43299</v>
      </c>
      <c r="B54" s="28">
        <f t="shared" si="4"/>
        <v>160</v>
      </c>
      <c r="C54" s="41"/>
      <c r="D54" s="42" t="s">
        <v>88</v>
      </c>
      <c r="E54" s="43"/>
      <c r="F54" s="28">
        <f t="shared" si="5"/>
        <v>0</v>
      </c>
      <c r="G54" s="32">
        <v>160</v>
      </c>
      <c r="H54" s="7"/>
      <c r="I54" s="55"/>
      <c r="J54" s="50"/>
      <c r="K54" s="52"/>
      <c r="L54" s="53" t="s">
        <v>48</v>
      </c>
      <c r="M54" s="54"/>
      <c r="N54" s="54"/>
      <c r="O54" s="53"/>
    </row>
    <row r="55" s="13" customFormat="1" ht="18" customHeight="1" spans="1:15">
      <c r="A55" s="40"/>
      <c r="B55" s="28">
        <f t="shared" si="4"/>
        <v>0</v>
      </c>
      <c r="C55" s="41"/>
      <c r="D55" s="42"/>
      <c r="E55" s="43"/>
      <c r="F55" s="28">
        <f t="shared" si="5"/>
        <v>0</v>
      </c>
      <c r="G55" s="32"/>
      <c r="H55" s="7">
        <v>43313</v>
      </c>
      <c r="I55" s="55">
        <v>-15000</v>
      </c>
      <c r="J55" s="50" t="s">
        <v>39</v>
      </c>
      <c r="K55" s="52" t="s">
        <v>104</v>
      </c>
      <c r="L55" s="53"/>
      <c r="M55" s="54"/>
      <c r="N55" s="54"/>
      <c r="O55" s="53"/>
    </row>
    <row r="56" s="13" customFormat="1" ht="18" customHeight="1" spans="1:15">
      <c r="A56" s="40"/>
      <c r="B56" s="28"/>
      <c r="C56" s="41"/>
      <c r="D56" s="42"/>
      <c r="E56" s="43"/>
      <c r="F56" s="28">
        <f t="shared" si="5"/>
        <v>0</v>
      </c>
      <c r="G56" s="32"/>
      <c r="H56" s="7">
        <v>43314</v>
      </c>
      <c r="I56" s="55">
        <v>17000</v>
      </c>
      <c r="J56" s="50" t="s">
        <v>39</v>
      </c>
      <c r="K56" s="56" t="s">
        <v>105</v>
      </c>
      <c r="L56" s="53"/>
      <c r="M56" s="54"/>
      <c r="N56" s="54"/>
      <c r="O56" s="53"/>
    </row>
    <row r="57" s="13" customFormat="1" ht="18" customHeight="1" spans="1:15">
      <c r="A57" s="40"/>
      <c r="B57" s="28">
        <f t="shared" si="4"/>
        <v>0</v>
      </c>
      <c r="C57" s="41"/>
      <c r="D57" s="42"/>
      <c r="E57" s="43"/>
      <c r="F57" s="28">
        <f t="shared" si="5"/>
        <v>0</v>
      </c>
      <c r="G57" s="32"/>
      <c r="H57" s="7">
        <v>43314</v>
      </c>
      <c r="I57" s="55">
        <v>-2000</v>
      </c>
      <c r="J57" s="50" t="s">
        <v>36</v>
      </c>
      <c r="K57" s="52" t="s">
        <v>37</v>
      </c>
      <c r="L57" s="53"/>
      <c r="M57" s="54"/>
      <c r="N57" s="54"/>
      <c r="O57" s="53"/>
    </row>
    <row r="58" s="13" customFormat="1" ht="18" customHeight="1" spans="1:15">
      <c r="A58" s="40"/>
      <c r="B58" s="28">
        <f t="shared" si="4"/>
        <v>0</v>
      </c>
      <c r="C58" s="41"/>
      <c r="D58" s="42"/>
      <c r="E58" s="43"/>
      <c r="F58" s="28">
        <f t="shared" si="5"/>
        <v>0</v>
      </c>
      <c r="G58" s="32"/>
      <c r="H58" s="7">
        <v>43315</v>
      </c>
      <c r="I58" s="55">
        <v>12050</v>
      </c>
      <c r="J58" s="50" t="s">
        <v>39</v>
      </c>
      <c r="K58" s="52" t="s">
        <v>42</v>
      </c>
      <c r="L58" s="53"/>
      <c r="M58" s="54"/>
      <c r="N58" s="54"/>
      <c r="O58" s="53"/>
    </row>
    <row r="59" s="13" customFormat="1" ht="18" customHeight="1" spans="1:15">
      <c r="A59" s="40"/>
      <c r="B59" s="28">
        <f t="shared" si="4"/>
        <v>0</v>
      </c>
      <c r="C59" s="41"/>
      <c r="D59" s="42"/>
      <c r="E59" s="43"/>
      <c r="F59" s="28">
        <f t="shared" si="5"/>
        <v>0</v>
      </c>
      <c r="G59" s="32"/>
      <c r="H59" s="7">
        <v>43315</v>
      </c>
      <c r="I59" s="55">
        <v>-12050</v>
      </c>
      <c r="J59" s="50" t="s">
        <v>36</v>
      </c>
      <c r="K59" s="52" t="s">
        <v>37</v>
      </c>
      <c r="L59" s="53"/>
      <c r="M59" s="54"/>
      <c r="N59" s="54"/>
      <c r="O59" s="53"/>
    </row>
    <row r="60" s="13" customFormat="1" ht="18" customHeight="1" spans="1:15">
      <c r="A60" s="40">
        <v>43344</v>
      </c>
      <c r="B60" s="25">
        <f t="shared" si="4"/>
        <v>31106.8</v>
      </c>
      <c r="C60" s="44"/>
      <c r="D60" s="10" t="s">
        <v>46</v>
      </c>
      <c r="E60" s="45">
        <v>0.03</v>
      </c>
      <c r="F60" s="28">
        <f t="shared" si="5"/>
        <v>933.2</v>
      </c>
      <c r="G60" s="46">
        <v>32040</v>
      </c>
      <c r="H60" s="7">
        <v>43334</v>
      </c>
      <c r="I60" s="55">
        <v>33000</v>
      </c>
      <c r="J60" s="50" t="s">
        <v>39</v>
      </c>
      <c r="K60" s="52" t="s">
        <v>106</v>
      </c>
      <c r="L60" s="53" t="s">
        <v>95</v>
      </c>
      <c r="M60" s="54"/>
      <c r="N60" s="54"/>
      <c r="O60" s="53"/>
    </row>
    <row r="61" s="13" customFormat="1" ht="18" customHeight="1" spans="1:15">
      <c r="A61" s="40"/>
      <c r="B61" s="25">
        <f t="shared" si="4"/>
        <v>0</v>
      </c>
      <c r="C61" s="44"/>
      <c r="D61" s="10"/>
      <c r="E61" s="45"/>
      <c r="F61" s="28">
        <f t="shared" si="5"/>
        <v>0</v>
      </c>
      <c r="G61" s="46"/>
      <c r="H61" s="7">
        <v>43334</v>
      </c>
      <c r="I61" s="55">
        <v>-33000</v>
      </c>
      <c r="J61" s="50" t="s">
        <v>36</v>
      </c>
      <c r="K61" s="52" t="s">
        <v>37</v>
      </c>
      <c r="L61" s="53"/>
      <c r="M61" s="54"/>
      <c r="N61" s="54"/>
      <c r="O61" s="53"/>
    </row>
    <row r="62" s="13" customFormat="1" ht="18" customHeight="1" spans="1:15">
      <c r="A62" s="40"/>
      <c r="B62" s="25"/>
      <c r="C62" s="44"/>
      <c r="D62" s="10"/>
      <c r="E62" s="45"/>
      <c r="F62" s="28">
        <f t="shared" si="5"/>
        <v>0</v>
      </c>
      <c r="G62" s="46"/>
      <c r="H62" s="7">
        <v>43354</v>
      </c>
      <c r="I62" s="55">
        <v>-960</v>
      </c>
      <c r="J62" s="50" t="s">
        <v>39</v>
      </c>
      <c r="K62" s="52" t="s">
        <v>106</v>
      </c>
      <c r="L62" s="53"/>
      <c r="M62" s="54"/>
      <c r="N62" s="54"/>
      <c r="O62" s="53"/>
    </row>
    <row r="63" s="13" customFormat="1" ht="18" customHeight="1" spans="1:15">
      <c r="A63" s="40">
        <v>43344</v>
      </c>
      <c r="B63" s="25">
        <f t="shared" si="4"/>
        <v>76065.52</v>
      </c>
      <c r="C63" s="44"/>
      <c r="D63" s="10" t="s">
        <v>46</v>
      </c>
      <c r="E63" s="45">
        <v>0.16</v>
      </c>
      <c r="F63" s="25">
        <f t="shared" si="5"/>
        <v>12170.48</v>
      </c>
      <c r="G63" s="46">
        <v>88236</v>
      </c>
      <c r="H63" s="7">
        <v>43340</v>
      </c>
      <c r="I63" s="55">
        <v>11280</v>
      </c>
      <c r="J63" s="50" t="s">
        <v>39</v>
      </c>
      <c r="K63" s="52" t="s">
        <v>42</v>
      </c>
      <c r="L63" s="53" t="s">
        <v>107</v>
      </c>
      <c r="M63" s="54"/>
      <c r="N63" s="54"/>
      <c r="O63" s="53"/>
    </row>
    <row r="64" s="13" customFormat="1" ht="18" customHeight="1" spans="1:15">
      <c r="A64" s="40"/>
      <c r="B64" s="28">
        <f t="shared" si="4"/>
        <v>0</v>
      </c>
      <c r="C64" s="41"/>
      <c r="D64" s="42"/>
      <c r="E64" s="43"/>
      <c r="F64" s="28">
        <f t="shared" si="5"/>
        <v>0</v>
      </c>
      <c r="G64" s="32"/>
      <c r="H64" s="7">
        <v>43340</v>
      </c>
      <c r="I64" s="55">
        <v>-11280</v>
      </c>
      <c r="J64" s="50" t="s">
        <v>36</v>
      </c>
      <c r="K64" s="52" t="s">
        <v>37</v>
      </c>
      <c r="L64" s="53"/>
      <c r="M64" s="54"/>
      <c r="N64" s="54"/>
      <c r="O64" s="53"/>
    </row>
    <row r="65" s="13" customFormat="1" ht="18" customHeight="1" spans="1:15">
      <c r="A65" s="40"/>
      <c r="B65" s="28">
        <f t="shared" si="4"/>
        <v>0</v>
      </c>
      <c r="C65" s="41"/>
      <c r="D65" s="42"/>
      <c r="E65" s="43"/>
      <c r="F65" s="28">
        <f t="shared" si="5"/>
        <v>0</v>
      </c>
      <c r="G65" s="32"/>
      <c r="H65" s="7">
        <v>43343</v>
      </c>
      <c r="I65" s="55">
        <v>20000</v>
      </c>
      <c r="J65" s="50" t="s">
        <v>39</v>
      </c>
      <c r="K65" s="52" t="s">
        <v>108</v>
      </c>
      <c r="L65" s="53"/>
      <c r="M65" s="54"/>
      <c r="N65" s="54"/>
      <c r="O65" s="53"/>
    </row>
    <row r="66" s="13" customFormat="1" ht="18" customHeight="1" spans="1:15">
      <c r="A66" s="40"/>
      <c r="B66" s="28">
        <f t="shared" si="4"/>
        <v>0</v>
      </c>
      <c r="C66" s="41"/>
      <c r="D66" s="42"/>
      <c r="E66" s="43"/>
      <c r="F66" s="28">
        <f t="shared" si="5"/>
        <v>0</v>
      </c>
      <c r="G66" s="32"/>
      <c r="H66" s="7">
        <v>43343</v>
      </c>
      <c r="I66" s="55">
        <v>-20000</v>
      </c>
      <c r="J66" s="50" t="s">
        <v>36</v>
      </c>
      <c r="K66" s="52" t="s">
        <v>37</v>
      </c>
      <c r="L66" s="53"/>
      <c r="M66" s="54"/>
      <c r="N66" s="54"/>
      <c r="O66" s="53"/>
    </row>
    <row r="67" s="13" customFormat="1" ht="18" customHeight="1" spans="1:15">
      <c r="A67" s="40"/>
      <c r="B67" s="28">
        <f t="shared" si="4"/>
        <v>0</v>
      </c>
      <c r="C67" s="41"/>
      <c r="D67" s="42"/>
      <c r="E67" s="43"/>
      <c r="F67" s="28">
        <f t="shared" si="5"/>
        <v>0</v>
      </c>
      <c r="G67" s="32"/>
      <c r="H67" s="7">
        <v>43343</v>
      </c>
      <c r="I67" s="55">
        <v>3040</v>
      </c>
      <c r="J67" s="50" t="s">
        <v>39</v>
      </c>
      <c r="K67" s="52" t="s">
        <v>108</v>
      </c>
      <c r="L67" s="53"/>
      <c r="M67" s="54"/>
      <c r="N67" s="54"/>
      <c r="O67" s="53"/>
    </row>
    <row r="68" s="13" customFormat="1" ht="18" customHeight="1" spans="1:15">
      <c r="A68" s="40"/>
      <c r="B68" s="28">
        <f t="shared" si="4"/>
        <v>0</v>
      </c>
      <c r="C68" s="41"/>
      <c r="D68" s="42"/>
      <c r="E68" s="43"/>
      <c r="F68" s="28">
        <f t="shared" si="5"/>
        <v>0</v>
      </c>
      <c r="G68" s="32"/>
      <c r="H68" s="7">
        <v>43343</v>
      </c>
      <c r="I68" s="55">
        <v>-30000</v>
      </c>
      <c r="J68" s="50" t="s">
        <v>36</v>
      </c>
      <c r="K68" s="52" t="s">
        <v>37</v>
      </c>
      <c r="L68" s="53"/>
      <c r="M68" s="54"/>
      <c r="N68" s="54"/>
      <c r="O68" s="53"/>
    </row>
    <row r="69" s="13" customFormat="1" ht="18" customHeight="1" spans="1:15">
      <c r="A69" s="40"/>
      <c r="B69" s="28">
        <f t="shared" si="4"/>
        <v>0</v>
      </c>
      <c r="C69" s="41"/>
      <c r="D69" s="42"/>
      <c r="E69" s="43"/>
      <c r="F69" s="28">
        <f t="shared" si="5"/>
        <v>0</v>
      </c>
      <c r="G69" s="32"/>
      <c r="H69" s="7">
        <v>43350</v>
      </c>
      <c r="I69" s="55">
        <v>20000</v>
      </c>
      <c r="J69" s="50" t="s">
        <v>39</v>
      </c>
      <c r="K69" s="52" t="s">
        <v>108</v>
      </c>
      <c r="L69" s="53"/>
      <c r="M69" s="54"/>
      <c r="N69" s="54"/>
      <c r="O69" s="53"/>
    </row>
    <row r="70" s="13" customFormat="1" ht="18" customHeight="1" spans="1:15">
      <c r="A70" s="40"/>
      <c r="B70" s="28">
        <f t="shared" si="4"/>
        <v>0</v>
      </c>
      <c r="C70" s="41"/>
      <c r="D70" s="42"/>
      <c r="E70" s="43"/>
      <c r="F70" s="28">
        <f t="shared" si="5"/>
        <v>0</v>
      </c>
      <c r="G70" s="32"/>
      <c r="H70" s="7">
        <v>43353</v>
      </c>
      <c r="I70" s="55">
        <v>20000</v>
      </c>
      <c r="J70" s="50" t="s">
        <v>39</v>
      </c>
      <c r="K70" s="52" t="s">
        <v>108</v>
      </c>
      <c r="L70" s="53"/>
      <c r="M70" s="54"/>
      <c r="N70" s="54"/>
      <c r="O70" s="53"/>
    </row>
    <row r="71" s="13" customFormat="1" ht="18" customHeight="1" spans="1:15">
      <c r="A71" s="40"/>
      <c r="B71" s="28">
        <f t="shared" si="4"/>
        <v>0</v>
      </c>
      <c r="C71" s="41"/>
      <c r="D71" s="42"/>
      <c r="E71" s="43"/>
      <c r="F71" s="28">
        <f t="shared" si="5"/>
        <v>0</v>
      </c>
      <c r="G71" s="32"/>
      <c r="H71" s="7">
        <v>43353</v>
      </c>
      <c r="I71" s="55">
        <v>-20000</v>
      </c>
      <c r="J71" s="50" t="s">
        <v>36</v>
      </c>
      <c r="K71" s="52" t="s">
        <v>37</v>
      </c>
      <c r="L71" s="53"/>
      <c r="M71" s="54"/>
      <c r="N71" s="54"/>
      <c r="O71" s="53"/>
    </row>
    <row r="72" s="13" customFormat="1" ht="18" customHeight="1" spans="1:15">
      <c r="A72" s="40"/>
      <c r="B72" s="28">
        <f t="shared" si="4"/>
        <v>0</v>
      </c>
      <c r="C72" s="41"/>
      <c r="D72" s="42"/>
      <c r="E72" s="43"/>
      <c r="F72" s="28">
        <f t="shared" si="5"/>
        <v>0</v>
      </c>
      <c r="G72" s="32"/>
      <c r="H72" s="7"/>
      <c r="I72" s="55"/>
      <c r="J72" s="50"/>
      <c r="K72" s="52"/>
      <c r="L72" s="53"/>
      <c r="M72" s="54"/>
      <c r="N72" s="54"/>
      <c r="O72" s="53"/>
    </row>
    <row r="73" s="13" customFormat="1" ht="18" customHeight="1" spans="1:15">
      <c r="A73" s="40"/>
      <c r="B73" s="28">
        <f t="shared" si="4"/>
        <v>0</v>
      </c>
      <c r="C73" s="41"/>
      <c r="D73" s="42"/>
      <c r="E73" s="43"/>
      <c r="F73" s="28">
        <f t="shared" si="5"/>
        <v>0</v>
      </c>
      <c r="G73" s="32"/>
      <c r="H73" s="7">
        <v>43353</v>
      </c>
      <c r="I73" s="55">
        <v>10000</v>
      </c>
      <c r="J73" s="50" t="s">
        <v>39</v>
      </c>
      <c r="K73" s="52" t="s">
        <v>90</v>
      </c>
      <c r="L73" s="53" t="s">
        <v>109</v>
      </c>
      <c r="M73" s="54"/>
      <c r="N73" s="54"/>
      <c r="O73" s="53"/>
    </row>
    <row r="74" s="13" customFormat="1" ht="18" customHeight="1" spans="1:15">
      <c r="A74" s="40"/>
      <c r="B74" s="28">
        <f t="shared" si="4"/>
        <v>0</v>
      </c>
      <c r="C74" s="41"/>
      <c r="D74" s="42"/>
      <c r="E74" s="43"/>
      <c r="F74" s="28">
        <f t="shared" si="5"/>
        <v>0</v>
      </c>
      <c r="G74" s="32"/>
      <c r="H74" s="7">
        <v>43353</v>
      </c>
      <c r="I74" s="55">
        <v>-10000</v>
      </c>
      <c r="J74" s="50" t="s">
        <v>36</v>
      </c>
      <c r="K74" s="52" t="s">
        <v>37</v>
      </c>
      <c r="L74" s="53"/>
      <c r="M74" s="54"/>
      <c r="N74" s="54"/>
      <c r="O74" s="53"/>
    </row>
    <row r="75" s="13" customFormat="1" ht="18" customHeight="1" spans="1:15">
      <c r="A75" s="40"/>
      <c r="B75" s="28">
        <f t="shared" si="4"/>
        <v>0</v>
      </c>
      <c r="C75" s="41"/>
      <c r="D75" s="42"/>
      <c r="E75" s="43"/>
      <c r="F75" s="28">
        <f t="shared" si="5"/>
        <v>0</v>
      </c>
      <c r="G75" s="32"/>
      <c r="H75" s="7">
        <v>43354</v>
      </c>
      <c r="I75" s="55">
        <v>30000</v>
      </c>
      <c r="J75" s="50" t="s">
        <v>39</v>
      </c>
      <c r="K75" s="52" t="s">
        <v>90</v>
      </c>
      <c r="L75" s="53"/>
      <c r="M75" s="54"/>
      <c r="N75" s="54"/>
      <c r="O75" s="53"/>
    </row>
    <row r="76" s="13" customFormat="1" ht="18" customHeight="1" spans="1:15">
      <c r="A76" s="40"/>
      <c r="B76" s="28">
        <f t="shared" si="4"/>
        <v>0</v>
      </c>
      <c r="C76" s="41"/>
      <c r="D76" s="42"/>
      <c r="E76" s="43"/>
      <c r="F76" s="28">
        <f t="shared" si="5"/>
        <v>0</v>
      </c>
      <c r="G76" s="32"/>
      <c r="H76" s="7">
        <v>43354</v>
      </c>
      <c r="I76" s="55">
        <v>-30000</v>
      </c>
      <c r="J76" s="50" t="s">
        <v>36</v>
      </c>
      <c r="K76" s="52" t="s">
        <v>37</v>
      </c>
      <c r="L76" s="53"/>
      <c r="M76" s="54"/>
      <c r="N76" s="54"/>
      <c r="O76" s="53"/>
    </row>
    <row r="77" s="13" customFormat="1" ht="18" customHeight="1" spans="1:15">
      <c r="A77" s="40"/>
      <c r="B77" s="28">
        <f t="shared" si="4"/>
        <v>0</v>
      </c>
      <c r="C77" s="41"/>
      <c r="D77" s="42"/>
      <c r="E77" s="43"/>
      <c r="F77" s="28">
        <f t="shared" si="5"/>
        <v>0</v>
      </c>
      <c r="G77" s="32"/>
      <c r="H77" s="7">
        <v>43354</v>
      </c>
      <c r="I77" s="55">
        <v>10000</v>
      </c>
      <c r="J77" s="50" t="s">
        <v>39</v>
      </c>
      <c r="K77" s="52" t="s">
        <v>108</v>
      </c>
      <c r="L77" s="53"/>
      <c r="M77" s="54"/>
      <c r="N77" s="54"/>
      <c r="O77" s="53"/>
    </row>
    <row r="78" s="13" customFormat="1" ht="18" customHeight="1" spans="1:15">
      <c r="A78" s="40"/>
      <c r="B78" s="28">
        <f t="shared" si="4"/>
        <v>0</v>
      </c>
      <c r="C78" s="41"/>
      <c r="D78" s="42"/>
      <c r="E78" s="43"/>
      <c r="F78" s="28">
        <f t="shared" si="5"/>
        <v>0</v>
      </c>
      <c r="G78" s="32"/>
      <c r="H78" s="7">
        <v>43354</v>
      </c>
      <c r="I78" s="55">
        <v>-10000</v>
      </c>
      <c r="J78" s="50" t="s">
        <v>36</v>
      </c>
      <c r="K78" s="52" t="s">
        <v>37</v>
      </c>
      <c r="L78" s="53"/>
      <c r="M78" s="54"/>
      <c r="N78" s="54"/>
      <c r="O78" s="53"/>
    </row>
    <row r="79" s="13" customFormat="1" ht="18" customHeight="1" spans="1:15">
      <c r="A79" s="40"/>
      <c r="B79" s="28">
        <f t="shared" si="4"/>
        <v>0</v>
      </c>
      <c r="C79" s="41"/>
      <c r="D79" s="42"/>
      <c r="E79" s="43"/>
      <c r="F79" s="28">
        <f t="shared" si="5"/>
        <v>0</v>
      </c>
      <c r="G79" s="32"/>
      <c r="H79" s="7">
        <v>43356</v>
      </c>
      <c r="I79" s="55">
        <v>30000</v>
      </c>
      <c r="J79" s="50" t="s">
        <v>39</v>
      </c>
      <c r="K79" s="52" t="s">
        <v>110</v>
      </c>
      <c r="L79" s="53" t="s">
        <v>99</v>
      </c>
      <c r="M79" s="54"/>
      <c r="N79" s="54"/>
      <c r="O79" s="53"/>
    </row>
    <row r="80" s="13" customFormat="1" ht="18" customHeight="1" spans="1:15">
      <c r="A80" s="40"/>
      <c r="B80" s="28">
        <f t="shared" si="4"/>
        <v>0</v>
      </c>
      <c r="C80" s="41"/>
      <c r="D80" s="42"/>
      <c r="E80" s="43"/>
      <c r="F80" s="28">
        <f t="shared" si="5"/>
        <v>0</v>
      </c>
      <c r="G80" s="32"/>
      <c r="H80" s="7">
        <v>43355</v>
      </c>
      <c r="I80" s="55">
        <v>-22080</v>
      </c>
      <c r="J80" s="50" t="s">
        <v>36</v>
      </c>
      <c r="K80" s="52" t="s">
        <v>37</v>
      </c>
      <c r="L80" s="53"/>
      <c r="M80" s="54"/>
      <c r="N80" s="54"/>
      <c r="O80" s="53"/>
    </row>
    <row r="81" s="13" customFormat="1" ht="18" customHeight="1" spans="1:15">
      <c r="A81" s="40"/>
      <c r="B81" s="28">
        <f t="shared" si="4"/>
        <v>0</v>
      </c>
      <c r="C81" s="41"/>
      <c r="D81" s="42"/>
      <c r="E81" s="43"/>
      <c r="F81" s="28">
        <f t="shared" si="5"/>
        <v>0</v>
      </c>
      <c r="G81" s="32"/>
      <c r="H81" s="7">
        <v>43361</v>
      </c>
      <c r="I81" s="55">
        <v>1950</v>
      </c>
      <c r="J81" s="50" t="s">
        <v>39</v>
      </c>
      <c r="K81" s="52" t="s">
        <v>110</v>
      </c>
      <c r="L81" s="53" t="s">
        <v>99</v>
      </c>
      <c r="M81" s="54"/>
      <c r="N81" s="54"/>
      <c r="O81" s="53"/>
    </row>
    <row r="82" s="13" customFormat="1" ht="18" customHeight="1" spans="1:15">
      <c r="A82" s="40"/>
      <c r="B82" s="28">
        <f t="shared" si="4"/>
        <v>0</v>
      </c>
      <c r="C82" s="41"/>
      <c r="D82" s="42"/>
      <c r="E82" s="43"/>
      <c r="F82" s="28">
        <f t="shared" si="5"/>
        <v>0</v>
      </c>
      <c r="G82" s="32"/>
      <c r="H82" s="7">
        <v>43361</v>
      </c>
      <c r="I82" s="55">
        <v>-1950</v>
      </c>
      <c r="J82" s="50" t="s">
        <v>36</v>
      </c>
      <c r="K82" s="52" t="s">
        <v>37</v>
      </c>
      <c r="L82" s="53"/>
      <c r="M82" s="54"/>
      <c r="N82" s="54"/>
      <c r="O82" s="53"/>
    </row>
    <row r="83" s="13" customFormat="1" ht="18" customHeight="1" spans="1:15">
      <c r="A83" s="40">
        <v>43344</v>
      </c>
      <c r="B83" s="25">
        <f t="shared" si="4"/>
        <v>20301.72</v>
      </c>
      <c r="C83" s="44"/>
      <c r="D83" s="10" t="s">
        <v>46</v>
      </c>
      <c r="E83" s="45">
        <v>0.16</v>
      </c>
      <c r="F83" s="25">
        <f t="shared" si="5"/>
        <v>3248.28</v>
      </c>
      <c r="G83" s="46">
        <v>23550</v>
      </c>
      <c r="H83" s="7">
        <v>43362</v>
      </c>
      <c r="I83" s="55">
        <v>23550</v>
      </c>
      <c r="J83" s="50" t="s">
        <v>39</v>
      </c>
      <c r="K83" s="52" t="s">
        <v>111</v>
      </c>
      <c r="L83" s="53" t="s">
        <v>107</v>
      </c>
      <c r="M83" s="54"/>
      <c r="N83" s="54"/>
      <c r="O83" s="53"/>
    </row>
    <row r="84" s="13" customFormat="1" ht="18" customHeight="1" spans="1:15">
      <c r="A84" s="40"/>
      <c r="B84" s="25">
        <f t="shared" si="4"/>
        <v>0</v>
      </c>
      <c r="C84" s="44"/>
      <c r="D84" s="10"/>
      <c r="E84" s="45"/>
      <c r="F84" s="25">
        <f t="shared" si="5"/>
        <v>0</v>
      </c>
      <c r="G84" s="46"/>
      <c r="H84" s="7">
        <v>43362</v>
      </c>
      <c r="I84" s="55">
        <v>-23550</v>
      </c>
      <c r="J84" s="50" t="s">
        <v>36</v>
      </c>
      <c r="K84" s="52" t="s">
        <v>37</v>
      </c>
      <c r="L84" s="53"/>
      <c r="M84" s="54"/>
      <c r="N84" s="54"/>
      <c r="O84" s="53"/>
    </row>
    <row r="85" s="13" customFormat="1" ht="18" customHeight="1" spans="1:15">
      <c r="A85" s="57">
        <v>43344</v>
      </c>
      <c r="B85" s="25">
        <f t="shared" si="4"/>
        <v>65062.14</v>
      </c>
      <c r="C85" s="44"/>
      <c r="D85" s="10" t="s">
        <v>46</v>
      </c>
      <c r="E85" s="45">
        <v>0.03</v>
      </c>
      <c r="F85" s="25">
        <f t="shared" si="5"/>
        <v>1951.86</v>
      </c>
      <c r="G85" s="46">
        <v>67014</v>
      </c>
      <c r="H85" s="7">
        <v>43363</v>
      </c>
      <c r="I85" s="55">
        <v>50000</v>
      </c>
      <c r="J85" s="50" t="s">
        <v>39</v>
      </c>
      <c r="K85" s="52" t="s">
        <v>112</v>
      </c>
      <c r="L85" s="53" t="s">
        <v>95</v>
      </c>
      <c r="M85" s="54"/>
      <c r="N85" s="54"/>
      <c r="O85" s="53"/>
    </row>
    <row r="86" s="13" customFormat="1" ht="18" customHeight="1" spans="1:15">
      <c r="A86" s="40"/>
      <c r="B86" s="28">
        <f t="shared" si="4"/>
        <v>0</v>
      </c>
      <c r="C86" s="41"/>
      <c r="D86" s="42"/>
      <c r="E86" s="43"/>
      <c r="F86" s="28">
        <f t="shared" si="5"/>
        <v>0</v>
      </c>
      <c r="G86" s="32"/>
      <c r="H86" s="7">
        <v>43363</v>
      </c>
      <c r="I86" s="55">
        <v>-50000</v>
      </c>
      <c r="J86" s="50" t="s">
        <v>36</v>
      </c>
      <c r="K86" s="52" t="s">
        <v>37</v>
      </c>
      <c r="L86" s="53"/>
      <c r="M86" s="54"/>
      <c r="N86" s="54"/>
      <c r="O86" s="53"/>
    </row>
    <row r="87" s="13" customFormat="1" ht="18" customHeight="1" spans="1:15">
      <c r="A87" s="40"/>
      <c r="B87" s="28">
        <f t="shared" si="4"/>
        <v>0</v>
      </c>
      <c r="C87" s="41"/>
      <c r="D87" s="42"/>
      <c r="E87" s="43"/>
      <c r="F87" s="28">
        <f t="shared" si="5"/>
        <v>0</v>
      </c>
      <c r="G87" s="32"/>
      <c r="H87" s="7">
        <v>43364</v>
      </c>
      <c r="I87" s="55">
        <v>17000</v>
      </c>
      <c r="J87" s="50" t="s">
        <v>39</v>
      </c>
      <c r="K87" s="52" t="s">
        <v>112</v>
      </c>
      <c r="L87" s="53" t="s">
        <v>95</v>
      </c>
      <c r="M87" s="54"/>
      <c r="N87" s="54"/>
      <c r="O87" s="53"/>
    </row>
    <row r="88" s="13" customFormat="1" ht="18" customHeight="1" spans="1:15">
      <c r="A88" s="40"/>
      <c r="B88" s="28">
        <f t="shared" si="4"/>
        <v>0</v>
      </c>
      <c r="C88" s="41"/>
      <c r="D88" s="42"/>
      <c r="E88" s="43"/>
      <c r="F88" s="28">
        <f t="shared" si="5"/>
        <v>0</v>
      </c>
      <c r="G88" s="32"/>
      <c r="H88" s="7">
        <v>43364</v>
      </c>
      <c r="I88" s="55">
        <v>-17000</v>
      </c>
      <c r="J88" s="50" t="s">
        <v>36</v>
      </c>
      <c r="K88" s="52" t="s">
        <v>37</v>
      </c>
      <c r="L88" s="53"/>
      <c r="M88" s="54"/>
      <c r="N88" s="54"/>
      <c r="O88" s="53"/>
    </row>
    <row r="89" s="13" customFormat="1" ht="18" customHeight="1" spans="1:15">
      <c r="A89" s="40"/>
      <c r="B89" s="28">
        <f t="shared" si="4"/>
        <v>0</v>
      </c>
      <c r="C89" s="41"/>
      <c r="D89" s="42"/>
      <c r="E89" s="43"/>
      <c r="F89" s="28">
        <f t="shared" si="5"/>
        <v>0</v>
      </c>
      <c r="G89" s="32"/>
      <c r="H89" s="7">
        <v>43364</v>
      </c>
      <c r="I89" s="55">
        <v>20240</v>
      </c>
      <c r="J89" s="50" t="s">
        <v>39</v>
      </c>
      <c r="K89" s="52" t="s">
        <v>110</v>
      </c>
      <c r="L89" s="53" t="s">
        <v>99</v>
      </c>
      <c r="M89" s="54"/>
      <c r="N89" s="54"/>
      <c r="O89" s="53"/>
    </row>
    <row r="90" s="13" customFormat="1" ht="18" customHeight="1" spans="1:15">
      <c r="A90" s="40"/>
      <c r="B90" s="28">
        <f t="shared" si="4"/>
        <v>0</v>
      </c>
      <c r="C90" s="41"/>
      <c r="D90" s="42"/>
      <c r="E90" s="43"/>
      <c r="F90" s="28">
        <f t="shared" si="5"/>
        <v>0</v>
      </c>
      <c r="G90" s="32"/>
      <c r="H90" s="7">
        <v>43364</v>
      </c>
      <c r="I90" s="55">
        <v>-20240</v>
      </c>
      <c r="J90" s="50" t="s">
        <v>36</v>
      </c>
      <c r="K90" s="52" t="s">
        <v>37</v>
      </c>
      <c r="L90" s="53"/>
      <c r="M90" s="54"/>
      <c r="N90" s="54"/>
      <c r="O90" s="53"/>
    </row>
    <row r="91" s="13" customFormat="1" ht="18" customHeight="1" spans="1:15">
      <c r="A91" s="40">
        <v>43344</v>
      </c>
      <c r="B91" s="28">
        <f t="shared" si="4"/>
        <v>1034.48</v>
      </c>
      <c r="C91" s="44"/>
      <c r="D91" s="10" t="s">
        <v>46</v>
      </c>
      <c r="E91" s="45">
        <v>0.16</v>
      </c>
      <c r="F91" s="28">
        <f t="shared" si="5"/>
        <v>165.52</v>
      </c>
      <c r="G91" s="46">
        <v>1200</v>
      </c>
      <c r="H91" s="7"/>
      <c r="I91" s="55"/>
      <c r="J91" s="50"/>
      <c r="K91" s="52"/>
      <c r="L91" s="53" t="s">
        <v>113</v>
      </c>
      <c r="M91" s="54"/>
      <c r="N91" s="54"/>
      <c r="O91" s="53"/>
    </row>
    <row r="92" s="13" customFormat="1" ht="18" customHeight="1" spans="1:15">
      <c r="A92" s="40"/>
      <c r="B92" s="28"/>
      <c r="C92" s="41"/>
      <c r="D92" s="42"/>
      <c r="E92" s="43"/>
      <c r="F92" s="28"/>
      <c r="G92" s="32"/>
      <c r="H92" s="7"/>
      <c r="I92" s="55"/>
      <c r="J92" s="50"/>
      <c r="K92" s="52"/>
      <c r="L92" s="53"/>
      <c r="M92" s="54"/>
      <c r="N92" s="54"/>
      <c r="O92" s="53"/>
    </row>
    <row r="93" s="13" customFormat="1" ht="18" customHeight="1" spans="1:15">
      <c r="A93" s="40"/>
      <c r="B93" s="28">
        <f t="shared" si="4"/>
        <v>960</v>
      </c>
      <c r="C93" s="41"/>
      <c r="D93" s="42" t="s">
        <v>88</v>
      </c>
      <c r="E93" s="43"/>
      <c r="F93" s="28">
        <f t="shared" si="5"/>
        <v>0</v>
      </c>
      <c r="G93" s="32">
        <v>960</v>
      </c>
      <c r="H93" s="7"/>
      <c r="I93" s="55"/>
      <c r="J93" s="50"/>
      <c r="K93" s="52" t="s">
        <v>114</v>
      </c>
      <c r="L93" s="53" t="s">
        <v>102</v>
      </c>
      <c r="M93" s="54"/>
      <c r="N93" s="54"/>
      <c r="O93" s="53"/>
    </row>
    <row r="94" s="13" customFormat="1" ht="18" customHeight="1" spans="1:15">
      <c r="A94" s="40"/>
      <c r="B94" s="28">
        <f t="shared" si="4"/>
        <v>3630</v>
      </c>
      <c r="C94" s="41"/>
      <c r="D94" s="42" t="s">
        <v>88</v>
      </c>
      <c r="E94" s="43"/>
      <c r="F94" s="28">
        <f t="shared" si="5"/>
        <v>0</v>
      </c>
      <c r="G94" s="32">
        <v>3630</v>
      </c>
      <c r="H94" s="7"/>
      <c r="I94" s="55"/>
      <c r="J94" s="50"/>
      <c r="K94" s="52"/>
      <c r="L94" s="53" t="s">
        <v>48</v>
      </c>
      <c r="M94" s="54"/>
      <c r="N94" s="54"/>
      <c r="O94" s="53"/>
    </row>
    <row r="95" s="13" customFormat="1" ht="18" customHeight="1" spans="1:15">
      <c r="A95" s="40"/>
      <c r="B95" s="28">
        <f t="shared" si="4"/>
        <v>860</v>
      </c>
      <c r="C95" s="41"/>
      <c r="D95" s="42" t="s">
        <v>88</v>
      </c>
      <c r="E95" s="43"/>
      <c r="F95" s="28">
        <f t="shared" si="5"/>
        <v>0</v>
      </c>
      <c r="G95" s="32">
        <v>860</v>
      </c>
      <c r="H95" s="7"/>
      <c r="I95" s="55"/>
      <c r="J95" s="50"/>
      <c r="K95" s="52" t="s">
        <v>115</v>
      </c>
      <c r="L95" s="53" t="s">
        <v>89</v>
      </c>
      <c r="M95" s="54"/>
      <c r="N95" s="54"/>
      <c r="O95" s="53"/>
    </row>
    <row r="96" s="13" customFormat="1" ht="18" customHeight="1" spans="1:15">
      <c r="A96" s="40"/>
      <c r="B96" s="28">
        <f t="shared" si="4"/>
        <v>15560.84</v>
      </c>
      <c r="C96" s="41"/>
      <c r="D96" s="42" t="s">
        <v>88</v>
      </c>
      <c r="E96" s="43"/>
      <c r="F96" s="28">
        <f t="shared" si="5"/>
        <v>0</v>
      </c>
      <c r="G96" s="32">
        <v>15560.84</v>
      </c>
      <c r="H96" s="7"/>
      <c r="I96" s="55"/>
      <c r="J96" s="50"/>
      <c r="K96" s="52"/>
      <c r="L96" s="53" t="s">
        <v>51</v>
      </c>
      <c r="M96" s="54"/>
      <c r="N96" s="54"/>
      <c r="O96" s="53"/>
    </row>
    <row r="97" s="13" customFormat="1" ht="18" customHeight="1" spans="1:15">
      <c r="A97" s="40">
        <v>43344</v>
      </c>
      <c r="B97" s="28">
        <f t="shared" si="4"/>
        <v>44991.38</v>
      </c>
      <c r="C97" s="41"/>
      <c r="D97" s="42" t="s">
        <v>46</v>
      </c>
      <c r="E97" s="43">
        <v>0.16</v>
      </c>
      <c r="F97" s="28">
        <f t="shared" si="5"/>
        <v>7198.62</v>
      </c>
      <c r="G97" s="32">
        <v>52190</v>
      </c>
      <c r="H97" s="7"/>
      <c r="I97" s="55"/>
      <c r="J97" s="50"/>
      <c r="K97" s="52" t="s">
        <v>110</v>
      </c>
      <c r="L97" s="53" t="s">
        <v>99</v>
      </c>
      <c r="M97" s="54"/>
      <c r="N97" s="54"/>
      <c r="O97" s="53"/>
    </row>
    <row r="98" s="13" customFormat="1" ht="18" customHeight="1" spans="1:15">
      <c r="A98" s="40"/>
      <c r="B98" s="28">
        <f t="shared" si="4"/>
        <v>0</v>
      </c>
      <c r="C98" s="41"/>
      <c r="D98" s="42"/>
      <c r="E98" s="43"/>
      <c r="F98" s="28">
        <f t="shared" si="5"/>
        <v>0</v>
      </c>
      <c r="G98" s="32"/>
      <c r="H98" s="58">
        <v>43371</v>
      </c>
      <c r="I98" s="55">
        <v>418789.47</v>
      </c>
      <c r="J98" s="59" t="s">
        <v>36</v>
      </c>
      <c r="K98" s="60" t="s">
        <v>37</v>
      </c>
      <c r="L98" s="61" t="s">
        <v>116</v>
      </c>
      <c r="M98" s="54"/>
      <c r="N98" s="54"/>
      <c r="O98" s="53"/>
    </row>
    <row r="99" s="13" customFormat="1" ht="18" customHeight="1" spans="1:15">
      <c r="A99" s="40"/>
      <c r="B99" s="28">
        <f t="shared" si="4"/>
        <v>0</v>
      </c>
      <c r="C99" s="41"/>
      <c r="D99" s="42"/>
      <c r="E99" s="43"/>
      <c r="F99" s="28">
        <f t="shared" si="5"/>
        <v>0</v>
      </c>
      <c r="G99" s="32"/>
      <c r="H99" s="58">
        <v>43371</v>
      </c>
      <c r="I99" s="55">
        <v>21926</v>
      </c>
      <c r="J99" s="59" t="s">
        <v>39</v>
      </c>
      <c r="K99" s="60" t="s">
        <v>42</v>
      </c>
      <c r="L99" s="61" t="s">
        <v>93</v>
      </c>
      <c r="M99" s="54"/>
      <c r="N99" s="54"/>
      <c r="O99" s="53"/>
    </row>
    <row r="100" s="13" customFormat="1" ht="18" customHeight="1" spans="1:15">
      <c r="A100" s="40">
        <v>43374</v>
      </c>
      <c r="B100" s="28">
        <f t="shared" si="4"/>
        <v>200000</v>
      </c>
      <c r="C100" s="41">
        <v>2</v>
      </c>
      <c r="D100" s="42" t="s">
        <v>54</v>
      </c>
      <c r="E100" s="43"/>
      <c r="F100" s="28">
        <f t="shared" si="5"/>
        <v>0</v>
      </c>
      <c r="G100" s="32">
        <f>100000*2</f>
        <v>200000</v>
      </c>
      <c r="H100" s="58"/>
      <c r="I100" s="55"/>
      <c r="J100" s="59"/>
      <c r="K100" s="60" t="s">
        <v>117</v>
      </c>
      <c r="L100" s="61" t="s">
        <v>118</v>
      </c>
      <c r="M100" s="54"/>
      <c r="N100" s="54"/>
      <c r="O100" s="53"/>
    </row>
    <row r="101" s="13" customFormat="1" ht="18" customHeight="1" spans="1:15">
      <c r="A101" s="40">
        <v>43374</v>
      </c>
      <c r="B101" s="28">
        <f t="shared" si="4"/>
        <v>200000</v>
      </c>
      <c r="C101" s="41">
        <v>2</v>
      </c>
      <c r="D101" s="42" t="s">
        <v>54</v>
      </c>
      <c r="E101" s="43"/>
      <c r="F101" s="28">
        <f t="shared" si="5"/>
        <v>0</v>
      </c>
      <c r="G101" s="32">
        <f>100000*2</f>
        <v>200000</v>
      </c>
      <c r="H101" s="58"/>
      <c r="I101" s="55"/>
      <c r="J101" s="59"/>
      <c r="K101" s="60" t="s">
        <v>119</v>
      </c>
      <c r="L101" s="61" t="s">
        <v>120</v>
      </c>
      <c r="M101" s="54"/>
      <c r="N101" s="54"/>
      <c r="O101" s="53"/>
    </row>
    <row r="102" s="13" customFormat="1" ht="18" customHeight="1" spans="1:16">
      <c r="A102" s="40">
        <v>43374</v>
      </c>
      <c r="B102" s="28">
        <f t="shared" si="4"/>
        <v>31886.21</v>
      </c>
      <c r="C102" s="41"/>
      <c r="D102" s="42" t="s">
        <v>46</v>
      </c>
      <c r="E102" s="43">
        <v>0.16</v>
      </c>
      <c r="F102" s="28">
        <f t="shared" si="5"/>
        <v>5101.79</v>
      </c>
      <c r="G102" s="32">
        <v>36988</v>
      </c>
      <c r="H102" s="58">
        <v>43383</v>
      </c>
      <c r="I102" s="55">
        <v>36988</v>
      </c>
      <c r="J102" s="59" t="s">
        <v>39</v>
      </c>
      <c r="K102" s="60" t="s">
        <v>41</v>
      </c>
      <c r="L102" s="61" t="s">
        <v>121</v>
      </c>
      <c r="M102" s="54"/>
      <c r="N102" s="54"/>
      <c r="O102" s="53"/>
      <c r="P102" s="13" t="s">
        <v>122</v>
      </c>
    </row>
    <row r="103" s="13" customFormat="1" ht="18" customHeight="1" spans="1:15">
      <c r="A103" s="40">
        <v>43374</v>
      </c>
      <c r="B103" s="28">
        <f t="shared" si="4"/>
        <v>102876.4</v>
      </c>
      <c r="C103" s="41">
        <v>1</v>
      </c>
      <c r="D103" s="42" t="s">
        <v>54</v>
      </c>
      <c r="E103" s="43"/>
      <c r="F103" s="28">
        <f t="shared" si="5"/>
        <v>0</v>
      </c>
      <c r="G103" s="32">
        <v>102876.4</v>
      </c>
      <c r="H103" s="58"/>
      <c r="I103" s="55"/>
      <c r="J103" s="59"/>
      <c r="K103" s="60" t="s">
        <v>123</v>
      </c>
      <c r="L103" s="61" t="s">
        <v>99</v>
      </c>
      <c r="M103" s="54"/>
      <c r="N103" s="54"/>
      <c r="O103" s="53"/>
    </row>
    <row r="104" s="13" customFormat="1" ht="18" customHeight="1" spans="1:15">
      <c r="A104" s="40"/>
      <c r="B104" s="28">
        <f t="shared" si="4"/>
        <v>0</v>
      </c>
      <c r="C104" s="41"/>
      <c r="D104" s="42"/>
      <c r="E104" s="43"/>
      <c r="F104" s="28">
        <f t="shared" si="5"/>
        <v>0</v>
      </c>
      <c r="G104" s="32"/>
      <c r="H104" s="58">
        <v>43385</v>
      </c>
      <c r="I104" s="55">
        <v>4018</v>
      </c>
      <c r="J104" s="59" t="s">
        <v>39</v>
      </c>
      <c r="K104" s="60" t="s">
        <v>42</v>
      </c>
      <c r="L104" s="61" t="s">
        <v>93</v>
      </c>
      <c r="M104" s="54"/>
      <c r="N104" s="54"/>
      <c r="O104" s="53"/>
    </row>
    <row r="105" s="13" customFormat="1" ht="18" customHeight="1" spans="1:15">
      <c r="A105" s="40"/>
      <c r="B105" s="28">
        <f t="shared" si="4"/>
        <v>0</v>
      </c>
      <c r="C105" s="41"/>
      <c r="D105" s="42"/>
      <c r="E105" s="43"/>
      <c r="F105" s="28">
        <f t="shared" si="5"/>
        <v>0</v>
      </c>
      <c r="G105" s="32"/>
      <c r="H105" s="58">
        <v>43385</v>
      </c>
      <c r="I105" s="55">
        <v>283122.56</v>
      </c>
      <c r="J105" s="59" t="s">
        <v>36</v>
      </c>
      <c r="K105" s="60" t="s">
        <v>37</v>
      </c>
      <c r="L105" s="61" t="s">
        <v>124</v>
      </c>
      <c r="M105" s="54"/>
      <c r="N105" s="54"/>
      <c r="O105" s="53"/>
    </row>
    <row r="106" s="13" customFormat="1" ht="18" customHeight="1" spans="1:15">
      <c r="A106" s="40"/>
      <c r="B106" s="28">
        <f t="shared" si="4"/>
        <v>0</v>
      </c>
      <c r="C106" s="41"/>
      <c r="D106" s="42"/>
      <c r="E106" s="43"/>
      <c r="F106" s="28">
        <f t="shared" si="5"/>
        <v>0</v>
      </c>
      <c r="G106" s="32"/>
      <c r="H106" s="58">
        <v>43391</v>
      </c>
      <c r="I106" s="55">
        <v>30000</v>
      </c>
      <c r="J106" s="59" t="s">
        <v>39</v>
      </c>
      <c r="K106" s="60" t="s">
        <v>125</v>
      </c>
      <c r="L106" s="61" t="s">
        <v>95</v>
      </c>
      <c r="M106" s="54"/>
      <c r="N106" s="54"/>
      <c r="O106" s="53"/>
    </row>
    <row r="107" s="13" customFormat="1" ht="18" customHeight="1" spans="1:15">
      <c r="A107" s="40"/>
      <c r="B107" s="28">
        <f t="shared" si="4"/>
        <v>0</v>
      </c>
      <c r="C107" s="41"/>
      <c r="D107" s="42"/>
      <c r="E107" s="43"/>
      <c r="F107" s="28">
        <f t="shared" si="5"/>
        <v>0</v>
      </c>
      <c r="G107" s="32"/>
      <c r="H107" s="58">
        <v>43391</v>
      </c>
      <c r="I107" s="55">
        <v>-30000</v>
      </c>
      <c r="J107" s="59" t="s">
        <v>36</v>
      </c>
      <c r="K107" s="60" t="s">
        <v>37</v>
      </c>
      <c r="L107" s="61"/>
      <c r="M107" s="54"/>
      <c r="N107" s="54"/>
      <c r="O107" s="53"/>
    </row>
    <row r="108" s="13" customFormat="1" ht="18" customHeight="1" spans="1:15">
      <c r="A108" s="40"/>
      <c r="B108" s="28"/>
      <c r="C108" s="41"/>
      <c r="D108" s="42"/>
      <c r="E108" s="43"/>
      <c r="F108" s="28">
        <f t="shared" si="5"/>
        <v>0</v>
      </c>
      <c r="G108" s="32"/>
      <c r="H108" s="58">
        <v>43397</v>
      </c>
      <c r="I108" s="55">
        <v>20000</v>
      </c>
      <c r="J108" s="59" t="s">
        <v>39</v>
      </c>
      <c r="K108" s="60" t="s">
        <v>125</v>
      </c>
      <c r="L108" s="61" t="s">
        <v>95</v>
      </c>
      <c r="M108" s="54"/>
      <c r="N108" s="54"/>
      <c r="O108" s="53"/>
    </row>
    <row r="109" s="13" customFormat="1" ht="18" customHeight="1" spans="1:15">
      <c r="A109" s="40"/>
      <c r="B109" s="28"/>
      <c r="C109" s="41"/>
      <c r="D109" s="42"/>
      <c r="E109" s="43"/>
      <c r="F109" s="28">
        <f t="shared" si="5"/>
        <v>0</v>
      </c>
      <c r="G109" s="32"/>
      <c r="H109" s="58">
        <v>43397</v>
      </c>
      <c r="I109" s="55">
        <v>-20000</v>
      </c>
      <c r="J109" s="59" t="s">
        <v>36</v>
      </c>
      <c r="K109" s="60" t="s">
        <v>37</v>
      </c>
      <c r="L109" s="61"/>
      <c r="M109" s="54"/>
      <c r="N109" s="54"/>
      <c r="O109" s="53"/>
    </row>
    <row r="110" s="13" customFormat="1" ht="18" customHeight="1" spans="1:15">
      <c r="A110" s="40"/>
      <c r="B110" s="28"/>
      <c r="C110" s="41"/>
      <c r="D110" s="42"/>
      <c r="E110" s="43"/>
      <c r="F110" s="28">
        <f t="shared" si="5"/>
        <v>0</v>
      </c>
      <c r="G110" s="32"/>
      <c r="H110" s="58">
        <v>43402</v>
      </c>
      <c r="I110" s="55">
        <v>50000</v>
      </c>
      <c r="J110" s="59" t="s">
        <v>39</v>
      </c>
      <c r="K110" s="60" t="s">
        <v>42</v>
      </c>
      <c r="L110" s="61" t="s">
        <v>93</v>
      </c>
      <c r="M110" s="54"/>
      <c r="N110" s="54"/>
      <c r="O110" s="53"/>
    </row>
    <row r="111" s="13" customFormat="1" ht="18" customHeight="1" spans="1:15">
      <c r="A111" s="40"/>
      <c r="B111" s="28"/>
      <c r="C111" s="41"/>
      <c r="D111" s="42"/>
      <c r="E111" s="43"/>
      <c r="F111" s="28">
        <f t="shared" si="5"/>
        <v>0</v>
      </c>
      <c r="G111" s="32"/>
      <c r="H111" s="58">
        <v>43402</v>
      </c>
      <c r="I111" s="55">
        <v>-50000</v>
      </c>
      <c r="J111" s="59" t="s">
        <v>36</v>
      </c>
      <c r="K111" s="60" t="s">
        <v>37</v>
      </c>
      <c r="L111" s="61" t="s">
        <v>124</v>
      </c>
      <c r="M111" s="54"/>
      <c r="N111" s="54"/>
      <c r="O111" s="53"/>
    </row>
    <row r="112" s="13" customFormat="1" ht="18" customHeight="1" spans="1:15">
      <c r="A112" s="40"/>
      <c r="B112" s="28"/>
      <c r="C112" s="41"/>
      <c r="D112" s="42"/>
      <c r="E112" s="43"/>
      <c r="F112" s="28">
        <f t="shared" si="5"/>
        <v>0</v>
      </c>
      <c r="G112" s="32"/>
      <c r="H112" s="58">
        <v>43404</v>
      </c>
      <c r="I112" s="55">
        <v>30000</v>
      </c>
      <c r="J112" s="59" t="s">
        <v>39</v>
      </c>
      <c r="K112" s="60" t="s">
        <v>125</v>
      </c>
      <c r="L112" s="61" t="s">
        <v>95</v>
      </c>
      <c r="M112" s="54"/>
      <c r="N112" s="54"/>
      <c r="O112" s="53"/>
    </row>
    <row r="113" s="13" customFormat="1" ht="18" customHeight="1" spans="1:15">
      <c r="A113" s="40"/>
      <c r="B113" s="28"/>
      <c r="C113" s="41"/>
      <c r="D113" s="42"/>
      <c r="E113" s="43"/>
      <c r="F113" s="28">
        <f t="shared" si="5"/>
        <v>0</v>
      </c>
      <c r="G113" s="32"/>
      <c r="H113" s="58">
        <v>43404</v>
      </c>
      <c r="I113" s="55">
        <v>-30000</v>
      </c>
      <c r="J113" s="59" t="s">
        <v>36</v>
      </c>
      <c r="K113" s="60" t="s">
        <v>37</v>
      </c>
      <c r="L113" s="61"/>
      <c r="M113" s="54"/>
      <c r="N113" s="54"/>
      <c r="O113" s="53"/>
    </row>
    <row r="114" s="13" customFormat="1" ht="18" customHeight="1" spans="1:15">
      <c r="A114" s="40">
        <v>43405</v>
      </c>
      <c r="B114" s="28">
        <f t="shared" si="4"/>
        <v>209000</v>
      </c>
      <c r="C114" s="41"/>
      <c r="D114" s="42" t="s">
        <v>88</v>
      </c>
      <c r="E114" s="43"/>
      <c r="F114" s="28">
        <f t="shared" si="5"/>
        <v>0</v>
      </c>
      <c r="G114" s="32">
        <v>209000</v>
      </c>
      <c r="H114" s="58">
        <v>43426</v>
      </c>
      <c r="I114" s="62"/>
      <c r="J114" s="50" t="s">
        <v>39</v>
      </c>
      <c r="K114" s="60" t="s">
        <v>90</v>
      </c>
      <c r="L114" s="61" t="s">
        <v>109</v>
      </c>
      <c r="M114" s="54"/>
      <c r="N114" s="54"/>
      <c r="O114" s="63" t="s">
        <v>126</v>
      </c>
    </row>
    <row r="115" s="13" customFormat="1" ht="18" customHeight="1" spans="1:15">
      <c r="A115" s="40">
        <v>43405</v>
      </c>
      <c r="B115" s="28">
        <f t="shared" si="4"/>
        <v>40300</v>
      </c>
      <c r="C115" s="41"/>
      <c r="D115" s="42" t="s">
        <v>88</v>
      </c>
      <c r="E115" s="43"/>
      <c r="F115" s="28">
        <f t="shared" si="5"/>
        <v>0</v>
      </c>
      <c r="G115" s="32">
        <f>10000*2+4300+8000*2</f>
        <v>40300</v>
      </c>
      <c r="H115" s="58">
        <v>43399</v>
      </c>
      <c r="I115" s="55">
        <v>40000</v>
      </c>
      <c r="J115" s="50" t="s">
        <v>39</v>
      </c>
      <c r="K115" s="60" t="s">
        <v>90</v>
      </c>
      <c r="L115" s="61" t="s">
        <v>109</v>
      </c>
      <c r="M115" s="54"/>
      <c r="N115" s="54"/>
      <c r="O115" s="53"/>
    </row>
    <row r="116" s="13" customFormat="1" ht="18" customHeight="1" spans="1:15">
      <c r="A116" s="40"/>
      <c r="B116" s="28"/>
      <c r="C116" s="41"/>
      <c r="D116" s="42"/>
      <c r="E116" s="43"/>
      <c r="F116" s="28">
        <f t="shared" si="5"/>
        <v>0</v>
      </c>
      <c r="G116" s="32"/>
      <c r="H116" s="58">
        <v>43399</v>
      </c>
      <c r="I116" s="55">
        <v>-40000</v>
      </c>
      <c r="J116" s="50" t="s">
        <v>36</v>
      </c>
      <c r="K116" s="60" t="s">
        <v>37</v>
      </c>
      <c r="L116" s="61"/>
      <c r="M116" s="54"/>
      <c r="N116" s="54"/>
      <c r="O116" s="53"/>
    </row>
    <row r="117" s="13" customFormat="1" ht="18" customHeight="1" spans="1:15">
      <c r="A117" s="40"/>
      <c r="B117" s="28">
        <f t="shared" si="4"/>
        <v>0</v>
      </c>
      <c r="C117" s="41"/>
      <c r="D117" s="42"/>
      <c r="E117" s="43"/>
      <c r="F117" s="28">
        <f t="shared" si="5"/>
        <v>0</v>
      </c>
      <c r="G117" s="32"/>
      <c r="H117" s="58">
        <v>43405</v>
      </c>
      <c r="I117" s="55">
        <v>20000</v>
      </c>
      <c r="J117" s="59" t="s">
        <v>39</v>
      </c>
      <c r="K117" s="60" t="s">
        <v>125</v>
      </c>
      <c r="L117" s="61" t="s">
        <v>95</v>
      </c>
      <c r="M117" s="54"/>
      <c r="N117" s="54"/>
      <c r="O117" s="53"/>
    </row>
    <row r="118" s="13" customFormat="1" ht="18" customHeight="1" spans="1:15">
      <c r="A118" s="40"/>
      <c r="B118" s="28">
        <f t="shared" si="4"/>
        <v>0</v>
      </c>
      <c r="C118" s="41"/>
      <c r="D118" s="42"/>
      <c r="E118" s="43"/>
      <c r="F118" s="28">
        <f t="shared" si="5"/>
        <v>0</v>
      </c>
      <c r="G118" s="32"/>
      <c r="H118" s="58">
        <v>43405</v>
      </c>
      <c r="I118" s="55">
        <v>-20000</v>
      </c>
      <c r="J118" s="59" t="s">
        <v>36</v>
      </c>
      <c r="K118" s="60" t="s">
        <v>37</v>
      </c>
      <c r="L118" s="61"/>
      <c r="M118" s="54"/>
      <c r="N118" s="54"/>
      <c r="O118" s="53"/>
    </row>
    <row r="119" s="13" customFormat="1" ht="18" customHeight="1" spans="1:15">
      <c r="A119" s="40">
        <v>43405</v>
      </c>
      <c r="B119" s="28">
        <f t="shared" si="4"/>
        <v>6783.62</v>
      </c>
      <c r="C119" s="41"/>
      <c r="D119" s="42" t="s">
        <v>46</v>
      </c>
      <c r="E119" s="43">
        <v>0.16</v>
      </c>
      <c r="F119" s="28">
        <f t="shared" si="5"/>
        <v>1085.38</v>
      </c>
      <c r="G119" s="32">
        <v>7869</v>
      </c>
      <c r="H119" s="58">
        <v>43406</v>
      </c>
      <c r="I119" s="55">
        <v>7869</v>
      </c>
      <c r="J119" s="59" t="s">
        <v>39</v>
      </c>
      <c r="K119" s="60" t="s">
        <v>111</v>
      </c>
      <c r="L119" s="61" t="s">
        <v>107</v>
      </c>
      <c r="M119" s="54"/>
      <c r="N119" s="54"/>
      <c r="O119" s="53"/>
    </row>
    <row r="120" s="13" customFormat="1" ht="18" customHeight="1" spans="1:15">
      <c r="A120" s="40"/>
      <c r="B120" s="28">
        <f t="shared" si="4"/>
        <v>0</v>
      </c>
      <c r="C120" s="41"/>
      <c r="D120" s="42"/>
      <c r="E120" s="43"/>
      <c r="F120" s="28">
        <f t="shared" si="5"/>
        <v>0</v>
      </c>
      <c r="G120" s="32"/>
      <c r="H120" s="58">
        <v>43406</v>
      </c>
      <c r="I120" s="55">
        <v>-7869</v>
      </c>
      <c r="J120" s="59" t="s">
        <v>36</v>
      </c>
      <c r="K120" s="60" t="s">
        <v>37</v>
      </c>
      <c r="L120" s="61"/>
      <c r="M120" s="54"/>
      <c r="N120" s="54"/>
      <c r="O120" s="53"/>
    </row>
    <row r="121" s="13" customFormat="1" ht="18" customHeight="1" spans="1:15">
      <c r="A121" s="40">
        <v>43405</v>
      </c>
      <c r="B121" s="28">
        <f t="shared" si="4"/>
        <v>9616.5</v>
      </c>
      <c r="C121" s="41"/>
      <c r="D121" s="42" t="s">
        <v>46</v>
      </c>
      <c r="E121" s="43">
        <v>0.03</v>
      </c>
      <c r="F121" s="28">
        <f t="shared" si="5"/>
        <v>288.5</v>
      </c>
      <c r="G121" s="32">
        <v>9905</v>
      </c>
      <c r="H121" s="58">
        <v>43406</v>
      </c>
      <c r="I121" s="55">
        <v>9000</v>
      </c>
      <c r="J121" s="59" t="s">
        <v>39</v>
      </c>
      <c r="K121" s="60" t="s">
        <v>112</v>
      </c>
      <c r="L121" s="61" t="s">
        <v>95</v>
      </c>
      <c r="M121" s="54"/>
      <c r="N121" s="54"/>
      <c r="O121" s="53"/>
    </row>
    <row r="122" s="13" customFormat="1" ht="18" customHeight="1" spans="1:15">
      <c r="A122" s="40"/>
      <c r="B122" s="28">
        <f t="shared" si="4"/>
        <v>0</v>
      </c>
      <c r="C122" s="41"/>
      <c r="D122" s="42"/>
      <c r="E122" s="43"/>
      <c r="F122" s="28">
        <f t="shared" si="5"/>
        <v>0</v>
      </c>
      <c r="G122" s="32"/>
      <c r="H122" s="58">
        <v>43406</v>
      </c>
      <c r="I122" s="55">
        <v>-9000</v>
      </c>
      <c r="J122" s="59" t="s">
        <v>36</v>
      </c>
      <c r="K122" s="60" t="s">
        <v>37</v>
      </c>
      <c r="L122" s="61"/>
      <c r="M122" s="54"/>
      <c r="N122" s="54"/>
      <c r="O122" s="53"/>
    </row>
    <row r="123" s="13" customFormat="1" ht="18" customHeight="1" spans="1:15">
      <c r="A123" s="40"/>
      <c r="B123" s="28">
        <f t="shared" si="4"/>
        <v>0</v>
      </c>
      <c r="C123" s="41"/>
      <c r="D123" s="42"/>
      <c r="E123" s="43"/>
      <c r="F123" s="28">
        <f t="shared" si="5"/>
        <v>0</v>
      </c>
      <c r="G123" s="32"/>
      <c r="H123" s="58">
        <v>43413</v>
      </c>
      <c r="I123" s="55">
        <v>4310</v>
      </c>
      <c r="J123" s="59" t="s">
        <v>39</v>
      </c>
      <c r="K123" s="60" t="s">
        <v>41</v>
      </c>
      <c r="L123" s="61" t="s">
        <v>121</v>
      </c>
      <c r="M123" s="54"/>
      <c r="N123" s="54"/>
      <c r="O123" s="53"/>
    </row>
    <row r="124" s="13" customFormat="1" ht="18" customHeight="1" spans="1:15">
      <c r="A124" s="40"/>
      <c r="B124" s="28">
        <f t="shared" si="4"/>
        <v>0</v>
      </c>
      <c r="C124" s="41"/>
      <c r="D124" s="42"/>
      <c r="E124" s="43"/>
      <c r="F124" s="28">
        <f t="shared" si="5"/>
        <v>0</v>
      </c>
      <c r="G124" s="32"/>
      <c r="H124" s="58">
        <v>43412</v>
      </c>
      <c r="I124" s="55">
        <v>-4310</v>
      </c>
      <c r="J124" s="59" t="s">
        <v>36</v>
      </c>
      <c r="K124" s="60" t="s">
        <v>37</v>
      </c>
      <c r="L124" s="61"/>
      <c r="M124" s="54"/>
      <c r="N124" s="54"/>
      <c r="O124" s="53"/>
    </row>
    <row r="125" s="13" customFormat="1" ht="18" customHeight="1" spans="1:15">
      <c r="A125" s="40">
        <v>43405</v>
      </c>
      <c r="B125" s="28">
        <f t="shared" si="4"/>
        <v>32398.06</v>
      </c>
      <c r="C125" s="41"/>
      <c r="D125" s="42" t="s">
        <v>46</v>
      </c>
      <c r="E125" s="43">
        <v>0.03</v>
      </c>
      <c r="F125" s="28">
        <f t="shared" si="5"/>
        <v>971.94</v>
      </c>
      <c r="G125" s="32">
        <v>33370</v>
      </c>
      <c r="H125" s="58">
        <v>43416</v>
      </c>
      <c r="I125" s="55">
        <v>30000</v>
      </c>
      <c r="J125" s="59" t="s">
        <v>39</v>
      </c>
      <c r="K125" s="60" t="s">
        <v>127</v>
      </c>
      <c r="L125" s="61" t="s">
        <v>95</v>
      </c>
      <c r="M125" s="54"/>
      <c r="N125" s="54"/>
      <c r="O125" s="53"/>
    </row>
    <row r="126" s="13" customFormat="1" ht="18" customHeight="1" spans="1:15">
      <c r="A126" s="40"/>
      <c r="B126" s="28">
        <f t="shared" si="4"/>
        <v>0</v>
      </c>
      <c r="C126" s="41"/>
      <c r="D126" s="42"/>
      <c r="E126" s="43"/>
      <c r="F126" s="28">
        <f t="shared" si="5"/>
        <v>0</v>
      </c>
      <c r="G126" s="32"/>
      <c r="H126" s="58">
        <v>43416</v>
      </c>
      <c r="I126" s="55">
        <v>-30000</v>
      </c>
      <c r="J126" s="59" t="s">
        <v>36</v>
      </c>
      <c r="K126" s="60" t="s">
        <v>37</v>
      </c>
      <c r="L126" s="61"/>
      <c r="M126" s="54"/>
      <c r="N126" s="54"/>
      <c r="O126" s="53"/>
    </row>
    <row r="127" s="13" customFormat="1" ht="18" customHeight="1" spans="1:15">
      <c r="A127" s="40"/>
      <c r="B127" s="28">
        <f t="shared" si="4"/>
        <v>0</v>
      </c>
      <c r="C127" s="41"/>
      <c r="D127" s="42"/>
      <c r="E127" s="43"/>
      <c r="F127" s="28">
        <f t="shared" si="5"/>
        <v>0</v>
      </c>
      <c r="G127" s="32"/>
      <c r="H127" s="58">
        <v>43416</v>
      </c>
      <c r="I127" s="55">
        <v>2900</v>
      </c>
      <c r="J127" s="59" t="s">
        <v>39</v>
      </c>
      <c r="K127" s="60" t="s">
        <v>127</v>
      </c>
      <c r="L127" s="61" t="s">
        <v>95</v>
      </c>
      <c r="M127" s="54"/>
      <c r="N127" s="54"/>
      <c r="O127" s="53"/>
    </row>
    <row r="128" s="13" customFormat="1" ht="18" customHeight="1" spans="1:15">
      <c r="A128" s="40"/>
      <c r="B128" s="28">
        <f t="shared" si="4"/>
        <v>0</v>
      </c>
      <c r="C128" s="41"/>
      <c r="D128" s="42"/>
      <c r="E128" s="43"/>
      <c r="F128" s="28">
        <f t="shared" si="5"/>
        <v>0</v>
      </c>
      <c r="G128" s="32"/>
      <c r="H128" s="58">
        <v>43416</v>
      </c>
      <c r="I128" s="55">
        <v>-2900</v>
      </c>
      <c r="J128" s="59" t="s">
        <v>36</v>
      </c>
      <c r="K128" s="60" t="s">
        <v>37</v>
      </c>
      <c r="L128" s="61"/>
      <c r="M128" s="54"/>
      <c r="N128" s="54"/>
      <c r="O128" s="53"/>
    </row>
    <row r="129" s="13" customFormat="1" ht="18" customHeight="1" spans="1:15">
      <c r="A129" s="40">
        <v>43405</v>
      </c>
      <c r="B129" s="28">
        <f t="shared" si="4"/>
        <v>65417.48</v>
      </c>
      <c r="C129" s="41"/>
      <c r="D129" s="42" t="s">
        <v>46</v>
      </c>
      <c r="E129" s="43">
        <v>0.03</v>
      </c>
      <c r="F129" s="28">
        <f t="shared" si="5"/>
        <v>1962.52</v>
      </c>
      <c r="G129" s="32">
        <v>67380</v>
      </c>
      <c r="H129" s="58">
        <v>43418</v>
      </c>
      <c r="I129" s="55">
        <v>-5660</v>
      </c>
      <c r="J129" s="59" t="s">
        <v>39</v>
      </c>
      <c r="K129" s="60" t="s">
        <v>108</v>
      </c>
      <c r="L129" s="61" t="s">
        <v>95</v>
      </c>
      <c r="M129" s="54"/>
      <c r="N129" s="54"/>
      <c r="O129" s="53"/>
    </row>
    <row r="130" s="13" customFormat="1" ht="18" customHeight="1" spans="1:15">
      <c r="A130" s="40"/>
      <c r="B130" s="28">
        <f t="shared" si="4"/>
        <v>0</v>
      </c>
      <c r="C130" s="41"/>
      <c r="D130" s="42"/>
      <c r="E130" s="43"/>
      <c r="F130" s="28">
        <f t="shared" si="5"/>
        <v>0</v>
      </c>
      <c r="G130" s="32"/>
      <c r="H130" s="58">
        <v>43418</v>
      </c>
      <c r="I130" s="55">
        <v>40000</v>
      </c>
      <c r="J130" s="59" t="s">
        <v>39</v>
      </c>
      <c r="K130" s="60" t="s">
        <v>125</v>
      </c>
      <c r="L130" s="61" t="s">
        <v>95</v>
      </c>
      <c r="M130" s="54"/>
      <c r="N130" s="54"/>
      <c r="O130" s="53"/>
    </row>
    <row r="131" s="13" customFormat="1" ht="18" customHeight="1" spans="1:15">
      <c r="A131" s="40"/>
      <c r="B131" s="28">
        <f t="shared" si="4"/>
        <v>0</v>
      </c>
      <c r="C131" s="41"/>
      <c r="D131" s="42"/>
      <c r="E131" s="43"/>
      <c r="F131" s="28">
        <f t="shared" si="5"/>
        <v>0</v>
      </c>
      <c r="G131" s="32"/>
      <c r="H131" s="58">
        <v>43418</v>
      </c>
      <c r="I131" s="55">
        <v>-40000</v>
      </c>
      <c r="J131" s="59" t="s">
        <v>36</v>
      </c>
      <c r="K131" s="60" t="s">
        <v>37</v>
      </c>
      <c r="L131" s="61"/>
      <c r="M131" s="54"/>
      <c r="N131" s="54"/>
      <c r="O131" s="53"/>
    </row>
    <row r="132" s="13" customFormat="1" ht="18" customHeight="1" spans="1:15">
      <c r="A132" s="40"/>
      <c r="B132" s="28">
        <f t="shared" si="4"/>
        <v>0</v>
      </c>
      <c r="C132" s="41"/>
      <c r="D132" s="42"/>
      <c r="E132" s="43"/>
      <c r="F132" s="28">
        <f t="shared" si="5"/>
        <v>0</v>
      </c>
      <c r="G132" s="32"/>
      <c r="H132" s="58">
        <v>43419</v>
      </c>
      <c r="I132" s="55">
        <v>20000</v>
      </c>
      <c r="J132" s="59" t="s">
        <v>39</v>
      </c>
      <c r="K132" s="60" t="s">
        <v>125</v>
      </c>
      <c r="L132" s="61" t="s">
        <v>95</v>
      </c>
      <c r="M132" s="54"/>
      <c r="N132" s="54"/>
      <c r="O132" s="53"/>
    </row>
    <row r="133" s="13" customFormat="1" ht="18" customHeight="1" spans="1:15">
      <c r="A133" s="40"/>
      <c r="B133" s="28">
        <f t="shared" si="4"/>
        <v>0</v>
      </c>
      <c r="C133" s="41"/>
      <c r="D133" s="42"/>
      <c r="E133" s="43"/>
      <c r="F133" s="28">
        <f t="shared" si="5"/>
        <v>0</v>
      </c>
      <c r="G133" s="32"/>
      <c r="H133" s="58">
        <v>43419</v>
      </c>
      <c r="I133" s="55">
        <v>-14340</v>
      </c>
      <c r="J133" s="59" t="s">
        <v>36</v>
      </c>
      <c r="K133" s="60" t="s">
        <v>37</v>
      </c>
      <c r="L133" s="61"/>
      <c r="M133" s="54"/>
      <c r="N133" s="54"/>
      <c r="O133" s="53"/>
    </row>
    <row r="134" s="13" customFormat="1" ht="18" customHeight="1" spans="1:15">
      <c r="A134" s="40">
        <v>43405</v>
      </c>
      <c r="B134" s="28">
        <f t="shared" si="4"/>
        <v>849.06</v>
      </c>
      <c r="C134" s="41"/>
      <c r="D134" s="42" t="s">
        <v>46</v>
      </c>
      <c r="E134" s="43">
        <v>0.06</v>
      </c>
      <c r="F134" s="28">
        <f t="shared" si="5"/>
        <v>50.94</v>
      </c>
      <c r="G134" s="32">
        <v>900</v>
      </c>
      <c r="H134" s="58"/>
      <c r="I134" s="55"/>
      <c r="J134" s="59"/>
      <c r="K134" s="60" t="s">
        <v>128</v>
      </c>
      <c r="L134" s="61" t="s">
        <v>129</v>
      </c>
      <c r="M134" s="54"/>
      <c r="N134" s="54"/>
      <c r="O134" s="53"/>
    </row>
    <row r="135" s="13" customFormat="1" ht="18" customHeight="1" spans="1:15">
      <c r="A135" s="40">
        <v>43405</v>
      </c>
      <c r="B135" s="28">
        <f t="shared" si="4"/>
        <v>1140</v>
      </c>
      <c r="C135" s="41"/>
      <c r="D135" s="42" t="s">
        <v>88</v>
      </c>
      <c r="E135" s="43"/>
      <c r="F135" s="28">
        <f t="shared" si="5"/>
        <v>0</v>
      </c>
      <c r="G135" s="32">
        <f>300+840</f>
        <v>1140</v>
      </c>
      <c r="H135" s="58"/>
      <c r="I135" s="55"/>
      <c r="J135" s="59"/>
      <c r="K135" s="60" t="s">
        <v>130</v>
      </c>
      <c r="L135" s="61" t="s">
        <v>131</v>
      </c>
      <c r="M135" s="54"/>
      <c r="N135" s="54"/>
      <c r="O135" s="53"/>
    </row>
    <row r="136" s="13" customFormat="1" ht="18" customHeight="1" spans="1:15">
      <c r="A136" s="40">
        <v>43405</v>
      </c>
      <c r="B136" s="28">
        <f t="shared" si="4"/>
        <v>1370</v>
      </c>
      <c r="C136" s="41"/>
      <c r="D136" s="42" t="s">
        <v>88</v>
      </c>
      <c r="E136" s="43"/>
      <c r="F136" s="28">
        <f t="shared" si="5"/>
        <v>0</v>
      </c>
      <c r="G136" s="32">
        <v>1370</v>
      </c>
      <c r="H136" s="58"/>
      <c r="I136" s="55"/>
      <c r="J136" s="59"/>
      <c r="K136" s="60"/>
      <c r="L136" s="61" t="s">
        <v>48</v>
      </c>
      <c r="M136" s="54"/>
      <c r="N136" s="54"/>
      <c r="O136" s="53"/>
    </row>
    <row r="137" s="13" customFormat="1" ht="18" customHeight="1" spans="1:15">
      <c r="A137" s="40">
        <v>43405</v>
      </c>
      <c r="B137" s="28">
        <f t="shared" si="4"/>
        <v>9351.16</v>
      </c>
      <c r="C137" s="41"/>
      <c r="D137" s="42" t="s">
        <v>88</v>
      </c>
      <c r="E137" s="43"/>
      <c r="F137" s="28">
        <f t="shared" si="5"/>
        <v>0</v>
      </c>
      <c r="G137" s="32">
        <v>9351.16</v>
      </c>
      <c r="H137" s="58"/>
      <c r="I137" s="55"/>
      <c r="J137" s="59"/>
      <c r="K137" s="60" t="s">
        <v>132</v>
      </c>
      <c r="L137" s="61" t="s">
        <v>94</v>
      </c>
      <c r="M137" s="54"/>
      <c r="N137" s="54"/>
      <c r="O137" s="53"/>
    </row>
    <row r="138" s="13" customFormat="1" ht="18" customHeight="1" spans="1:15">
      <c r="A138" s="40">
        <v>43435</v>
      </c>
      <c r="B138" s="28">
        <f t="shared" si="4"/>
        <v>165048.54</v>
      </c>
      <c r="C138" s="41"/>
      <c r="D138" s="42" t="s">
        <v>46</v>
      </c>
      <c r="E138" s="43">
        <v>0.03</v>
      </c>
      <c r="F138" s="28">
        <f t="shared" si="5"/>
        <v>4951.46</v>
      </c>
      <c r="G138" s="32">
        <v>170000</v>
      </c>
      <c r="H138" s="58"/>
      <c r="I138" s="55"/>
      <c r="J138" s="59"/>
      <c r="K138" s="60" t="s">
        <v>105</v>
      </c>
      <c r="L138" s="61"/>
      <c r="M138" s="54"/>
      <c r="N138" s="54"/>
      <c r="O138" s="53"/>
    </row>
    <row r="139" s="13" customFormat="1" ht="18" customHeight="1" spans="1:15">
      <c r="A139" s="40">
        <v>43435</v>
      </c>
      <c r="B139" s="28">
        <f t="shared" si="4"/>
        <v>2440</v>
      </c>
      <c r="C139" s="41"/>
      <c r="D139" s="42" t="s">
        <v>88</v>
      </c>
      <c r="E139" s="43"/>
      <c r="F139" s="28">
        <f t="shared" si="5"/>
        <v>0</v>
      </c>
      <c r="G139" s="32">
        <v>2440</v>
      </c>
      <c r="H139" s="58"/>
      <c r="I139" s="55"/>
      <c r="J139" s="59"/>
      <c r="K139" s="60" t="s">
        <v>132</v>
      </c>
      <c r="L139" s="61" t="s">
        <v>94</v>
      </c>
      <c r="M139" s="54"/>
      <c r="N139" s="54"/>
      <c r="O139" s="53"/>
    </row>
    <row r="140" s="13" customFormat="1" ht="18" customHeight="1" spans="1:15">
      <c r="A140" s="40">
        <v>43435</v>
      </c>
      <c r="B140" s="28">
        <f t="shared" si="4"/>
        <v>295</v>
      </c>
      <c r="C140" s="41"/>
      <c r="D140" s="42" t="s">
        <v>88</v>
      </c>
      <c r="E140" s="43"/>
      <c r="F140" s="28">
        <f t="shared" si="5"/>
        <v>0</v>
      </c>
      <c r="G140" s="32">
        <v>295</v>
      </c>
      <c r="H140" s="58"/>
      <c r="I140" s="55"/>
      <c r="J140" s="59"/>
      <c r="K140" s="60" t="s">
        <v>48</v>
      </c>
      <c r="L140" s="61"/>
      <c r="M140" s="54"/>
      <c r="N140" s="54"/>
      <c r="O140" s="53"/>
    </row>
    <row r="141" ht="18" customHeight="1" spans="1:15">
      <c r="A141" s="57">
        <v>43435</v>
      </c>
      <c r="B141" s="25">
        <f t="shared" si="4"/>
        <v>156902.91</v>
      </c>
      <c r="C141" s="44"/>
      <c r="D141" s="10"/>
      <c r="E141" s="45">
        <v>0.03</v>
      </c>
      <c r="F141" s="25">
        <f t="shared" si="5"/>
        <v>4707.09</v>
      </c>
      <c r="G141" s="46">
        <v>161610</v>
      </c>
      <c r="H141" s="58"/>
      <c r="I141" s="55"/>
      <c r="J141" s="59"/>
      <c r="K141" s="81" t="s">
        <v>125</v>
      </c>
      <c r="L141" s="82" t="s">
        <v>95</v>
      </c>
      <c r="M141" s="50"/>
      <c r="N141" s="50"/>
      <c r="O141" s="38"/>
    </row>
    <row r="142" ht="18" customHeight="1" spans="1:15">
      <c r="A142" s="57">
        <v>43435</v>
      </c>
      <c r="B142" s="25">
        <f t="shared" si="4"/>
        <v>79719.83</v>
      </c>
      <c r="C142" s="44"/>
      <c r="D142" s="10"/>
      <c r="E142" s="45">
        <v>0.16</v>
      </c>
      <c r="F142" s="25">
        <f t="shared" si="5"/>
        <v>12755.17</v>
      </c>
      <c r="G142" s="46">
        <v>92475</v>
      </c>
      <c r="H142" s="58"/>
      <c r="I142" s="55"/>
      <c r="J142" s="59"/>
      <c r="K142" s="81" t="s">
        <v>42</v>
      </c>
      <c r="L142" s="82" t="s">
        <v>93</v>
      </c>
      <c r="M142" s="50"/>
      <c r="N142" s="50"/>
      <c r="O142" s="38"/>
    </row>
    <row r="143" ht="18" customHeight="1" spans="1:15">
      <c r="A143" s="57">
        <v>43435</v>
      </c>
      <c r="B143" s="25">
        <f t="shared" ref="B143:B177" si="6">ROUND(G143/(1+E143),2)</f>
        <v>1245</v>
      </c>
      <c r="C143" s="44"/>
      <c r="D143" s="10"/>
      <c r="E143" s="45"/>
      <c r="F143" s="25">
        <f t="shared" ref="F143:F177" si="7">ROUND(G143/(1+E143)*E143,2)</f>
        <v>0</v>
      </c>
      <c r="G143" s="46">
        <v>1245</v>
      </c>
      <c r="H143" s="58"/>
      <c r="I143" s="55"/>
      <c r="J143" s="59"/>
      <c r="K143" s="81" t="s">
        <v>133</v>
      </c>
      <c r="L143" s="82" t="s">
        <v>134</v>
      </c>
      <c r="M143" s="50"/>
      <c r="N143" s="50"/>
      <c r="O143" s="38"/>
    </row>
    <row r="144" ht="18" customHeight="1" spans="1:15">
      <c r="A144" s="57">
        <v>43435</v>
      </c>
      <c r="B144" s="25">
        <f t="shared" si="6"/>
        <v>835</v>
      </c>
      <c r="C144" s="44"/>
      <c r="D144" s="10"/>
      <c r="E144" s="45"/>
      <c r="F144" s="25">
        <f t="shared" si="7"/>
        <v>0</v>
      </c>
      <c r="G144" s="46">
        <v>835</v>
      </c>
      <c r="H144" s="58"/>
      <c r="I144" s="55"/>
      <c r="J144" s="59"/>
      <c r="K144" s="81"/>
      <c r="L144" s="82" t="s">
        <v>48</v>
      </c>
      <c r="M144" s="50"/>
      <c r="N144" s="50"/>
      <c r="O144" s="38"/>
    </row>
    <row r="145" ht="18" customHeight="1" spans="1:15">
      <c r="A145" s="57">
        <v>43435</v>
      </c>
      <c r="B145" s="25">
        <f t="shared" si="6"/>
        <v>3715.52</v>
      </c>
      <c r="C145" s="44"/>
      <c r="D145" s="10"/>
      <c r="E145" s="45">
        <v>0.16</v>
      </c>
      <c r="F145" s="25">
        <f t="shared" si="7"/>
        <v>594.48</v>
      </c>
      <c r="G145" s="46">
        <v>4310</v>
      </c>
      <c r="H145" s="58"/>
      <c r="I145" s="55"/>
      <c r="J145" s="59"/>
      <c r="K145" s="81" t="s">
        <v>41</v>
      </c>
      <c r="L145" s="82" t="s">
        <v>135</v>
      </c>
      <c r="M145" s="50"/>
      <c r="N145" s="50"/>
      <c r="O145" s="38"/>
    </row>
    <row r="146" ht="18" customHeight="1" spans="1:15">
      <c r="A146" s="57">
        <v>43435</v>
      </c>
      <c r="B146" s="25">
        <f t="shared" si="6"/>
        <v>300000</v>
      </c>
      <c r="C146" s="44"/>
      <c r="D146" s="10" t="s">
        <v>54</v>
      </c>
      <c r="E146" s="45"/>
      <c r="F146" s="25">
        <f t="shared" si="7"/>
        <v>0</v>
      </c>
      <c r="G146" s="46">
        <v>300000</v>
      </c>
      <c r="H146" s="58"/>
      <c r="I146" s="55"/>
      <c r="J146" s="59"/>
      <c r="K146" s="81" t="s">
        <v>136</v>
      </c>
      <c r="L146" s="82" t="s">
        <v>118</v>
      </c>
      <c r="M146" s="50"/>
      <c r="N146" s="50"/>
      <c r="O146" s="38"/>
    </row>
    <row r="147" ht="18" customHeight="1" spans="1:15">
      <c r="A147" s="57">
        <v>43435</v>
      </c>
      <c r="B147" s="25">
        <f t="shared" si="6"/>
        <v>200000</v>
      </c>
      <c r="C147" s="44"/>
      <c r="D147" s="10" t="s">
        <v>54</v>
      </c>
      <c r="E147" s="45"/>
      <c r="F147" s="25">
        <f t="shared" si="7"/>
        <v>0</v>
      </c>
      <c r="G147" s="46">
        <v>200000</v>
      </c>
      <c r="H147" s="58"/>
      <c r="I147" s="55"/>
      <c r="J147" s="59"/>
      <c r="K147" s="81" t="s">
        <v>137</v>
      </c>
      <c r="L147" s="82" t="s">
        <v>120</v>
      </c>
      <c r="M147" s="50"/>
      <c r="N147" s="50"/>
      <c r="O147" s="38"/>
    </row>
    <row r="148" ht="18" customHeight="1" spans="1:15">
      <c r="A148" s="57">
        <v>43435</v>
      </c>
      <c r="B148" s="25">
        <f t="shared" si="6"/>
        <v>1330</v>
      </c>
      <c r="C148" s="44"/>
      <c r="D148" s="10" t="s">
        <v>88</v>
      </c>
      <c r="E148" s="45"/>
      <c r="F148" s="25">
        <f t="shared" si="7"/>
        <v>0</v>
      </c>
      <c r="G148" s="46">
        <v>1330</v>
      </c>
      <c r="H148" s="58"/>
      <c r="I148" s="55"/>
      <c r="J148" s="59"/>
      <c r="K148" s="81"/>
      <c r="L148" s="82" t="s">
        <v>48</v>
      </c>
      <c r="M148" s="50"/>
      <c r="N148" s="50"/>
      <c r="O148" s="38"/>
    </row>
    <row r="149" ht="18" customHeight="1" spans="1:15">
      <c r="A149" s="57">
        <v>43435</v>
      </c>
      <c r="B149" s="25">
        <f t="shared" si="6"/>
        <v>1870</v>
      </c>
      <c r="C149" s="44"/>
      <c r="D149" s="10" t="s">
        <v>88</v>
      </c>
      <c r="E149" s="45"/>
      <c r="F149" s="25">
        <f t="shared" si="7"/>
        <v>0</v>
      </c>
      <c r="G149" s="46">
        <v>1870</v>
      </c>
      <c r="H149" s="58"/>
      <c r="I149" s="55"/>
      <c r="J149" s="59"/>
      <c r="K149" s="81"/>
      <c r="L149" s="82" t="s">
        <v>134</v>
      </c>
      <c r="M149" s="50"/>
      <c r="N149" s="50"/>
      <c r="O149" s="38"/>
    </row>
    <row r="150" ht="18" customHeight="1" spans="1:15">
      <c r="A150" s="57">
        <v>43466</v>
      </c>
      <c r="B150" s="25">
        <f t="shared" si="6"/>
        <v>9780</v>
      </c>
      <c r="C150" s="44"/>
      <c r="D150" s="10" t="s">
        <v>88</v>
      </c>
      <c r="E150" s="45"/>
      <c r="F150" s="25">
        <f t="shared" si="7"/>
        <v>0</v>
      </c>
      <c r="G150" s="46">
        <f>3780+6000</f>
        <v>9780</v>
      </c>
      <c r="H150" s="58"/>
      <c r="I150" s="55"/>
      <c r="J150" s="59"/>
      <c r="K150" s="81" t="s">
        <v>138</v>
      </c>
      <c r="L150" s="82" t="s">
        <v>139</v>
      </c>
      <c r="M150" s="50"/>
      <c r="N150" s="50"/>
      <c r="O150" s="38"/>
    </row>
    <row r="151" ht="18" customHeight="1" spans="1:15">
      <c r="A151" s="57">
        <v>43467</v>
      </c>
      <c r="B151" s="25">
        <f t="shared" si="6"/>
        <v>840</v>
      </c>
      <c r="C151" s="44"/>
      <c r="D151" s="10" t="s">
        <v>88</v>
      </c>
      <c r="E151" s="45"/>
      <c r="F151" s="25">
        <f t="shared" si="7"/>
        <v>0</v>
      </c>
      <c r="G151" s="46">
        <f>550+130+160</f>
        <v>840</v>
      </c>
      <c r="H151" s="58"/>
      <c r="I151" s="55"/>
      <c r="J151" s="59"/>
      <c r="K151" s="81" t="s">
        <v>134</v>
      </c>
      <c r="L151" s="82" t="s">
        <v>140</v>
      </c>
      <c r="M151" s="50"/>
      <c r="N151" s="50"/>
      <c r="O151" s="38"/>
    </row>
    <row r="152" ht="18" customHeight="1" spans="1:15">
      <c r="A152" s="57">
        <v>43468</v>
      </c>
      <c r="B152" s="25">
        <f t="shared" si="6"/>
        <v>460</v>
      </c>
      <c r="C152" s="44"/>
      <c r="D152" s="10" t="s">
        <v>88</v>
      </c>
      <c r="E152" s="45"/>
      <c r="F152" s="25">
        <f t="shared" si="7"/>
        <v>0</v>
      </c>
      <c r="G152" s="46">
        <f>20*19+25*2+30</f>
        <v>460</v>
      </c>
      <c r="H152" s="58"/>
      <c r="I152" s="55"/>
      <c r="J152" s="59"/>
      <c r="K152" s="81" t="s">
        <v>48</v>
      </c>
      <c r="L152" s="82"/>
      <c r="M152" s="50"/>
      <c r="N152" s="50"/>
      <c r="O152" s="38"/>
    </row>
    <row r="153" ht="18" customHeight="1" spans="1:15">
      <c r="A153" s="57">
        <v>43466</v>
      </c>
      <c r="B153" s="25">
        <f t="shared" si="6"/>
        <v>30000</v>
      </c>
      <c r="C153" s="44"/>
      <c r="D153" s="10" t="s">
        <v>54</v>
      </c>
      <c r="E153" s="45"/>
      <c r="F153" s="25">
        <f t="shared" si="7"/>
        <v>0</v>
      </c>
      <c r="G153" s="46">
        <v>30000</v>
      </c>
      <c r="H153" s="58">
        <v>43474</v>
      </c>
      <c r="I153" s="55">
        <v>12507.46</v>
      </c>
      <c r="J153" s="59"/>
      <c r="K153" s="81" t="s">
        <v>37</v>
      </c>
      <c r="L153" s="82" t="s">
        <v>120</v>
      </c>
      <c r="M153" s="50"/>
      <c r="N153" s="50"/>
      <c r="O153" s="38"/>
    </row>
    <row r="154" ht="18" customHeight="1" spans="1:15">
      <c r="A154" s="57"/>
      <c r="B154" s="25">
        <f t="shared" si="6"/>
        <v>0</v>
      </c>
      <c r="C154" s="44"/>
      <c r="D154" s="10"/>
      <c r="E154" s="45"/>
      <c r="F154" s="25">
        <f t="shared" si="7"/>
        <v>0</v>
      </c>
      <c r="G154" s="46"/>
      <c r="H154" s="58">
        <v>43451</v>
      </c>
      <c r="I154" s="55">
        <v>14100</v>
      </c>
      <c r="J154" s="59" t="s">
        <v>39</v>
      </c>
      <c r="K154" s="81" t="s">
        <v>90</v>
      </c>
      <c r="L154" s="82" t="s">
        <v>109</v>
      </c>
      <c r="M154" s="50"/>
      <c r="N154" s="50"/>
      <c r="O154" s="38"/>
    </row>
    <row r="155" ht="18" customHeight="1" spans="1:15">
      <c r="A155" s="57"/>
      <c r="B155" s="25"/>
      <c r="C155" s="44"/>
      <c r="D155" s="10"/>
      <c r="E155" s="45"/>
      <c r="F155" s="25">
        <f t="shared" si="7"/>
        <v>0</v>
      </c>
      <c r="G155" s="46"/>
      <c r="H155" s="58">
        <v>43451</v>
      </c>
      <c r="I155" s="55">
        <v>-14100</v>
      </c>
      <c r="J155" s="59" t="s">
        <v>36</v>
      </c>
      <c r="K155" s="60" t="s">
        <v>37</v>
      </c>
      <c r="L155" s="82"/>
      <c r="M155" s="50"/>
      <c r="N155" s="50"/>
      <c r="O155" s="38"/>
    </row>
    <row r="156" ht="18" customHeight="1" spans="1:15">
      <c r="A156" s="57">
        <v>43466</v>
      </c>
      <c r="B156" s="25">
        <f t="shared" si="6"/>
        <v>9145.69</v>
      </c>
      <c r="C156" s="44"/>
      <c r="D156" s="10" t="s">
        <v>46</v>
      </c>
      <c r="E156" s="45">
        <v>0.16</v>
      </c>
      <c r="F156" s="25">
        <f t="shared" si="7"/>
        <v>1463.31</v>
      </c>
      <c r="G156" s="46">
        <v>10609</v>
      </c>
      <c r="H156" s="58">
        <v>43451</v>
      </c>
      <c r="I156" s="55">
        <v>10609</v>
      </c>
      <c r="J156" s="59" t="s">
        <v>39</v>
      </c>
      <c r="K156" s="81" t="s">
        <v>141</v>
      </c>
      <c r="L156" s="82" t="s">
        <v>107</v>
      </c>
      <c r="M156" s="50"/>
      <c r="N156" s="50"/>
      <c r="O156" s="38"/>
    </row>
    <row r="157" ht="18" customHeight="1" spans="1:15">
      <c r="A157" s="57"/>
      <c r="B157" s="25"/>
      <c r="C157" s="44"/>
      <c r="D157" s="10"/>
      <c r="E157" s="45"/>
      <c r="F157" s="25">
        <f t="shared" si="7"/>
        <v>0</v>
      </c>
      <c r="G157" s="46"/>
      <c r="H157" s="58">
        <v>43451</v>
      </c>
      <c r="I157" s="55">
        <v>-10609</v>
      </c>
      <c r="J157" s="59" t="s">
        <v>36</v>
      </c>
      <c r="K157" s="60" t="s">
        <v>37</v>
      </c>
      <c r="L157" s="82"/>
      <c r="M157" s="50"/>
      <c r="N157" s="50"/>
      <c r="O157" s="38"/>
    </row>
    <row r="158" ht="18" customHeight="1" spans="1:15">
      <c r="A158" s="57"/>
      <c r="B158" s="25">
        <f t="shared" si="6"/>
        <v>0</v>
      </c>
      <c r="C158" s="44"/>
      <c r="D158" s="10"/>
      <c r="E158" s="45"/>
      <c r="F158" s="25">
        <f t="shared" si="7"/>
        <v>0</v>
      </c>
      <c r="G158" s="46"/>
      <c r="H158" s="58">
        <v>43453</v>
      </c>
      <c r="I158" s="55">
        <v>50000</v>
      </c>
      <c r="J158" s="59" t="s">
        <v>39</v>
      </c>
      <c r="K158" s="81" t="s">
        <v>142</v>
      </c>
      <c r="L158" s="82" t="s">
        <v>143</v>
      </c>
      <c r="M158" s="50"/>
      <c r="N158" s="50"/>
      <c r="O158" s="38"/>
    </row>
    <row r="159" ht="18" customHeight="1" spans="1:15">
      <c r="A159" s="57"/>
      <c r="B159" s="25"/>
      <c r="C159" s="44"/>
      <c r="D159" s="10"/>
      <c r="E159" s="45"/>
      <c r="F159" s="25">
        <f t="shared" si="7"/>
        <v>0</v>
      </c>
      <c r="G159" s="46"/>
      <c r="H159" s="58">
        <v>43453</v>
      </c>
      <c r="I159" s="55">
        <v>-50000</v>
      </c>
      <c r="J159" s="59" t="s">
        <v>36</v>
      </c>
      <c r="K159" s="60" t="s">
        <v>37</v>
      </c>
      <c r="L159" s="82"/>
      <c r="M159" s="50"/>
      <c r="N159" s="50"/>
      <c r="O159" s="38"/>
    </row>
    <row r="160" ht="18" customHeight="1" spans="1:15">
      <c r="A160" s="57"/>
      <c r="B160" s="25">
        <f t="shared" si="6"/>
        <v>0</v>
      </c>
      <c r="C160" s="44"/>
      <c r="D160" s="10"/>
      <c r="E160" s="45"/>
      <c r="F160" s="25">
        <f t="shared" si="7"/>
        <v>0</v>
      </c>
      <c r="G160" s="46"/>
      <c r="H160" s="58">
        <v>43460</v>
      </c>
      <c r="I160" s="55">
        <v>719753.84</v>
      </c>
      <c r="J160" s="59" t="s">
        <v>36</v>
      </c>
      <c r="K160" s="81" t="s">
        <v>37</v>
      </c>
      <c r="L160" s="82" t="s">
        <v>144</v>
      </c>
      <c r="M160" s="50"/>
      <c r="N160" s="50"/>
      <c r="O160" s="38"/>
    </row>
    <row r="161" ht="18" customHeight="1" spans="1:15">
      <c r="A161" s="57">
        <v>43466</v>
      </c>
      <c r="B161" s="25">
        <f t="shared" si="6"/>
        <v>53174.76</v>
      </c>
      <c r="C161" s="44"/>
      <c r="D161" s="10" t="s">
        <v>46</v>
      </c>
      <c r="E161" s="45">
        <v>0.03</v>
      </c>
      <c r="F161" s="25">
        <f t="shared" si="7"/>
        <v>1595.24</v>
      </c>
      <c r="G161" s="46">
        <v>54770</v>
      </c>
      <c r="H161" s="58">
        <v>43462</v>
      </c>
      <c r="I161" s="55">
        <v>5000</v>
      </c>
      <c r="J161" s="59" t="s">
        <v>39</v>
      </c>
      <c r="K161" s="81" t="s">
        <v>142</v>
      </c>
      <c r="L161" s="82" t="s">
        <v>143</v>
      </c>
      <c r="M161" s="50"/>
      <c r="N161" s="50"/>
      <c r="O161" s="38"/>
    </row>
    <row r="162" ht="18" customHeight="1" spans="1:15">
      <c r="A162" s="57"/>
      <c r="B162" s="25">
        <f t="shared" si="6"/>
        <v>0</v>
      </c>
      <c r="C162" s="44"/>
      <c r="D162" s="10"/>
      <c r="E162" s="45"/>
      <c r="F162" s="25">
        <f t="shared" si="7"/>
        <v>0</v>
      </c>
      <c r="G162" s="46"/>
      <c r="H162" s="58">
        <v>43462</v>
      </c>
      <c r="I162" s="55">
        <v>-5000</v>
      </c>
      <c r="J162" s="59" t="s">
        <v>36</v>
      </c>
      <c r="K162" s="60" t="s">
        <v>37</v>
      </c>
      <c r="L162" s="82"/>
      <c r="M162" s="50"/>
      <c r="N162" s="50"/>
      <c r="O162" s="38"/>
    </row>
    <row r="163" ht="18" customHeight="1" spans="1:15">
      <c r="A163" s="57"/>
      <c r="B163" s="25">
        <f t="shared" si="6"/>
        <v>0</v>
      </c>
      <c r="C163" s="44"/>
      <c r="D163" s="10"/>
      <c r="E163" s="45"/>
      <c r="F163" s="25">
        <f t="shared" si="7"/>
        <v>0</v>
      </c>
      <c r="G163" s="46"/>
      <c r="H163" s="58">
        <v>43474</v>
      </c>
      <c r="I163" s="55">
        <v>632848</v>
      </c>
      <c r="J163" s="59" t="s">
        <v>36</v>
      </c>
      <c r="K163" s="60" t="s">
        <v>37</v>
      </c>
      <c r="L163" s="82" t="s">
        <v>116</v>
      </c>
      <c r="M163" s="50"/>
      <c r="N163" s="50"/>
      <c r="O163" s="38"/>
    </row>
    <row r="164" ht="18" customHeight="1" spans="1:15">
      <c r="A164" s="57">
        <v>43466</v>
      </c>
      <c r="B164" s="25">
        <f t="shared" si="6"/>
        <v>4179.31</v>
      </c>
      <c r="C164" s="44"/>
      <c r="D164" s="10" t="s">
        <v>46</v>
      </c>
      <c r="E164" s="45">
        <v>0.16</v>
      </c>
      <c r="F164" s="25">
        <f t="shared" si="7"/>
        <v>668.69</v>
      </c>
      <c r="G164" s="46">
        <v>4848</v>
      </c>
      <c r="H164" s="58">
        <v>43480</v>
      </c>
      <c r="I164" s="55">
        <v>43275</v>
      </c>
      <c r="J164" s="59" t="s">
        <v>39</v>
      </c>
      <c r="K164" s="81" t="s">
        <v>42</v>
      </c>
      <c r="L164" s="82" t="s">
        <v>93</v>
      </c>
      <c r="M164" s="50"/>
      <c r="N164" s="50"/>
      <c r="O164" s="38"/>
    </row>
    <row r="165" ht="18" customHeight="1" spans="1:15">
      <c r="A165" s="57"/>
      <c r="B165" s="25">
        <f t="shared" si="6"/>
        <v>0</v>
      </c>
      <c r="C165" s="44"/>
      <c r="D165" s="10"/>
      <c r="E165" s="45"/>
      <c r="F165" s="25">
        <f t="shared" si="7"/>
        <v>0</v>
      </c>
      <c r="G165" s="46"/>
      <c r="H165" s="58">
        <v>43480</v>
      </c>
      <c r="I165" s="55">
        <v>-43275</v>
      </c>
      <c r="J165" s="59" t="s">
        <v>36</v>
      </c>
      <c r="K165" s="60" t="s">
        <v>37</v>
      </c>
      <c r="L165" s="82"/>
      <c r="M165" s="50"/>
      <c r="N165" s="50"/>
      <c r="O165" s="38"/>
    </row>
    <row r="166" ht="18" customHeight="1" spans="1:15">
      <c r="A166" s="57">
        <v>43466</v>
      </c>
      <c r="B166" s="25">
        <f t="shared" si="6"/>
        <v>100000</v>
      </c>
      <c r="C166" s="44"/>
      <c r="D166" s="10" t="s">
        <v>54</v>
      </c>
      <c r="E166" s="45"/>
      <c r="F166" s="25">
        <f t="shared" si="7"/>
        <v>0</v>
      </c>
      <c r="G166" s="46">
        <v>100000</v>
      </c>
      <c r="H166" s="58"/>
      <c r="I166" s="55"/>
      <c r="J166" s="59"/>
      <c r="K166" s="60" t="s">
        <v>145</v>
      </c>
      <c r="L166" s="82" t="s">
        <v>146</v>
      </c>
      <c r="M166" s="50"/>
      <c r="N166" s="50"/>
      <c r="O166" s="38"/>
    </row>
    <row r="167" s="14" customFormat="1" ht="18" customHeight="1" spans="1:15">
      <c r="A167" s="57">
        <v>43466</v>
      </c>
      <c r="B167" s="25">
        <f t="shared" si="6"/>
        <v>70000</v>
      </c>
      <c r="C167" s="64"/>
      <c r="D167" s="10" t="s">
        <v>54</v>
      </c>
      <c r="E167" s="65"/>
      <c r="F167" s="25">
        <f t="shared" si="7"/>
        <v>0</v>
      </c>
      <c r="G167" s="46">
        <v>70000</v>
      </c>
      <c r="H167" s="58">
        <v>43593</v>
      </c>
      <c r="I167" s="83">
        <v>158837.91</v>
      </c>
      <c r="J167" s="59" t="s">
        <v>36</v>
      </c>
      <c r="K167" s="60" t="s">
        <v>37</v>
      </c>
      <c r="L167" s="82" t="s">
        <v>118</v>
      </c>
      <c r="M167" s="84"/>
      <c r="N167" s="84"/>
      <c r="O167" s="63"/>
    </row>
    <row r="168" s="14" customFormat="1" ht="18" customHeight="1" spans="1:15">
      <c r="A168" s="57"/>
      <c r="B168" s="25">
        <f t="shared" si="6"/>
        <v>0</v>
      </c>
      <c r="C168" s="64"/>
      <c r="D168" s="10"/>
      <c r="E168" s="65"/>
      <c r="F168" s="25">
        <f t="shared" si="7"/>
        <v>0</v>
      </c>
      <c r="G168" s="46"/>
      <c r="H168" s="58"/>
      <c r="I168" s="55"/>
      <c r="J168" s="59"/>
      <c r="K168" s="60"/>
      <c r="L168" s="82"/>
      <c r="M168" s="84"/>
      <c r="N168" s="84"/>
      <c r="O168" s="63"/>
    </row>
    <row r="169" s="14" customFormat="1" ht="18" customHeight="1" spans="1:15">
      <c r="A169" s="57"/>
      <c r="B169" s="25">
        <f t="shared" si="6"/>
        <v>0</v>
      </c>
      <c r="C169" s="64"/>
      <c r="D169" s="10"/>
      <c r="E169" s="65"/>
      <c r="F169" s="25">
        <f t="shared" si="7"/>
        <v>0</v>
      </c>
      <c r="G169" s="46"/>
      <c r="H169" s="58"/>
      <c r="I169" s="55"/>
      <c r="J169" s="59"/>
      <c r="K169" s="60"/>
      <c r="L169" s="82"/>
      <c r="M169" s="84"/>
      <c r="N169" s="84"/>
      <c r="O169" s="63"/>
    </row>
    <row r="170" s="14" customFormat="1" ht="18" customHeight="1" spans="1:15">
      <c r="A170" s="57"/>
      <c r="B170" s="25">
        <f t="shared" si="6"/>
        <v>0</v>
      </c>
      <c r="C170" s="64"/>
      <c r="D170" s="10"/>
      <c r="E170" s="65"/>
      <c r="F170" s="25">
        <f t="shared" si="7"/>
        <v>0</v>
      </c>
      <c r="G170" s="46"/>
      <c r="H170" s="58"/>
      <c r="I170" s="55"/>
      <c r="J170" s="59"/>
      <c r="K170" s="60"/>
      <c r="L170" s="82"/>
      <c r="M170" s="84"/>
      <c r="N170" s="84"/>
      <c r="O170" s="63"/>
    </row>
    <row r="171" s="14" customFormat="1" ht="18" customHeight="1" spans="1:15">
      <c r="A171" s="57"/>
      <c r="B171" s="25">
        <f t="shared" si="6"/>
        <v>0</v>
      </c>
      <c r="C171" s="64"/>
      <c r="D171" s="10"/>
      <c r="E171" s="65"/>
      <c r="F171" s="25">
        <f t="shared" si="7"/>
        <v>0</v>
      </c>
      <c r="G171" s="46"/>
      <c r="H171" s="58"/>
      <c r="I171" s="55">
        <v>-8280</v>
      </c>
      <c r="J171" s="59" t="s">
        <v>152</v>
      </c>
      <c r="K171" s="60" t="s">
        <v>157</v>
      </c>
      <c r="L171" s="82"/>
      <c r="M171" s="84"/>
      <c r="N171" s="84"/>
      <c r="O171" s="63"/>
    </row>
    <row r="172" s="14" customFormat="1" ht="18" customHeight="1" spans="1:15">
      <c r="A172" s="57"/>
      <c r="B172" s="25">
        <f t="shared" si="6"/>
        <v>0</v>
      </c>
      <c r="C172" s="64"/>
      <c r="D172" s="10"/>
      <c r="E172" s="65"/>
      <c r="F172" s="25">
        <f t="shared" si="7"/>
        <v>0</v>
      </c>
      <c r="G172" s="46"/>
      <c r="H172" s="58"/>
      <c r="I172" s="55">
        <v>1390</v>
      </c>
      <c r="J172" s="59" t="s">
        <v>64</v>
      </c>
      <c r="K172" s="60" t="s">
        <v>158</v>
      </c>
      <c r="L172" s="82"/>
      <c r="M172" s="84"/>
      <c r="N172" s="84"/>
      <c r="O172" s="63"/>
    </row>
    <row r="173" s="14" customFormat="1" ht="18" customHeight="1" spans="1:15">
      <c r="A173" s="57"/>
      <c r="B173" s="25">
        <f t="shared" si="6"/>
        <v>0</v>
      </c>
      <c r="C173" s="64"/>
      <c r="D173" s="10"/>
      <c r="E173" s="65"/>
      <c r="F173" s="25">
        <f t="shared" si="7"/>
        <v>0</v>
      </c>
      <c r="G173" s="46"/>
      <c r="H173" s="58"/>
      <c r="I173" s="55">
        <v>215</v>
      </c>
      <c r="J173" s="59" t="s">
        <v>64</v>
      </c>
      <c r="K173" s="60" t="s">
        <v>159</v>
      </c>
      <c r="L173" s="82"/>
      <c r="M173" s="84"/>
      <c r="N173" s="84"/>
      <c r="O173" s="63"/>
    </row>
    <row r="174" s="14" customFormat="1" ht="18" customHeight="1" spans="1:15">
      <c r="A174" s="66"/>
      <c r="B174" s="25">
        <f t="shared" si="6"/>
        <v>0</v>
      </c>
      <c r="C174" s="64"/>
      <c r="D174" s="67"/>
      <c r="E174" s="65"/>
      <c r="F174" s="25">
        <f t="shared" si="7"/>
        <v>0</v>
      </c>
      <c r="G174" s="68"/>
      <c r="H174" s="58"/>
      <c r="I174" s="55">
        <v>18825</v>
      </c>
      <c r="J174" s="59" t="s">
        <v>64</v>
      </c>
      <c r="K174" s="60" t="s">
        <v>160</v>
      </c>
      <c r="L174" s="82"/>
      <c r="M174" s="84"/>
      <c r="N174" s="84"/>
      <c r="O174" s="63"/>
    </row>
    <row r="175" s="14" customFormat="1" ht="18" customHeight="1" spans="1:15">
      <c r="A175" s="66"/>
      <c r="B175" s="25">
        <f t="shared" si="6"/>
        <v>0</v>
      </c>
      <c r="C175" s="64"/>
      <c r="D175" s="67"/>
      <c r="E175" s="65"/>
      <c r="F175" s="25">
        <f t="shared" si="7"/>
        <v>0</v>
      </c>
      <c r="G175" s="68"/>
      <c r="H175" s="69"/>
      <c r="I175" s="62">
        <v>51631</v>
      </c>
      <c r="J175" s="85" t="s">
        <v>161</v>
      </c>
      <c r="K175" s="86" t="s">
        <v>162</v>
      </c>
      <c r="L175" s="87"/>
      <c r="M175" s="84"/>
      <c r="N175" s="84"/>
      <c r="O175" s="63"/>
    </row>
    <row r="176" s="13" customFormat="1" ht="18" customHeight="1" spans="1:15">
      <c r="A176" s="40"/>
      <c r="B176" s="25">
        <f t="shared" si="6"/>
        <v>0</v>
      </c>
      <c r="C176" s="41"/>
      <c r="D176" s="42"/>
      <c r="E176" s="43"/>
      <c r="F176" s="25">
        <f t="shared" si="7"/>
        <v>0</v>
      </c>
      <c r="G176" s="32"/>
      <c r="H176" s="7"/>
      <c r="I176" s="55">
        <v>9114</v>
      </c>
      <c r="J176" s="50" t="s">
        <v>64</v>
      </c>
      <c r="K176" s="52" t="s">
        <v>66</v>
      </c>
      <c r="L176" s="53"/>
      <c r="M176" s="54"/>
      <c r="N176" s="54"/>
      <c r="O176" s="53"/>
    </row>
    <row r="177" s="13" customFormat="1" ht="18" customHeight="1" spans="1:15">
      <c r="A177" s="40"/>
      <c r="B177" s="25">
        <f t="shared" si="6"/>
        <v>0</v>
      </c>
      <c r="C177" s="41"/>
      <c r="D177" s="42"/>
      <c r="E177" s="43"/>
      <c r="F177" s="25">
        <f t="shared" si="7"/>
        <v>0</v>
      </c>
      <c r="G177" s="32"/>
      <c r="H177" s="7"/>
      <c r="I177" s="55">
        <v>1413</v>
      </c>
      <c r="J177" s="50" t="s">
        <v>64</v>
      </c>
      <c r="K177" s="52" t="s">
        <v>163</v>
      </c>
      <c r="L177" s="53"/>
      <c r="M177" s="54"/>
      <c r="N177" s="54"/>
      <c r="O177" s="53"/>
    </row>
    <row r="178" s="13" customFormat="1" ht="18" customHeight="1" spans="1:15">
      <c r="A178" s="40"/>
      <c r="B178" s="28">
        <f t="shared" si="4"/>
        <v>0</v>
      </c>
      <c r="C178" s="41"/>
      <c r="D178" s="42"/>
      <c r="E178" s="43"/>
      <c r="F178" s="28">
        <f t="shared" si="5"/>
        <v>0</v>
      </c>
      <c r="G178" s="32"/>
      <c r="H178" s="7"/>
      <c r="I178" s="55">
        <v>97942</v>
      </c>
      <c r="J178" s="50" t="s">
        <v>64</v>
      </c>
      <c r="K178" s="52" t="s">
        <v>164</v>
      </c>
      <c r="L178" s="53"/>
      <c r="M178" s="54"/>
      <c r="N178" s="54"/>
      <c r="O178" s="53"/>
    </row>
    <row r="179" s="13" customFormat="1" ht="18" customHeight="1" spans="1:15">
      <c r="A179" s="40"/>
      <c r="B179" s="28">
        <f t="shared" si="4"/>
        <v>0</v>
      </c>
      <c r="C179" s="41"/>
      <c r="D179" s="42"/>
      <c r="E179" s="43"/>
      <c r="F179" s="28">
        <f t="shared" si="5"/>
        <v>0</v>
      </c>
      <c r="G179" s="32"/>
      <c r="H179" s="7"/>
      <c r="I179" s="25">
        <v>24451</v>
      </c>
      <c r="J179" s="50" t="s">
        <v>64</v>
      </c>
      <c r="K179" s="52" t="s">
        <v>165</v>
      </c>
      <c r="L179" s="53"/>
      <c r="M179" s="54"/>
      <c r="N179" s="54"/>
      <c r="O179" s="53"/>
    </row>
    <row r="180" s="13" customFormat="1" ht="18" customHeight="1" spans="1:15">
      <c r="A180" s="40"/>
      <c r="B180" s="28">
        <f t="shared" si="4"/>
        <v>0</v>
      </c>
      <c r="C180" s="41"/>
      <c r="D180" s="42"/>
      <c r="E180" s="43"/>
      <c r="F180" s="28">
        <f t="shared" si="5"/>
        <v>0</v>
      </c>
      <c r="G180" s="32"/>
      <c r="H180" s="7"/>
      <c r="I180" s="25">
        <v>771</v>
      </c>
      <c r="J180" s="50" t="s">
        <v>64</v>
      </c>
      <c r="K180" s="52" t="s">
        <v>166</v>
      </c>
      <c r="L180" s="53"/>
      <c r="M180" s="54"/>
      <c r="N180" s="54"/>
      <c r="O180" s="53"/>
    </row>
    <row r="181" s="13" customFormat="1" ht="18" customHeight="1" spans="1:15">
      <c r="A181" s="40"/>
      <c r="B181" s="28">
        <f t="shared" si="4"/>
        <v>0</v>
      </c>
      <c r="C181" s="41"/>
      <c r="D181" s="42"/>
      <c r="E181" s="43"/>
      <c r="F181" s="28">
        <f t="shared" si="5"/>
        <v>0</v>
      </c>
      <c r="G181" s="32"/>
      <c r="H181" s="7"/>
      <c r="I181" s="25">
        <v>13248</v>
      </c>
      <c r="J181" s="50" t="s">
        <v>64</v>
      </c>
      <c r="K181" s="52" t="s">
        <v>167</v>
      </c>
      <c r="L181" s="53"/>
      <c r="M181" s="54"/>
      <c r="N181" s="54"/>
      <c r="O181" s="53"/>
    </row>
    <row r="182" s="13" customFormat="1" ht="18" customHeight="1" spans="1:15">
      <c r="A182" s="40"/>
      <c r="B182" s="28">
        <f>ROUND(G182/(1+E182),2)</f>
        <v>56679.19</v>
      </c>
      <c r="C182" s="41"/>
      <c r="D182" s="42"/>
      <c r="E182" s="43"/>
      <c r="F182" s="28">
        <f>ROUND(G182/(1+E182)*E182,2)</f>
        <v>0</v>
      </c>
      <c r="G182" s="70">
        <f>12210.17+4183.99+24505.93+5567.1+4544+5668</f>
        <v>56679.19</v>
      </c>
      <c r="H182" s="7"/>
      <c r="I182" s="25">
        <f>G182</f>
        <v>56679.19</v>
      </c>
      <c r="J182" s="88" t="s">
        <v>64</v>
      </c>
      <c r="K182" s="52" t="s">
        <v>168</v>
      </c>
      <c r="L182" s="53"/>
      <c r="M182" s="54"/>
      <c r="N182" s="54"/>
      <c r="O182" s="53"/>
    </row>
    <row r="183" ht="18" customHeight="1" spans="1:15">
      <c r="A183" s="35" t="s">
        <v>22</v>
      </c>
      <c r="B183" s="34">
        <f>SUM(B18:B182)</f>
        <v>2583268.5</v>
      </c>
      <c r="C183" s="35"/>
      <c r="D183" s="71"/>
      <c r="E183" s="71"/>
      <c r="F183" s="37">
        <f>SUM(F18:F182)</f>
        <v>80207.56</v>
      </c>
      <c r="G183" s="72">
        <f>SUM(G18:G182)</f>
        <v>2663476.06</v>
      </c>
      <c r="H183" s="73"/>
      <c r="I183" s="36">
        <f>SUM(I18:I182)</f>
        <v>2556190.43</v>
      </c>
      <c r="J183" s="89"/>
      <c r="K183" s="71"/>
      <c r="L183" s="38"/>
      <c r="M183" s="50"/>
      <c r="N183" s="50"/>
      <c r="O183" s="38"/>
    </row>
    <row r="184" ht="18" customHeight="1" spans="1:14">
      <c r="A184" s="74" t="s">
        <v>70</v>
      </c>
      <c r="B184" s="75">
        <f>B15*0.994</f>
        <v>2562920.05395229</v>
      </c>
      <c r="C184" s="74"/>
      <c r="D184" s="76"/>
      <c r="E184" s="76"/>
      <c r="F184" s="75"/>
      <c r="G184" s="75">
        <f>G15-G183</f>
        <v>170437.75</v>
      </c>
      <c r="H184" s="1" t="s">
        <v>71</v>
      </c>
      <c r="I184" s="36">
        <f>I15-I183</f>
        <v>123407.53</v>
      </c>
      <c r="J184" s="19"/>
      <c r="K184" s="90"/>
      <c r="M184" s="91"/>
      <c r="N184" s="91"/>
    </row>
    <row r="185" ht="18" customHeight="1" spans="1:15">
      <c r="A185" s="74" t="s">
        <v>72</v>
      </c>
      <c r="B185" s="75">
        <f>B184-B183</f>
        <v>-20348.4460477065</v>
      </c>
      <c r="C185" s="74"/>
      <c r="D185" s="76"/>
      <c r="E185" s="76"/>
      <c r="F185" s="75"/>
      <c r="G185" s="75"/>
      <c r="H185" s="77"/>
      <c r="I185" s="75"/>
      <c r="J185" s="19"/>
      <c r="K185" s="90"/>
      <c r="L185" s="90"/>
      <c r="M185" s="90"/>
      <c r="N185" s="90"/>
      <c r="O185" s="90"/>
    </row>
    <row r="186" ht="18" customHeight="1" spans="1:15">
      <c r="A186" s="15" t="s">
        <v>73</v>
      </c>
      <c r="C186" s="15"/>
      <c r="M186" s="90"/>
      <c r="N186" s="90"/>
      <c r="O186" s="90"/>
    </row>
    <row r="187" ht="18" customHeight="1" spans="1:15">
      <c r="A187" s="1" t="s">
        <v>74</v>
      </c>
      <c r="B187" s="3" t="s">
        <v>75</v>
      </c>
      <c r="C187" s="38"/>
      <c r="D187" s="1" t="s">
        <v>74</v>
      </c>
      <c r="E187" s="2" t="s">
        <v>16</v>
      </c>
      <c r="F187" s="3" t="s">
        <v>75</v>
      </c>
      <c r="G187" s="3" t="s">
        <v>169</v>
      </c>
      <c r="H187" s="3" t="s">
        <v>170</v>
      </c>
      <c r="I187" s="3" t="s">
        <v>171</v>
      </c>
      <c r="K187" s="3" t="s">
        <v>172</v>
      </c>
      <c r="L187" s="16">
        <f>I9+I10</f>
        <v>1503651.33</v>
      </c>
      <c r="M187" s="90"/>
      <c r="N187" s="90"/>
      <c r="O187" s="90"/>
    </row>
    <row r="188" ht="18" customHeight="1" spans="1:15">
      <c r="A188" s="38" t="s">
        <v>77</v>
      </c>
      <c r="B188" s="28">
        <f>(B184-B183)*0.25</f>
        <v>-5087.11151192663</v>
      </c>
      <c r="C188" s="38"/>
      <c r="D188" s="78" t="s">
        <v>78</v>
      </c>
      <c r="E188" s="5" t="s">
        <v>79</v>
      </c>
      <c r="F188" s="37">
        <f>F15-F183</f>
        <v>175315.853669725</v>
      </c>
      <c r="G188" s="37">
        <v>22227.9950909091</v>
      </c>
      <c r="H188" s="37">
        <v>89037.9089090909</v>
      </c>
      <c r="I188" s="37">
        <f>F188-G188-H188-K188</f>
        <v>46936.556</v>
      </c>
      <c r="K188" s="37">
        <f>F10-F156-F161-F164</f>
        <v>17113.3936697248</v>
      </c>
      <c r="L188" s="19">
        <f>24505.93+5567.1</f>
        <v>30073.03</v>
      </c>
      <c r="M188" s="90"/>
      <c r="N188" s="90"/>
      <c r="O188" s="90"/>
    </row>
    <row r="189" ht="18" customHeight="1" spans="1:15">
      <c r="A189" s="38" t="s">
        <v>80</v>
      </c>
      <c r="B189" s="79"/>
      <c r="C189" s="38"/>
      <c r="D189" s="80" t="s">
        <v>81</v>
      </c>
      <c r="E189" s="8">
        <v>0.05</v>
      </c>
      <c r="F189" s="25">
        <f>F188*E189</f>
        <v>8765.79268348624</v>
      </c>
      <c r="G189" s="25">
        <f>G188*E189</f>
        <v>1111.39975454545</v>
      </c>
      <c r="H189" s="25">
        <f>H188*E189</f>
        <v>4451.89544545454</v>
      </c>
      <c r="I189" s="25">
        <f>I188*E189</f>
        <v>2346.8278</v>
      </c>
      <c r="K189" s="25">
        <f>K188*E189</f>
        <v>855.669683486239</v>
      </c>
      <c r="O189" s="16">
        <f>L187-L188</f>
        <v>1473578.3</v>
      </c>
    </row>
    <row r="190" ht="18" customHeight="1" spans="1:11">
      <c r="A190" s="38" t="s">
        <v>82</v>
      </c>
      <c r="B190" s="79"/>
      <c r="C190" s="38"/>
      <c r="D190" s="80" t="s">
        <v>83</v>
      </c>
      <c r="E190" s="8">
        <v>0.03</v>
      </c>
      <c r="F190" s="25">
        <f>F188*E190</f>
        <v>5259.47561009174</v>
      </c>
      <c r="G190" s="25">
        <f>G188*E190</f>
        <v>666.839852727273</v>
      </c>
      <c r="H190" s="25">
        <f>H188*E190</f>
        <v>2671.13726727273</v>
      </c>
      <c r="I190" s="25">
        <f>I188*E190</f>
        <v>1408.09668</v>
      </c>
      <c r="K190" s="25">
        <f>K188*E190</f>
        <v>513.401810091743</v>
      </c>
    </row>
    <row r="191" ht="18" customHeight="1" spans="1:15">
      <c r="A191" s="38"/>
      <c r="B191" s="25"/>
      <c r="C191" s="38"/>
      <c r="D191" s="80" t="s">
        <v>84</v>
      </c>
      <c r="E191" s="8">
        <v>0.02</v>
      </c>
      <c r="F191" s="25">
        <f>F188*E191</f>
        <v>3506.31707339449</v>
      </c>
      <c r="G191" s="25">
        <f>G188*E191</f>
        <v>444.559901818182</v>
      </c>
      <c r="H191" s="25">
        <f>H188*E191</f>
        <v>1780.75817818182</v>
      </c>
      <c r="I191" s="25">
        <f>I188*E191</f>
        <v>938.73112</v>
      </c>
      <c r="K191" s="25">
        <f>K188*E191</f>
        <v>342.267873394495</v>
      </c>
      <c r="O191" s="16">
        <f>O189-I184</f>
        <v>1350170.77</v>
      </c>
    </row>
    <row r="192" ht="18" customHeight="1" spans="1:11">
      <c r="A192" s="33" t="s">
        <v>85</v>
      </c>
      <c r="B192" s="34">
        <f>SUM(B188:B191)</f>
        <v>-5087.11151192663</v>
      </c>
      <c r="C192" s="38"/>
      <c r="D192" s="4" t="s">
        <v>85</v>
      </c>
      <c r="E192" s="78"/>
      <c r="F192" s="37">
        <f>SUM(F188:F191)</f>
        <v>192847.439036697</v>
      </c>
      <c r="G192" s="37">
        <f>SUM(G188:G191)</f>
        <v>24450.7946</v>
      </c>
      <c r="H192" s="37">
        <f>SUM(H188:H191)</f>
        <v>97941.6998</v>
      </c>
      <c r="I192" s="37">
        <f>SUM(I188:I191)</f>
        <v>51630.2116</v>
      </c>
      <c r="K192" s="37">
        <f>SUM(K188:K191)</f>
        <v>18824.7330366972</v>
      </c>
    </row>
    <row r="193" ht="18" customHeight="1" spans="3:11">
      <c r="C193" s="15"/>
      <c r="D193" s="24" t="s">
        <v>80</v>
      </c>
      <c r="E193" s="26">
        <v>0.0003</v>
      </c>
      <c r="F193" s="25">
        <f>G15*0.0003</f>
        <v>850.174143</v>
      </c>
      <c r="G193" s="25">
        <f>(G7+G8)*E193</f>
        <v>273.236061</v>
      </c>
      <c r="H193" s="25">
        <f>G9*E193</f>
        <v>501.217113</v>
      </c>
      <c r="I193" s="25"/>
      <c r="K193" s="25">
        <f>G10*E193</f>
        <v>75.720969</v>
      </c>
    </row>
    <row r="194" ht="18" customHeight="1" spans="3:11">
      <c r="C194" s="15"/>
      <c r="D194" s="24" t="s">
        <v>82</v>
      </c>
      <c r="E194" s="26">
        <v>0.0006</v>
      </c>
      <c r="F194" s="25">
        <f>B15*0.0006</f>
        <v>1547.03423779816</v>
      </c>
      <c r="G194" s="25">
        <f>(B7+B8)*E194</f>
        <v>496.792838181818</v>
      </c>
      <c r="H194" s="25">
        <f>B9*E194</f>
        <v>911.303841818182</v>
      </c>
      <c r="I194" s="25"/>
      <c r="K194" s="25">
        <f>B10*E194</f>
        <v>138.937557798165</v>
      </c>
    </row>
    <row r="195" ht="18" customHeight="1" spans="3:11">
      <c r="C195" s="15"/>
      <c r="D195" s="11" t="s">
        <v>85</v>
      </c>
      <c r="E195" s="92"/>
      <c r="F195" s="37">
        <f>F194+F193</f>
        <v>2397.20838079816</v>
      </c>
      <c r="G195" s="37">
        <f>G193+G194</f>
        <v>770.028899181818</v>
      </c>
      <c r="H195" s="37">
        <f>H193+H194</f>
        <v>1412.52095481818</v>
      </c>
      <c r="I195" s="37"/>
      <c r="K195" s="37">
        <f>K193+K194</f>
        <v>214.658526798165</v>
      </c>
    </row>
    <row r="196" ht="18" customHeight="1" spans="3:11">
      <c r="C196" s="15"/>
      <c r="D196" s="11" t="s">
        <v>22</v>
      </c>
      <c r="E196" s="93"/>
      <c r="F196" s="37">
        <f>F192+F195</f>
        <v>195244.647417495</v>
      </c>
      <c r="G196" s="37">
        <f>G192+G195</f>
        <v>25220.8234991818</v>
      </c>
      <c r="H196" s="37">
        <f>H192+H195</f>
        <v>99354.2207548182</v>
      </c>
      <c r="I196" s="37"/>
      <c r="K196" s="37">
        <f>K192+K195</f>
        <v>19039.3915634954</v>
      </c>
    </row>
    <row r="197" ht="18" customHeight="1" spans="3:11">
      <c r="C197" s="15"/>
      <c r="D197" s="94" t="s">
        <v>77</v>
      </c>
      <c r="E197" s="95">
        <v>0.016</v>
      </c>
      <c r="F197" s="96">
        <f>B15*E197</f>
        <v>41254.2463412844</v>
      </c>
      <c r="G197" s="96">
        <f>(B7+B8)*E197</f>
        <v>13247.8090181818</v>
      </c>
      <c r="H197" s="37"/>
      <c r="I197" s="37"/>
      <c r="K197" s="37"/>
    </row>
    <row r="198" ht="18" customHeight="1" spans="3:11">
      <c r="C198" s="15"/>
      <c r="D198" s="93" t="s">
        <v>77</v>
      </c>
      <c r="E198" s="92">
        <v>0.006</v>
      </c>
      <c r="F198" s="37">
        <f>B16*E198</f>
        <v>0</v>
      </c>
      <c r="G198" s="37"/>
      <c r="H198" s="37">
        <f>B9*E198</f>
        <v>9113.03841818182</v>
      </c>
      <c r="I198" s="37"/>
      <c r="K198" s="37">
        <f>B10*E198</f>
        <v>1389.37557798165</v>
      </c>
    </row>
    <row r="199" ht="18" customHeight="1" spans="3:7">
      <c r="C199" s="15"/>
      <c r="G199" s="16">
        <f>(B7+B8)*E198</f>
        <v>4967.92838181818</v>
      </c>
    </row>
    <row r="200" ht="18" customHeight="1" spans="3:7">
      <c r="C200" s="15"/>
      <c r="G200" s="16">
        <f>G197-G199</f>
        <v>8279.88063636363</v>
      </c>
    </row>
    <row r="201" spans="3:3">
      <c r="C201" s="15"/>
    </row>
    <row r="202" spans="3:3">
      <c r="C202" s="15"/>
    </row>
    <row r="203" spans="3:11">
      <c r="C203" s="15"/>
      <c r="K203" s="16"/>
    </row>
    <row r="204" spans="3:3">
      <c r="C204" s="15"/>
    </row>
    <row r="205" spans="3:3">
      <c r="C205" s="15"/>
    </row>
    <row r="206" spans="3:3">
      <c r="C206" s="15"/>
    </row>
    <row r="207" spans="3:3">
      <c r="C207" s="15"/>
    </row>
    <row r="208" spans="3:3">
      <c r="C208" s="15"/>
    </row>
    <row r="209" spans="3:3">
      <c r="C209" s="15"/>
    </row>
    <row r="210" spans="3:3">
      <c r="C210" s="15"/>
    </row>
    <row r="211" spans="3:3">
      <c r="C211" s="15"/>
    </row>
    <row r="212" spans="3:3">
      <c r="C212" s="15"/>
    </row>
    <row r="213" spans="3:3">
      <c r="C213" s="15"/>
    </row>
    <row r="214" spans="3:3">
      <c r="C214" s="15"/>
    </row>
    <row r="215" spans="3:3">
      <c r="C215" s="15"/>
    </row>
    <row r="216" spans="3:3">
      <c r="C216" s="15"/>
    </row>
    <row r="413" spans="9:9">
      <c r="I413" s="16">
        <v>6.22841363041483e+18</v>
      </c>
    </row>
  </sheetData>
  <autoFilter ref="A17:O200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C10" sqref="C10:D12"/>
    </sheetView>
  </sheetViews>
  <sheetFormatPr defaultColWidth="9" defaultRowHeight="13.5"/>
  <cols>
    <col min="1" max="1" width="16.6666666666667" customWidth="1"/>
    <col min="2" max="2" width="13.2166666666667" customWidth="1"/>
    <col min="3" max="3" width="16" customWidth="1"/>
    <col min="4" max="4" width="21.1083333333333" customWidth="1"/>
  </cols>
  <sheetData>
    <row r="1" spans="1:4">
      <c r="A1" s="1" t="s">
        <v>74</v>
      </c>
      <c r="B1" s="2" t="s">
        <v>16</v>
      </c>
      <c r="C1" s="3" t="s">
        <v>171</v>
      </c>
      <c r="D1" s="3" t="s">
        <v>172</v>
      </c>
    </row>
    <row r="2" spans="1:4">
      <c r="A2" s="4" t="s">
        <v>78</v>
      </c>
      <c r="B2" s="5" t="s">
        <v>79</v>
      </c>
      <c r="C2" s="6">
        <v>46936.556</v>
      </c>
      <c r="D2" s="6">
        <v>17113.3936697248</v>
      </c>
    </row>
    <row r="3" spans="1:4">
      <c r="A3" s="7" t="s">
        <v>81</v>
      </c>
      <c r="B3" s="8">
        <v>0.05</v>
      </c>
      <c r="C3" s="9">
        <v>2346.8278</v>
      </c>
      <c r="D3" s="9">
        <v>855.669683486239</v>
      </c>
    </row>
    <row r="4" spans="1:4">
      <c r="A4" s="7" t="s">
        <v>83</v>
      </c>
      <c r="B4" s="8">
        <v>0.03</v>
      </c>
      <c r="C4" s="9">
        <v>1408.09668</v>
      </c>
      <c r="D4" s="9">
        <v>513.401810091743</v>
      </c>
    </row>
    <row r="5" spans="1:4">
      <c r="A5" s="7" t="s">
        <v>84</v>
      </c>
      <c r="B5" s="8">
        <v>0.02</v>
      </c>
      <c r="C5" s="9">
        <v>938.73112</v>
      </c>
      <c r="D5" s="9">
        <v>342.267873394495</v>
      </c>
    </row>
    <row r="6" spans="1:4">
      <c r="A6" s="4" t="s">
        <v>85</v>
      </c>
      <c r="B6" s="4"/>
      <c r="C6" s="6">
        <v>51630.2116</v>
      </c>
      <c r="D6" s="6">
        <v>18824.7330366972</v>
      </c>
    </row>
    <row r="7" spans="1:4">
      <c r="A7" s="8" t="s">
        <v>80</v>
      </c>
      <c r="B7" s="10">
        <v>0.0003</v>
      </c>
      <c r="C7" s="9"/>
      <c r="D7" s="9">
        <v>75.720969</v>
      </c>
    </row>
    <row r="8" spans="1:4">
      <c r="A8" s="8" t="s">
        <v>82</v>
      </c>
      <c r="B8" s="10">
        <v>0.0006</v>
      </c>
      <c r="C8" s="9"/>
      <c r="D8" s="9">
        <v>138.937557798165</v>
      </c>
    </row>
    <row r="9" spans="1:4">
      <c r="A9" s="11" t="s">
        <v>85</v>
      </c>
      <c r="B9" s="12"/>
      <c r="C9" s="6"/>
      <c r="D9" s="6">
        <v>214.658526798165</v>
      </c>
    </row>
    <row r="10" spans="1:4">
      <c r="A10" s="11" t="s">
        <v>22</v>
      </c>
      <c r="B10" s="11"/>
      <c r="C10" s="6">
        <v>51630.2116</v>
      </c>
      <c r="D10" s="6">
        <v>19039.3915634954</v>
      </c>
    </row>
    <row r="11" spans="1:4">
      <c r="A11" s="11" t="s">
        <v>77</v>
      </c>
      <c r="B11" s="12">
        <v>0.006</v>
      </c>
      <c r="C11" s="6"/>
      <c r="D11" s="6">
        <v>1389.37557798165</v>
      </c>
    </row>
    <row r="27" spans="12:12">
      <c r="L27" t="s">
        <v>174</v>
      </c>
    </row>
  </sheetData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安徽高速传媒有限公司跨桥广告牌零星工程询价采购</vt:lpstr>
      <vt:lpstr>新</vt:lpstr>
      <vt:lpstr>旧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2022-06-28T07:39:45Z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1224A8E69AB148B9A409099AED2AE41B</vt:lpwstr>
  </property>
</Properties>
</file>