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新!$A$13:$O$71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6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6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本次开票税金未交，在上次暂扣99900元中收取</t>
        </r>
      </text>
    </comment>
    <comment ref="D6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I69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异地已预交645</t>
        </r>
      </text>
    </comment>
    <comment ref="D7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7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异地已预缴1179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4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<sst xmlns="http://schemas.openxmlformats.org/spreadsheetml/2006/main" count="319" uniqueCount="112">
  <si>
    <t xml:space="preserve"> C9160  “亚太公馆”项目室外雨污水工程</t>
  </si>
  <si>
    <t>中标日期</t>
  </si>
  <si>
    <t>中标价</t>
  </si>
  <si>
    <t>负责人</t>
  </si>
  <si>
    <t>郎溪分公司熊兴华</t>
  </si>
  <si>
    <t>建设单位</t>
  </si>
  <si>
    <t>郎溪亚太广场商业开发有限公司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</si>
  <si>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</si>
  <si>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</si>
  <si>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</si>
  <si>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</si>
  <si>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</si>
  <si>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</si>
  <si>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</si>
  <si>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</si>
  <si>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</si>
  <si>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</si>
  <si>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</si>
  <si>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</si>
  <si>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</si>
  <si>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</si>
  <si>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 xml:space="preserve"> 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</si>
  <si>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</si>
  <si>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</si>
  <si>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</si>
  <si>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</si>
  <si>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</si>
  <si>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</si>
  <si>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</si>
  <si>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</si>
  <si>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</si>
  <si>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</si>
  <si>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</si>
  <si>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</si>
  <si>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</si>
  <si>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</si>
  <si>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</si>
  <si>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普代</t>
  </si>
  <si>
    <t>徽行</t>
  </si>
  <si>
    <t>罗慧</t>
  </si>
  <si>
    <t>砂石</t>
  </si>
  <si>
    <t>郎溪县建磊建筑装饰材料销售有限公司</t>
  </si>
  <si>
    <t>施工费</t>
  </si>
  <si>
    <t>作废</t>
  </si>
  <si>
    <t>专</t>
  </si>
  <si>
    <t>肥西县花岗镇永胜水泥制品厂</t>
  </si>
  <si>
    <t>水泥化肥池</t>
  </si>
  <si>
    <t>郎溪县管通建材销售有限公司</t>
  </si>
  <si>
    <t>双壁波纹管</t>
  </si>
  <si>
    <t>张宏</t>
  </si>
  <si>
    <t>专代</t>
  </si>
  <si>
    <t>郎溪县建平镇刚华建筑装潢材料经营部</t>
  </si>
  <si>
    <t>石子890吨、沙998吨</t>
  </si>
  <si>
    <t>郎溪县立鼎建筑工程劳务服务部</t>
  </si>
  <si>
    <t>劳务费176000</t>
  </si>
  <si>
    <t>郎溪县跃隆新型建筑材料有限公司</t>
  </si>
  <si>
    <t xml:space="preserve">水泥砖118718块 </t>
  </si>
  <si>
    <t>郎溪县祥云建材有限公司</t>
  </si>
  <si>
    <t>水泥386吨</t>
  </si>
  <si>
    <t>郎溪县立鼎建筑工程劳务服务部（法人户：王友喜）</t>
  </si>
  <si>
    <t>劳务</t>
  </si>
  <si>
    <t>有</t>
  </si>
  <si>
    <t>水泥砖</t>
  </si>
  <si>
    <t>郎溪县王贵府工程机械租赁服务部</t>
  </si>
  <si>
    <t>机械租赁</t>
  </si>
  <si>
    <t>9160-2021-002#（2021-667号）-215000</t>
  </si>
  <si>
    <t>郎溪县力鼎建筑工程劳务服务部</t>
  </si>
  <si>
    <t xml:space="preserve">9160-2021-001#（2021-666号）-213400
</t>
  </si>
  <si>
    <t>陶德陆</t>
  </si>
  <si>
    <t>黄沙、石子</t>
  </si>
  <si>
    <t>9160-2021-003(2021-682号）-98000</t>
  </si>
  <si>
    <t>何品亮</t>
  </si>
  <si>
    <t>砖</t>
  </si>
  <si>
    <t>9160-2021-004#（2021-681号）-17500</t>
  </si>
  <si>
    <t>补扣</t>
  </si>
  <si>
    <t>2019年二次开票税金减去已扣（28090+31889），剩余城建税差额部分2649.25在资金管理模块录入</t>
  </si>
  <si>
    <t>扣</t>
  </si>
  <si>
    <t>2021.11月水利基金、印花税</t>
  </si>
  <si>
    <t>7次</t>
  </si>
  <si>
    <t>手续费</t>
  </si>
  <si>
    <t>退</t>
  </si>
  <si>
    <t>暂扣（99900-32550-67350）</t>
  </si>
  <si>
    <t>6次</t>
  </si>
  <si>
    <t>暂扣（99900-32550）</t>
  </si>
  <si>
    <t>暂扣</t>
  </si>
  <si>
    <t>成本票不够暂扣的</t>
  </si>
  <si>
    <t xml:space="preserve">企税 </t>
  </si>
  <si>
    <t>企税1.6%</t>
  </si>
  <si>
    <t>增值税及附加</t>
  </si>
  <si>
    <t>代办费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</si>
  <si>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</si>
  <si>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</si>
  <si>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</si>
  <si>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</si>
  <si>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</si>
  <si>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</si>
  <si>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</si>
  <si>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19.1月开票扣税</t>
  </si>
  <si>
    <t>19.9月开票扣税</t>
  </si>
  <si>
    <t>20年4月开票扣税</t>
  </si>
  <si>
    <t>2021年11月开票税金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</si>
  <si>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</si>
  <si>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</si>
  <si>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</si>
  <si>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</si>
  <si>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</si>
  <si>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</si>
  <si>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</si>
  <si>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</si>
  <si>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</si>
  <si>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</si>
  <si>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 xml:space="preserve"> “亚太公馆”项目室外雨污水工程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</si>
</sst>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/m/d;@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14" fillId="18" borderId="10" applyNumberFormat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10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4" fontId="5" fillId="0" borderId="0" xfId="0" applyNumberFormat="1" applyFont="1"/>
    <xf numFmtId="178" fontId="3" fillId="0" borderId="2" xfId="0" applyNumberFormat="1" applyFont="1" applyBorder="1" applyAlignment="1">
      <alignment vertical="center"/>
    </xf>
    <xf numFmtId="0" fontId="5" fillId="0" borderId="0" xfId="0" applyFont="1"/>
    <xf numFmtId="178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5" borderId="2" xfId="11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3" fillId="0" borderId="2" xfId="0" applyFont="1" applyBorder="1" applyAlignment="1" applyProtection="1">
      <alignment horizontal="left" vertical="top" wrapText="1"/>
    </xf>
    <xf numFmtId="0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7" fontId="6" fillId="4" borderId="0" xfId="0" applyNumberFormat="1" applyFont="1" applyFill="1" applyBorder="1" applyAlignment="1">
      <alignment vertical="center"/>
    </xf>
    <xf numFmtId="10" fontId="3" fillId="0" borderId="0" xfId="0" applyNumberFormat="1" applyFont="1" applyBorder="1" applyAlignment="1">
      <alignment vertical="center" wrapText="1"/>
    </xf>
    <xf numFmtId="178" fontId="5" fillId="0" borderId="0" xfId="0" applyNumberFormat="1" applyFont="1"/>
    <xf numFmtId="178" fontId="3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3" fillId="2" borderId="2" xfId="0" applyNumberFormat="1" applyFont="1" applyFill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78" fontId="3" fillId="0" borderId="0" xfId="0" applyNumberFormat="1" applyFont="1" applyBorder="1" applyAlignment="1">
      <alignment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top" wrapText="1"/>
    </xf>
    <xf numFmtId="178" fontId="3" fillId="4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0" fontId="3" fillId="6" borderId="0" xfId="0" applyNumberFormat="1" applyFont="1" applyFill="1" applyBorder="1" applyAlignment="1">
      <alignment vertical="center" wrapText="1"/>
    </xf>
    <xf numFmtId="10" fontId="6" fillId="6" borderId="0" xfId="0" applyNumberFormat="1" applyFont="1" applyFill="1" applyBorder="1" applyAlignment="1">
      <alignment vertical="center" wrapText="1"/>
    </xf>
    <xf numFmtId="10" fontId="6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7"/>
  <sheetViews>
    <sheetView tabSelected="1" topLeftCell="A34" workbookViewId="0">
      <selection activeCell="L46" sqref="L46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10.75" style="5" customWidth="1"/>
    <col min="9" max="9" width="13.875" style="4" customWidth="1"/>
    <col min="10" max="10" width="6.125" style="75" customWidth="1"/>
    <col min="11" max="11" width="31.5" style="7" customWidth="1"/>
    <col min="12" max="12" width="24.5" style="7" customWidth="1"/>
    <col min="13" max="13" width="29.25" style="7" customWidth="1"/>
    <col min="14" max="14" width="5.625" style="7" customWidth="1"/>
    <col min="15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6"/>
      <c r="K1" s="18"/>
      <c r="L1" s="18"/>
    </row>
    <row r="2" ht="18" customHeight="1" spans="1:12">
      <c r="A2" s="10" t="s">
        <v>1</v>
      </c>
      <c r="B2" s="11">
        <v>43123</v>
      </c>
      <c r="C2" s="12" t="s">
        <v>2</v>
      </c>
      <c r="D2" s="76">
        <v>1850000</v>
      </c>
      <c r="E2" s="14" t="s">
        <v>3</v>
      </c>
      <c r="F2" s="12" t="s">
        <v>4</v>
      </c>
      <c r="G2" s="15" t="s">
        <v>5</v>
      </c>
      <c r="H2" s="16" t="s">
        <v>6</v>
      </c>
      <c r="I2" s="53"/>
      <c r="J2" s="87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>
        <v>2150000</v>
      </c>
      <c r="H3" s="18"/>
      <c r="I3" s="55"/>
      <c r="J3" s="88"/>
      <c r="K3" s="18"/>
      <c r="L3" s="18"/>
    </row>
    <row r="4" ht="18" customHeight="1" spans="1:12">
      <c r="A4" s="3" t="s">
        <v>9</v>
      </c>
      <c r="H4" s="18"/>
      <c r="I4" s="55"/>
      <c r="J4" s="8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89"/>
    </row>
    <row r="6" ht="32" customHeight="1" spans="1:12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89" t="s">
        <v>20</v>
      </c>
      <c r="L6" s="7" t="s">
        <v>21</v>
      </c>
    </row>
    <row r="7" ht="18" customHeight="1" spans="1:10">
      <c r="A7" s="22">
        <v>43487</v>
      </c>
      <c r="B7" s="12">
        <f t="shared" ref="B7:B10" si="0">G7/(1+C7+E7)</f>
        <v>814418.181818182</v>
      </c>
      <c r="C7" s="24">
        <v>0.02</v>
      </c>
      <c r="D7" s="77">
        <f t="shared" ref="D7:D10" si="1">G7/(1+E7+C7)*C7</f>
        <v>16288.3636363636</v>
      </c>
      <c r="E7" s="24">
        <v>0.08</v>
      </c>
      <c r="F7" s="12">
        <f t="shared" ref="F7:F10" si="2">G7/(1+C7+E7)*E7</f>
        <v>65153.4545454545</v>
      </c>
      <c r="G7" s="78">
        <v>895860</v>
      </c>
      <c r="H7" s="22">
        <v>43498</v>
      </c>
      <c r="I7" s="12">
        <v>700000</v>
      </c>
      <c r="J7" s="90" t="s">
        <v>22</v>
      </c>
    </row>
    <row r="8" ht="18" customHeight="1" spans="1:10">
      <c r="A8" s="22">
        <v>43714</v>
      </c>
      <c r="B8" s="12">
        <f t="shared" si="0"/>
        <v>548807.339449541</v>
      </c>
      <c r="C8" s="24">
        <v>0.02</v>
      </c>
      <c r="D8" s="77">
        <f t="shared" si="1"/>
        <v>10976.1467889908</v>
      </c>
      <c r="E8" s="24">
        <v>0.07</v>
      </c>
      <c r="F8" s="12">
        <f t="shared" si="2"/>
        <v>38416.5137614679</v>
      </c>
      <c r="G8" s="78">
        <v>598200</v>
      </c>
      <c r="H8" s="22">
        <v>43719</v>
      </c>
      <c r="I8" s="12">
        <v>598200</v>
      </c>
      <c r="J8" s="90" t="s">
        <v>22</v>
      </c>
    </row>
    <row r="9" ht="18" customHeight="1" spans="1:10">
      <c r="A9" s="22">
        <v>43943</v>
      </c>
      <c r="B9" s="12">
        <f t="shared" si="0"/>
        <v>92605.504587156</v>
      </c>
      <c r="C9" s="24">
        <v>0.02</v>
      </c>
      <c r="D9" s="77">
        <f t="shared" si="1"/>
        <v>1852.11009174312</v>
      </c>
      <c r="E9" s="27">
        <v>0.07</v>
      </c>
      <c r="F9" s="12">
        <f t="shared" si="2"/>
        <v>6482.38532110092</v>
      </c>
      <c r="G9" s="78">
        <v>100940</v>
      </c>
      <c r="H9" s="22">
        <v>43852</v>
      </c>
      <c r="I9" s="12">
        <v>300000</v>
      </c>
      <c r="J9" s="90" t="s">
        <v>22</v>
      </c>
    </row>
    <row r="10" ht="18" customHeight="1" spans="1:12">
      <c r="A10" s="22">
        <v>44502</v>
      </c>
      <c r="B10" s="12">
        <f t="shared" si="0"/>
        <v>509174.311926605</v>
      </c>
      <c r="C10" s="24">
        <v>0.02</v>
      </c>
      <c r="D10" s="77">
        <f t="shared" si="1"/>
        <v>10183.4862385321</v>
      </c>
      <c r="E10" s="27">
        <v>0.07</v>
      </c>
      <c r="F10" s="12">
        <f t="shared" si="2"/>
        <v>35642.2018348624</v>
      </c>
      <c r="G10" s="79">
        <v>555000</v>
      </c>
      <c r="H10" s="22"/>
      <c r="I10" s="12"/>
      <c r="J10" s="90"/>
      <c r="L10" s="7">
        <f>I11-G11</f>
        <v>-551800</v>
      </c>
    </row>
    <row r="11" ht="18" customHeight="1" spans="1:10">
      <c r="A11" s="28" t="s">
        <v>23</v>
      </c>
      <c r="B11" s="80">
        <f t="shared" ref="B11:G11" si="3">SUM(B7:B10)</f>
        <v>1965005.33778148</v>
      </c>
      <c r="C11" s="30"/>
      <c r="D11" s="30">
        <f t="shared" si="3"/>
        <v>39300.1067556297</v>
      </c>
      <c r="E11" s="30"/>
      <c r="F11" s="81">
        <f t="shared" si="3"/>
        <v>145694.555462886</v>
      </c>
      <c r="G11" s="30">
        <f t="shared" si="3"/>
        <v>2150000</v>
      </c>
      <c r="H11" s="33"/>
      <c r="I11" s="30">
        <f>SUM(I7:I10)</f>
        <v>1598200</v>
      </c>
      <c r="J11" s="91"/>
    </row>
    <row r="12" ht="18" customHeight="1" spans="1:12">
      <c r="A12" s="3" t="s">
        <v>24</v>
      </c>
      <c r="J12" s="92"/>
      <c r="K12" s="5"/>
      <c r="L12" s="6"/>
    </row>
    <row r="13" ht="18" customHeight="1" spans="1:15">
      <c r="A13" s="34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93" t="s">
        <v>20</v>
      </c>
      <c r="K13" s="57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5">
        <v>43466</v>
      </c>
      <c r="B14" s="82">
        <f>ROUND(G14/(1+E14),2)</f>
        <v>321214</v>
      </c>
      <c r="C14" s="36"/>
      <c r="D14" s="37" t="s">
        <v>37</v>
      </c>
      <c r="E14" s="38"/>
      <c r="F14" s="82">
        <f>ROUND(G14/(1+E14)*E14,2)</f>
        <v>0</v>
      </c>
      <c r="G14" s="78">
        <v>321214</v>
      </c>
      <c r="H14" s="22">
        <v>43499</v>
      </c>
      <c r="I14" s="58">
        <v>321214</v>
      </c>
      <c r="J14" s="90" t="s">
        <v>38</v>
      </c>
      <c r="K14" s="59" t="s">
        <v>39</v>
      </c>
      <c r="L14" s="60" t="s">
        <v>40</v>
      </c>
      <c r="M14" s="61"/>
      <c r="N14" s="61"/>
      <c r="O14" s="60"/>
    </row>
    <row r="15" s="1" customFormat="1" ht="18" customHeight="1" spans="1:16">
      <c r="A15" s="35"/>
      <c r="B15" s="82"/>
      <c r="C15" s="36"/>
      <c r="D15" s="37"/>
      <c r="E15" s="38"/>
      <c r="F15" s="82"/>
      <c r="G15" s="78"/>
      <c r="H15" s="22"/>
      <c r="I15" s="12"/>
      <c r="J15" s="90"/>
      <c r="K15" s="62" t="s">
        <v>41</v>
      </c>
      <c r="L15" s="63" t="s">
        <v>42</v>
      </c>
      <c r="M15" s="64"/>
      <c r="N15" s="64"/>
      <c r="O15" s="65">
        <f>90000*2+84708</f>
        <v>264708</v>
      </c>
      <c r="P15" s="66" t="s">
        <v>43</v>
      </c>
    </row>
    <row r="16" s="1" customFormat="1" ht="18" customHeight="1" spans="1:15">
      <c r="A16" s="35">
        <v>43466</v>
      </c>
      <c r="B16" s="82">
        <f t="shared" ref="B16:B29" si="4">ROUND(G16/(1+E16),2)</f>
        <v>42233.01</v>
      </c>
      <c r="C16" s="36"/>
      <c r="D16" s="37" t="s">
        <v>44</v>
      </c>
      <c r="E16" s="38">
        <v>0.03</v>
      </c>
      <c r="F16" s="82">
        <f t="shared" ref="F16:F31" si="5">ROUND(G16/(1+E16)*E16,2)</f>
        <v>1266.99</v>
      </c>
      <c r="G16" s="78">
        <v>43500</v>
      </c>
      <c r="H16" s="22">
        <v>43499</v>
      </c>
      <c r="I16" s="12">
        <v>43500</v>
      </c>
      <c r="J16" s="90" t="s">
        <v>22</v>
      </c>
      <c r="K16" s="59" t="s">
        <v>45</v>
      </c>
      <c r="L16" s="60" t="s">
        <v>46</v>
      </c>
      <c r="M16" s="61"/>
      <c r="N16" s="61"/>
      <c r="O16" s="60"/>
    </row>
    <row r="17" s="1" customFormat="1" ht="18" customHeight="1" spans="1:15">
      <c r="A17" s="35">
        <v>43466</v>
      </c>
      <c r="B17" s="82">
        <f t="shared" si="4"/>
        <v>218103.45</v>
      </c>
      <c r="C17" s="36"/>
      <c r="D17" s="37" t="s">
        <v>44</v>
      </c>
      <c r="E17" s="38">
        <v>0.16</v>
      </c>
      <c r="F17" s="82">
        <f t="shared" si="5"/>
        <v>34896.55</v>
      </c>
      <c r="G17" s="78">
        <f>53000+100000*2</f>
        <v>253000</v>
      </c>
      <c r="H17" s="22">
        <v>43499</v>
      </c>
      <c r="I17" s="12">
        <v>11158</v>
      </c>
      <c r="J17" s="90" t="s">
        <v>22</v>
      </c>
      <c r="K17" s="59" t="s">
        <v>47</v>
      </c>
      <c r="L17" s="60" t="s">
        <v>48</v>
      </c>
      <c r="M17" s="61"/>
      <c r="N17" s="61"/>
      <c r="O17" s="60"/>
    </row>
    <row r="18" s="1" customFormat="1" ht="18" customHeight="1" spans="1:15">
      <c r="A18" s="35">
        <v>43466</v>
      </c>
      <c r="B18" s="82">
        <f t="shared" si="4"/>
        <v>264708</v>
      </c>
      <c r="C18" s="36"/>
      <c r="D18" s="37" t="s">
        <v>37</v>
      </c>
      <c r="E18" s="38"/>
      <c r="F18" s="82">
        <f t="shared" si="5"/>
        <v>0</v>
      </c>
      <c r="G18" s="78">
        <v>264708</v>
      </c>
      <c r="H18" s="22">
        <v>43499</v>
      </c>
      <c r="I18" s="58">
        <v>264708</v>
      </c>
      <c r="J18" s="90" t="s">
        <v>38</v>
      </c>
      <c r="K18" s="67" t="s">
        <v>49</v>
      </c>
      <c r="L18" s="60" t="s">
        <v>42</v>
      </c>
      <c r="M18" s="61"/>
      <c r="N18" s="61"/>
      <c r="O18" s="60"/>
    </row>
    <row r="19" s="2" customFormat="1" ht="18" customHeight="1" spans="1:15">
      <c r="A19" s="39">
        <v>43709</v>
      </c>
      <c r="B19" s="12">
        <f t="shared" si="4"/>
        <v>212368.93</v>
      </c>
      <c r="C19" s="40"/>
      <c r="D19" s="41" t="s">
        <v>50</v>
      </c>
      <c r="E19" s="42">
        <v>0.03</v>
      </c>
      <c r="F19" s="12">
        <f t="shared" si="5"/>
        <v>6371.07</v>
      </c>
      <c r="G19" s="79">
        <v>218740</v>
      </c>
      <c r="H19" s="22">
        <v>43731</v>
      </c>
      <c r="I19" s="12">
        <v>218740</v>
      </c>
      <c r="J19" s="90" t="s">
        <v>22</v>
      </c>
      <c r="K19" s="68" t="s">
        <v>51</v>
      </c>
      <c r="L19" s="33" t="s">
        <v>52</v>
      </c>
      <c r="M19" s="69"/>
      <c r="N19" s="69"/>
      <c r="O19" s="70"/>
    </row>
    <row r="20" s="2" customFormat="1" ht="18" customHeight="1" spans="1:15">
      <c r="A20" s="39">
        <v>43709</v>
      </c>
      <c r="B20" s="12">
        <f t="shared" si="4"/>
        <v>170873.79</v>
      </c>
      <c r="C20" s="40"/>
      <c r="D20" s="41" t="s">
        <v>50</v>
      </c>
      <c r="E20" s="42">
        <v>0.03</v>
      </c>
      <c r="F20" s="83">
        <f t="shared" si="5"/>
        <v>5126.21</v>
      </c>
      <c r="G20" s="79">
        <v>176000</v>
      </c>
      <c r="H20" s="22">
        <v>43731</v>
      </c>
      <c r="I20" s="12">
        <v>176000</v>
      </c>
      <c r="J20" s="90" t="s">
        <v>22</v>
      </c>
      <c r="K20" s="68" t="s">
        <v>53</v>
      </c>
      <c r="L20" s="33" t="s">
        <v>54</v>
      </c>
      <c r="M20" s="69"/>
      <c r="N20" s="69"/>
      <c r="O20" s="70"/>
    </row>
    <row r="21" s="2" customFormat="1" ht="18" customHeight="1" spans="1:15">
      <c r="A21" s="39">
        <v>43709</v>
      </c>
      <c r="B21" s="12">
        <f t="shared" si="4"/>
        <v>46104.08</v>
      </c>
      <c r="C21" s="40"/>
      <c r="D21" s="41" t="s">
        <v>50</v>
      </c>
      <c r="E21" s="42">
        <v>0.03</v>
      </c>
      <c r="F21" s="12">
        <f t="shared" si="5"/>
        <v>1383.12</v>
      </c>
      <c r="G21" s="79">
        <v>47487.2</v>
      </c>
      <c r="H21" s="22">
        <v>43731</v>
      </c>
      <c r="I21" s="12">
        <v>47487.2</v>
      </c>
      <c r="J21" s="90" t="s">
        <v>22</v>
      </c>
      <c r="K21" s="68" t="s">
        <v>55</v>
      </c>
      <c r="L21" s="33" t="s">
        <v>56</v>
      </c>
      <c r="M21" s="69"/>
      <c r="N21" s="69"/>
      <c r="O21" s="70"/>
    </row>
    <row r="22" s="2" customFormat="1" ht="18" customHeight="1" spans="1:15">
      <c r="A22" s="39">
        <v>43739</v>
      </c>
      <c r="B22" s="12">
        <f t="shared" si="4"/>
        <v>130088.5</v>
      </c>
      <c r="C22" s="40"/>
      <c r="D22" s="41" t="s">
        <v>44</v>
      </c>
      <c r="E22" s="42">
        <v>0.13</v>
      </c>
      <c r="F22" s="12">
        <f t="shared" si="5"/>
        <v>16911.5</v>
      </c>
      <c r="G22" s="79">
        <v>147000</v>
      </c>
      <c r="H22" s="22">
        <v>43753</v>
      </c>
      <c r="I22" s="12">
        <v>95601.8</v>
      </c>
      <c r="J22" s="90" t="s">
        <v>22</v>
      </c>
      <c r="K22" s="68" t="s">
        <v>57</v>
      </c>
      <c r="L22" s="33" t="s">
        <v>58</v>
      </c>
      <c r="M22" s="69"/>
      <c r="N22" s="69"/>
      <c r="O22" s="70"/>
    </row>
    <row r="23" s="2" customFormat="1" ht="18" customHeight="1" spans="1:15">
      <c r="A23" s="39"/>
      <c r="B23" s="12">
        <f t="shared" si="4"/>
        <v>0</v>
      </c>
      <c r="C23" s="40"/>
      <c r="D23" s="41"/>
      <c r="E23" s="42"/>
      <c r="F23" s="12">
        <f t="shared" si="5"/>
        <v>0</v>
      </c>
      <c r="G23" s="79"/>
      <c r="H23" s="22">
        <v>43756</v>
      </c>
      <c r="I23" s="12">
        <f>G22-I22</f>
        <v>51398.2</v>
      </c>
      <c r="J23" s="90" t="s">
        <v>22</v>
      </c>
      <c r="K23" s="68" t="s">
        <v>57</v>
      </c>
      <c r="L23" s="33" t="s">
        <v>58</v>
      </c>
      <c r="M23" s="69"/>
      <c r="N23" s="69"/>
      <c r="O23" s="70"/>
    </row>
    <row r="24" s="2" customFormat="1" ht="18" customHeight="1" spans="1:15">
      <c r="A24" s="39"/>
      <c r="B24" s="12">
        <f t="shared" si="4"/>
        <v>0</v>
      </c>
      <c r="C24" s="40"/>
      <c r="D24" s="41"/>
      <c r="E24" s="42"/>
      <c r="F24" s="12">
        <f t="shared" si="5"/>
        <v>0</v>
      </c>
      <c r="G24" s="79"/>
      <c r="H24" s="22">
        <v>43755</v>
      </c>
      <c r="I24" s="12">
        <v>-51398.2</v>
      </c>
      <c r="J24" s="90" t="s">
        <v>38</v>
      </c>
      <c r="K24" s="67" t="s">
        <v>49</v>
      </c>
      <c r="L24" s="33"/>
      <c r="M24" s="69"/>
      <c r="N24" s="69"/>
      <c r="O24" s="70"/>
    </row>
    <row r="25" s="2" customFormat="1" ht="18" customHeight="1" spans="1:15">
      <c r="A25" s="39"/>
      <c r="B25" s="12">
        <f t="shared" si="4"/>
        <v>0</v>
      </c>
      <c r="C25" s="40"/>
      <c r="D25" s="41"/>
      <c r="E25" s="42"/>
      <c r="F25" s="12">
        <f t="shared" si="5"/>
        <v>0</v>
      </c>
      <c r="G25" s="79"/>
      <c r="H25" s="22">
        <v>43853</v>
      </c>
      <c r="I25" s="12">
        <v>200000</v>
      </c>
      <c r="J25" s="90" t="s">
        <v>22</v>
      </c>
      <c r="K25" s="59" t="s">
        <v>47</v>
      </c>
      <c r="L25" s="33"/>
      <c r="M25" s="69"/>
      <c r="N25" s="69"/>
      <c r="O25" s="70"/>
    </row>
    <row r="26" s="2" customFormat="1" ht="18" customHeight="1" spans="1:15">
      <c r="A26" s="39">
        <v>43922</v>
      </c>
      <c r="B26" s="12">
        <f t="shared" si="4"/>
        <v>31553.4</v>
      </c>
      <c r="C26" s="40"/>
      <c r="D26" s="41" t="s">
        <v>50</v>
      </c>
      <c r="E26" s="42">
        <v>0.03</v>
      </c>
      <c r="F26" s="12">
        <f t="shared" si="5"/>
        <v>946.6</v>
      </c>
      <c r="G26" s="79">
        <v>32500</v>
      </c>
      <c r="H26" s="22"/>
      <c r="I26" s="12"/>
      <c r="J26" s="90"/>
      <c r="K26" s="67" t="s">
        <v>59</v>
      </c>
      <c r="L26" s="33" t="s">
        <v>60</v>
      </c>
      <c r="M26" s="61" t="s">
        <v>61</v>
      </c>
      <c r="N26" s="69"/>
      <c r="O26" s="70"/>
    </row>
    <row r="27" s="2" customFormat="1" ht="18" customHeight="1" spans="1:15">
      <c r="A27" s="39"/>
      <c r="B27" s="12">
        <f t="shared" si="4"/>
        <v>0</v>
      </c>
      <c r="C27" s="40"/>
      <c r="D27" s="41"/>
      <c r="E27" s="42"/>
      <c r="F27" s="12">
        <f t="shared" si="5"/>
        <v>0</v>
      </c>
      <c r="G27" s="79"/>
      <c r="H27" s="22">
        <v>43957</v>
      </c>
      <c r="I27" s="82">
        <v>32500</v>
      </c>
      <c r="J27" s="94"/>
      <c r="K27" s="95" t="s">
        <v>59</v>
      </c>
      <c r="L27" s="60" t="s">
        <v>60</v>
      </c>
      <c r="M27" s="61"/>
      <c r="N27" s="69"/>
      <c r="O27" s="70"/>
    </row>
    <row r="28" s="2" customFormat="1" ht="18" customHeight="1" spans="1:15">
      <c r="A28" s="39">
        <v>43952</v>
      </c>
      <c r="B28" s="12">
        <f t="shared" si="4"/>
        <v>66831.68</v>
      </c>
      <c r="C28" s="40"/>
      <c r="D28" s="41" t="s">
        <v>44</v>
      </c>
      <c r="E28" s="42">
        <v>0.01</v>
      </c>
      <c r="F28" s="12">
        <f t="shared" si="5"/>
        <v>668.32</v>
      </c>
      <c r="G28" s="79">
        <v>67500</v>
      </c>
      <c r="H28" s="22"/>
      <c r="I28" s="12"/>
      <c r="J28" s="90"/>
      <c r="K28" s="67" t="s">
        <v>55</v>
      </c>
      <c r="L28" s="33" t="s">
        <v>62</v>
      </c>
      <c r="M28" s="61" t="s">
        <v>61</v>
      </c>
      <c r="N28" s="69"/>
      <c r="O28" s="70"/>
    </row>
    <row r="29" s="2" customFormat="1" ht="18" customHeight="1" spans="1:15">
      <c r="A29" s="39"/>
      <c r="B29" s="12">
        <f t="shared" si="4"/>
        <v>0</v>
      </c>
      <c r="C29" s="40"/>
      <c r="D29" s="41"/>
      <c r="E29" s="42"/>
      <c r="F29" s="12">
        <f t="shared" si="5"/>
        <v>0</v>
      </c>
      <c r="G29" s="79"/>
      <c r="H29" s="22">
        <v>43960</v>
      </c>
      <c r="I29" s="12">
        <v>67300</v>
      </c>
      <c r="J29" s="90"/>
      <c r="K29" s="67" t="s">
        <v>55</v>
      </c>
      <c r="L29" s="33" t="s">
        <v>62</v>
      </c>
      <c r="M29" s="61"/>
      <c r="N29" s="69"/>
      <c r="O29" s="70"/>
    </row>
    <row r="30" s="2" customFormat="1" ht="18" customHeight="1" spans="1:15">
      <c r="A30" s="39">
        <v>44501</v>
      </c>
      <c r="B30" s="12">
        <f>ROUND(G30/(1+E30),2)</f>
        <v>208737.86</v>
      </c>
      <c r="C30" s="40">
        <v>3</v>
      </c>
      <c r="D30" s="41" t="s">
        <v>44</v>
      </c>
      <c r="E30" s="42">
        <v>0.03</v>
      </c>
      <c r="F30" s="12">
        <f>ROUND(G30/(1+E30)*E30,2)</f>
        <v>6262.14</v>
      </c>
      <c r="G30" s="79">
        <f>15000+100000+100000</f>
        <v>215000</v>
      </c>
      <c r="H30" s="22"/>
      <c r="I30" s="12"/>
      <c r="J30" s="90"/>
      <c r="K30" s="67" t="s">
        <v>63</v>
      </c>
      <c r="L30" s="33" t="s">
        <v>64</v>
      </c>
      <c r="M30" s="56" t="s">
        <v>65</v>
      </c>
      <c r="N30" s="69"/>
      <c r="O30" s="70"/>
    </row>
    <row r="31" s="2" customFormat="1" ht="18" customHeight="1" spans="1:15">
      <c r="A31" s="39">
        <v>44501</v>
      </c>
      <c r="B31" s="12">
        <f>ROUND(G31/(1+E31),2)</f>
        <v>207184.47</v>
      </c>
      <c r="C31" s="40">
        <v>3</v>
      </c>
      <c r="D31" s="41" t="s">
        <v>44</v>
      </c>
      <c r="E31" s="42">
        <v>0.03</v>
      </c>
      <c r="F31" s="12">
        <f>ROUND(G31/(1+E31)*E31,2)</f>
        <v>6215.53</v>
      </c>
      <c r="G31" s="79">
        <f>100000+100000+13400</f>
        <v>213400</v>
      </c>
      <c r="H31" s="22"/>
      <c r="I31" s="12"/>
      <c r="J31" s="90"/>
      <c r="K31" s="67" t="s">
        <v>66</v>
      </c>
      <c r="L31" s="33" t="s">
        <v>60</v>
      </c>
      <c r="M31" s="90" t="s">
        <v>67</v>
      </c>
      <c r="N31" s="69"/>
      <c r="O31" s="70"/>
    </row>
    <row r="32" s="2" customFormat="1" ht="18" customHeight="1" spans="1:15">
      <c r="A32" s="39">
        <v>44501</v>
      </c>
      <c r="B32" s="12">
        <f>ROUND(G32/(1+E32),2)</f>
        <v>98000</v>
      </c>
      <c r="C32" s="40">
        <v>1</v>
      </c>
      <c r="D32" s="41" t="s">
        <v>37</v>
      </c>
      <c r="E32" s="42"/>
      <c r="F32" s="12">
        <f>ROUND(G32/(1+E32)*E32,2)</f>
        <v>0</v>
      </c>
      <c r="G32" s="79">
        <v>98000</v>
      </c>
      <c r="H32" s="22"/>
      <c r="I32" s="12"/>
      <c r="J32" s="90"/>
      <c r="K32" s="67" t="s">
        <v>68</v>
      </c>
      <c r="L32" s="33" t="s">
        <v>69</v>
      </c>
      <c r="M32" s="56" t="s">
        <v>70</v>
      </c>
      <c r="N32" s="69"/>
      <c r="O32" s="70"/>
    </row>
    <row r="33" s="2" customFormat="1" ht="18" customHeight="1" spans="1:15">
      <c r="A33" s="39">
        <v>44531</v>
      </c>
      <c r="B33" s="12">
        <f>ROUND(G33/(1+E33),2)</f>
        <v>17500</v>
      </c>
      <c r="C33" s="40">
        <v>1</v>
      </c>
      <c r="D33" s="41" t="s">
        <v>37</v>
      </c>
      <c r="E33" s="42"/>
      <c r="F33" s="12">
        <f>ROUND(G33/(1+E33)*E33,2)</f>
        <v>0</v>
      </c>
      <c r="G33" s="79">
        <v>17500</v>
      </c>
      <c r="H33" s="22"/>
      <c r="I33" s="12"/>
      <c r="J33" s="90"/>
      <c r="K33" s="67" t="s">
        <v>71</v>
      </c>
      <c r="L33" s="33" t="s">
        <v>72</v>
      </c>
      <c r="M33" s="56" t="s">
        <v>73</v>
      </c>
      <c r="N33" s="69"/>
      <c r="O33" s="70"/>
    </row>
    <row r="34" s="2" customFormat="1" ht="18" customHeight="1" spans="1:15">
      <c r="A34" s="39"/>
      <c r="B34" s="12"/>
      <c r="C34" s="40"/>
      <c r="D34" s="41"/>
      <c r="E34" s="42"/>
      <c r="F34" s="12"/>
      <c r="G34" s="79"/>
      <c r="H34" s="22"/>
      <c r="I34" s="12"/>
      <c r="J34" s="90"/>
      <c r="K34" s="67"/>
      <c r="L34" s="33"/>
      <c r="M34" s="56"/>
      <c r="N34" s="69"/>
      <c r="O34" s="70"/>
    </row>
    <row r="35" s="2" customFormat="1" ht="18" customHeight="1" spans="1:15">
      <c r="A35" s="39"/>
      <c r="B35" s="12"/>
      <c r="C35" s="40"/>
      <c r="D35" s="41"/>
      <c r="E35" s="42"/>
      <c r="F35" s="12"/>
      <c r="G35" s="79"/>
      <c r="H35" s="22"/>
      <c r="I35" s="12"/>
      <c r="J35" s="90"/>
      <c r="K35" s="67"/>
      <c r="L35" s="33"/>
      <c r="M35" s="56"/>
      <c r="N35" s="69"/>
      <c r="O35" s="70"/>
    </row>
    <row r="36" s="2" customFormat="1" ht="18" customHeight="1" spans="1:15">
      <c r="A36" s="39"/>
      <c r="B36" s="12"/>
      <c r="C36" s="40"/>
      <c r="D36" s="41"/>
      <c r="E36" s="42"/>
      <c r="F36" s="12"/>
      <c r="G36" s="79"/>
      <c r="H36" s="22"/>
      <c r="I36" s="12"/>
      <c r="J36" s="90"/>
      <c r="K36" s="67"/>
      <c r="L36" s="33"/>
      <c r="M36" s="56"/>
      <c r="N36" s="69"/>
      <c r="O36" s="70"/>
    </row>
    <row r="37" s="2" customFormat="1" ht="18" customHeight="1" spans="1:15">
      <c r="A37" s="39"/>
      <c r="B37" s="12"/>
      <c r="C37" s="40"/>
      <c r="D37" s="41"/>
      <c r="E37" s="42"/>
      <c r="F37" s="12"/>
      <c r="G37" s="79"/>
      <c r="H37" s="22"/>
      <c r="I37" s="12"/>
      <c r="J37" s="90"/>
      <c r="K37" s="67"/>
      <c r="L37" s="33"/>
      <c r="M37" s="56"/>
      <c r="N37" s="69"/>
      <c r="O37" s="70"/>
    </row>
    <row r="38" s="2" customFormat="1" ht="18" customHeight="1" spans="1:15">
      <c r="A38" s="39"/>
      <c r="B38" s="12">
        <f t="shared" ref="B38:B43" si="6">ROUND(G38/(1+E38),2)</f>
        <v>0</v>
      </c>
      <c r="C38" s="40"/>
      <c r="D38" s="41"/>
      <c r="E38" s="42"/>
      <c r="F38" s="12">
        <f>ROUND(G38/(1+E38)*E38,2)</f>
        <v>0</v>
      </c>
      <c r="G38" s="79"/>
      <c r="H38" s="22"/>
      <c r="I38" s="12"/>
      <c r="J38" s="90"/>
      <c r="K38" s="67"/>
      <c r="L38" s="33"/>
      <c r="M38" s="61"/>
      <c r="N38" s="69"/>
      <c r="O38" s="70"/>
    </row>
    <row r="39" s="2" customFormat="1" ht="33" customHeight="1" spans="1:15">
      <c r="A39" s="39"/>
      <c r="B39" s="12">
        <f t="shared" si="6"/>
        <v>0</v>
      </c>
      <c r="C39" s="40"/>
      <c r="D39" s="41"/>
      <c r="E39" s="42"/>
      <c r="F39" s="12">
        <f>ROUND(G39/(1+E39)*E39,2)</f>
        <v>0</v>
      </c>
      <c r="G39" s="79"/>
      <c r="H39" s="22"/>
      <c r="I39" s="83">
        <v>2649.25</v>
      </c>
      <c r="J39" s="96" t="s">
        <v>74</v>
      </c>
      <c r="K39" s="97" t="s">
        <v>75</v>
      </c>
      <c r="L39" s="33"/>
      <c r="M39" s="61"/>
      <c r="N39" s="69"/>
      <c r="O39" s="70"/>
    </row>
    <row r="40" s="2" customFormat="1" ht="18" customHeight="1" spans="1:15">
      <c r="A40" s="39"/>
      <c r="B40" s="12">
        <f t="shared" si="6"/>
        <v>0</v>
      </c>
      <c r="C40" s="40"/>
      <c r="D40" s="41"/>
      <c r="E40" s="42"/>
      <c r="F40" s="12">
        <f>ROUND(G40/(1+E40)*E40,2)</f>
        <v>0</v>
      </c>
      <c r="G40" s="79"/>
      <c r="H40" s="84"/>
      <c r="I40" s="83">
        <v>472</v>
      </c>
      <c r="J40" s="96" t="s">
        <v>76</v>
      </c>
      <c r="K40" s="97" t="s">
        <v>77</v>
      </c>
      <c r="L40" s="33"/>
      <c r="M40" s="61"/>
      <c r="N40" s="69"/>
      <c r="O40" s="70"/>
    </row>
    <row r="41" s="2" customFormat="1" ht="18" customHeight="1" spans="1:15">
      <c r="A41" s="39"/>
      <c r="B41" s="12">
        <f t="shared" si="6"/>
        <v>0</v>
      </c>
      <c r="C41" s="40"/>
      <c r="D41" s="41"/>
      <c r="E41" s="42"/>
      <c r="F41" s="12">
        <f>ROUND(G41/(1+E41)*E41,2)</f>
        <v>0</v>
      </c>
      <c r="G41" s="79"/>
      <c r="H41" s="22" t="s">
        <v>78</v>
      </c>
      <c r="I41" s="12">
        <v>50</v>
      </c>
      <c r="J41" s="90" t="s">
        <v>76</v>
      </c>
      <c r="K41" s="68" t="s">
        <v>79</v>
      </c>
      <c r="L41" s="33"/>
      <c r="M41" s="61"/>
      <c r="N41" s="69"/>
      <c r="O41" s="70"/>
    </row>
    <row r="42" s="2" customFormat="1" ht="18" customHeight="1" spans="1:15">
      <c r="A42" s="39"/>
      <c r="B42" s="12">
        <f t="shared" si="6"/>
        <v>0</v>
      </c>
      <c r="C42" s="40"/>
      <c r="D42" s="41"/>
      <c r="E42" s="42"/>
      <c r="F42" s="12">
        <f t="shared" ref="F42:F56" si="7">ROUND(G42/(1+E42)*E42,2)</f>
        <v>0</v>
      </c>
      <c r="G42" s="79"/>
      <c r="H42" s="22" t="s">
        <v>78</v>
      </c>
      <c r="I42" s="82">
        <v>-67350</v>
      </c>
      <c r="J42" s="94" t="s">
        <v>80</v>
      </c>
      <c r="K42" s="95" t="s">
        <v>81</v>
      </c>
      <c r="L42" s="33"/>
      <c r="M42" s="69"/>
      <c r="N42" s="69"/>
      <c r="O42" s="70"/>
    </row>
    <row r="43" s="2" customFormat="1" ht="18" customHeight="1" spans="1:15">
      <c r="A43" s="39"/>
      <c r="B43" s="12">
        <f t="shared" si="6"/>
        <v>0</v>
      </c>
      <c r="C43" s="40"/>
      <c r="D43" s="41"/>
      <c r="E43" s="42"/>
      <c r="F43" s="12">
        <f t="shared" si="7"/>
        <v>0</v>
      </c>
      <c r="G43" s="79"/>
      <c r="H43" s="22" t="s">
        <v>82</v>
      </c>
      <c r="I43" s="82">
        <v>50</v>
      </c>
      <c r="J43" s="94" t="s">
        <v>76</v>
      </c>
      <c r="K43" s="59" t="s">
        <v>79</v>
      </c>
      <c r="L43" s="33"/>
      <c r="M43" s="69"/>
      <c r="N43" s="69"/>
      <c r="O43" s="70"/>
    </row>
    <row r="44" s="2" customFormat="1" ht="18" customHeight="1" spans="1:15">
      <c r="A44" s="39"/>
      <c r="B44" s="12">
        <f t="shared" ref="B42:B56" si="8">ROUND(G44/(1+E44),2)</f>
        <v>0</v>
      </c>
      <c r="C44" s="40"/>
      <c r="D44" s="41"/>
      <c r="E44" s="42"/>
      <c r="F44" s="12">
        <f t="shared" si="7"/>
        <v>0</v>
      </c>
      <c r="G44" s="79"/>
      <c r="H44" s="22" t="s">
        <v>82</v>
      </c>
      <c r="I44" s="82">
        <v>-32550</v>
      </c>
      <c r="J44" s="94" t="s">
        <v>80</v>
      </c>
      <c r="K44" s="95" t="s">
        <v>83</v>
      </c>
      <c r="L44" s="33"/>
      <c r="M44" s="69"/>
      <c r="N44" s="69"/>
      <c r="O44" s="70"/>
    </row>
    <row r="45" s="2" customFormat="1" ht="18" customHeight="1" spans="1:15">
      <c r="A45" s="39"/>
      <c r="B45" s="12">
        <f t="shared" si="8"/>
        <v>0</v>
      </c>
      <c r="C45" s="40"/>
      <c r="D45" s="41"/>
      <c r="E45" s="42"/>
      <c r="F45" s="12">
        <f t="shared" si="7"/>
        <v>0</v>
      </c>
      <c r="G45" s="79"/>
      <c r="H45" s="22"/>
      <c r="I45" s="12">
        <v>100</v>
      </c>
      <c r="J45" s="90" t="s">
        <v>76</v>
      </c>
      <c r="K45" s="68" t="s">
        <v>79</v>
      </c>
      <c r="L45" s="33"/>
      <c r="M45" s="69"/>
      <c r="N45" s="69"/>
      <c r="O45" s="70"/>
    </row>
    <row r="46" s="2" customFormat="1" ht="18" customHeight="1" spans="1:15">
      <c r="A46" s="39"/>
      <c r="B46" s="12">
        <f t="shared" si="8"/>
        <v>0</v>
      </c>
      <c r="C46" s="40"/>
      <c r="D46" s="41"/>
      <c r="E46" s="42"/>
      <c r="F46" s="12">
        <f t="shared" si="7"/>
        <v>0</v>
      </c>
      <c r="G46" s="79"/>
      <c r="H46" s="22"/>
      <c r="I46" s="12">
        <v>99900</v>
      </c>
      <c r="J46" s="90" t="s">
        <v>84</v>
      </c>
      <c r="K46" s="68" t="s">
        <v>85</v>
      </c>
      <c r="L46" s="33"/>
      <c r="M46" s="69"/>
      <c r="N46" s="69"/>
      <c r="O46" s="70"/>
    </row>
    <row r="47" s="1" customFormat="1" ht="18" customHeight="1" spans="1:15">
      <c r="A47" s="35"/>
      <c r="B47" s="12">
        <f t="shared" si="8"/>
        <v>0</v>
      </c>
      <c r="C47" s="36"/>
      <c r="D47" s="37"/>
      <c r="E47" s="38"/>
      <c r="F47" s="12">
        <f t="shared" si="7"/>
        <v>0</v>
      </c>
      <c r="G47" s="78"/>
      <c r="H47" s="22"/>
      <c r="I47" s="12">
        <v>-7203</v>
      </c>
      <c r="J47" s="90" t="s">
        <v>80</v>
      </c>
      <c r="K47" s="59" t="s">
        <v>86</v>
      </c>
      <c r="L47" s="60"/>
      <c r="M47" s="61"/>
      <c r="N47" s="61"/>
      <c r="O47" s="60"/>
    </row>
    <row r="48" s="1" customFormat="1" ht="18" customHeight="1" spans="1:15">
      <c r="A48" s="35"/>
      <c r="B48" s="12">
        <f t="shared" si="8"/>
        <v>0</v>
      </c>
      <c r="C48" s="36"/>
      <c r="D48" s="37"/>
      <c r="E48" s="38"/>
      <c r="F48" s="12">
        <f t="shared" si="7"/>
        <v>0</v>
      </c>
      <c r="G48" s="78"/>
      <c r="H48" s="22"/>
      <c r="I48" s="12">
        <v>7203</v>
      </c>
      <c r="J48" s="90" t="s">
        <v>84</v>
      </c>
      <c r="K48" s="59" t="s">
        <v>86</v>
      </c>
      <c r="L48" s="60"/>
      <c r="M48" s="61"/>
      <c r="N48" s="61"/>
      <c r="O48" s="60"/>
    </row>
    <row r="49" s="1" customFormat="1" ht="18" customHeight="1" spans="1:15">
      <c r="A49" s="35"/>
      <c r="B49" s="82">
        <f t="shared" si="8"/>
        <v>0</v>
      </c>
      <c r="C49" s="36"/>
      <c r="D49" s="37"/>
      <c r="E49" s="38"/>
      <c r="F49" s="82">
        <f t="shared" si="7"/>
        <v>0</v>
      </c>
      <c r="G49" s="78"/>
      <c r="H49" s="22"/>
      <c r="I49" s="12">
        <v>8781</v>
      </c>
      <c r="J49" s="90" t="s">
        <v>76</v>
      </c>
      <c r="K49" s="59" t="s">
        <v>87</v>
      </c>
      <c r="L49" s="60"/>
      <c r="M49" s="61"/>
      <c r="N49" s="61"/>
      <c r="O49" s="60"/>
    </row>
    <row r="50" s="1" customFormat="1" ht="18" customHeight="1" spans="1:15">
      <c r="A50" s="35"/>
      <c r="B50" s="82">
        <f t="shared" si="8"/>
        <v>0</v>
      </c>
      <c r="C50" s="36"/>
      <c r="D50" s="37"/>
      <c r="E50" s="38"/>
      <c r="F50" s="82">
        <f t="shared" si="7"/>
        <v>0</v>
      </c>
      <c r="G50" s="78"/>
      <c r="H50" s="22"/>
      <c r="I50" s="98">
        <v>28090</v>
      </c>
      <c r="J50" s="90" t="s">
        <v>76</v>
      </c>
      <c r="K50" s="59" t="s">
        <v>88</v>
      </c>
      <c r="L50" s="60"/>
      <c r="M50" s="61"/>
      <c r="N50" s="61"/>
      <c r="O50" s="60"/>
    </row>
    <row r="51" s="1" customFormat="1" ht="18" customHeight="1" spans="1:15">
      <c r="A51" s="35"/>
      <c r="B51" s="82">
        <f t="shared" si="8"/>
        <v>0</v>
      </c>
      <c r="C51" s="36"/>
      <c r="D51" s="37"/>
      <c r="E51" s="38"/>
      <c r="F51" s="82">
        <f t="shared" si="7"/>
        <v>0</v>
      </c>
      <c r="G51" s="78"/>
      <c r="H51" s="22"/>
      <c r="I51" s="12">
        <v>500</v>
      </c>
      <c r="J51" s="90" t="s">
        <v>76</v>
      </c>
      <c r="K51" s="59" t="s">
        <v>89</v>
      </c>
      <c r="L51" s="60"/>
      <c r="M51" s="61"/>
      <c r="N51" s="61"/>
      <c r="O51" s="60"/>
    </row>
    <row r="52" s="1" customFormat="1" ht="18" customHeight="1" spans="1:15">
      <c r="A52" s="35"/>
      <c r="B52" s="82">
        <f t="shared" si="8"/>
        <v>23000</v>
      </c>
      <c r="C52" s="36"/>
      <c r="D52" s="37"/>
      <c r="E52" s="38"/>
      <c r="F52" s="82">
        <f t="shared" si="7"/>
        <v>0</v>
      </c>
      <c r="G52" s="78">
        <f>23000</f>
        <v>23000</v>
      </c>
      <c r="H52" s="22"/>
      <c r="I52" s="12">
        <f>G52</f>
        <v>23000</v>
      </c>
      <c r="J52" s="90" t="s">
        <v>76</v>
      </c>
      <c r="K52" s="59" t="s">
        <v>90</v>
      </c>
      <c r="L52" s="60"/>
      <c r="M52" s="61"/>
      <c r="N52" s="61"/>
      <c r="O52" s="60"/>
    </row>
    <row r="53" s="1" customFormat="1" ht="18" customHeight="1" spans="1:15">
      <c r="A53" s="35"/>
      <c r="B53" s="82">
        <f t="shared" si="8"/>
        <v>0</v>
      </c>
      <c r="C53" s="36"/>
      <c r="D53" s="37"/>
      <c r="E53" s="38"/>
      <c r="F53" s="82">
        <f t="shared" si="7"/>
        <v>0</v>
      </c>
      <c r="G53" s="78"/>
      <c r="H53" s="22"/>
      <c r="I53" s="12">
        <v>13031</v>
      </c>
      <c r="J53" s="90" t="s">
        <v>76</v>
      </c>
      <c r="K53" s="59" t="s">
        <v>87</v>
      </c>
      <c r="L53" s="60"/>
      <c r="M53" s="61"/>
      <c r="N53" s="61"/>
      <c r="O53" s="60"/>
    </row>
    <row r="54" s="1" customFormat="1" ht="18" customHeight="1" spans="1:15">
      <c r="A54" s="35"/>
      <c r="B54" s="82">
        <f t="shared" si="8"/>
        <v>0</v>
      </c>
      <c r="C54" s="36"/>
      <c r="D54" s="37"/>
      <c r="E54" s="38"/>
      <c r="F54" s="82">
        <f t="shared" si="7"/>
        <v>0</v>
      </c>
      <c r="G54" s="78"/>
      <c r="H54" s="22"/>
      <c r="I54" s="98">
        <v>31889</v>
      </c>
      <c r="J54" s="90" t="s">
        <v>76</v>
      </c>
      <c r="K54" s="59" t="s">
        <v>88</v>
      </c>
      <c r="L54" s="60"/>
      <c r="M54" s="61"/>
      <c r="N54" s="61"/>
      <c r="O54" s="60"/>
    </row>
    <row r="55" s="1" customFormat="1" ht="18" customHeight="1" spans="1:15">
      <c r="A55" s="35"/>
      <c r="B55" s="82">
        <f t="shared" si="8"/>
        <v>0</v>
      </c>
      <c r="C55" s="36"/>
      <c r="D55" s="37"/>
      <c r="E55" s="38"/>
      <c r="F55" s="82">
        <f t="shared" si="7"/>
        <v>0</v>
      </c>
      <c r="G55" s="78"/>
      <c r="H55" s="22"/>
      <c r="I55" s="12">
        <v>500</v>
      </c>
      <c r="J55" s="90" t="s">
        <v>76</v>
      </c>
      <c r="K55" s="59" t="s">
        <v>89</v>
      </c>
      <c r="L55" s="60"/>
      <c r="M55" s="61"/>
      <c r="N55" s="61"/>
      <c r="O55" s="60"/>
    </row>
    <row r="56" s="1" customFormat="1" ht="18" customHeight="1" spans="1:15">
      <c r="A56" s="35"/>
      <c r="B56" s="82">
        <f t="shared" si="8"/>
        <v>14000</v>
      </c>
      <c r="C56" s="36"/>
      <c r="D56" s="37"/>
      <c r="E56" s="38"/>
      <c r="F56" s="82">
        <f t="shared" si="7"/>
        <v>0</v>
      </c>
      <c r="G56" s="78">
        <f>14000</f>
        <v>14000</v>
      </c>
      <c r="H56" s="22"/>
      <c r="I56" s="12">
        <f>G56</f>
        <v>14000</v>
      </c>
      <c r="J56" s="90" t="s">
        <v>76</v>
      </c>
      <c r="K56" s="59" t="s">
        <v>90</v>
      </c>
      <c r="L56" s="60"/>
      <c r="M56" s="61"/>
      <c r="N56" s="61"/>
      <c r="O56" s="60"/>
    </row>
    <row r="57" ht="18" customHeight="1" spans="1:15">
      <c r="A57" s="30" t="s">
        <v>23</v>
      </c>
      <c r="B57" s="80">
        <f>SUM(B14:B56)</f>
        <v>2072501.17</v>
      </c>
      <c r="C57" s="30"/>
      <c r="D57" s="44"/>
      <c r="E57" s="44"/>
      <c r="F57" s="81">
        <f>SUM(F14:F56)</f>
        <v>80048.03</v>
      </c>
      <c r="G57" s="85">
        <f>SUM(G14:G56)</f>
        <v>2152549.2</v>
      </c>
      <c r="H57" s="46"/>
      <c r="I57" s="30">
        <f>SUM(I14:I56)</f>
        <v>1601321.25</v>
      </c>
      <c r="J57" s="99"/>
      <c r="K57" s="44"/>
      <c r="L57" s="33"/>
      <c r="M57" s="56"/>
      <c r="N57" s="56"/>
      <c r="O57" s="33"/>
    </row>
    <row r="58" ht="18" customHeight="1" spans="1:14">
      <c r="A58" s="47" t="s">
        <v>91</v>
      </c>
      <c r="B58" s="47">
        <f>B11*0.984</f>
        <v>1933565.25237698</v>
      </c>
      <c r="C58" s="47"/>
      <c r="D58" s="49"/>
      <c r="E58" s="49"/>
      <c r="F58" s="48"/>
      <c r="G58" s="47">
        <f>G11-G57</f>
        <v>-2549.20000000019</v>
      </c>
      <c r="H58" s="21" t="s">
        <v>92</v>
      </c>
      <c r="I58" s="30">
        <f>I11-I57</f>
        <v>-3121.25</v>
      </c>
      <c r="J58" s="100"/>
      <c r="K58" s="72"/>
      <c r="M58" s="73"/>
      <c r="N58" s="73"/>
    </row>
    <row r="59" ht="18" customHeight="1" spans="1:14">
      <c r="A59" s="47" t="s">
        <v>93</v>
      </c>
      <c r="B59" s="47">
        <f>B58-B57</f>
        <v>-138935.917623019</v>
      </c>
      <c r="C59" s="47"/>
      <c r="D59" s="49"/>
      <c r="E59" s="49"/>
      <c r="F59" s="48"/>
      <c r="G59" s="48"/>
      <c r="H59" s="50"/>
      <c r="I59" s="48"/>
      <c r="J59" s="100"/>
      <c r="K59" s="72"/>
      <c r="M59" s="73"/>
      <c r="N59" s="73"/>
    </row>
    <row r="60" ht="18" customHeight="1" spans="1:9">
      <c r="A60" s="3" t="s">
        <v>94</v>
      </c>
      <c r="C60" s="3"/>
      <c r="G60" s="4">
        <f>62628.25-I54-I50</f>
        <v>2649.25</v>
      </c>
      <c r="I60" s="4">
        <f>I54+I50</f>
        <v>59979</v>
      </c>
    </row>
    <row r="61" ht="18" customHeight="1" spans="1:12">
      <c r="A61" s="21" t="s">
        <v>95</v>
      </c>
      <c r="B61" s="20" t="s">
        <v>96</v>
      </c>
      <c r="C61" s="33"/>
      <c r="D61" s="21" t="s">
        <v>95</v>
      </c>
      <c r="E61" s="19" t="s">
        <v>16</v>
      </c>
      <c r="F61" s="20" t="s">
        <v>96</v>
      </c>
      <c r="G61" s="20" t="s">
        <v>97</v>
      </c>
      <c r="H61" s="20" t="s">
        <v>98</v>
      </c>
      <c r="I61" s="31" t="s">
        <v>99</v>
      </c>
      <c r="J61" s="101"/>
      <c r="K61" s="12" t="s">
        <v>100</v>
      </c>
      <c r="L61" s="7">
        <f>F7+F8-F16-F17-F19-F20</f>
        <v>55909.1483069224</v>
      </c>
    </row>
    <row r="62" ht="18" customHeight="1" spans="1:12">
      <c r="A62" s="33" t="s">
        <v>101</v>
      </c>
      <c r="B62" s="17">
        <f>(B58-B57)*0.25</f>
        <v>-34733.9794057548</v>
      </c>
      <c r="C62" s="33"/>
      <c r="D62" s="28" t="s">
        <v>102</v>
      </c>
      <c r="E62" s="21" t="s">
        <v>103</v>
      </c>
      <c r="F62" s="81">
        <f>F11-F57</f>
        <v>65646.5254628857</v>
      </c>
      <c r="G62" s="81">
        <f>F7-F15-F16-F17</f>
        <v>28989.9145454545</v>
      </c>
      <c r="H62" s="81">
        <f>F8-F19-F21-F20</f>
        <v>25536.1137614679</v>
      </c>
      <c r="I62" s="81">
        <f>F9-F21-F22-F26-F28</f>
        <v>-13427.1546788991</v>
      </c>
      <c r="J62" s="102"/>
      <c r="K62" s="81">
        <f>(F9+F10)-(F21+F22+F26+F28+F30+F31)</f>
        <v>9737.37715596331</v>
      </c>
      <c r="L62" s="7">
        <f>L61*0.07</f>
        <v>3913.64038148457</v>
      </c>
    </row>
    <row r="63" ht="18" customHeight="1" spans="1:12">
      <c r="A63" s="33" t="s">
        <v>104</v>
      </c>
      <c r="B63" s="51" t="s">
        <v>105</v>
      </c>
      <c r="C63" s="33"/>
      <c r="D63" s="52" t="s">
        <v>106</v>
      </c>
      <c r="E63" s="14">
        <v>0.05</v>
      </c>
      <c r="F63" s="12">
        <f>F62*E63</f>
        <v>3282.32627314429</v>
      </c>
      <c r="G63" s="12">
        <f>G62*E63</f>
        <v>1449.49572727273</v>
      </c>
      <c r="H63" s="12">
        <f>H62*E63</f>
        <v>1276.8056880734</v>
      </c>
      <c r="I63" s="12">
        <f>I62*E63</f>
        <v>-671.357733944954</v>
      </c>
      <c r="K63" s="12">
        <f>K62*0.07</f>
        <v>681.616400917432</v>
      </c>
      <c r="L63" s="7">
        <f>L61*0.03</f>
        <v>1677.27444920767</v>
      </c>
    </row>
    <row r="64" ht="18" customHeight="1" spans="1:12">
      <c r="A64" s="33" t="s">
        <v>107</v>
      </c>
      <c r="B64" s="51" t="s">
        <v>105</v>
      </c>
      <c r="C64" s="33"/>
      <c r="D64" s="52" t="s">
        <v>108</v>
      </c>
      <c r="E64" s="14">
        <v>0.03</v>
      </c>
      <c r="F64" s="12">
        <f>F62*E64</f>
        <v>1969.39576388657</v>
      </c>
      <c r="G64" s="12">
        <f>G62*E64</f>
        <v>869.697436363636</v>
      </c>
      <c r="H64" s="12">
        <f>H62*E64</f>
        <v>766.083412844037</v>
      </c>
      <c r="I64" s="12">
        <f>I62*E64</f>
        <v>-402.814640366972</v>
      </c>
      <c r="K64" s="12">
        <f>K62*0.03</f>
        <v>292.121314678899</v>
      </c>
      <c r="L64" s="7">
        <f>L61*0.02</f>
        <v>1118.18296613845</v>
      </c>
    </row>
    <row r="65" ht="18" customHeight="1" spans="1:12">
      <c r="A65" s="33"/>
      <c r="B65" s="23"/>
      <c r="C65" s="33"/>
      <c r="D65" s="52" t="s">
        <v>109</v>
      </c>
      <c r="E65" s="14">
        <v>0.02</v>
      </c>
      <c r="F65" s="12">
        <f>F62*E65</f>
        <v>1312.93050925771</v>
      </c>
      <c r="G65" s="12">
        <f>G62*E65</f>
        <v>579.798290909091</v>
      </c>
      <c r="H65" s="12">
        <f>H62*E65</f>
        <v>510.722275229358</v>
      </c>
      <c r="I65" s="12">
        <f>I62*E65</f>
        <v>-268.543093577982</v>
      </c>
      <c r="K65" s="12">
        <f>K62*0.02</f>
        <v>194.747543119266</v>
      </c>
      <c r="L65" s="7">
        <f>SUM(L61:L64)</f>
        <v>62618.2461037531</v>
      </c>
    </row>
    <row r="66" ht="18" customHeight="1" spans="1:11">
      <c r="A66" s="28" t="s">
        <v>110</v>
      </c>
      <c r="B66" s="29">
        <f t="shared" ref="B66:I66" si="9">SUM(B62:B65)</f>
        <v>-34733.9794057548</v>
      </c>
      <c r="C66" s="33"/>
      <c r="D66" s="34" t="s">
        <v>110</v>
      </c>
      <c r="E66" s="28"/>
      <c r="F66" s="81">
        <f t="shared" si="9"/>
        <v>72211.1780091743</v>
      </c>
      <c r="G66" s="81">
        <f t="shared" si="9"/>
        <v>31888.906</v>
      </c>
      <c r="H66" s="81">
        <f t="shared" si="9"/>
        <v>28089.7251376147</v>
      </c>
      <c r="I66" s="81">
        <f t="shared" si="9"/>
        <v>-14769.870146789</v>
      </c>
      <c r="K66" s="81">
        <f>SUM(K62:K65)</f>
        <v>10905.8624146789</v>
      </c>
    </row>
    <row r="67" ht="18" customHeight="1" spans="3:11">
      <c r="C67" s="3"/>
      <c r="D67" s="19" t="s">
        <v>23</v>
      </c>
      <c r="E67" s="30"/>
      <c r="F67" s="30">
        <f t="shared" ref="F67:I67" si="10">F66</f>
        <v>72211.1780091743</v>
      </c>
      <c r="G67" s="30">
        <f t="shared" si="10"/>
        <v>31888.906</v>
      </c>
      <c r="H67" s="30">
        <f t="shared" si="10"/>
        <v>28089.7251376147</v>
      </c>
      <c r="I67" s="30">
        <f t="shared" si="10"/>
        <v>-14769.870146789</v>
      </c>
      <c r="K67" s="30">
        <f>K66</f>
        <v>10905.8624146789</v>
      </c>
    </row>
    <row r="68" ht="18" customHeight="1" spans="3:11">
      <c r="C68" s="3"/>
      <c r="D68" s="30" t="s">
        <v>101</v>
      </c>
      <c r="E68" s="44">
        <v>0.016</v>
      </c>
      <c r="F68" s="30">
        <f>B11*E68</f>
        <v>31440.0854045038</v>
      </c>
      <c r="G68" s="30">
        <f>B7*E68</f>
        <v>13030.6909090909</v>
      </c>
      <c r="H68" s="30">
        <f>B8*E68</f>
        <v>8780.91743119266</v>
      </c>
      <c r="I68" s="30">
        <f>B9*0.016</f>
        <v>1481.6880733945</v>
      </c>
      <c r="K68" s="30">
        <f>G10*0.016</f>
        <v>8880</v>
      </c>
    </row>
    <row r="69" ht="18" customHeight="1" spans="3:11">
      <c r="C69" s="3"/>
      <c r="D69" s="33" t="s">
        <v>104</v>
      </c>
      <c r="E69" s="12"/>
      <c r="F69" s="12"/>
      <c r="G69" s="12"/>
      <c r="H69" s="12"/>
      <c r="I69" s="12">
        <v>0</v>
      </c>
      <c r="K69" s="12">
        <f>G10*0.0003</f>
        <v>166.5</v>
      </c>
    </row>
    <row r="70" ht="18" customHeight="1" spans="3:11">
      <c r="C70" s="3"/>
      <c r="D70" s="33" t="s">
        <v>107</v>
      </c>
      <c r="E70" s="12"/>
      <c r="F70" s="12"/>
      <c r="G70" s="12"/>
      <c r="H70" s="12"/>
      <c r="I70" s="12">
        <v>0</v>
      </c>
      <c r="K70" s="12">
        <f>B10*0.0006</f>
        <v>305.504587155963</v>
      </c>
    </row>
    <row r="71" ht="18" customHeight="1" spans="3:11">
      <c r="C71" s="3"/>
      <c r="D71" s="30"/>
      <c r="E71" s="30"/>
      <c r="F71" s="31"/>
      <c r="G71" s="31"/>
      <c r="H71" s="30"/>
      <c r="I71" s="31"/>
      <c r="J71" s="103"/>
      <c r="K71" s="30">
        <f>SUM(K69:K70)</f>
        <v>472.004587155963</v>
      </c>
    </row>
    <row r="72" spans="3:3">
      <c r="C72" s="3"/>
    </row>
    <row r="73" spans="3:9">
      <c r="C73" s="3"/>
      <c r="I73" s="4">
        <f>77652.5-59979</f>
        <v>17673.5</v>
      </c>
    </row>
    <row r="74" spans="3:3">
      <c r="C74" s="3"/>
    </row>
    <row r="75" spans="3:3">
      <c r="C75" s="3"/>
    </row>
    <row r="76" spans="3:3">
      <c r="C76" s="3"/>
    </row>
    <row r="77" spans="3:3">
      <c r="C77" s="3"/>
    </row>
    <row r="78" spans="3:3">
      <c r="C78" s="3"/>
    </row>
    <row r="79" spans="3:3">
      <c r="C79" s="3"/>
    </row>
    <row r="80" spans="3:3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</sheetData>
  <protectedRanges>
    <protectedRange sqref="K18 K24" name="区域1_29"/>
    <protectedRange sqref="I18" name="区域1"/>
    <protectedRange sqref="I14" name="区域1_1"/>
  </protectedRanges>
  <autoFilter ref="A13:O7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"/>
  <sheetViews>
    <sheetView topLeftCell="A4" workbookViewId="0">
      <selection activeCell="I68" sqref="I68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125" style="4" customWidth="1"/>
    <col min="8" max="8" width="10.75" style="5" customWidth="1"/>
    <col min="9" max="9" width="13.875" style="4" customWidth="1"/>
    <col min="10" max="10" width="6.12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111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43123</v>
      </c>
      <c r="C2" s="12" t="s">
        <v>2</v>
      </c>
      <c r="D2" s="13">
        <v>1850000</v>
      </c>
      <c r="E2" s="14" t="s">
        <v>3</v>
      </c>
      <c r="F2" s="12" t="s">
        <v>4</v>
      </c>
      <c r="G2" s="15" t="s">
        <v>5</v>
      </c>
      <c r="H2" s="16" t="s">
        <v>6</v>
      </c>
      <c r="I2" s="53"/>
      <c r="J2" s="54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/>
      <c r="H3" s="18"/>
      <c r="I3" s="55"/>
      <c r="J3" s="18"/>
      <c r="K3" s="18"/>
      <c r="L3" s="18"/>
    </row>
    <row r="4" ht="18" customHeight="1" spans="1:12">
      <c r="A4" s="3" t="s">
        <v>9</v>
      </c>
      <c r="H4" s="18"/>
      <c r="I4" s="55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2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L6" s="7" t="s">
        <v>21</v>
      </c>
    </row>
    <row r="7" ht="18" customHeight="1" spans="1:10">
      <c r="A7" s="22">
        <v>43487</v>
      </c>
      <c r="B7" s="23">
        <f t="shared" ref="B7:B8" si="0">G7/(1+C7+E7)</f>
        <v>814418.181818182</v>
      </c>
      <c r="C7" s="24">
        <v>0.02</v>
      </c>
      <c r="D7" s="25">
        <f t="shared" ref="D7:D8" si="1">G7/(1+E7+C7)*C7</f>
        <v>16288.3636363636</v>
      </c>
      <c r="E7" s="24">
        <v>0.08</v>
      </c>
      <c r="F7" s="23">
        <f t="shared" ref="F7:F8" si="2">G7/(1+C7+E7)*E7</f>
        <v>65153.4545454545</v>
      </c>
      <c r="G7" s="26">
        <v>895860</v>
      </c>
      <c r="H7" s="22">
        <v>43498</v>
      </c>
      <c r="I7" s="23">
        <v>700000</v>
      </c>
      <c r="J7" s="56" t="s">
        <v>22</v>
      </c>
    </row>
    <row r="8" ht="18" customHeight="1" spans="1:10">
      <c r="A8" s="22">
        <v>43714</v>
      </c>
      <c r="B8" s="23">
        <f t="shared" si="0"/>
        <v>548807.339449541</v>
      </c>
      <c r="C8" s="24">
        <v>0.02</v>
      </c>
      <c r="D8" s="25">
        <f t="shared" si="1"/>
        <v>10976.1467889908</v>
      </c>
      <c r="E8" s="24">
        <v>0.07</v>
      </c>
      <c r="F8" s="23">
        <f t="shared" si="2"/>
        <v>38416.5137614679</v>
      </c>
      <c r="G8" s="26">
        <v>598200</v>
      </c>
      <c r="H8" s="22">
        <v>43719</v>
      </c>
      <c r="I8" s="23">
        <v>598200</v>
      </c>
      <c r="J8" s="56" t="s">
        <v>22</v>
      </c>
    </row>
    <row r="9" ht="18" customHeight="1" spans="1:10">
      <c r="A9" s="22"/>
      <c r="B9" s="23">
        <f t="shared" ref="B9:B10" si="3">G9/(1+C9+E9)</f>
        <v>0</v>
      </c>
      <c r="C9" s="24">
        <v>0.02</v>
      </c>
      <c r="D9" s="25">
        <f t="shared" ref="D9:D10" si="4">G9/(1+E9+C9)*C9</f>
        <v>0</v>
      </c>
      <c r="E9" s="27">
        <v>0.07</v>
      </c>
      <c r="F9" s="23">
        <f t="shared" ref="F9:F10" si="5">G9/(1+C9+E9)*E9</f>
        <v>0</v>
      </c>
      <c r="G9" s="26"/>
      <c r="H9" s="22">
        <v>43852</v>
      </c>
      <c r="I9" s="23">
        <v>300000</v>
      </c>
      <c r="J9" s="56" t="s">
        <v>22</v>
      </c>
    </row>
    <row r="10" ht="18" customHeight="1" spans="1:12">
      <c r="A10" s="22"/>
      <c r="B10" s="23">
        <f t="shared" si="3"/>
        <v>0</v>
      </c>
      <c r="C10" s="24">
        <v>0.02</v>
      </c>
      <c r="D10" s="25">
        <f t="shared" si="4"/>
        <v>0</v>
      </c>
      <c r="E10" s="24">
        <v>0.08</v>
      </c>
      <c r="F10" s="23">
        <f t="shared" si="5"/>
        <v>0</v>
      </c>
      <c r="G10" s="26"/>
      <c r="H10" s="22"/>
      <c r="I10" s="23"/>
      <c r="J10" s="56"/>
      <c r="L10" s="7">
        <f>I11-G11</f>
        <v>104140</v>
      </c>
    </row>
    <row r="11" ht="18" customHeight="1" spans="1:10">
      <c r="A11" s="28" t="s">
        <v>23</v>
      </c>
      <c r="B11" s="29">
        <f>SUM(B7:B10)</f>
        <v>1363225.52126772</v>
      </c>
      <c r="C11" s="30"/>
      <c r="D11" s="31">
        <f t="shared" ref="D11:G11" si="6">SUM(D7:D10)</f>
        <v>27264.5104253544</v>
      </c>
      <c r="E11" s="30"/>
      <c r="F11" s="32">
        <f t="shared" si="6"/>
        <v>103569.968306922</v>
      </c>
      <c r="G11" s="31">
        <f t="shared" si="6"/>
        <v>1494060</v>
      </c>
      <c r="H11" s="33"/>
      <c r="I11" s="31">
        <f>SUM(I7:I10)</f>
        <v>1598200</v>
      </c>
      <c r="J11" s="33"/>
    </row>
    <row r="12" ht="18" customHeight="1" spans="1:12">
      <c r="A12" s="3" t="s">
        <v>24</v>
      </c>
      <c r="J12" s="5"/>
      <c r="K12" s="5"/>
      <c r="L12" s="6"/>
    </row>
    <row r="13" ht="18" customHeight="1" spans="1:15">
      <c r="A13" s="34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7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5">
        <v>43466</v>
      </c>
      <c r="B14" s="17">
        <f t="shared" ref="B14:B27" si="7">ROUND(G14/(1+E14),2)</f>
        <v>321214</v>
      </c>
      <c r="C14" s="36"/>
      <c r="D14" s="37" t="s">
        <v>37</v>
      </c>
      <c r="E14" s="38"/>
      <c r="F14" s="17">
        <f t="shared" ref="F14:F27" si="8">ROUND(G14/(1+E14)*E14,2)</f>
        <v>0</v>
      </c>
      <c r="G14" s="26">
        <v>321214</v>
      </c>
      <c r="H14" s="22">
        <v>43499</v>
      </c>
      <c r="I14" s="58">
        <v>321214</v>
      </c>
      <c r="J14" s="56" t="s">
        <v>38</v>
      </c>
      <c r="K14" s="59" t="s">
        <v>39</v>
      </c>
      <c r="L14" s="60" t="s">
        <v>40</v>
      </c>
      <c r="M14" s="61"/>
      <c r="N14" s="61"/>
      <c r="O14" s="60"/>
    </row>
    <row r="15" s="1" customFormat="1" ht="18" customHeight="1" spans="1:16">
      <c r="A15" s="35"/>
      <c r="B15" s="17"/>
      <c r="C15" s="36"/>
      <c r="D15" s="37"/>
      <c r="E15" s="38"/>
      <c r="F15" s="17"/>
      <c r="G15" s="26"/>
      <c r="H15" s="22"/>
      <c r="I15" s="23"/>
      <c r="J15" s="56"/>
      <c r="K15" s="62" t="s">
        <v>41</v>
      </c>
      <c r="L15" s="63" t="s">
        <v>42</v>
      </c>
      <c r="M15" s="64"/>
      <c r="N15" s="64"/>
      <c r="O15" s="65">
        <f>90000*2+84708</f>
        <v>264708</v>
      </c>
      <c r="P15" s="66" t="s">
        <v>43</v>
      </c>
    </row>
    <row r="16" s="1" customFormat="1" ht="18" customHeight="1" spans="1:15">
      <c r="A16" s="35">
        <v>43466</v>
      </c>
      <c r="B16" s="17">
        <f t="shared" si="7"/>
        <v>42233.01</v>
      </c>
      <c r="C16" s="36"/>
      <c r="D16" s="37" t="s">
        <v>44</v>
      </c>
      <c r="E16" s="38">
        <v>0.03</v>
      </c>
      <c r="F16" s="17">
        <f t="shared" si="8"/>
        <v>1266.99</v>
      </c>
      <c r="G16" s="26">
        <v>43500</v>
      </c>
      <c r="H16" s="22">
        <v>43499</v>
      </c>
      <c r="I16" s="23">
        <v>43500</v>
      </c>
      <c r="J16" s="56" t="s">
        <v>22</v>
      </c>
      <c r="K16" s="59" t="s">
        <v>45</v>
      </c>
      <c r="L16" s="60" t="s">
        <v>46</v>
      </c>
      <c r="M16" s="61"/>
      <c r="N16" s="61"/>
      <c r="O16" s="60"/>
    </row>
    <row r="17" s="1" customFormat="1" ht="18" customHeight="1" spans="1:15">
      <c r="A17" s="35">
        <v>43466</v>
      </c>
      <c r="B17" s="17">
        <f t="shared" si="7"/>
        <v>218103.45</v>
      </c>
      <c r="C17" s="36"/>
      <c r="D17" s="37" t="s">
        <v>44</v>
      </c>
      <c r="E17" s="38">
        <v>0.16</v>
      </c>
      <c r="F17" s="17">
        <f t="shared" si="8"/>
        <v>34896.55</v>
      </c>
      <c r="G17" s="26">
        <f>53000+100000*2</f>
        <v>253000</v>
      </c>
      <c r="H17" s="22">
        <v>43499</v>
      </c>
      <c r="I17" s="23">
        <v>11158</v>
      </c>
      <c r="J17" s="56" t="s">
        <v>22</v>
      </c>
      <c r="K17" s="59" t="s">
        <v>47</v>
      </c>
      <c r="L17" s="60" t="s">
        <v>48</v>
      </c>
      <c r="M17" s="61"/>
      <c r="N17" s="61"/>
      <c r="O17" s="60"/>
    </row>
    <row r="18" s="1" customFormat="1" ht="18" customHeight="1" spans="1:15">
      <c r="A18" s="35">
        <v>43466</v>
      </c>
      <c r="B18" s="17">
        <f t="shared" si="7"/>
        <v>264708</v>
      </c>
      <c r="C18" s="36"/>
      <c r="D18" s="37" t="s">
        <v>37</v>
      </c>
      <c r="E18" s="38"/>
      <c r="F18" s="17">
        <f t="shared" si="8"/>
        <v>0</v>
      </c>
      <c r="G18" s="26">
        <v>264708</v>
      </c>
      <c r="H18" s="22">
        <v>43499</v>
      </c>
      <c r="I18" s="58">
        <v>264708</v>
      </c>
      <c r="J18" s="56" t="s">
        <v>38</v>
      </c>
      <c r="K18" s="67" t="s">
        <v>49</v>
      </c>
      <c r="L18" s="60" t="s">
        <v>42</v>
      </c>
      <c r="M18" s="61"/>
      <c r="N18" s="61"/>
      <c r="O18" s="60"/>
    </row>
    <row r="19" s="2" customFormat="1" ht="18" customHeight="1" spans="1:15">
      <c r="A19" s="39">
        <v>43709</v>
      </c>
      <c r="B19" s="23">
        <f t="shared" si="7"/>
        <v>212368.93</v>
      </c>
      <c r="C19" s="40"/>
      <c r="D19" s="41" t="s">
        <v>50</v>
      </c>
      <c r="E19" s="42">
        <v>0.03</v>
      </c>
      <c r="F19" s="23">
        <f t="shared" si="8"/>
        <v>6371.07</v>
      </c>
      <c r="G19" s="43">
        <v>218740</v>
      </c>
      <c r="H19" s="22">
        <v>43731</v>
      </c>
      <c r="I19" s="23">
        <v>218740</v>
      </c>
      <c r="J19" s="56" t="s">
        <v>22</v>
      </c>
      <c r="K19" s="68" t="s">
        <v>51</v>
      </c>
      <c r="L19" s="33" t="s">
        <v>52</v>
      </c>
      <c r="M19" s="69"/>
      <c r="N19" s="69"/>
      <c r="O19" s="70"/>
    </row>
    <row r="20" s="2" customFormat="1" ht="18" customHeight="1" spans="1:15">
      <c r="A20" s="39">
        <v>43709</v>
      </c>
      <c r="B20" s="23">
        <f t="shared" si="7"/>
        <v>170873.79</v>
      </c>
      <c r="C20" s="40"/>
      <c r="D20" s="41" t="s">
        <v>50</v>
      </c>
      <c r="E20" s="42">
        <v>0.03</v>
      </c>
      <c r="F20" s="23">
        <f t="shared" si="8"/>
        <v>5126.21</v>
      </c>
      <c r="G20" s="43">
        <v>176000</v>
      </c>
      <c r="H20" s="22">
        <v>43731</v>
      </c>
      <c r="I20" s="23">
        <v>176000</v>
      </c>
      <c r="J20" s="56" t="s">
        <v>22</v>
      </c>
      <c r="K20" s="68" t="s">
        <v>53</v>
      </c>
      <c r="L20" s="33" t="s">
        <v>54</v>
      </c>
      <c r="M20" s="69"/>
      <c r="N20" s="69"/>
      <c r="O20" s="70"/>
    </row>
    <row r="21" s="2" customFormat="1" ht="18" customHeight="1" spans="1:15">
      <c r="A21" s="39">
        <v>43709</v>
      </c>
      <c r="B21" s="23">
        <f t="shared" si="7"/>
        <v>46104.08</v>
      </c>
      <c r="C21" s="40"/>
      <c r="D21" s="41" t="s">
        <v>50</v>
      </c>
      <c r="E21" s="42">
        <v>0.03</v>
      </c>
      <c r="F21" s="23">
        <f t="shared" si="8"/>
        <v>1383.12</v>
      </c>
      <c r="G21" s="43">
        <v>47487.2</v>
      </c>
      <c r="H21" s="22">
        <v>43731</v>
      </c>
      <c r="I21" s="23">
        <v>47487.2</v>
      </c>
      <c r="J21" s="56" t="s">
        <v>22</v>
      </c>
      <c r="K21" s="68" t="s">
        <v>55</v>
      </c>
      <c r="L21" s="33" t="s">
        <v>56</v>
      </c>
      <c r="M21" s="69"/>
      <c r="N21" s="69"/>
      <c r="O21" s="70"/>
    </row>
    <row r="22" s="2" customFormat="1" ht="18" customHeight="1" spans="1:15">
      <c r="A22" s="39">
        <v>43739</v>
      </c>
      <c r="B22" s="23">
        <f t="shared" si="7"/>
        <v>130088.5</v>
      </c>
      <c r="C22" s="40"/>
      <c r="D22" s="41" t="s">
        <v>44</v>
      </c>
      <c r="E22" s="42">
        <v>0.13</v>
      </c>
      <c r="F22" s="23">
        <f t="shared" si="8"/>
        <v>16911.5</v>
      </c>
      <c r="G22" s="43">
        <v>147000</v>
      </c>
      <c r="H22" s="22">
        <v>43753</v>
      </c>
      <c r="I22" s="23">
        <v>95601.8</v>
      </c>
      <c r="J22" s="56" t="s">
        <v>22</v>
      </c>
      <c r="K22" s="68" t="s">
        <v>57</v>
      </c>
      <c r="L22" s="33" t="s">
        <v>58</v>
      </c>
      <c r="M22" s="69"/>
      <c r="N22" s="69"/>
      <c r="O22" s="70"/>
    </row>
    <row r="23" s="2" customFormat="1" ht="18" customHeight="1" spans="1:15">
      <c r="A23" s="39"/>
      <c r="B23" s="23">
        <f t="shared" si="7"/>
        <v>0</v>
      </c>
      <c r="C23" s="40"/>
      <c r="D23" s="41"/>
      <c r="E23" s="42"/>
      <c r="F23" s="23">
        <f t="shared" si="8"/>
        <v>0</v>
      </c>
      <c r="G23" s="43"/>
      <c r="H23" s="22">
        <v>43756</v>
      </c>
      <c r="I23" s="23">
        <f>G22-I22</f>
        <v>51398.2</v>
      </c>
      <c r="J23" s="56" t="s">
        <v>22</v>
      </c>
      <c r="K23" s="68" t="s">
        <v>57</v>
      </c>
      <c r="L23" s="33" t="s">
        <v>58</v>
      </c>
      <c r="M23" s="69"/>
      <c r="N23" s="69"/>
      <c r="O23" s="70"/>
    </row>
    <row r="24" s="2" customFormat="1" ht="18" customHeight="1" spans="1:15">
      <c r="A24" s="39"/>
      <c r="B24" s="23">
        <f t="shared" si="7"/>
        <v>0</v>
      </c>
      <c r="C24" s="40"/>
      <c r="D24" s="41"/>
      <c r="E24" s="42"/>
      <c r="F24" s="23">
        <f t="shared" si="8"/>
        <v>0</v>
      </c>
      <c r="G24" s="43"/>
      <c r="H24" s="22">
        <v>43755</v>
      </c>
      <c r="I24" s="23">
        <v>-51398.2</v>
      </c>
      <c r="J24" s="56" t="s">
        <v>38</v>
      </c>
      <c r="K24" s="67" t="s">
        <v>49</v>
      </c>
      <c r="L24" s="33"/>
      <c r="M24" s="69"/>
      <c r="N24" s="69"/>
      <c r="O24" s="70"/>
    </row>
    <row r="25" s="2" customFormat="1" ht="18" customHeight="1" spans="1:15">
      <c r="A25" s="39"/>
      <c r="B25" s="23">
        <f t="shared" ref="B25:B31" si="9">ROUND(G25/(1+E25),2)</f>
        <v>0</v>
      </c>
      <c r="C25" s="40"/>
      <c r="D25" s="41"/>
      <c r="E25" s="42"/>
      <c r="F25" s="23">
        <f t="shared" ref="F25:F32" si="10">ROUND(G25/(1+E25)*E25,2)</f>
        <v>0</v>
      </c>
      <c r="G25" s="43"/>
      <c r="H25" s="22">
        <v>43853</v>
      </c>
      <c r="I25" s="23">
        <v>200000</v>
      </c>
      <c r="J25" s="56" t="s">
        <v>22</v>
      </c>
      <c r="K25" s="59" t="s">
        <v>47</v>
      </c>
      <c r="L25" s="33"/>
      <c r="M25" s="69"/>
      <c r="N25" s="69"/>
      <c r="O25" s="70"/>
    </row>
    <row r="26" s="2" customFormat="1" ht="18" customHeight="1" spans="1:15">
      <c r="A26" s="39"/>
      <c r="B26" s="23">
        <f t="shared" si="9"/>
        <v>0</v>
      </c>
      <c r="C26" s="40"/>
      <c r="D26" s="41"/>
      <c r="E26" s="42"/>
      <c r="F26" s="23">
        <f t="shared" si="10"/>
        <v>0</v>
      </c>
      <c r="G26" s="43"/>
      <c r="H26" s="22"/>
      <c r="I26" s="23"/>
      <c r="J26" s="56"/>
      <c r="K26" s="67"/>
      <c r="L26" s="33"/>
      <c r="M26" s="69"/>
      <c r="N26" s="69"/>
      <c r="O26" s="70"/>
    </row>
    <row r="27" s="2" customFormat="1" ht="18" customHeight="1" spans="1:15">
      <c r="A27" s="39"/>
      <c r="B27" s="23">
        <f t="shared" si="9"/>
        <v>0</v>
      </c>
      <c r="C27" s="40"/>
      <c r="D27" s="41"/>
      <c r="E27" s="42"/>
      <c r="F27" s="23">
        <f t="shared" si="10"/>
        <v>0</v>
      </c>
      <c r="G27" s="43"/>
      <c r="H27" s="22"/>
      <c r="I27" s="23"/>
      <c r="J27" s="56"/>
      <c r="K27" s="67"/>
      <c r="L27" s="33"/>
      <c r="M27" s="69"/>
      <c r="N27" s="69"/>
      <c r="O27" s="70"/>
    </row>
    <row r="28" s="2" customFormat="1" ht="18" customHeight="1" spans="1:15">
      <c r="A28" s="39"/>
      <c r="B28" s="23">
        <f t="shared" si="9"/>
        <v>0</v>
      </c>
      <c r="C28" s="40"/>
      <c r="D28" s="41"/>
      <c r="E28" s="42"/>
      <c r="F28" s="23">
        <f t="shared" si="10"/>
        <v>0</v>
      </c>
      <c r="G28" s="43"/>
      <c r="H28" s="22"/>
      <c r="I28" s="23"/>
      <c r="J28" s="56"/>
      <c r="K28" s="67"/>
      <c r="L28" s="33"/>
      <c r="M28" s="69"/>
      <c r="N28" s="69"/>
      <c r="O28" s="70"/>
    </row>
    <row r="29" s="2" customFormat="1" ht="18" customHeight="1" spans="1:15">
      <c r="A29" s="39"/>
      <c r="B29" s="23">
        <f t="shared" si="9"/>
        <v>0</v>
      </c>
      <c r="C29" s="40"/>
      <c r="D29" s="41"/>
      <c r="E29" s="42"/>
      <c r="F29" s="23">
        <f t="shared" si="10"/>
        <v>0</v>
      </c>
      <c r="G29" s="43"/>
      <c r="H29" s="22"/>
      <c r="I29" s="23"/>
      <c r="J29" s="56"/>
      <c r="K29" s="67"/>
      <c r="L29" s="33"/>
      <c r="M29" s="69"/>
      <c r="N29" s="69"/>
      <c r="O29" s="70"/>
    </row>
    <row r="30" s="2" customFormat="1" ht="18" customHeight="1" spans="1:15">
      <c r="A30" s="39"/>
      <c r="B30" s="23">
        <f t="shared" si="9"/>
        <v>0</v>
      </c>
      <c r="C30" s="40"/>
      <c r="D30" s="41"/>
      <c r="E30" s="42"/>
      <c r="F30" s="23">
        <f t="shared" si="10"/>
        <v>0</v>
      </c>
      <c r="G30" s="43"/>
      <c r="H30" s="22"/>
      <c r="I30" s="23">
        <v>100</v>
      </c>
      <c r="J30" s="56" t="s">
        <v>76</v>
      </c>
      <c r="K30" s="68" t="s">
        <v>79</v>
      </c>
      <c r="L30" s="33"/>
      <c r="M30" s="69"/>
      <c r="N30" s="69"/>
      <c r="O30" s="70"/>
    </row>
    <row r="31" s="2" customFormat="1" ht="18" customHeight="1" spans="1:15">
      <c r="A31" s="39"/>
      <c r="B31" s="23">
        <f t="shared" si="9"/>
        <v>0</v>
      </c>
      <c r="C31" s="40"/>
      <c r="D31" s="41"/>
      <c r="E31" s="42"/>
      <c r="F31" s="23">
        <f t="shared" si="10"/>
        <v>0</v>
      </c>
      <c r="G31" s="43"/>
      <c r="H31" s="22"/>
      <c r="I31" s="23">
        <v>99900</v>
      </c>
      <c r="J31" s="56" t="s">
        <v>84</v>
      </c>
      <c r="K31" s="68"/>
      <c r="L31" s="33"/>
      <c r="M31" s="69"/>
      <c r="N31" s="69"/>
      <c r="O31" s="70"/>
    </row>
    <row r="32" s="1" customFormat="1" ht="18" customHeight="1" spans="1:15">
      <c r="A32" s="35"/>
      <c r="B32" s="23">
        <f t="shared" ref="B30:B37" si="11">ROUND(G32/(1+E32),2)</f>
        <v>0</v>
      </c>
      <c r="C32" s="36"/>
      <c r="D32" s="37"/>
      <c r="E32" s="38"/>
      <c r="F32" s="23">
        <f t="shared" si="10"/>
        <v>0</v>
      </c>
      <c r="G32" s="26"/>
      <c r="H32" s="22"/>
      <c r="I32" s="23">
        <v>-7203</v>
      </c>
      <c r="J32" s="56" t="s">
        <v>80</v>
      </c>
      <c r="K32" s="59" t="s">
        <v>86</v>
      </c>
      <c r="L32" s="60"/>
      <c r="M32" s="61"/>
      <c r="N32" s="61"/>
      <c r="O32" s="60"/>
    </row>
    <row r="33" s="1" customFormat="1" ht="18" customHeight="1" spans="1:15">
      <c r="A33" s="35"/>
      <c r="B33" s="23">
        <f t="shared" si="11"/>
        <v>0</v>
      </c>
      <c r="C33" s="36"/>
      <c r="D33" s="37"/>
      <c r="E33" s="38"/>
      <c r="F33" s="23">
        <f t="shared" ref="F30:F37" si="12">ROUND(G33/(1+E33)*E33,2)</f>
        <v>0</v>
      </c>
      <c r="G33" s="26"/>
      <c r="H33" s="22"/>
      <c r="I33" s="23">
        <v>7203</v>
      </c>
      <c r="J33" s="56" t="s">
        <v>84</v>
      </c>
      <c r="K33" s="59" t="s">
        <v>86</v>
      </c>
      <c r="L33" s="60"/>
      <c r="M33" s="61"/>
      <c r="N33" s="61"/>
      <c r="O33" s="60"/>
    </row>
    <row r="34" s="1" customFormat="1" ht="18" customHeight="1" spans="1:15">
      <c r="A34" s="35"/>
      <c r="B34" s="17">
        <f t="shared" si="11"/>
        <v>0</v>
      </c>
      <c r="C34" s="36"/>
      <c r="D34" s="37"/>
      <c r="E34" s="38"/>
      <c r="F34" s="17">
        <f t="shared" si="12"/>
        <v>0</v>
      </c>
      <c r="G34" s="26"/>
      <c r="H34" s="22"/>
      <c r="I34" s="23">
        <v>8781</v>
      </c>
      <c r="J34" s="56" t="s">
        <v>76</v>
      </c>
      <c r="K34" s="59" t="s">
        <v>87</v>
      </c>
      <c r="L34" s="60"/>
      <c r="M34" s="61"/>
      <c r="N34" s="61"/>
      <c r="O34" s="60"/>
    </row>
    <row r="35" s="1" customFormat="1" ht="18" customHeight="1" spans="1:15">
      <c r="A35" s="35"/>
      <c r="B35" s="17">
        <f t="shared" si="11"/>
        <v>0</v>
      </c>
      <c r="C35" s="36"/>
      <c r="D35" s="37"/>
      <c r="E35" s="38"/>
      <c r="F35" s="17">
        <f t="shared" si="12"/>
        <v>0</v>
      </c>
      <c r="G35" s="26"/>
      <c r="H35" s="22"/>
      <c r="I35" s="23">
        <v>28090</v>
      </c>
      <c r="J35" s="56" t="s">
        <v>76</v>
      </c>
      <c r="K35" s="59" t="s">
        <v>88</v>
      </c>
      <c r="L35" s="60"/>
      <c r="M35" s="61"/>
      <c r="N35" s="61"/>
      <c r="O35" s="60"/>
    </row>
    <row r="36" s="1" customFormat="1" ht="18" customHeight="1" spans="1:15">
      <c r="A36" s="35"/>
      <c r="B36" s="17">
        <f t="shared" si="11"/>
        <v>0</v>
      </c>
      <c r="C36" s="36"/>
      <c r="D36" s="37"/>
      <c r="E36" s="38"/>
      <c r="F36" s="17">
        <f t="shared" si="12"/>
        <v>0</v>
      </c>
      <c r="G36" s="26"/>
      <c r="H36" s="22"/>
      <c r="I36" s="23">
        <v>500</v>
      </c>
      <c r="J36" s="56" t="s">
        <v>76</v>
      </c>
      <c r="K36" s="59" t="s">
        <v>89</v>
      </c>
      <c r="L36" s="60"/>
      <c r="M36" s="61"/>
      <c r="N36" s="61"/>
      <c r="O36" s="60"/>
    </row>
    <row r="37" s="1" customFormat="1" ht="18" customHeight="1" spans="1:15">
      <c r="A37" s="35"/>
      <c r="B37" s="17">
        <f t="shared" si="11"/>
        <v>23000</v>
      </c>
      <c r="C37" s="36"/>
      <c r="D37" s="37"/>
      <c r="E37" s="38"/>
      <c r="F37" s="17">
        <f t="shared" si="12"/>
        <v>0</v>
      </c>
      <c r="G37" s="26">
        <f>23000</f>
        <v>23000</v>
      </c>
      <c r="H37" s="22"/>
      <c r="I37" s="23">
        <f>G37</f>
        <v>23000</v>
      </c>
      <c r="J37" s="56" t="s">
        <v>76</v>
      </c>
      <c r="K37" s="59" t="s">
        <v>90</v>
      </c>
      <c r="L37" s="60"/>
      <c r="M37" s="61"/>
      <c r="N37" s="61"/>
      <c r="O37" s="60"/>
    </row>
    <row r="38" s="1" customFormat="1" ht="18" customHeight="1" spans="1:15">
      <c r="A38" s="35"/>
      <c r="B38" s="17">
        <f t="shared" ref="B38:B41" si="13">ROUND(G38/(1+E38),2)</f>
        <v>0</v>
      </c>
      <c r="C38" s="36"/>
      <c r="D38" s="37"/>
      <c r="E38" s="38"/>
      <c r="F38" s="17">
        <f t="shared" ref="F38:F41" si="14">ROUND(G38/(1+E38)*E38,2)</f>
        <v>0</v>
      </c>
      <c r="G38" s="26"/>
      <c r="H38" s="22"/>
      <c r="I38" s="23">
        <v>13031</v>
      </c>
      <c r="J38" s="56" t="s">
        <v>76</v>
      </c>
      <c r="K38" s="59" t="s">
        <v>87</v>
      </c>
      <c r="L38" s="60"/>
      <c r="M38" s="61"/>
      <c r="N38" s="61"/>
      <c r="O38" s="60"/>
    </row>
    <row r="39" s="1" customFormat="1" ht="18" customHeight="1" spans="1:15">
      <c r="A39" s="35"/>
      <c r="B39" s="17">
        <f t="shared" si="13"/>
        <v>0</v>
      </c>
      <c r="C39" s="36"/>
      <c r="D39" s="37"/>
      <c r="E39" s="38"/>
      <c r="F39" s="17">
        <f t="shared" si="14"/>
        <v>0</v>
      </c>
      <c r="G39" s="26"/>
      <c r="H39" s="22"/>
      <c r="I39" s="23">
        <v>31889</v>
      </c>
      <c r="J39" s="56" t="s">
        <v>76</v>
      </c>
      <c r="K39" s="59" t="s">
        <v>88</v>
      </c>
      <c r="L39" s="60"/>
      <c r="M39" s="61"/>
      <c r="N39" s="61"/>
      <c r="O39" s="60"/>
    </row>
    <row r="40" s="1" customFormat="1" ht="18" customHeight="1" spans="1:15">
      <c r="A40" s="35"/>
      <c r="B40" s="17">
        <f t="shared" si="13"/>
        <v>0</v>
      </c>
      <c r="C40" s="36"/>
      <c r="D40" s="37"/>
      <c r="E40" s="38"/>
      <c r="F40" s="17">
        <f t="shared" si="14"/>
        <v>0</v>
      </c>
      <c r="G40" s="26"/>
      <c r="H40" s="22"/>
      <c r="I40" s="23">
        <v>500</v>
      </c>
      <c r="J40" s="56" t="s">
        <v>76</v>
      </c>
      <c r="K40" s="59" t="s">
        <v>89</v>
      </c>
      <c r="L40" s="60"/>
      <c r="M40" s="61"/>
      <c r="N40" s="61"/>
      <c r="O40" s="60"/>
    </row>
    <row r="41" s="1" customFormat="1" ht="18" customHeight="1" spans="1:15">
      <c r="A41" s="35"/>
      <c r="B41" s="17">
        <f t="shared" si="13"/>
        <v>14000</v>
      </c>
      <c r="C41" s="36"/>
      <c r="D41" s="37"/>
      <c r="E41" s="38"/>
      <c r="F41" s="17">
        <f t="shared" si="14"/>
        <v>0</v>
      </c>
      <c r="G41" s="26">
        <f>14000</f>
        <v>14000</v>
      </c>
      <c r="H41" s="22"/>
      <c r="I41" s="23">
        <f>G41</f>
        <v>14000</v>
      </c>
      <c r="J41" s="56" t="s">
        <v>76</v>
      </c>
      <c r="K41" s="59" t="s">
        <v>90</v>
      </c>
      <c r="L41" s="60"/>
      <c r="M41" s="61"/>
      <c r="N41" s="61"/>
      <c r="O41" s="60"/>
    </row>
    <row r="42" ht="18" customHeight="1" spans="1:15">
      <c r="A42" s="30" t="s">
        <v>23</v>
      </c>
      <c r="B42" s="29">
        <f>SUM(B14:B41)</f>
        <v>1442693.76</v>
      </c>
      <c r="C42" s="30"/>
      <c r="D42" s="44"/>
      <c r="E42" s="44"/>
      <c r="F42" s="32">
        <f>SUM(F14:F41)</f>
        <v>65955.44</v>
      </c>
      <c r="G42" s="45">
        <f>SUM(G14:G41)</f>
        <v>1508649.2</v>
      </c>
      <c r="H42" s="46"/>
      <c r="I42" s="31">
        <f>SUM(I14:I41)</f>
        <v>1598200</v>
      </c>
      <c r="J42" s="71"/>
      <c r="K42" s="44"/>
      <c r="L42" s="33"/>
      <c r="M42" s="56"/>
      <c r="N42" s="56"/>
      <c r="O42" s="33"/>
    </row>
    <row r="43" ht="18" customHeight="1" spans="1:14">
      <c r="A43" s="47" t="s">
        <v>91</v>
      </c>
      <c r="B43" s="48">
        <f>B11*0.984</f>
        <v>1341413.91292744</v>
      </c>
      <c r="C43" s="47"/>
      <c r="D43" s="49"/>
      <c r="E43" s="49"/>
      <c r="F43" s="48"/>
      <c r="G43" s="48">
        <f>G11-G42</f>
        <v>-14589.2</v>
      </c>
      <c r="H43" s="21" t="s">
        <v>92</v>
      </c>
      <c r="I43" s="31">
        <f>I11-I42</f>
        <v>0</v>
      </c>
      <c r="J43" s="7"/>
      <c r="K43" s="72"/>
      <c r="M43" s="73"/>
      <c r="N43" s="73"/>
    </row>
    <row r="44" ht="18" customHeight="1" spans="1:14">
      <c r="A44" s="47" t="s">
        <v>93</v>
      </c>
      <c r="B44" s="48">
        <f>B43-B42</f>
        <v>-101279.847072561</v>
      </c>
      <c r="C44" s="47"/>
      <c r="D44" s="49"/>
      <c r="E44" s="49"/>
      <c r="F44" s="48"/>
      <c r="G44" s="48"/>
      <c r="H44" s="50"/>
      <c r="I44" s="48"/>
      <c r="J44" s="7"/>
      <c r="K44" s="72"/>
      <c r="M44" s="73"/>
      <c r="N44" s="73"/>
    </row>
    <row r="45" ht="18" customHeight="1" spans="1:3">
      <c r="A45" s="3" t="s">
        <v>94</v>
      </c>
      <c r="C45" s="3"/>
    </row>
    <row r="46" ht="18" customHeight="1" spans="1:9">
      <c r="A46" s="21" t="s">
        <v>95</v>
      </c>
      <c r="B46" s="20" t="s">
        <v>96</v>
      </c>
      <c r="C46" s="33"/>
      <c r="D46" s="21" t="s">
        <v>95</v>
      </c>
      <c r="E46" s="19" t="s">
        <v>16</v>
      </c>
      <c r="F46" s="20" t="s">
        <v>96</v>
      </c>
      <c r="G46" s="20" t="s">
        <v>97</v>
      </c>
      <c r="H46" s="20" t="s">
        <v>98</v>
      </c>
      <c r="I46" s="48"/>
    </row>
    <row r="47" ht="18" customHeight="1" spans="1:9">
      <c r="A47" s="33" t="s">
        <v>101</v>
      </c>
      <c r="B47" s="17">
        <f>(B43-B42)*0.25</f>
        <v>-25319.9617681402</v>
      </c>
      <c r="C47" s="33"/>
      <c r="D47" s="28" t="s">
        <v>102</v>
      </c>
      <c r="E47" s="21" t="s">
        <v>103</v>
      </c>
      <c r="F47" s="32">
        <f>F11-F42</f>
        <v>37614.5283069224</v>
      </c>
      <c r="G47" s="32">
        <f>F7-F15-F16-F17</f>
        <v>28989.9145454545</v>
      </c>
      <c r="H47" s="32">
        <f>F8-F19-F21-F20</f>
        <v>25536.1137614679</v>
      </c>
      <c r="I47" s="48"/>
    </row>
    <row r="48" ht="18" customHeight="1" spans="1:8">
      <c r="A48" s="33" t="s">
        <v>104</v>
      </c>
      <c r="B48" s="51" t="s">
        <v>105</v>
      </c>
      <c r="C48" s="33"/>
      <c r="D48" s="52" t="s">
        <v>106</v>
      </c>
      <c r="E48" s="14">
        <v>0.05</v>
      </c>
      <c r="F48" s="23">
        <f>F47*E48</f>
        <v>1880.72641534612</v>
      </c>
      <c r="G48" s="23">
        <f>G47*E48</f>
        <v>1449.49572727273</v>
      </c>
      <c r="H48" s="23">
        <f>H47*E48</f>
        <v>1276.8056880734</v>
      </c>
    </row>
    <row r="49" ht="18" customHeight="1" spans="1:8">
      <c r="A49" s="33" t="s">
        <v>107</v>
      </c>
      <c r="B49" s="51" t="s">
        <v>105</v>
      </c>
      <c r="C49" s="33"/>
      <c r="D49" s="52" t="s">
        <v>108</v>
      </c>
      <c r="E49" s="14">
        <v>0.03</v>
      </c>
      <c r="F49" s="23">
        <f>F47*E49</f>
        <v>1128.43584920767</v>
      </c>
      <c r="G49" s="23">
        <f>G47*E49</f>
        <v>869.697436363635</v>
      </c>
      <c r="H49" s="23">
        <f>H47*E49</f>
        <v>766.083412844037</v>
      </c>
    </row>
    <row r="50" ht="18" customHeight="1" spans="1:8">
      <c r="A50" s="33"/>
      <c r="B50" s="23"/>
      <c r="C50" s="33"/>
      <c r="D50" s="52" t="s">
        <v>109</v>
      </c>
      <c r="E50" s="14">
        <v>0.02</v>
      </c>
      <c r="F50" s="23">
        <f>F47*E50</f>
        <v>752.290566138448</v>
      </c>
      <c r="G50" s="23">
        <f>G47*E50</f>
        <v>579.79829090909</v>
      </c>
      <c r="H50" s="23">
        <f>H47*E50</f>
        <v>510.722275229358</v>
      </c>
    </row>
    <row r="51" ht="18" customHeight="1" spans="1:9">
      <c r="A51" s="28" t="s">
        <v>110</v>
      </c>
      <c r="B51" s="29">
        <f t="shared" ref="B51:H51" si="15">SUM(B47:B50)</f>
        <v>-25319.9617681402</v>
      </c>
      <c r="C51" s="33"/>
      <c r="D51" s="34" t="s">
        <v>110</v>
      </c>
      <c r="E51" s="28"/>
      <c r="F51" s="32">
        <f t="shared" si="15"/>
        <v>41375.9811376146</v>
      </c>
      <c r="G51" s="32">
        <f t="shared" si="15"/>
        <v>31888.906</v>
      </c>
      <c r="H51" s="32">
        <f t="shared" si="15"/>
        <v>28089.7251376147</v>
      </c>
      <c r="I51" s="74"/>
    </row>
    <row r="52" ht="18" customHeight="1" spans="3:8">
      <c r="C52" s="3"/>
      <c r="D52" s="19" t="s">
        <v>23</v>
      </c>
      <c r="E52" s="30"/>
      <c r="F52" s="31">
        <f t="shared" ref="F52:H52" si="16">F51</f>
        <v>41375.9811376146</v>
      </c>
      <c r="G52" s="31">
        <f t="shared" si="16"/>
        <v>31888.906</v>
      </c>
      <c r="H52" s="31">
        <f t="shared" si="16"/>
        <v>28089.7251376147</v>
      </c>
    </row>
    <row r="53" ht="18" customHeight="1" spans="3:8">
      <c r="C53" s="3"/>
      <c r="D53" s="30" t="s">
        <v>101</v>
      </c>
      <c r="E53" s="44">
        <v>0.016</v>
      </c>
      <c r="F53" s="31">
        <f>B11*E53</f>
        <v>21811.6083402836</v>
      </c>
      <c r="G53" s="31">
        <f>B7*E53</f>
        <v>13030.6909090909</v>
      </c>
      <c r="H53" s="31">
        <f>B8*E53</f>
        <v>8780.91743119266</v>
      </c>
    </row>
    <row r="54" ht="18" customHeight="1" spans="3:8">
      <c r="C54" s="3"/>
      <c r="H54" s="5">
        <f>B44*0.25</f>
        <v>-25319.9617681402</v>
      </c>
    </row>
    <row r="55" ht="18" customHeight="1" spans="3:3">
      <c r="C55" s="3"/>
    </row>
    <row r="56" ht="18" customHeight="1" spans="3:3">
      <c r="C56" s="3"/>
    </row>
    <row r="57" spans="3:3">
      <c r="C57" s="3"/>
    </row>
    <row r="58" spans="3:3">
      <c r="C58" s="3"/>
    </row>
    <row r="59" spans="3:3">
      <c r="C59" s="3"/>
    </row>
    <row r="60" spans="3:3">
      <c r="C60" s="3"/>
    </row>
    <row r="61" spans="3:3">
      <c r="C61" s="3"/>
    </row>
    <row r="62" spans="3:3">
      <c r="C62" s="3"/>
    </row>
    <row r="63" spans="3:3">
      <c r="C63" s="3"/>
    </row>
    <row r="64" spans="3:3">
      <c r="C64" s="3"/>
    </row>
    <row r="65" spans="3:3">
      <c r="C65" s="3"/>
    </row>
    <row r="66" spans="3:3">
      <c r="C66" s="3"/>
    </row>
    <row r="67" spans="3:3">
      <c r="C67" s="3"/>
    </row>
    <row r="68" spans="3:3">
      <c r="C68" s="3"/>
    </row>
    <row r="69" spans="3:3">
      <c r="C69" s="3"/>
    </row>
    <row r="70" spans="3:3">
      <c r="C70" s="3"/>
    </row>
    <row r="71" spans="3:3">
      <c r="C71" s="3"/>
    </row>
    <row r="72" spans="3:3">
      <c r="C72" s="3"/>
    </row>
  </sheetData>
  <protectedRanges>
    <protectedRange password="CF54" sqref="K18 K24" name="区域1_29"/>
    <protectedRange password="CF54" sqref="I18" name="区域1"/>
    <protectedRange password="CF54" sqref="I14" name="区域1_1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2021-12-10T05:44:29Z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191D76FED2994F86BB373CB6A7A0F3B3</vt:lpwstr>
  </property>
</Properties>
</file>