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 activeTab="6"/>
  </bookViews>
  <sheets>
    <sheet name="Sheet1" sheetId="1" r:id="rId1"/>
    <sheet name="Sheet2" sheetId="2" r:id="rId2"/>
    <sheet name="7-22" sheetId="3" r:id="rId3"/>
    <sheet name="5.1" sheetId="5" r:id="rId4"/>
    <sheet name="5.2" sheetId="4" r:id="rId5"/>
    <sheet name="6" sheetId="6" r:id="rId6"/>
    <sheet name="7" sheetId="7" r:id="rId7"/>
  </sheets>
  <definedNames>
    <definedName name="_xlnm._FilterDatabase" localSheetId="0" hidden="1">Sheet1!$A$14:$R$87</definedName>
    <definedName name="_xlnm._FilterDatabase" localSheetId="2" hidden="1">'7-22'!$A$16:$R$93</definedName>
    <definedName name="_xlnm._FilterDatabase" localSheetId="3" hidden="1">'5.1'!$A$16:$R$114</definedName>
    <definedName name="_xlnm._FilterDatabase" localSheetId="4" hidden="1">'5.2'!$A$16:$R$114</definedName>
    <definedName name="_xlnm._FilterDatabase" localSheetId="5" hidden="1">'6'!$A$16:$R$117</definedName>
    <definedName name="_xlnm._FilterDatabase" localSheetId="6" hidden="1">'7'!$A$20:$S$64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cw09</author>
    <author>cw01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E15" authorId="0">
      <text>
        <r>
          <rPr>
            <sz val="9"/>
            <rFont val="宋体"/>
            <charset val="134"/>
          </rPr>
          <t>cw05:
填写专票税率</t>
        </r>
      </text>
    </comment>
    <comment ref="G15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G26" authorId="1">
      <text>
        <r>
          <rPr>
            <sz val="9"/>
            <rFont val="宋体"/>
            <charset val="134"/>
          </rPr>
          <t>cw09:
给算成本 （吴总同意）</t>
        </r>
      </text>
    </comment>
    <comment ref="A75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6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D7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K79" authorId="2">
      <text>
        <r>
          <rPr>
            <sz val="9"/>
            <rFont val="宋体"/>
            <charset val="134"/>
          </rPr>
          <t xml:space="preserve">cw01:
之前的印花税在19.8.2号都已经补缴   税金5880元 可退 19.8.20
</t>
        </r>
      </text>
    </comment>
    <comment ref="D80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  <author>cw09</author>
    <author>cw01</author>
    <author>Administrator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E17" authorId="0">
      <text>
        <r>
          <rPr>
            <sz val="9"/>
            <rFont val="宋体"/>
            <charset val="134"/>
          </rPr>
          <t>cw05:
填写专票税率</t>
        </r>
      </text>
    </comment>
    <comment ref="G17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G28" authorId="1">
      <text>
        <r>
          <rPr>
            <sz val="9"/>
            <rFont val="宋体"/>
            <charset val="134"/>
          </rPr>
          <t>cw09:
给算成本 （吴总同意）
7.22吴总说不算</t>
        </r>
      </text>
    </comment>
    <comment ref="A81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82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D85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K85" authorId="2">
      <text>
        <r>
          <rPr>
            <sz val="9"/>
            <rFont val="宋体"/>
            <charset val="134"/>
          </rPr>
          <t xml:space="preserve">cw01:
之前的印花税在19.8.2号都已经补缴   税金5880元 可退 19.8.20
</t>
        </r>
      </text>
    </comment>
    <comment ref="D86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O86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水利基金未交2020年7月</t>
        </r>
      </text>
    </comment>
  </commentList>
</comments>
</file>

<file path=xl/comments3.xml><?xml version="1.0" encoding="utf-8"?>
<comments xmlns="http://schemas.openxmlformats.org/spreadsheetml/2006/main">
  <authors>
    <author>cw05</author>
    <author>cw01</author>
    <author>Administrator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E17" authorId="0">
      <text>
        <r>
          <rPr>
            <sz val="9"/>
            <rFont val="宋体"/>
            <charset val="134"/>
          </rPr>
          <t>cw05:
填写专票税率</t>
        </r>
      </text>
    </comment>
    <comment ref="G17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02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03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D106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K106" authorId="1">
      <text>
        <r>
          <rPr>
            <sz val="9"/>
            <rFont val="宋体"/>
            <charset val="134"/>
          </rPr>
          <t xml:space="preserve">cw01:
之前的印花税在19.8.2号都已经补缴   税金5880元 可退 19.8.20
</t>
        </r>
      </text>
    </comment>
    <comment ref="D107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O107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水利基金未交2020年7月</t>
        </r>
      </text>
    </comment>
  </commentList>
</comments>
</file>

<file path=xl/comments4.xml><?xml version="1.0" encoding="utf-8"?>
<comments xmlns="http://schemas.openxmlformats.org/spreadsheetml/2006/main">
  <authors>
    <author>cw05</author>
    <author>cw01</author>
    <author>Administrator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E17" authorId="0">
      <text>
        <r>
          <rPr>
            <sz val="9"/>
            <rFont val="宋体"/>
            <charset val="134"/>
          </rPr>
          <t>cw05:
填写专票税率</t>
        </r>
      </text>
    </comment>
    <comment ref="G17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02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03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D106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K106" authorId="1">
      <text>
        <r>
          <rPr>
            <sz val="9"/>
            <rFont val="宋体"/>
            <charset val="134"/>
          </rPr>
          <t xml:space="preserve">cw01:
之前的印花税在19.8.2号都已经补缴   税金5880元 可退 19.8.20
</t>
        </r>
      </text>
    </comment>
    <comment ref="P106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D107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O107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水利基金未交2020年7月</t>
        </r>
      </text>
    </comment>
    <comment ref="P107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5.xml><?xml version="1.0" encoding="utf-8"?>
<comments xmlns="http://schemas.openxmlformats.org/spreadsheetml/2006/main">
  <authors>
    <author>cw05</author>
    <author>cw01</author>
    <author>Administrator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E17" authorId="0">
      <text>
        <r>
          <rPr>
            <sz val="9"/>
            <rFont val="宋体"/>
            <charset val="134"/>
          </rPr>
          <t>cw05:
填写专票税率</t>
        </r>
      </text>
    </comment>
    <comment ref="G17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05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06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D10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K109" authorId="1">
      <text>
        <r>
          <rPr>
            <sz val="9"/>
            <rFont val="宋体"/>
            <charset val="134"/>
          </rPr>
          <t xml:space="preserve">cw01:
之前的印花税在19.8.2号都已经补缴   税金5880元 可退 19.8.20
</t>
        </r>
      </text>
    </comment>
    <comment ref="P10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D110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O110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水利基金未交2020年7月</t>
        </r>
      </text>
    </comment>
    <comment ref="P110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6.xml><?xml version="1.0" encoding="utf-8"?>
<comments xmlns="http://schemas.openxmlformats.org/spreadsheetml/2006/main">
  <authors>
    <author>cw05</author>
    <author>cw015</author>
    <author>cw01</author>
    <author>Administrator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E21" authorId="0">
      <text>
        <r>
          <rPr>
            <sz val="9"/>
            <rFont val="宋体"/>
            <charset val="134"/>
          </rPr>
          <t>cw05:
填写专票税率</t>
        </r>
      </text>
    </comment>
    <comment ref="G21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N121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进项多了 留抵</t>
        </r>
      </text>
    </comment>
    <comment ref="O121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本期销项减上期留抵</t>
        </r>
      </text>
    </comment>
    <comment ref="A122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23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D126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I126" authorId="2">
      <text>
        <r>
          <rPr>
            <sz val="9"/>
            <rFont val="宋体"/>
            <charset val="134"/>
          </rPr>
          <t xml:space="preserve">cw01:
之前的印花税在19.8.2号都已经补缴   税金5880元 可退 19.8.20
</t>
        </r>
      </text>
    </comment>
    <comment ref="D127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K127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19.7.15已扣</t>
        </r>
      </text>
    </comment>
    <comment ref="L127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20.3.26已扣</t>
        </r>
      </text>
    </comment>
    <comment ref="M127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20.9.1已扣</t>
        </r>
      </text>
    </comment>
    <comment ref="N127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20.10.26已扣</t>
        </r>
      </text>
    </comment>
    <comment ref="O127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21.2.5已扣</t>
        </r>
      </text>
    </comment>
    <comment ref="G129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2018.7.19已扣</t>
        </r>
      </text>
    </comment>
    <comment ref="H129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2019.1.18已扣</t>
        </r>
      </text>
    </comment>
    <comment ref="I129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2019.7.15已扣</t>
        </r>
      </text>
    </comment>
    <comment ref="G130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2018.7.19已扣</t>
        </r>
      </text>
    </comment>
    <comment ref="H131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19.1.18已扣</t>
        </r>
      </text>
    </comment>
    <comment ref="I131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2019.7.15已扣</t>
        </r>
      </text>
    </comment>
    <comment ref="K131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19.12.20已扣</t>
        </r>
      </text>
    </comment>
    <comment ref="L131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20.3.26已扣</t>
        </r>
      </text>
    </comment>
    <comment ref="M131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20.9.1已扣</t>
        </r>
      </text>
    </comment>
    <comment ref="N131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20.10.26已扣</t>
        </r>
      </text>
    </comment>
    <comment ref="O131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21.2.5已扣</t>
        </r>
      </text>
    </comment>
  </commentList>
</comments>
</file>

<file path=xl/sharedStrings.xml><?xml version="1.0" encoding="utf-8"?>
<sst xmlns="http://schemas.openxmlformats.org/spreadsheetml/2006/main" count="1975" uniqueCount="167">
  <si>
    <t>揭西县县道X094五黄线路段改造工程施工[JG2017-10455]项目</t>
  </si>
  <si>
    <t>中标日期</t>
  </si>
  <si>
    <t>中标价</t>
  </si>
  <si>
    <t>负责人</t>
  </si>
  <si>
    <t>张瑞钦</t>
  </si>
  <si>
    <t>建设单位</t>
  </si>
  <si>
    <t>广东省揭西县地方公路管理站</t>
  </si>
  <si>
    <t>决算日期</t>
  </si>
  <si>
    <t>决算价</t>
  </si>
  <si>
    <t>企税0.6%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</si>
  <si>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</si>
  <si>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</si>
  <si>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</si>
  <si>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</si>
  <si>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</si>
  <si>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</si>
  <si>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</si>
  <si>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</si>
  <si>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</si>
  <si>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</si>
  <si>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</si>
  <si>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</si>
  <si>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水泥、混凝土已满2019-1-23</t>
  </si>
  <si>
    <t>中行</t>
  </si>
  <si>
    <t>钢材251吨约100万</t>
  </si>
  <si>
    <t>合计</t>
  </si>
  <si>
    <t>材料发票：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</si>
  <si>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</si>
  <si>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</si>
  <si>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</si>
  <si>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</si>
  <si>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</si>
  <si>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</si>
  <si>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</si>
  <si>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</si>
  <si>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</si>
  <si>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</si>
  <si>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</si>
  <si>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</si>
  <si>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广州市友诚建筑劳务有限公司</t>
  </si>
  <si>
    <t>劳务</t>
  </si>
  <si>
    <t>有</t>
  </si>
  <si>
    <t>梅州亿兴盛贸易有限公司</t>
  </si>
  <si>
    <t>水泥</t>
  </si>
  <si>
    <t>劳务工程款</t>
  </si>
  <si>
    <t>普代</t>
  </si>
  <si>
    <t>罗志军</t>
  </si>
  <si>
    <t>河沙</t>
  </si>
  <si>
    <t>揭阳市高新达混凝土有限公司</t>
  </si>
  <si>
    <t>混凝土</t>
  </si>
  <si>
    <t>徽行</t>
  </si>
  <si>
    <t>杨佰恩</t>
  </si>
  <si>
    <t>承志供应链有限公司</t>
  </si>
  <si>
    <t>螺纹钢</t>
  </si>
  <si>
    <t>普</t>
  </si>
  <si>
    <t>深圳市宝家园建材有限公司</t>
  </si>
  <si>
    <t>石子10100吨石粉1146.28吨</t>
  </si>
  <si>
    <t>假票</t>
  </si>
  <si>
    <t>石子10753.37吨</t>
  </si>
  <si>
    <t>瓜米石4800.52吨石粉9700吨</t>
  </si>
  <si>
    <t>深圳市前海富兰克林实业有限公司</t>
  </si>
  <si>
    <t>挖掘机机械租赁费</t>
  </si>
  <si>
    <t>茂名市明轩化工有限公司</t>
  </si>
  <si>
    <t>沥青504.2吨</t>
  </si>
  <si>
    <t>泉州腾辉化工有限公司</t>
  </si>
  <si>
    <t>沥青819吨</t>
  </si>
  <si>
    <t>广东智谷石油化工有限公司</t>
  </si>
  <si>
    <t>石油沥青622.89吨</t>
  </si>
  <si>
    <t>张佳芬（周转金退回）</t>
  </si>
  <si>
    <t>泉州腾辉化工有限公司（沥青）</t>
  </si>
  <si>
    <t>沥青359吨</t>
  </si>
  <si>
    <t>扣</t>
  </si>
  <si>
    <t>手续费</t>
  </si>
  <si>
    <t>退</t>
  </si>
  <si>
    <t>退第3次企税（3015888.55元假票）</t>
  </si>
  <si>
    <t>4次</t>
  </si>
  <si>
    <t>20.01月水利基金</t>
  </si>
  <si>
    <t>20.01月企税0.6%</t>
  </si>
  <si>
    <t>管理费0.5%（按进度）</t>
  </si>
  <si>
    <t>3次</t>
  </si>
  <si>
    <t>暂扣</t>
  </si>
  <si>
    <t>企税（成本不够）</t>
  </si>
  <si>
    <t>企税（3015888.55元假票）</t>
  </si>
  <si>
    <t>企税0.6%（19.12）</t>
  </si>
  <si>
    <t>19.12月水利基金</t>
  </si>
  <si>
    <t>19.7月印花税及水利基金</t>
  </si>
  <si>
    <t>企税</t>
  </si>
  <si>
    <t xml:space="preserve">企税 </t>
  </si>
  <si>
    <t>水利基金及印花税</t>
  </si>
  <si>
    <t>增值税及附加（19.1月开票扣税）</t>
  </si>
  <si>
    <t>18.7月开票企税1.6%</t>
  </si>
  <si>
    <t>18.7月开票扣增值税及附加、水利基金</t>
  </si>
  <si>
    <t>代办费</t>
  </si>
  <si>
    <t>应提供成本</t>
  </si>
  <si>
    <t>可支付金额</t>
  </si>
  <si>
    <t>尚需提供成本</t>
  </si>
  <si>
    <t xml:space="preserve"> </t>
  </si>
  <si>
    <t>公司代缴税金：</t>
  </si>
  <si>
    <t>税种</t>
  </si>
  <si>
    <t>税额</t>
  </si>
  <si>
    <t>18.7月开票扣税</t>
  </si>
  <si>
    <t>19.1月开票扣税</t>
  </si>
  <si>
    <t>19.7月开票预扣款</t>
  </si>
  <si>
    <t>19.7月开票扣税</t>
  </si>
  <si>
    <t>19.12-20.1月开票预扣款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</si>
  <si>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</si>
  <si>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</si>
  <si>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</si>
  <si>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</si>
  <si>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</si>
  <si>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</si>
  <si>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</si>
  <si>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</si>
  <si>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</si>
  <si>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208722.72元已打入孙会计卡19.7.8</t>
  </si>
  <si>
    <t>已收132185.29元  孙会计卡 19.12.17</t>
  </si>
  <si>
    <t>208722.72元可退</t>
  </si>
  <si>
    <t>可退19.12月开票预扣款132182.29元 2020.1.9</t>
  </si>
  <si>
    <t>9-18退</t>
  </si>
  <si>
    <t>调整可退金额</t>
  </si>
  <si>
    <t>19.12月开票预扣款</t>
  </si>
  <si>
    <t>沥青603吨</t>
  </si>
  <si>
    <t>4.3次</t>
  </si>
  <si>
    <t>2020-7月开票</t>
  </si>
  <si>
    <t>淑创达（深圳）建材有限公司</t>
  </si>
  <si>
    <t>沙石</t>
  </si>
  <si>
    <t>无</t>
  </si>
  <si>
    <t>创达古（深圳）建材有限公司</t>
  </si>
  <si>
    <t>古辉塔（深圳）实业有限公司</t>
  </si>
  <si>
    <t>安琴莎实业（深圳）有限公司</t>
  </si>
  <si>
    <t>深圳市鸾尕实业有限公司</t>
  </si>
  <si>
    <t>深圳市荣祥新实业有限公司</t>
  </si>
  <si>
    <t>深圳市文灏灏实业有限公司</t>
  </si>
  <si>
    <t>深圳市蓝柒实业有限公司</t>
  </si>
  <si>
    <t>深圳市雅奋琥建材有限公司</t>
  </si>
  <si>
    <t>深圳市利泰新实业有限公司</t>
  </si>
  <si>
    <t>深圳市博远建筑劳务有限公司</t>
  </si>
  <si>
    <t>建筑劳务</t>
  </si>
  <si>
    <t>6次</t>
  </si>
  <si>
    <t>企税（补扣）</t>
  </si>
  <si>
    <t>5次</t>
  </si>
  <si>
    <t>退暂扣企税</t>
  </si>
  <si>
    <t>19.7开票企税0.6%</t>
  </si>
  <si>
    <t>2020.10.12开票扣税款</t>
  </si>
  <si>
    <t>10.12开票企税0.6%</t>
  </si>
  <si>
    <t>10.12开票水利基金</t>
  </si>
  <si>
    <t>发票不能用没入账</t>
  </si>
  <si>
    <t>（沥青）</t>
  </si>
  <si>
    <t>深圳市金雨时工程机械有限公司</t>
  </si>
  <si>
    <t>（机械租赁）</t>
  </si>
  <si>
    <t>合同条款不一致</t>
  </si>
  <si>
    <t>税务检查企税（深圳宝家园3015888.55元假票）</t>
  </si>
  <si>
    <t>企税0.006</t>
  </si>
  <si>
    <t>20.12开票水利基金</t>
  </si>
  <si>
    <t>2019.7.18原路退回</t>
  </si>
  <si>
    <t>交</t>
  </si>
  <si>
    <t>2019.7.8汇入孙圣超卡</t>
  </si>
  <si>
    <t>工程款中待扣</t>
  </si>
  <si>
    <t>18.7.6月开票扣税</t>
  </si>
  <si>
    <t>19.1.8月开票扣税</t>
  </si>
  <si>
    <t>19.7.8月开票扣税</t>
  </si>
  <si>
    <t>19.12.17开票扣税</t>
  </si>
  <si>
    <t>20.1.17开票扣税</t>
  </si>
  <si>
    <t>20.7.22开票扣税</t>
  </si>
  <si>
    <t>20.10.12开票扣税</t>
  </si>
  <si>
    <t>20.12.10开票扣税</t>
  </si>
  <si>
    <t>留抵</t>
  </si>
</sst>
</file>

<file path=xl/styles.xml><?xml version="1.0" encoding="utf-8"?>
<styleSheet xmlns="http://schemas.openxmlformats.org/spreadsheetml/2006/main">
  <numFmts count="10">
    <numFmt numFmtId="176" formatCode="0_ "/>
    <numFmt numFmtId="177" formatCode="#,##0.00_ "/>
    <numFmt numFmtId="41" formatCode="_ * #,##0_ ;_ * \-#,##0_ ;_ * &quot;-&quot;_ ;_ @_ "/>
    <numFmt numFmtId="178" formatCode="yy/m/d;@"/>
    <numFmt numFmtId="44" formatCode="_ &quot;￥&quot;* #,##0.00_ ;_ &quot;￥&quot;* \-#,##0.00_ ;_ &quot;￥&quot;* &quot;-&quot;??_ ;_ @_ "/>
    <numFmt numFmtId="179" formatCode="yyyy&quot;年&quot;m&quot;月&quot;;@"/>
    <numFmt numFmtId="43" formatCode="_ * #,##0.00_ ;_ * \-#,##0.00_ ;_ * &quot;-&quot;??_ ;_ @_ "/>
    <numFmt numFmtId="42" formatCode="_ &quot;￥&quot;* #,##0_ ;_ &quot;￥&quot;* \-#,##0_ ;_ &quot;￥&quot;* &quot;-&quot;_ ;_ @_ "/>
    <numFmt numFmtId="180" formatCode="0.00_ "/>
    <numFmt numFmtId="181" formatCode="#,##0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28" borderId="14" applyNumberFormat="0" applyAlignment="0" applyProtection="0">
      <alignment vertical="center"/>
    </xf>
    <xf numFmtId="0" fontId="30" fillId="28" borderId="10" applyNumberFormat="0" applyAlignment="0" applyProtection="0">
      <alignment vertical="center"/>
    </xf>
    <xf numFmtId="0" fontId="28" fillId="33" borderId="16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0" borderId="0">
      <protection locked="0"/>
    </xf>
  </cellStyleXfs>
  <cellXfs count="169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/>
    <xf numFmtId="178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vertical="center"/>
    </xf>
    <xf numFmtId="178" fontId="5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vertical="center"/>
    </xf>
    <xf numFmtId="180" fontId="5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left" vertical="center"/>
    </xf>
    <xf numFmtId="178" fontId="1" fillId="0" borderId="2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9" fontId="3" fillId="0" borderId="2" xfId="11" applyFont="1" applyBorder="1" applyAlignment="1">
      <alignment horizontal="center" vertical="center"/>
    </xf>
    <xf numFmtId="177" fontId="3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9" fontId="3" fillId="0" borderId="2" xfId="11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vertical="center"/>
    </xf>
    <xf numFmtId="177" fontId="6" fillId="3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4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178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181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vertical="center"/>
    </xf>
    <xf numFmtId="180" fontId="1" fillId="0" borderId="2" xfId="0" applyNumberFormat="1" applyFont="1" applyBorder="1" applyAlignment="1">
      <alignment vertical="center"/>
    </xf>
    <xf numFmtId="180" fontId="1" fillId="0" borderId="2" xfId="0" applyNumberFormat="1" applyFont="1" applyFill="1" applyBorder="1" applyAlignment="1">
      <alignment vertical="center"/>
    </xf>
    <xf numFmtId="180" fontId="1" fillId="2" borderId="2" xfId="0" applyNumberFormat="1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vertical="center"/>
    </xf>
    <xf numFmtId="179" fontId="7" fillId="0" borderId="2" xfId="0" applyNumberFormat="1" applyFont="1" applyBorder="1" applyAlignment="1">
      <alignment horizontal="center" vertical="center"/>
    </xf>
    <xf numFmtId="181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9" fontId="7" fillId="5" borderId="2" xfId="1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vertical="center"/>
    </xf>
    <xf numFmtId="178" fontId="7" fillId="0" borderId="2" xfId="0" applyNumberFormat="1" applyFont="1" applyBorder="1" applyAlignment="1">
      <alignment horizontal="center" vertical="center"/>
    </xf>
    <xf numFmtId="177" fontId="7" fillId="2" borderId="2" xfId="0" applyNumberFormat="1" applyFont="1" applyFill="1" applyBorder="1" applyAlignment="1">
      <alignment vertical="center"/>
    </xf>
    <xf numFmtId="179" fontId="3" fillId="0" borderId="2" xfId="0" applyNumberFormat="1" applyFont="1" applyBorder="1" applyAlignment="1">
      <alignment horizontal="center" vertical="center"/>
    </xf>
    <xf numFmtId="181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9" fontId="3" fillId="5" borderId="2" xfId="11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vertical="center"/>
    </xf>
    <xf numFmtId="9" fontId="3" fillId="5" borderId="2" xfId="11" applyNumberFormat="1" applyFont="1" applyFill="1" applyBorder="1" applyAlignment="1">
      <alignment horizontal="center" vertical="center"/>
    </xf>
    <xf numFmtId="177" fontId="7" fillId="0" borderId="2" xfId="0" applyNumberFormat="1" applyFont="1" applyBorder="1" applyAlignment="1">
      <alignment vertical="center"/>
    </xf>
    <xf numFmtId="178" fontId="3" fillId="6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8" fontId="3" fillId="0" borderId="4" xfId="0" applyNumberFormat="1" applyFont="1" applyBorder="1" applyAlignment="1">
      <alignment horizontal="left" vertical="center"/>
    </xf>
    <xf numFmtId="178" fontId="3" fillId="0" borderId="5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80" fontId="3" fillId="0" borderId="2" xfId="0" applyNumberFormat="1" applyFont="1" applyBorder="1" applyAlignment="1">
      <alignment vertical="center"/>
    </xf>
    <xf numFmtId="0" fontId="3" fillId="0" borderId="2" xfId="0" applyFont="1" applyFill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left" vertical="top" wrapText="1"/>
    </xf>
    <xf numFmtId="0" fontId="7" fillId="0" borderId="2" xfId="0" applyFont="1" applyBorder="1" applyAlignment="1">
      <alignment vertical="center"/>
    </xf>
    <xf numFmtId="177" fontId="3" fillId="0" borderId="2" xfId="0" applyNumberFormat="1" applyFont="1" applyBorder="1" applyAlignment="1" applyProtection="1">
      <alignment horizontal="center" vertical="center" wrapText="1"/>
    </xf>
    <xf numFmtId="10" fontId="1" fillId="0" borderId="2" xfId="0" applyNumberFormat="1" applyFont="1" applyBorder="1" applyAlignment="1">
      <alignment vertical="center"/>
    </xf>
    <xf numFmtId="10" fontId="3" fillId="0" borderId="2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10" fontId="7" fillId="0" borderId="2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7" fontId="3" fillId="6" borderId="2" xfId="0" applyNumberFormat="1" applyFont="1" applyFill="1" applyBorder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10" fontId="3" fillId="6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vertical="center"/>
    </xf>
    <xf numFmtId="10" fontId="9" fillId="0" borderId="2" xfId="0" applyNumberFormat="1" applyFont="1" applyFill="1" applyBorder="1" applyAlignment="1">
      <alignment vertical="center"/>
    </xf>
    <xf numFmtId="180" fontId="10" fillId="0" borderId="2" xfId="0" applyNumberFormat="1" applyFont="1" applyFill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80" fontId="6" fillId="0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vertical="center"/>
    </xf>
    <xf numFmtId="177" fontId="6" fillId="0" borderId="2" xfId="0" applyNumberFormat="1" applyFont="1" applyFill="1" applyBorder="1" applyAlignment="1">
      <alignment vertical="center"/>
    </xf>
    <xf numFmtId="180" fontId="6" fillId="0" borderId="2" xfId="0" applyNumberFormat="1" applyFont="1" applyFill="1" applyBorder="1" applyAlignment="1">
      <alignment vertical="center"/>
    </xf>
    <xf numFmtId="180" fontId="3" fillId="0" borderId="2" xfId="0" applyNumberFormat="1" applyFont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center" vertical="center"/>
    </xf>
    <xf numFmtId="180" fontId="3" fillId="0" borderId="2" xfId="0" applyNumberFormat="1" applyFont="1" applyFill="1" applyBorder="1" applyAlignment="1">
      <alignment vertical="center"/>
    </xf>
    <xf numFmtId="178" fontId="6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vertical="center"/>
    </xf>
    <xf numFmtId="177" fontId="9" fillId="0" borderId="2" xfId="49" applyNumberFormat="1" applyFont="1" applyFill="1" applyBorder="1" applyAlignment="1" applyProtection="1">
      <alignment vertical="center" wrapText="1"/>
    </xf>
    <xf numFmtId="10" fontId="1" fillId="6" borderId="2" xfId="0" applyNumberFormat="1" applyFont="1" applyFill="1" applyBorder="1" applyAlignment="1">
      <alignment vertical="center"/>
    </xf>
    <xf numFmtId="0" fontId="1" fillId="0" borderId="2" xfId="0" applyFont="1" applyBorder="1" applyAlignment="1" applyProtection="1">
      <alignment horizontal="left" vertical="top" wrapText="1"/>
    </xf>
    <xf numFmtId="0" fontId="1" fillId="0" borderId="2" xfId="0" applyFont="1" applyFill="1" applyBorder="1" applyAlignment="1">
      <alignment horizontal="center" vertical="center"/>
    </xf>
    <xf numFmtId="10" fontId="1" fillId="0" borderId="2" xfId="0" applyNumberFormat="1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vertical="center"/>
    </xf>
    <xf numFmtId="10" fontId="6" fillId="0" borderId="2" xfId="0" applyNumberFormat="1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180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7" fontId="8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7" fontId="3" fillId="3" borderId="2" xfId="0" applyNumberFormat="1" applyFont="1" applyFill="1" applyBorder="1" applyAlignment="1">
      <alignment vertical="center"/>
    </xf>
    <xf numFmtId="178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0" fontId="3" fillId="3" borderId="2" xfId="0" applyNumberFormat="1" applyFont="1" applyFill="1" applyBorder="1" applyAlignment="1">
      <alignment vertical="center"/>
    </xf>
    <xf numFmtId="180" fontId="6" fillId="0" borderId="2" xfId="0" applyNumberFormat="1" applyFont="1" applyBorder="1" applyAlignment="1">
      <alignment horizontal="center" vertical="center"/>
    </xf>
    <xf numFmtId="178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180" fontId="6" fillId="4" borderId="2" xfId="0" applyNumberFormat="1" applyFont="1" applyFill="1" applyBorder="1" applyAlignment="1">
      <alignment vertical="center"/>
    </xf>
    <xf numFmtId="178" fontId="3" fillId="0" borderId="2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vertical="center"/>
    </xf>
    <xf numFmtId="180" fontId="3" fillId="7" borderId="2" xfId="0" applyNumberFormat="1" applyFont="1" applyFill="1" applyBorder="1" applyAlignment="1">
      <alignment vertical="center"/>
    </xf>
    <xf numFmtId="0" fontId="6" fillId="4" borderId="2" xfId="0" applyNumberFormat="1" applyFont="1" applyFill="1" applyBorder="1" applyAlignment="1">
      <alignment vertical="center"/>
    </xf>
    <xf numFmtId="177" fontId="3" fillId="3" borderId="0" xfId="0" applyNumberFormat="1" applyFont="1" applyFill="1" applyBorder="1" applyAlignment="1">
      <alignment vertical="center"/>
    </xf>
    <xf numFmtId="10" fontId="1" fillId="3" borderId="2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80" fontId="6" fillId="6" borderId="2" xfId="0" applyNumberFormat="1" applyFont="1" applyFill="1" applyBorder="1" applyAlignment="1">
      <alignment vertical="center"/>
    </xf>
    <xf numFmtId="180" fontId="6" fillId="3" borderId="2" xfId="0" applyNumberFormat="1" applyFont="1" applyFill="1" applyBorder="1" applyAlignment="1">
      <alignment vertical="center"/>
    </xf>
    <xf numFmtId="180" fontId="3" fillId="6" borderId="2" xfId="0" applyNumberFormat="1" applyFont="1" applyFill="1" applyBorder="1" applyAlignment="1">
      <alignment vertical="center"/>
    </xf>
    <xf numFmtId="180" fontId="3" fillId="3" borderId="2" xfId="0" applyNumberFormat="1" applyFont="1" applyFill="1" applyBorder="1" applyAlignment="1">
      <alignment vertical="center"/>
    </xf>
    <xf numFmtId="177" fontId="6" fillId="6" borderId="2" xfId="0" applyNumberFormat="1" applyFont="1" applyFill="1" applyBorder="1" applyAlignment="1">
      <alignment vertical="center"/>
    </xf>
    <xf numFmtId="10" fontId="3" fillId="7" borderId="0" xfId="0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10" fontId="3" fillId="4" borderId="0" xfId="0" applyNumberFormat="1" applyFont="1" applyFill="1" applyBorder="1" applyAlignment="1">
      <alignment vertical="center"/>
    </xf>
    <xf numFmtId="177" fontId="8" fillId="3" borderId="0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0" fontId="9" fillId="3" borderId="2" xfId="0" applyNumberFormat="1" applyFont="1" applyFill="1" applyBorder="1" applyAlignment="1">
      <alignment vertical="center"/>
    </xf>
    <xf numFmtId="177" fontId="9" fillId="3" borderId="2" xfId="49" applyNumberFormat="1" applyFont="1" applyFill="1" applyBorder="1" applyAlignment="1" applyProtection="1">
      <alignment vertical="center" wrapText="1"/>
    </xf>
    <xf numFmtId="0" fontId="6" fillId="0" borderId="2" xfId="0" applyFont="1" applyBorder="1" applyAlignment="1">
      <alignment vertical="center"/>
    </xf>
    <xf numFmtId="0" fontId="0" fillId="3" borderId="0" xfId="0" applyFill="1"/>
    <xf numFmtId="179" fontId="3" fillId="3" borderId="2" xfId="0" applyNumberFormat="1" applyFont="1" applyFill="1" applyBorder="1" applyAlignment="1">
      <alignment horizontal="center" vertical="center"/>
    </xf>
    <xf numFmtId="181" fontId="3" fillId="3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9" fontId="3" fillId="3" borderId="2" xfId="11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400050</xdr:colOff>
      <xdr:row>62</xdr:row>
      <xdr:rowOff>133350</xdr:rowOff>
    </xdr:from>
    <xdr:to>
      <xdr:col>19</xdr:col>
      <xdr:colOff>208915</xdr:colOff>
      <xdr:row>66</xdr:row>
      <xdr:rowOff>93345</xdr:rowOff>
    </xdr:to>
    <xdr:pic>
      <xdr:nvPicPr>
        <xdr:cNvPr id="2" name="图片 1" descr="~`G5%OH6TYVY3TQSF9GO46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187170" y="14356715"/>
          <a:ext cx="2552065" cy="874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400050</xdr:colOff>
      <xdr:row>68</xdr:row>
      <xdr:rowOff>133350</xdr:rowOff>
    </xdr:from>
    <xdr:to>
      <xdr:col>19</xdr:col>
      <xdr:colOff>208915</xdr:colOff>
      <xdr:row>72</xdr:row>
      <xdr:rowOff>93345</xdr:rowOff>
    </xdr:to>
    <xdr:pic>
      <xdr:nvPicPr>
        <xdr:cNvPr id="2" name="图片 1" descr="~`G5%OH6TYVY3TQSF9GO46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187170" y="15728315"/>
          <a:ext cx="2552065" cy="8743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400050</xdr:colOff>
      <xdr:row>89</xdr:row>
      <xdr:rowOff>133350</xdr:rowOff>
    </xdr:from>
    <xdr:to>
      <xdr:col>19</xdr:col>
      <xdr:colOff>208915</xdr:colOff>
      <xdr:row>93</xdr:row>
      <xdr:rowOff>93345</xdr:rowOff>
    </xdr:to>
    <xdr:pic>
      <xdr:nvPicPr>
        <xdr:cNvPr id="2" name="图片 1" descr="~`G5%OH6TYVY3TQSF9GO46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187170" y="20812125"/>
          <a:ext cx="2552065" cy="8743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400050</xdr:colOff>
      <xdr:row>89</xdr:row>
      <xdr:rowOff>133350</xdr:rowOff>
    </xdr:from>
    <xdr:to>
      <xdr:col>18</xdr:col>
      <xdr:colOff>380365</xdr:colOff>
      <xdr:row>93</xdr:row>
      <xdr:rowOff>93345</xdr:rowOff>
    </xdr:to>
    <xdr:pic>
      <xdr:nvPicPr>
        <xdr:cNvPr id="2" name="图片 1" descr="~`G5%OH6TYVY3TQSF9GO46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13560" y="20812125"/>
          <a:ext cx="2552065" cy="8743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400050</xdr:colOff>
      <xdr:row>92</xdr:row>
      <xdr:rowOff>133350</xdr:rowOff>
    </xdr:from>
    <xdr:to>
      <xdr:col>18</xdr:col>
      <xdr:colOff>380365</xdr:colOff>
      <xdr:row>96</xdr:row>
      <xdr:rowOff>93345</xdr:rowOff>
    </xdr:to>
    <xdr:pic>
      <xdr:nvPicPr>
        <xdr:cNvPr id="2" name="图片 1" descr="~`G5%OH6TYVY3TQSF9GO46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13560" y="21497925"/>
          <a:ext cx="2552065" cy="8743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400050</xdr:colOff>
      <xdr:row>109</xdr:row>
      <xdr:rowOff>133350</xdr:rowOff>
    </xdr:from>
    <xdr:to>
      <xdr:col>19</xdr:col>
      <xdr:colOff>123190</xdr:colOff>
      <xdr:row>113</xdr:row>
      <xdr:rowOff>93345</xdr:rowOff>
    </xdr:to>
    <xdr:pic>
      <xdr:nvPicPr>
        <xdr:cNvPr id="2" name="图片 1" descr="~`G5%OH6TYVY3TQSF9GO46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295370" y="25384125"/>
          <a:ext cx="2552065" cy="874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2"/>
  <sheetViews>
    <sheetView topLeftCell="A69" workbookViewId="0">
      <selection activeCell="F36" sqref="F36"/>
    </sheetView>
  </sheetViews>
  <sheetFormatPr defaultColWidth="9" defaultRowHeight="11.25"/>
  <cols>
    <col min="1" max="1" width="10.75" style="3" customWidth="1"/>
    <col min="2" max="2" width="14.1333333333333" style="4" customWidth="1"/>
    <col min="3" max="3" width="6" style="4" customWidth="1"/>
    <col min="4" max="4" width="13.3833333333333" style="4" customWidth="1"/>
    <col min="5" max="5" width="6" style="4" customWidth="1"/>
    <col min="6" max="6" width="12.25" style="4" customWidth="1"/>
    <col min="7" max="7" width="14.1333333333333" style="4" customWidth="1"/>
    <col min="8" max="8" width="13.3833333333333" style="4" customWidth="1"/>
    <col min="9" max="9" width="14" style="4" customWidth="1"/>
    <col min="10" max="10" width="4.75" style="6" customWidth="1"/>
    <col min="11" max="11" width="35.3833333333333" style="7" customWidth="1"/>
    <col min="12" max="12" width="12.75" style="7" customWidth="1"/>
    <col min="13" max="13" width="8" style="7" customWidth="1"/>
    <col min="14" max="14" width="5.63333333333333" style="7" customWidth="1"/>
    <col min="15" max="15" width="10.3833333333333" style="7"/>
    <col min="16" max="16" width="9" style="7"/>
    <col min="17" max="17" width="9" style="7" customWidth="1"/>
    <col min="18" max="16384" width="9" style="7"/>
  </cols>
  <sheetData>
    <row r="1" ht="21.95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7"/>
      <c r="L1" s="17"/>
    </row>
    <row r="2" ht="18" customHeight="1" spans="1:12">
      <c r="A2" s="10" t="s">
        <v>1</v>
      </c>
      <c r="B2" s="11">
        <v>43116</v>
      </c>
      <c r="C2" s="12" t="s">
        <v>2</v>
      </c>
      <c r="D2" s="13">
        <v>41448872</v>
      </c>
      <c r="E2" s="14" t="s">
        <v>3</v>
      </c>
      <c r="F2" s="12" t="s">
        <v>4</v>
      </c>
      <c r="G2" s="14" t="s">
        <v>5</v>
      </c>
      <c r="H2" s="15" t="s">
        <v>6</v>
      </c>
      <c r="I2" s="58"/>
      <c r="J2" s="59"/>
      <c r="K2" s="17"/>
      <c r="L2" s="17"/>
    </row>
    <row r="3" ht="18" customHeight="1" spans="1:13">
      <c r="A3" s="10" t="s">
        <v>7</v>
      </c>
      <c r="B3" s="16"/>
      <c r="C3" s="12" t="s">
        <v>8</v>
      </c>
      <c r="D3" s="12"/>
      <c r="H3" s="17"/>
      <c r="I3" s="17"/>
      <c r="J3" s="17"/>
      <c r="K3" s="17"/>
      <c r="L3" s="17"/>
      <c r="M3" s="60" t="s">
        <v>9</v>
      </c>
    </row>
    <row r="4" ht="18" customHeight="1" spans="1:12">
      <c r="A4" s="3" t="s">
        <v>10</v>
      </c>
      <c r="H4" s="17"/>
      <c r="I4" s="17"/>
      <c r="J4" s="17"/>
      <c r="K4" s="17"/>
      <c r="L4" s="17"/>
    </row>
    <row r="5" ht="18" customHeight="1" spans="1:10">
      <c r="A5" s="18" t="s">
        <v>11</v>
      </c>
      <c r="B5" s="18" t="s">
        <v>12</v>
      </c>
      <c r="C5" s="18" t="s">
        <v>13</v>
      </c>
      <c r="D5" s="18"/>
      <c r="E5" s="18" t="s">
        <v>14</v>
      </c>
      <c r="F5" s="18"/>
      <c r="G5" s="18" t="s">
        <v>15</v>
      </c>
      <c r="H5" s="19" t="s">
        <v>16</v>
      </c>
      <c r="I5" s="19"/>
      <c r="J5" s="19"/>
    </row>
    <row r="6" ht="18" customHeight="1" spans="1:11">
      <c r="A6" s="18"/>
      <c r="B6" s="18"/>
      <c r="C6" s="18" t="s">
        <v>17</v>
      </c>
      <c r="D6" s="18" t="s">
        <v>18</v>
      </c>
      <c r="E6" s="18" t="s">
        <v>17</v>
      </c>
      <c r="F6" s="18" t="s">
        <v>18</v>
      </c>
      <c r="G6" s="18"/>
      <c r="H6" s="19" t="s">
        <v>19</v>
      </c>
      <c r="I6" s="19" t="s">
        <v>20</v>
      </c>
      <c r="J6" s="19" t="s">
        <v>21</v>
      </c>
      <c r="K6" s="7" t="s">
        <v>22</v>
      </c>
    </row>
    <row r="7" ht="18" customHeight="1" spans="1:11">
      <c r="A7" s="20">
        <v>43287</v>
      </c>
      <c r="B7" s="12">
        <f t="shared" ref="B7:B11" si="0">G7/(1+C7+E7)</f>
        <v>5454545.45454545</v>
      </c>
      <c r="C7" s="21">
        <v>0.02</v>
      </c>
      <c r="D7" s="22">
        <f>G7/(1+E7+C7)*C7</f>
        <v>109090.909090909</v>
      </c>
      <c r="E7" s="21">
        <v>0.08</v>
      </c>
      <c r="F7" s="12">
        <f>G7/(1+C7+E7)*E7</f>
        <v>436363.636363636</v>
      </c>
      <c r="G7" s="23">
        <v>6000000</v>
      </c>
      <c r="H7" s="20">
        <v>43294</v>
      </c>
      <c r="I7" s="12">
        <v>6000000</v>
      </c>
      <c r="J7" s="61" t="s">
        <v>23</v>
      </c>
      <c r="K7" s="7" t="s">
        <v>24</v>
      </c>
    </row>
    <row r="8" ht="18" customHeight="1" spans="1:10">
      <c r="A8" s="20">
        <v>43473</v>
      </c>
      <c r="B8" s="12">
        <f t="shared" si="0"/>
        <v>9636363.63636363</v>
      </c>
      <c r="C8" s="21">
        <v>0.02</v>
      </c>
      <c r="D8" s="22">
        <f t="shared" ref="D8:D11" si="1">G8/(1+E8+C8)*C8</f>
        <v>192727.272727273</v>
      </c>
      <c r="E8" s="21">
        <v>0.08</v>
      </c>
      <c r="F8" s="12">
        <f t="shared" ref="F8:F11" si="2">G8/(1+C8+E8)*E8</f>
        <v>770909.090909091</v>
      </c>
      <c r="G8" s="23">
        <v>10600000</v>
      </c>
      <c r="H8" s="20">
        <v>43483</v>
      </c>
      <c r="I8" s="12">
        <v>10600000</v>
      </c>
      <c r="J8" s="61" t="s">
        <v>23</v>
      </c>
    </row>
    <row r="9" ht="18" customHeight="1" spans="1:10">
      <c r="A9" s="20">
        <v>43654</v>
      </c>
      <c r="B9" s="12">
        <f t="shared" si="0"/>
        <v>2752293.57798165</v>
      </c>
      <c r="C9" s="21">
        <v>0.02</v>
      </c>
      <c r="D9" s="22">
        <f t="shared" si="1"/>
        <v>55045.871559633</v>
      </c>
      <c r="E9" s="21">
        <v>0.07</v>
      </c>
      <c r="F9" s="12">
        <f t="shared" si="2"/>
        <v>192660.550458716</v>
      </c>
      <c r="G9" s="23">
        <v>3000000</v>
      </c>
      <c r="H9" s="20">
        <v>43661</v>
      </c>
      <c r="I9" s="12">
        <v>3000000</v>
      </c>
      <c r="J9" s="61" t="s">
        <v>23</v>
      </c>
    </row>
    <row r="10" ht="18" customHeight="1" spans="1:11">
      <c r="A10" s="20">
        <v>43816</v>
      </c>
      <c r="B10" s="12">
        <f t="shared" si="0"/>
        <v>3271989.90825688</v>
      </c>
      <c r="C10" s="21">
        <v>0.02</v>
      </c>
      <c r="D10" s="22">
        <f t="shared" si="1"/>
        <v>65439.7981651376</v>
      </c>
      <c r="E10" s="24">
        <v>0.07</v>
      </c>
      <c r="F10" s="12">
        <f t="shared" si="2"/>
        <v>229039.293577982</v>
      </c>
      <c r="G10" s="23">
        <v>3566469</v>
      </c>
      <c r="H10" s="20">
        <v>43819</v>
      </c>
      <c r="I10" s="12">
        <v>3566469</v>
      </c>
      <c r="J10" s="61" t="s">
        <v>23</v>
      </c>
      <c r="K10" s="7">
        <f>I10*0.006</f>
        <v>21398.814</v>
      </c>
    </row>
    <row r="11" ht="18" customHeight="1" spans="1:11">
      <c r="A11" s="20">
        <v>43847</v>
      </c>
      <c r="B11" s="12">
        <f t="shared" si="0"/>
        <v>3752293.57798165</v>
      </c>
      <c r="C11" s="21">
        <v>0.02</v>
      </c>
      <c r="D11" s="22">
        <f t="shared" si="1"/>
        <v>75045.871559633</v>
      </c>
      <c r="E11" s="24">
        <v>0.07</v>
      </c>
      <c r="F11" s="12">
        <f t="shared" si="2"/>
        <v>262660.550458716</v>
      </c>
      <c r="G11" s="23">
        <v>4090000</v>
      </c>
      <c r="H11" s="20">
        <v>43916</v>
      </c>
      <c r="I11" s="12">
        <v>4090000</v>
      </c>
      <c r="J11" s="61" t="s">
        <v>23</v>
      </c>
      <c r="K11" s="7">
        <f>I11*0.006</f>
        <v>24540</v>
      </c>
    </row>
    <row r="12" ht="18" customHeight="1" spans="1:10">
      <c r="A12" s="25" t="s">
        <v>25</v>
      </c>
      <c r="B12" s="26">
        <f>SUM(B7:B11)</f>
        <v>24867486.1551293</v>
      </c>
      <c r="C12" s="27"/>
      <c r="D12" s="27">
        <f>SUM(D7:D11)</f>
        <v>497349.723102585</v>
      </c>
      <c r="E12" s="27"/>
      <c r="F12" s="28">
        <f>SUM(F7:F11)</f>
        <v>1891633.12176814</v>
      </c>
      <c r="G12" s="27">
        <f>SUM(G7:G11)</f>
        <v>27256469</v>
      </c>
      <c r="H12" s="29"/>
      <c r="I12" s="27">
        <f>SUM(I7:I11)</f>
        <v>27256469</v>
      </c>
      <c r="J12" s="29"/>
    </row>
    <row r="13" ht="18" customHeight="1" spans="1:12">
      <c r="A13" s="3" t="s">
        <v>26</v>
      </c>
      <c r="B13" s="7"/>
      <c r="J13" s="4"/>
      <c r="K13" s="4"/>
      <c r="L13" s="6"/>
    </row>
    <row r="14" ht="18" customHeight="1" spans="1:15">
      <c r="A14" s="30" t="s">
        <v>19</v>
      </c>
      <c r="B14" s="18" t="s">
        <v>27</v>
      </c>
      <c r="C14" s="18" t="s">
        <v>28</v>
      </c>
      <c r="D14" s="18" t="s">
        <v>29</v>
      </c>
      <c r="E14" s="18" t="s">
        <v>17</v>
      </c>
      <c r="F14" s="18" t="s">
        <v>30</v>
      </c>
      <c r="G14" s="18" t="s">
        <v>15</v>
      </c>
      <c r="H14" s="18" t="s">
        <v>31</v>
      </c>
      <c r="I14" s="18" t="s">
        <v>32</v>
      </c>
      <c r="J14" s="18" t="s">
        <v>21</v>
      </c>
      <c r="K14" s="62" t="s">
        <v>33</v>
      </c>
      <c r="L14" s="19" t="s">
        <v>34</v>
      </c>
      <c r="M14" s="19" t="s">
        <v>35</v>
      </c>
      <c r="N14" s="19" t="s">
        <v>36</v>
      </c>
      <c r="O14" s="19" t="s">
        <v>37</v>
      </c>
    </row>
    <row r="15" s="1" customFormat="1" ht="18" customHeight="1" spans="1:15">
      <c r="A15" s="31">
        <v>43302</v>
      </c>
      <c r="B15" s="32">
        <f>ROUND(G15/(1+E15),2)</f>
        <v>2912621.36</v>
      </c>
      <c r="C15" s="33">
        <v>3</v>
      </c>
      <c r="D15" s="34" t="s">
        <v>38</v>
      </c>
      <c r="E15" s="35">
        <v>0.03</v>
      </c>
      <c r="F15" s="32">
        <f>ROUND(G15/(1+E15)*E15,2)</f>
        <v>87378.64</v>
      </c>
      <c r="G15" s="23">
        <f>1000000*3</f>
        <v>3000000</v>
      </c>
      <c r="H15" s="20">
        <v>43300</v>
      </c>
      <c r="I15" s="12">
        <v>3000000</v>
      </c>
      <c r="J15" s="61" t="s">
        <v>23</v>
      </c>
      <c r="K15" s="74" t="s">
        <v>39</v>
      </c>
      <c r="L15" s="64" t="s">
        <v>40</v>
      </c>
      <c r="M15" s="65" t="s">
        <v>41</v>
      </c>
      <c r="N15" s="65"/>
      <c r="O15" s="64"/>
    </row>
    <row r="16" s="1" customFormat="1" ht="18" customHeight="1" spans="1:15">
      <c r="A16" s="31">
        <v>43307</v>
      </c>
      <c r="B16" s="32">
        <f>ROUND(G16/(1+E16),2)</f>
        <v>1750000</v>
      </c>
      <c r="C16" s="33">
        <v>2</v>
      </c>
      <c r="D16" s="34" t="s">
        <v>38</v>
      </c>
      <c r="E16" s="35">
        <v>0.16</v>
      </c>
      <c r="F16" s="32">
        <f>ROUND(G16/(1+E16)*E16,2)</f>
        <v>280000</v>
      </c>
      <c r="G16" s="23">
        <f>999900+1030100</f>
        <v>2030000</v>
      </c>
      <c r="H16" s="20">
        <v>43300</v>
      </c>
      <c r="I16" s="12">
        <v>2030000</v>
      </c>
      <c r="J16" s="61" t="s">
        <v>23</v>
      </c>
      <c r="K16" s="74" t="s">
        <v>42</v>
      </c>
      <c r="L16" s="64" t="s">
        <v>43</v>
      </c>
      <c r="M16" s="65" t="s">
        <v>41</v>
      </c>
      <c r="N16" s="65"/>
      <c r="O16" s="64"/>
    </row>
    <row r="17" s="1" customFormat="1" ht="18" customHeight="1" spans="1:15">
      <c r="A17" s="31">
        <v>43330</v>
      </c>
      <c r="B17" s="37">
        <f t="shared" ref="B17:B18" si="3">ROUND(G17/(1+E17),2)</f>
        <v>582524.27</v>
      </c>
      <c r="C17" s="33">
        <v>1</v>
      </c>
      <c r="D17" s="34" t="s">
        <v>38</v>
      </c>
      <c r="E17" s="35">
        <v>0.03</v>
      </c>
      <c r="F17" s="37">
        <f t="shared" ref="F17:F18" si="4">ROUND(G17/(1+E17)*E17,2)</f>
        <v>17475.73</v>
      </c>
      <c r="G17" s="39">
        <v>600000</v>
      </c>
      <c r="H17" s="20">
        <v>43340</v>
      </c>
      <c r="I17" s="67">
        <v>600000</v>
      </c>
      <c r="J17" s="61" t="s">
        <v>23</v>
      </c>
      <c r="K17" s="74" t="s">
        <v>39</v>
      </c>
      <c r="L17" s="64" t="s">
        <v>44</v>
      </c>
      <c r="M17" s="65" t="s">
        <v>41</v>
      </c>
      <c r="N17" s="65"/>
      <c r="O17" s="64"/>
    </row>
    <row r="18" s="1" customFormat="1" ht="18" customHeight="1" spans="1:15">
      <c r="A18" s="31">
        <v>43374</v>
      </c>
      <c r="B18" s="32">
        <f t="shared" si="3"/>
        <v>258543</v>
      </c>
      <c r="C18" s="33"/>
      <c r="D18" s="34" t="s">
        <v>45</v>
      </c>
      <c r="E18" s="35"/>
      <c r="F18" s="32">
        <f t="shared" si="4"/>
        <v>0</v>
      </c>
      <c r="G18" s="23">
        <v>258543</v>
      </c>
      <c r="H18" s="20"/>
      <c r="I18" s="12"/>
      <c r="J18" s="61"/>
      <c r="K18" s="74" t="s">
        <v>46</v>
      </c>
      <c r="L18" s="64" t="s">
        <v>47</v>
      </c>
      <c r="M18" s="65"/>
      <c r="N18" s="65"/>
      <c r="O18" s="64"/>
    </row>
    <row r="19" s="1" customFormat="1" ht="18" customHeight="1" spans="1:15">
      <c r="A19" s="31">
        <v>43435</v>
      </c>
      <c r="B19" s="32">
        <f t="shared" ref="B19:B39" si="5">ROUND(G19/(1+E19),2)</f>
        <v>495747.57</v>
      </c>
      <c r="C19" s="33">
        <v>5</v>
      </c>
      <c r="D19" s="34" t="s">
        <v>38</v>
      </c>
      <c r="E19" s="35">
        <v>0.03</v>
      </c>
      <c r="F19" s="32">
        <f t="shared" ref="F19:F39" si="6">ROUND(G19/(1+E19)*E19,2)</f>
        <v>14872.43</v>
      </c>
      <c r="G19" s="23">
        <f>102124*5</f>
        <v>510620</v>
      </c>
      <c r="H19" s="20">
        <v>43434</v>
      </c>
      <c r="I19" s="12">
        <v>171270</v>
      </c>
      <c r="J19" s="61" t="s">
        <v>23</v>
      </c>
      <c r="K19" s="74" t="s">
        <v>48</v>
      </c>
      <c r="L19" s="64" t="s">
        <v>49</v>
      </c>
      <c r="M19" s="65" t="s">
        <v>41</v>
      </c>
      <c r="N19" s="65"/>
      <c r="O19" s="64"/>
    </row>
    <row r="20" s="1" customFormat="1" ht="18" customHeight="1" spans="1:15">
      <c r="A20" s="31"/>
      <c r="B20" s="32">
        <f t="shared" si="5"/>
        <v>0</v>
      </c>
      <c r="C20" s="33"/>
      <c r="D20" s="34"/>
      <c r="E20" s="35"/>
      <c r="F20" s="32">
        <f t="shared" si="6"/>
        <v>0</v>
      </c>
      <c r="G20" s="23"/>
      <c r="H20" s="20">
        <v>43434</v>
      </c>
      <c r="I20" s="12">
        <v>339350</v>
      </c>
      <c r="J20" s="61" t="s">
        <v>23</v>
      </c>
      <c r="K20" s="74" t="s">
        <v>48</v>
      </c>
      <c r="L20" s="64" t="s">
        <v>49</v>
      </c>
      <c r="M20" s="65" t="s">
        <v>41</v>
      </c>
      <c r="N20" s="65"/>
      <c r="O20" s="64"/>
    </row>
    <row r="21" s="1" customFormat="1" ht="18" customHeight="1" spans="1:15">
      <c r="A21" s="31"/>
      <c r="B21" s="32">
        <f t="shared" si="5"/>
        <v>0</v>
      </c>
      <c r="C21" s="33"/>
      <c r="D21" s="34"/>
      <c r="E21" s="35"/>
      <c r="F21" s="32">
        <f t="shared" si="6"/>
        <v>0</v>
      </c>
      <c r="G21" s="23"/>
      <c r="H21" s="20">
        <v>43434</v>
      </c>
      <c r="I21" s="12">
        <v>-339350</v>
      </c>
      <c r="J21" s="61" t="s">
        <v>50</v>
      </c>
      <c r="K21" s="74" t="s">
        <v>51</v>
      </c>
      <c r="L21" s="64"/>
      <c r="M21" s="65"/>
      <c r="N21" s="65"/>
      <c r="O21" s="64"/>
    </row>
    <row r="22" s="1" customFormat="1" ht="18" customHeight="1" spans="1:15">
      <c r="A22" s="31">
        <v>43466</v>
      </c>
      <c r="B22" s="32">
        <f t="shared" si="5"/>
        <v>1922330.1</v>
      </c>
      <c r="C22" s="33"/>
      <c r="D22" s="34" t="s">
        <v>38</v>
      </c>
      <c r="E22" s="35">
        <v>0.03</v>
      </c>
      <c r="F22" s="32">
        <f t="shared" si="6"/>
        <v>57669.9</v>
      </c>
      <c r="G22" s="23">
        <f>1000000+980000</f>
        <v>1980000</v>
      </c>
      <c r="H22" s="20">
        <v>43486</v>
      </c>
      <c r="I22" s="12">
        <f>1000000+980000</f>
        <v>1980000</v>
      </c>
      <c r="J22" s="61" t="s">
        <v>23</v>
      </c>
      <c r="K22" s="74" t="s">
        <v>39</v>
      </c>
      <c r="L22" s="64" t="s">
        <v>44</v>
      </c>
      <c r="M22" s="65" t="s">
        <v>41</v>
      </c>
      <c r="N22" s="65"/>
      <c r="O22" s="64"/>
    </row>
    <row r="23" s="1" customFormat="1" ht="18" customHeight="1" spans="1:15">
      <c r="A23" s="31">
        <v>43466</v>
      </c>
      <c r="B23" s="32">
        <f t="shared" si="5"/>
        <v>2912621.36</v>
      </c>
      <c r="C23" s="33"/>
      <c r="D23" s="34" t="s">
        <v>38</v>
      </c>
      <c r="E23" s="35">
        <v>0.03</v>
      </c>
      <c r="F23" s="32">
        <f t="shared" si="6"/>
        <v>87378.64</v>
      </c>
      <c r="G23" s="23">
        <f>30*100000</f>
        <v>3000000</v>
      </c>
      <c r="H23" s="20">
        <v>43486</v>
      </c>
      <c r="I23" s="12">
        <f>30*100000</f>
        <v>3000000</v>
      </c>
      <c r="J23" s="61" t="s">
        <v>23</v>
      </c>
      <c r="K23" s="74" t="s">
        <v>48</v>
      </c>
      <c r="L23" s="64" t="s">
        <v>49</v>
      </c>
      <c r="M23" s="65" t="s">
        <v>41</v>
      </c>
      <c r="N23" s="65"/>
      <c r="O23" s="64"/>
    </row>
    <row r="24" s="1" customFormat="1" ht="18" customHeight="1" spans="1:15">
      <c r="A24" s="31">
        <v>43466</v>
      </c>
      <c r="B24" s="32">
        <f t="shared" si="5"/>
        <v>996377.24</v>
      </c>
      <c r="C24" s="33"/>
      <c r="D24" s="34" t="s">
        <v>38</v>
      </c>
      <c r="E24" s="35">
        <v>0.16</v>
      </c>
      <c r="F24" s="32">
        <f t="shared" si="6"/>
        <v>159420.36</v>
      </c>
      <c r="G24" s="23">
        <v>1155797.6</v>
      </c>
      <c r="H24" s="20">
        <v>43490</v>
      </c>
      <c r="I24" s="12">
        <v>1100000</v>
      </c>
      <c r="J24" s="61" t="s">
        <v>23</v>
      </c>
      <c r="K24" s="69" t="s">
        <v>52</v>
      </c>
      <c r="L24" s="69" t="s">
        <v>53</v>
      </c>
      <c r="M24" s="65" t="s">
        <v>41</v>
      </c>
      <c r="N24" s="65"/>
      <c r="O24" s="64"/>
    </row>
    <row r="25" s="1" customFormat="1" ht="18" customHeight="1" spans="1:15">
      <c r="A25" s="31"/>
      <c r="B25" s="32">
        <f t="shared" si="5"/>
        <v>0</v>
      </c>
      <c r="C25" s="33"/>
      <c r="D25" s="34"/>
      <c r="E25" s="35"/>
      <c r="F25" s="32">
        <f t="shared" si="6"/>
        <v>0</v>
      </c>
      <c r="G25" s="23"/>
      <c r="H25" s="20">
        <v>43494</v>
      </c>
      <c r="I25" s="12">
        <v>55787.6</v>
      </c>
      <c r="J25" s="61" t="s">
        <v>23</v>
      </c>
      <c r="K25" s="69" t="s">
        <v>52</v>
      </c>
      <c r="L25" s="69" t="s">
        <v>53</v>
      </c>
      <c r="M25" s="65"/>
      <c r="N25" s="65"/>
      <c r="O25" s="64"/>
    </row>
    <row r="26" s="1" customFormat="1" ht="18" customHeight="1" spans="1:16">
      <c r="A26" s="41">
        <v>43497</v>
      </c>
      <c r="B26" s="54">
        <f t="shared" si="5"/>
        <v>1028276.8</v>
      </c>
      <c r="C26" s="42"/>
      <c r="D26" s="43" t="s">
        <v>54</v>
      </c>
      <c r="E26" s="44"/>
      <c r="F26" s="54">
        <f t="shared" si="6"/>
        <v>0</v>
      </c>
      <c r="G26" s="47">
        <v>1028276.8</v>
      </c>
      <c r="H26" s="46">
        <v>43528</v>
      </c>
      <c r="I26" s="54">
        <v>1028276.8</v>
      </c>
      <c r="J26" s="70" t="s">
        <v>23</v>
      </c>
      <c r="K26" s="71" t="s">
        <v>55</v>
      </c>
      <c r="L26" s="71" t="s">
        <v>56</v>
      </c>
      <c r="M26" s="65" t="s">
        <v>41</v>
      </c>
      <c r="N26" s="65"/>
      <c r="O26" s="72" t="s">
        <v>57</v>
      </c>
      <c r="P26" s="1">
        <v>1028276.8</v>
      </c>
    </row>
    <row r="27" s="1" customFormat="1" ht="18" customHeight="1" spans="1:16">
      <c r="A27" s="41">
        <v>43498</v>
      </c>
      <c r="B27" s="54">
        <f t="shared" si="5"/>
        <v>1021570.15</v>
      </c>
      <c r="C27" s="42"/>
      <c r="D27" s="43" t="s">
        <v>54</v>
      </c>
      <c r="E27" s="44"/>
      <c r="F27" s="54">
        <f t="shared" si="6"/>
        <v>0</v>
      </c>
      <c r="G27" s="47">
        <v>1021570.15</v>
      </c>
      <c r="H27" s="46">
        <v>43531</v>
      </c>
      <c r="I27" s="54">
        <v>1987611.75</v>
      </c>
      <c r="J27" s="70" t="s">
        <v>23</v>
      </c>
      <c r="K27" s="71" t="s">
        <v>55</v>
      </c>
      <c r="L27" s="71" t="s">
        <v>58</v>
      </c>
      <c r="M27" s="65" t="s">
        <v>41</v>
      </c>
      <c r="N27" s="65"/>
      <c r="O27" s="72" t="s">
        <v>57</v>
      </c>
      <c r="P27" s="1">
        <v>1021570.15</v>
      </c>
    </row>
    <row r="28" s="1" customFormat="1" ht="18" customHeight="1" spans="1:16">
      <c r="A28" s="41">
        <v>43499</v>
      </c>
      <c r="B28" s="54">
        <f t="shared" si="5"/>
        <v>966041.6</v>
      </c>
      <c r="C28" s="42"/>
      <c r="D28" s="43" t="s">
        <v>54</v>
      </c>
      <c r="E28" s="44"/>
      <c r="F28" s="54">
        <f t="shared" si="6"/>
        <v>0</v>
      </c>
      <c r="G28" s="47">
        <v>966041.6</v>
      </c>
      <c r="H28" s="46"/>
      <c r="I28" s="54"/>
      <c r="J28" s="70"/>
      <c r="K28" s="71" t="s">
        <v>55</v>
      </c>
      <c r="L28" s="71" t="s">
        <v>59</v>
      </c>
      <c r="M28" s="65"/>
      <c r="N28" s="65"/>
      <c r="O28" s="72" t="s">
        <v>57</v>
      </c>
      <c r="P28" s="1">
        <v>966041.6</v>
      </c>
    </row>
    <row r="29" s="1" customFormat="1" ht="18" customHeight="1" spans="1:15">
      <c r="A29" s="31">
        <v>43525</v>
      </c>
      <c r="B29" s="32">
        <f t="shared" si="5"/>
        <v>1336300</v>
      </c>
      <c r="C29" s="33"/>
      <c r="D29" s="34" t="s">
        <v>54</v>
      </c>
      <c r="E29" s="35"/>
      <c r="F29" s="32">
        <f t="shared" si="6"/>
        <v>0</v>
      </c>
      <c r="G29" s="23">
        <v>1336300</v>
      </c>
      <c r="H29" s="20">
        <v>43549</v>
      </c>
      <c r="I29" s="12">
        <v>851040.85</v>
      </c>
      <c r="J29" s="61" t="s">
        <v>23</v>
      </c>
      <c r="K29" s="69" t="s">
        <v>60</v>
      </c>
      <c r="L29" s="69" t="s">
        <v>61</v>
      </c>
      <c r="M29" s="65"/>
      <c r="N29" s="65"/>
      <c r="O29" s="64"/>
    </row>
    <row r="30" s="1" customFormat="1" ht="18" customHeight="1" spans="1:17">
      <c r="A30" s="31"/>
      <c r="B30" s="32">
        <f t="shared" si="5"/>
        <v>0</v>
      </c>
      <c r="C30" s="33"/>
      <c r="D30" s="34"/>
      <c r="E30" s="35"/>
      <c r="F30" s="32">
        <f t="shared" si="6"/>
        <v>0</v>
      </c>
      <c r="G30" s="23"/>
      <c r="H30" s="20">
        <v>43563</v>
      </c>
      <c r="I30" s="73">
        <v>304741.64</v>
      </c>
      <c r="J30" s="61" t="s">
        <v>23</v>
      </c>
      <c r="K30" s="69" t="s">
        <v>60</v>
      </c>
      <c r="L30" s="69" t="s">
        <v>61</v>
      </c>
      <c r="M30" s="65" t="s">
        <v>41</v>
      </c>
      <c r="N30" s="65"/>
      <c r="O30" s="64"/>
      <c r="P30" s="1">
        <f>P26+P27+P28</f>
        <v>3015888.55</v>
      </c>
      <c r="Q30" s="1">
        <f>P30*0.25</f>
        <v>753972.1375</v>
      </c>
    </row>
    <row r="31" s="1" customFormat="1" ht="18" customHeight="1" spans="1:16">
      <c r="A31" s="31"/>
      <c r="B31" s="32">
        <f t="shared" si="5"/>
        <v>0</v>
      </c>
      <c r="C31" s="33"/>
      <c r="D31" s="34"/>
      <c r="E31" s="35"/>
      <c r="F31" s="32">
        <f t="shared" si="6"/>
        <v>0</v>
      </c>
      <c r="G31" s="23"/>
      <c r="H31" s="20">
        <v>43563</v>
      </c>
      <c r="I31" s="12">
        <v>-304741.64</v>
      </c>
      <c r="J31" s="61" t="s">
        <v>50</v>
      </c>
      <c r="K31" s="74" t="s">
        <v>51</v>
      </c>
      <c r="L31" s="69"/>
      <c r="M31" s="65"/>
      <c r="N31" s="65"/>
      <c r="O31" s="64"/>
      <c r="P31" s="1">
        <v>3020000</v>
      </c>
    </row>
    <row r="32" s="1" customFormat="1" ht="18" customHeight="1" spans="1:15">
      <c r="A32" s="31">
        <v>43586</v>
      </c>
      <c r="B32" s="32">
        <f t="shared" si="5"/>
        <v>97087.38</v>
      </c>
      <c r="C32" s="33"/>
      <c r="D32" s="34" t="s">
        <v>38</v>
      </c>
      <c r="E32" s="35">
        <v>0.03</v>
      </c>
      <c r="F32" s="32">
        <f t="shared" si="6"/>
        <v>2912.62</v>
      </c>
      <c r="G32" s="23">
        <v>100000</v>
      </c>
      <c r="H32" s="20">
        <v>43669</v>
      </c>
      <c r="I32" s="12">
        <v>100000</v>
      </c>
      <c r="J32" s="61" t="s">
        <v>23</v>
      </c>
      <c r="K32" s="74" t="s">
        <v>39</v>
      </c>
      <c r="L32" s="64" t="s">
        <v>44</v>
      </c>
      <c r="M32" s="65"/>
      <c r="N32" s="65"/>
      <c r="O32" s="64"/>
    </row>
    <row r="33" ht="18" customHeight="1" spans="1:15">
      <c r="A33" s="48">
        <v>43647</v>
      </c>
      <c r="B33" s="12">
        <f t="shared" si="5"/>
        <v>2230973.45</v>
      </c>
      <c r="C33" s="49"/>
      <c r="D33" s="50" t="s">
        <v>38</v>
      </c>
      <c r="E33" s="51">
        <v>0.13</v>
      </c>
      <c r="F33" s="12">
        <f t="shared" si="6"/>
        <v>290026.55</v>
      </c>
      <c r="G33" s="52">
        <f>109600*22+109800</f>
        <v>2521000</v>
      </c>
      <c r="H33" s="20">
        <v>43669</v>
      </c>
      <c r="I33" s="12">
        <f>109600*22+109800</f>
        <v>2521000</v>
      </c>
      <c r="J33" s="61" t="s">
        <v>23</v>
      </c>
      <c r="K33" s="75" t="s">
        <v>62</v>
      </c>
      <c r="L33" s="29" t="s">
        <v>63</v>
      </c>
      <c r="M33" s="61" t="s">
        <v>41</v>
      </c>
      <c r="N33" s="61" t="s">
        <v>41</v>
      </c>
      <c r="O33" s="29"/>
    </row>
    <row r="34" s="164" customFormat="1" ht="18" customHeight="1" spans="1:15">
      <c r="A34" s="165">
        <v>43678</v>
      </c>
      <c r="B34" s="133">
        <f t="shared" si="5"/>
        <v>286407.77</v>
      </c>
      <c r="C34" s="166"/>
      <c r="D34" s="167" t="s">
        <v>38</v>
      </c>
      <c r="E34" s="168">
        <v>0.03</v>
      </c>
      <c r="F34" s="133">
        <f t="shared" si="6"/>
        <v>8592.23</v>
      </c>
      <c r="G34" s="133">
        <v>295000</v>
      </c>
      <c r="H34" s="134"/>
      <c r="I34" s="133"/>
      <c r="J34" s="135"/>
      <c r="K34" s="136" t="s">
        <v>39</v>
      </c>
      <c r="L34" s="156" t="s">
        <v>40</v>
      </c>
      <c r="M34" s="135"/>
      <c r="N34" s="135"/>
      <c r="O34" s="156"/>
    </row>
    <row r="35" customFormat="1" ht="18" customHeight="1" spans="1:15">
      <c r="A35" s="48"/>
      <c r="B35" s="12">
        <f t="shared" si="5"/>
        <v>0</v>
      </c>
      <c r="C35" s="49"/>
      <c r="D35" s="50"/>
      <c r="E35" s="51"/>
      <c r="F35" s="12">
        <f t="shared" si="6"/>
        <v>0</v>
      </c>
      <c r="G35" s="52"/>
      <c r="H35" s="20">
        <v>43696</v>
      </c>
      <c r="I35" s="12">
        <v>295000</v>
      </c>
      <c r="J35" s="61" t="s">
        <v>23</v>
      </c>
      <c r="K35" s="75" t="s">
        <v>39</v>
      </c>
      <c r="L35" s="29" t="s">
        <v>40</v>
      </c>
      <c r="M35" s="61"/>
      <c r="N35" s="61"/>
      <c r="O35" s="29"/>
    </row>
    <row r="36" customFormat="1" ht="18" customHeight="1" spans="1:15">
      <c r="A36" s="48">
        <v>43800</v>
      </c>
      <c r="B36" s="12">
        <f t="shared" si="5"/>
        <v>2652690.27</v>
      </c>
      <c r="C36" s="49"/>
      <c r="D36" s="50" t="s">
        <v>38</v>
      </c>
      <c r="E36" s="51">
        <v>0.13</v>
      </c>
      <c r="F36" s="12">
        <f t="shared" si="6"/>
        <v>344849.73</v>
      </c>
      <c r="G36" s="52">
        <v>2997540</v>
      </c>
      <c r="H36" s="20">
        <v>43830</v>
      </c>
      <c r="I36" s="12">
        <v>2820066.65</v>
      </c>
      <c r="J36" s="61" t="s">
        <v>23</v>
      </c>
      <c r="K36" s="75" t="s">
        <v>64</v>
      </c>
      <c r="L36" s="29" t="s">
        <v>65</v>
      </c>
      <c r="M36" s="61" t="s">
        <v>41</v>
      </c>
      <c r="N36" s="61" t="s">
        <v>41</v>
      </c>
      <c r="O36" s="29"/>
    </row>
    <row r="37" customFormat="1" ht="18" customHeight="1" spans="1:15">
      <c r="A37" s="48">
        <v>43891</v>
      </c>
      <c r="B37" s="12">
        <f t="shared" si="5"/>
        <v>2921519.47</v>
      </c>
      <c r="C37" s="49"/>
      <c r="D37" s="50" t="s">
        <v>38</v>
      </c>
      <c r="E37" s="51">
        <v>0.13</v>
      </c>
      <c r="F37" s="12">
        <f t="shared" si="6"/>
        <v>379797.53</v>
      </c>
      <c r="G37" s="133">
        <v>3301317</v>
      </c>
      <c r="H37" s="20"/>
      <c r="I37" s="12"/>
      <c r="J37" s="61"/>
      <c r="K37" s="75" t="s">
        <v>66</v>
      </c>
      <c r="L37" s="29" t="s">
        <v>67</v>
      </c>
      <c r="M37" s="61"/>
      <c r="N37" s="61"/>
      <c r="O37" s="29"/>
    </row>
    <row r="38" customFormat="1" ht="18" customHeight="1" spans="1:15">
      <c r="A38" s="48"/>
      <c r="B38" s="12">
        <f t="shared" si="5"/>
        <v>0</v>
      </c>
      <c r="C38" s="49"/>
      <c r="D38" s="50"/>
      <c r="E38" s="51"/>
      <c r="F38" s="12">
        <f t="shared" si="6"/>
        <v>0</v>
      </c>
      <c r="G38" s="52"/>
      <c r="H38" s="20">
        <v>43921</v>
      </c>
      <c r="I38" s="12">
        <v>3301317</v>
      </c>
      <c r="J38" s="61" t="s">
        <v>23</v>
      </c>
      <c r="K38" s="75" t="s">
        <v>66</v>
      </c>
      <c r="L38" s="29"/>
      <c r="M38" s="61"/>
      <c r="N38" s="61"/>
      <c r="O38" s="29"/>
    </row>
    <row r="39" customFormat="1" ht="18" customHeight="1" spans="1:15">
      <c r="A39" s="48"/>
      <c r="B39" s="12">
        <f t="shared" si="5"/>
        <v>0</v>
      </c>
      <c r="C39" s="49"/>
      <c r="D39" s="50"/>
      <c r="E39" s="51"/>
      <c r="F39" s="12">
        <f t="shared" si="6"/>
        <v>0</v>
      </c>
      <c r="G39" s="52"/>
      <c r="H39" s="20">
        <v>43964</v>
      </c>
      <c r="I39" s="12">
        <v>644091.64</v>
      </c>
      <c r="J39" s="61" t="s">
        <v>50</v>
      </c>
      <c r="K39" s="75" t="s">
        <v>68</v>
      </c>
      <c r="L39" s="29"/>
      <c r="M39" s="61"/>
      <c r="N39" s="61"/>
      <c r="O39" s="29"/>
    </row>
    <row r="40" customFormat="1" ht="18" customHeight="1" spans="1:15">
      <c r="A40" s="48">
        <v>43952</v>
      </c>
      <c r="B40" s="12">
        <v>619513.27</v>
      </c>
      <c r="C40" s="49"/>
      <c r="D40" s="50" t="s">
        <v>38</v>
      </c>
      <c r="E40" s="51">
        <v>0.13</v>
      </c>
      <c r="F40" s="12">
        <v>80536.73</v>
      </c>
      <c r="G40" s="52">
        <v>700050</v>
      </c>
      <c r="H40" s="20">
        <v>43985</v>
      </c>
      <c r="I40" s="12">
        <v>700050</v>
      </c>
      <c r="J40" s="61" t="s">
        <v>23</v>
      </c>
      <c r="K40" s="75" t="s">
        <v>69</v>
      </c>
      <c r="L40" s="29" t="s">
        <v>70</v>
      </c>
      <c r="M40" s="61" t="s">
        <v>41</v>
      </c>
      <c r="N40" s="61" t="s">
        <v>41</v>
      </c>
      <c r="O40" s="29"/>
    </row>
    <row r="41" customFormat="1" ht="18" customHeight="1" spans="1:15">
      <c r="A41" s="48"/>
      <c r="B41" s="12"/>
      <c r="C41" s="49"/>
      <c r="D41" s="50"/>
      <c r="E41" s="51"/>
      <c r="F41" s="12"/>
      <c r="G41" s="52"/>
      <c r="H41" s="20"/>
      <c r="I41" s="12"/>
      <c r="J41" s="61"/>
      <c r="K41" s="75"/>
      <c r="L41" s="29"/>
      <c r="M41" s="61"/>
      <c r="N41" s="61"/>
      <c r="O41" s="29"/>
    </row>
    <row r="42" customFormat="1" ht="18" customHeight="1" spans="1:15">
      <c r="A42" s="48"/>
      <c r="B42" s="12"/>
      <c r="C42" s="49"/>
      <c r="D42" s="50"/>
      <c r="E42" s="51"/>
      <c r="F42" s="12"/>
      <c r="G42" s="52"/>
      <c r="H42" s="20"/>
      <c r="I42" s="12"/>
      <c r="J42" s="61"/>
      <c r="K42" s="75"/>
      <c r="L42" s="29"/>
      <c r="M42" s="61"/>
      <c r="N42" s="61"/>
      <c r="O42" s="29"/>
    </row>
    <row r="43" customFormat="1" ht="18" customHeight="1" spans="1:15">
      <c r="A43" s="48"/>
      <c r="B43" s="12"/>
      <c r="C43" s="49"/>
      <c r="D43" s="50"/>
      <c r="E43" s="51"/>
      <c r="F43" s="12"/>
      <c r="G43" s="52"/>
      <c r="H43" s="20">
        <v>43985</v>
      </c>
      <c r="I43" s="12">
        <v>100</v>
      </c>
      <c r="J43" s="61" t="s">
        <v>71</v>
      </c>
      <c r="K43" s="75" t="s">
        <v>72</v>
      </c>
      <c r="L43" s="29"/>
      <c r="M43" s="61"/>
      <c r="N43" s="61"/>
      <c r="O43" s="29"/>
    </row>
    <row r="44" customFormat="1" ht="18" customHeight="1" spans="1:15">
      <c r="A44" s="48"/>
      <c r="B44" s="12"/>
      <c r="C44" s="49"/>
      <c r="D44" s="50"/>
      <c r="E44" s="51"/>
      <c r="F44" s="12"/>
      <c r="G44" s="52"/>
      <c r="H44" s="20">
        <v>43985</v>
      </c>
      <c r="I44" s="12">
        <v>-755000</v>
      </c>
      <c r="J44" s="61" t="s">
        <v>73</v>
      </c>
      <c r="K44" s="146" t="s">
        <v>74</v>
      </c>
      <c r="L44" s="29"/>
      <c r="M44" s="61"/>
      <c r="N44" s="61"/>
      <c r="O44" s="29"/>
    </row>
    <row r="45" customFormat="1" ht="18" customHeight="1" spans="1:15">
      <c r="A45" s="48"/>
      <c r="B45" s="12">
        <f>ROUND(G45/(1+E45),2)</f>
        <v>0</v>
      </c>
      <c r="C45" s="49"/>
      <c r="D45" s="50"/>
      <c r="E45" s="51"/>
      <c r="F45" s="12">
        <f>ROUND(G45/(1+E45)*E45,2)</f>
        <v>0</v>
      </c>
      <c r="G45" s="52"/>
      <c r="H45" s="20">
        <v>43964</v>
      </c>
      <c r="I45" s="12">
        <v>100</v>
      </c>
      <c r="J45" s="61" t="s">
        <v>71</v>
      </c>
      <c r="K45" s="75" t="s">
        <v>72</v>
      </c>
      <c r="L45" s="29"/>
      <c r="M45" s="61"/>
      <c r="N45" s="61"/>
      <c r="O45" s="29"/>
    </row>
    <row r="46" customFormat="1" ht="18" customHeight="1" spans="1:15">
      <c r="A46" s="48"/>
      <c r="B46" s="12">
        <f>ROUND(G46/(1+E46),2)</f>
        <v>0</v>
      </c>
      <c r="C46" s="49"/>
      <c r="D46" s="50"/>
      <c r="E46" s="51"/>
      <c r="F46" s="12">
        <f>ROUND(G46/(1+E46)*E46,2)</f>
        <v>0</v>
      </c>
      <c r="G46" s="52"/>
      <c r="H46" s="20" t="s">
        <v>75</v>
      </c>
      <c r="I46" s="12">
        <v>2252</v>
      </c>
      <c r="J46" s="61" t="s">
        <v>71</v>
      </c>
      <c r="K46" s="69" t="s">
        <v>76</v>
      </c>
      <c r="L46" s="29"/>
      <c r="M46" s="61"/>
      <c r="N46" s="61"/>
      <c r="O46" s="29"/>
    </row>
    <row r="47" customFormat="1" ht="18" customHeight="1" spans="1:15">
      <c r="A47" s="48"/>
      <c r="B47" s="12">
        <f>ROUND(G47/(1+E47),2)</f>
        <v>0</v>
      </c>
      <c r="C47" s="49"/>
      <c r="D47" s="50"/>
      <c r="E47" s="51"/>
      <c r="F47" s="12">
        <f>ROUND(G47/(1+E47)*E47,2)</f>
        <v>0</v>
      </c>
      <c r="G47" s="52"/>
      <c r="H47" s="20" t="s">
        <v>75</v>
      </c>
      <c r="I47" s="12">
        <v>24540</v>
      </c>
      <c r="J47" s="61" t="s">
        <v>71</v>
      </c>
      <c r="K47" s="74" t="s">
        <v>77</v>
      </c>
      <c r="L47" s="29"/>
      <c r="M47" s="61"/>
      <c r="N47" s="61"/>
      <c r="O47" s="29"/>
    </row>
    <row r="48" customFormat="1" ht="18" customHeight="1" spans="1:15">
      <c r="A48" s="48"/>
      <c r="B48" s="12">
        <f>ROUND(G48/(1+E48),2)</f>
        <v>0</v>
      </c>
      <c r="C48" s="49"/>
      <c r="D48" s="50"/>
      <c r="E48" s="51"/>
      <c r="F48" s="12">
        <f>ROUND(G48/(1+E48)*E48,2)</f>
        <v>0</v>
      </c>
      <c r="G48" s="52"/>
      <c r="H48" s="20" t="s">
        <v>75</v>
      </c>
      <c r="I48" s="12">
        <v>20450</v>
      </c>
      <c r="J48" s="61" t="s">
        <v>71</v>
      </c>
      <c r="K48" s="77" t="s">
        <v>78</v>
      </c>
      <c r="L48" s="29"/>
      <c r="M48" s="61"/>
      <c r="N48" s="61"/>
      <c r="O48" s="29"/>
    </row>
    <row r="49" customFormat="1" ht="18" customHeight="1" spans="1:15">
      <c r="A49" s="48"/>
      <c r="B49" s="12">
        <f>ROUND(G49/(1+E49),2)</f>
        <v>0</v>
      </c>
      <c r="C49" s="49"/>
      <c r="D49" s="50"/>
      <c r="E49" s="51"/>
      <c r="F49" s="12">
        <f>ROUND(G49/(1+E49)*E49,2)</f>
        <v>0</v>
      </c>
      <c r="G49" s="52"/>
      <c r="H49" s="20" t="s">
        <v>75</v>
      </c>
      <c r="I49" s="12">
        <v>200</v>
      </c>
      <c r="J49" s="61" t="s">
        <v>71</v>
      </c>
      <c r="K49" s="75" t="s">
        <v>72</v>
      </c>
      <c r="L49" s="29"/>
      <c r="M49" s="61"/>
      <c r="N49" s="61"/>
      <c r="O49" s="29"/>
    </row>
    <row r="50" customFormat="1" ht="18" customHeight="1" spans="1:15">
      <c r="A50" s="48"/>
      <c r="B50" s="12"/>
      <c r="C50" s="49"/>
      <c r="D50" s="50"/>
      <c r="E50" s="51"/>
      <c r="F50" s="12"/>
      <c r="G50" s="52"/>
      <c r="H50" s="20" t="s">
        <v>79</v>
      </c>
      <c r="I50" s="12">
        <v>200</v>
      </c>
      <c r="J50" s="61" t="s">
        <v>71</v>
      </c>
      <c r="K50" s="75" t="s">
        <v>72</v>
      </c>
      <c r="L50" s="29"/>
      <c r="M50" s="61"/>
      <c r="N50" s="61"/>
      <c r="O50" s="29"/>
    </row>
    <row r="51" customFormat="1" ht="18" customHeight="1" spans="1:15">
      <c r="A51" s="48"/>
      <c r="B51" s="12">
        <f>ROUND(G51/(1+E51),2)</f>
        <v>0</v>
      </c>
      <c r="C51" s="49"/>
      <c r="D51" s="50"/>
      <c r="E51" s="51"/>
      <c r="F51" s="12">
        <f t="shared" ref="F51:F68" si="7">ROUND(G51/(1+E51)*E51,2)</f>
        <v>0</v>
      </c>
      <c r="G51" s="52"/>
      <c r="H51" s="20" t="s">
        <v>79</v>
      </c>
      <c r="I51" s="12"/>
      <c r="J51" s="61" t="s">
        <v>80</v>
      </c>
      <c r="K51" s="75" t="s">
        <v>81</v>
      </c>
      <c r="L51" s="29"/>
      <c r="M51" s="61"/>
      <c r="N51" s="61"/>
      <c r="O51" s="29"/>
    </row>
    <row r="52" s="1" customFormat="1" ht="18" customHeight="1" spans="1:15">
      <c r="A52" s="31"/>
      <c r="B52" s="12">
        <f t="shared" ref="B52:B66" si="8">ROUND(G52/(1+E52),2)</f>
        <v>0</v>
      </c>
      <c r="C52" s="33"/>
      <c r="D52" s="34"/>
      <c r="E52" s="35"/>
      <c r="F52" s="12">
        <f t="shared" si="7"/>
        <v>0</v>
      </c>
      <c r="G52" s="23"/>
      <c r="H52" s="20" t="s">
        <v>79</v>
      </c>
      <c r="I52" s="12">
        <v>755000</v>
      </c>
      <c r="J52" s="61" t="s">
        <v>71</v>
      </c>
      <c r="K52" s="74" t="s">
        <v>82</v>
      </c>
      <c r="L52" s="64"/>
      <c r="M52" s="65"/>
      <c r="N52" s="65"/>
      <c r="O52" s="64"/>
    </row>
    <row r="53" s="1" customFormat="1" ht="18" customHeight="1" spans="1:15">
      <c r="A53" s="31"/>
      <c r="B53" s="12">
        <f t="shared" si="8"/>
        <v>0</v>
      </c>
      <c r="C53" s="33"/>
      <c r="D53" s="34"/>
      <c r="E53" s="35"/>
      <c r="F53" s="12">
        <f t="shared" si="7"/>
        <v>0</v>
      </c>
      <c r="G53" s="23"/>
      <c r="H53" s="20" t="s">
        <v>79</v>
      </c>
      <c r="I53" s="12">
        <v>21340</v>
      </c>
      <c r="J53" s="61" t="s">
        <v>71</v>
      </c>
      <c r="K53" s="74" t="s">
        <v>83</v>
      </c>
      <c r="L53" s="64"/>
      <c r="M53" s="65"/>
      <c r="N53" s="61"/>
      <c r="O53" s="64"/>
    </row>
    <row r="54" s="1" customFormat="1" ht="18" customHeight="1" spans="1:15">
      <c r="A54" s="31"/>
      <c r="B54" s="12">
        <f t="shared" si="8"/>
        <v>0</v>
      </c>
      <c r="C54" s="33"/>
      <c r="D54" s="34"/>
      <c r="E54" s="35"/>
      <c r="F54" s="12">
        <f t="shared" si="7"/>
        <v>0</v>
      </c>
      <c r="G54" s="23"/>
      <c r="H54" s="20" t="s">
        <v>79</v>
      </c>
      <c r="I54" s="12">
        <v>1964</v>
      </c>
      <c r="J54" s="61" t="s">
        <v>71</v>
      </c>
      <c r="K54" s="69" t="s">
        <v>84</v>
      </c>
      <c r="L54" s="69"/>
      <c r="M54" s="65"/>
      <c r="N54" s="65"/>
      <c r="O54" s="64"/>
    </row>
    <row r="55" s="1" customFormat="1" ht="18" customHeight="1" spans="1:15">
      <c r="A55" s="31"/>
      <c r="B55" s="12">
        <f t="shared" si="8"/>
        <v>17832.35</v>
      </c>
      <c r="C55" s="33"/>
      <c r="D55" s="34"/>
      <c r="E55" s="35"/>
      <c r="F55" s="12">
        <f t="shared" si="7"/>
        <v>0</v>
      </c>
      <c r="G55" s="23">
        <f>17832.35</f>
        <v>17832.35</v>
      </c>
      <c r="H55" s="20" t="s">
        <v>79</v>
      </c>
      <c r="I55" s="12">
        <f>G55</f>
        <v>17832.35</v>
      </c>
      <c r="J55" s="61" t="s">
        <v>71</v>
      </c>
      <c r="K55" s="77" t="s">
        <v>78</v>
      </c>
      <c r="L55" s="69"/>
      <c r="M55" s="65"/>
      <c r="N55" s="65"/>
      <c r="O55" s="64"/>
    </row>
    <row r="56" s="1" customFormat="1" ht="18" customHeight="1" spans="1:15">
      <c r="A56" s="31"/>
      <c r="B56" s="12">
        <f t="shared" si="8"/>
        <v>0</v>
      </c>
      <c r="C56" s="33"/>
      <c r="D56" s="34"/>
      <c r="E56" s="35"/>
      <c r="F56" s="12">
        <f t="shared" si="7"/>
        <v>0</v>
      </c>
      <c r="G56" s="23"/>
      <c r="H56" s="20"/>
      <c r="I56" s="12">
        <v>16514</v>
      </c>
      <c r="J56" s="61" t="s">
        <v>71</v>
      </c>
      <c r="K56" s="69" t="s">
        <v>9</v>
      </c>
      <c r="L56" s="69"/>
      <c r="M56" s="65"/>
      <c r="N56" s="65"/>
      <c r="O56" s="64"/>
    </row>
    <row r="57" s="1" customFormat="1" ht="18" customHeight="1" spans="1:17">
      <c r="A57" s="31"/>
      <c r="B57" s="12">
        <f t="shared" si="8"/>
        <v>0</v>
      </c>
      <c r="C57" s="33"/>
      <c r="D57" s="34"/>
      <c r="E57" s="35"/>
      <c r="F57" s="12">
        <f t="shared" si="7"/>
        <v>0</v>
      </c>
      <c r="G57" s="23"/>
      <c r="H57" s="20"/>
      <c r="I57" s="12">
        <v>2552</v>
      </c>
      <c r="J57" s="61" t="s">
        <v>71</v>
      </c>
      <c r="K57" s="69" t="s">
        <v>85</v>
      </c>
      <c r="L57" s="69"/>
      <c r="M57" s="65"/>
      <c r="N57" s="65"/>
      <c r="O57" s="64"/>
      <c r="Q57" s="1">
        <f>P31*0.25</f>
        <v>755000</v>
      </c>
    </row>
    <row r="58" s="1" customFormat="1" ht="18" customHeight="1" spans="1:15">
      <c r="A58" s="31"/>
      <c r="B58" s="12">
        <f t="shared" si="8"/>
        <v>0</v>
      </c>
      <c r="C58" s="33"/>
      <c r="D58" s="34"/>
      <c r="E58" s="35"/>
      <c r="F58" s="12">
        <f t="shared" si="7"/>
        <v>0</v>
      </c>
      <c r="G58" s="23"/>
      <c r="H58" s="20"/>
      <c r="I58" s="12">
        <v>-17678</v>
      </c>
      <c r="J58" s="61" t="s">
        <v>73</v>
      </c>
      <c r="K58" s="69" t="s">
        <v>86</v>
      </c>
      <c r="L58" s="69"/>
      <c r="M58" s="65"/>
      <c r="N58" s="65"/>
      <c r="O58" s="64"/>
    </row>
    <row r="59" s="1" customFormat="1" ht="18" customHeight="1" spans="1:15">
      <c r="A59" s="31"/>
      <c r="B59" s="12">
        <f t="shared" si="8"/>
        <v>0</v>
      </c>
      <c r="C59" s="33"/>
      <c r="D59" s="34"/>
      <c r="E59" s="35"/>
      <c r="F59" s="12">
        <f t="shared" si="7"/>
        <v>0</v>
      </c>
      <c r="G59" s="23"/>
      <c r="H59" s="20"/>
      <c r="I59" s="12">
        <v>17678</v>
      </c>
      <c r="J59" s="61" t="s">
        <v>80</v>
      </c>
      <c r="K59" s="69" t="s">
        <v>87</v>
      </c>
      <c r="L59" s="69"/>
      <c r="M59" s="65"/>
      <c r="N59" s="65"/>
      <c r="O59" s="64"/>
    </row>
    <row r="60" s="1" customFormat="1" ht="18" customHeight="1" spans="1:15">
      <c r="A60" s="31"/>
      <c r="B60" s="12">
        <f t="shared" si="8"/>
        <v>0</v>
      </c>
      <c r="C60" s="33"/>
      <c r="D60" s="34"/>
      <c r="E60" s="35"/>
      <c r="F60" s="12">
        <f t="shared" si="7"/>
        <v>0</v>
      </c>
      <c r="G60" s="23"/>
      <c r="H60" s="20"/>
      <c r="I60" s="12">
        <v>57819</v>
      </c>
      <c r="J60" s="61" t="s">
        <v>71</v>
      </c>
      <c r="K60" s="69" t="s">
        <v>9</v>
      </c>
      <c r="L60" s="69"/>
      <c r="M60" s="65"/>
      <c r="N60" s="65"/>
      <c r="O60" s="64"/>
    </row>
    <row r="61" s="1" customFormat="1" ht="18" customHeight="1" spans="1:15">
      <c r="A61" s="31"/>
      <c r="B61" s="12">
        <f t="shared" si="8"/>
        <v>0</v>
      </c>
      <c r="C61" s="33"/>
      <c r="D61" s="34"/>
      <c r="E61" s="35"/>
      <c r="F61" s="12">
        <f t="shared" si="7"/>
        <v>0</v>
      </c>
      <c r="G61" s="23"/>
      <c r="H61" s="20"/>
      <c r="I61" s="12">
        <v>8962</v>
      </c>
      <c r="J61" s="61" t="s">
        <v>71</v>
      </c>
      <c r="K61" s="74" t="s">
        <v>88</v>
      </c>
      <c r="L61" s="64"/>
      <c r="M61" s="65"/>
      <c r="N61" s="65"/>
      <c r="O61" s="64"/>
    </row>
    <row r="62" s="1" customFormat="1" ht="18" customHeight="1" spans="1:15">
      <c r="A62" s="31"/>
      <c r="B62" s="12">
        <f t="shared" si="8"/>
        <v>0</v>
      </c>
      <c r="C62" s="33"/>
      <c r="D62" s="34"/>
      <c r="E62" s="35"/>
      <c r="F62" s="12">
        <f t="shared" si="7"/>
        <v>0</v>
      </c>
      <c r="G62" s="23"/>
      <c r="H62" s="20"/>
      <c r="I62" s="12">
        <v>477502</v>
      </c>
      <c r="J62" s="61" t="s">
        <v>71</v>
      </c>
      <c r="K62" s="74" t="s">
        <v>89</v>
      </c>
      <c r="L62" s="64"/>
      <c r="M62" s="65"/>
      <c r="N62" s="65"/>
      <c r="O62" s="64"/>
    </row>
    <row r="63" s="1" customFormat="1" ht="18" customHeight="1" spans="1:15">
      <c r="A63" s="31"/>
      <c r="B63" s="32">
        <f t="shared" si="8"/>
        <v>0</v>
      </c>
      <c r="C63" s="33"/>
      <c r="D63" s="34"/>
      <c r="E63" s="35"/>
      <c r="F63" s="12">
        <f t="shared" si="7"/>
        <v>0</v>
      </c>
      <c r="G63" s="23"/>
      <c r="H63" s="20"/>
      <c r="I63" s="12">
        <v>-370000</v>
      </c>
      <c r="J63" s="61" t="s">
        <v>73</v>
      </c>
      <c r="K63" s="74" t="s">
        <v>80</v>
      </c>
      <c r="L63" s="64"/>
      <c r="M63" s="65"/>
      <c r="N63" s="65"/>
      <c r="O63" s="64"/>
    </row>
    <row r="64" s="1" customFormat="1" ht="18" customHeight="1" spans="1:15">
      <c r="A64" s="31"/>
      <c r="B64" s="32">
        <f t="shared" si="8"/>
        <v>0</v>
      </c>
      <c r="C64" s="33"/>
      <c r="D64" s="34"/>
      <c r="E64" s="35"/>
      <c r="F64" s="32">
        <f t="shared" si="7"/>
        <v>0</v>
      </c>
      <c r="G64" s="23"/>
      <c r="H64" s="20"/>
      <c r="I64" s="12">
        <v>370000</v>
      </c>
      <c r="J64" s="61" t="s">
        <v>80</v>
      </c>
      <c r="K64" s="74"/>
      <c r="L64" s="64"/>
      <c r="M64" s="65"/>
      <c r="N64" s="65"/>
      <c r="O64" s="64"/>
    </row>
    <row r="65" s="1" customFormat="1" ht="18" customHeight="1" spans="1:15">
      <c r="A65" s="31"/>
      <c r="B65" s="32">
        <f t="shared" si="8"/>
        <v>0</v>
      </c>
      <c r="C65" s="33"/>
      <c r="D65" s="34"/>
      <c r="E65" s="35"/>
      <c r="F65" s="32">
        <f t="shared" si="7"/>
        <v>0</v>
      </c>
      <c r="G65" s="23"/>
      <c r="H65" s="20"/>
      <c r="I65" s="12">
        <v>87273</v>
      </c>
      <c r="J65" s="61" t="s">
        <v>71</v>
      </c>
      <c r="K65" s="74" t="s">
        <v>90</v>
      </c>
      <c r="L65" s="64"/>
      <c r="M65" s="65"/>
      <c r="N65" s="65"/>
      <c r="O65" s="64"/>
    </row>
    <row r="66" s="1" customFormat="1" ht="18" customHeight="1" spans="1:15">
      <c r="A66" s="31"/>
      <c r="B66" s="32">
        <f t="shared" si="8"/>
        <v>0</v>
      </c>
      <c r="C66" s="33"/>
      <c r="D66" s="34"/>
      <c r="E66" s="35"/>
      <c r="F66" s="32">
        <f t="shared" si="7"/>
        <v>0</v>
      </c>
      <c r="G66" s="23"/>
      <c r="H66" s="20"/>
      <c r="I66" s="12">
        <v>80957</v>
      </c>
      <c r="J66" s="61" t="s">
        <v>71</v>
      </c>
      <c r="K66" s="74" t="s">
        <v>91</v>
      </c>
      <c r="L66" s="64"/>
      <c r="M66" s="65"/>
      <c r="N66" s="65"/>
      <c r="O66" s="64"/>
    </row>
    <row r="67" s="1" customFormat="1" ht="18" customHeight="1" spans="1:15">
      <c r="A67" s="31"/>
      <c r="B67" s="32">
        <f t="shared" ref="B67" si="9">ROUND(G67/(1+E67),2)</f>
        <v>0</v>
      </c>
      <c r="C67" s="33"/>
      <c r="D67" s="34"/>
      <c r="E67" s="35"/>
      <c r="F67" s="32">
        <f t="shared" si="7"/>
        <v>0</v>
      </c>
      <c r="G67" s="23"/>
      <c r="H67" s="20"/>
      <c r="I67" s="12">
        <v>500</v>
      </c>
      <c r="J67" s="61" t="s">
        <v>71</v>
      </c>
      <c r="K67" s="77" t="s">
        <v>92</v>
      </c>
      <c r="L67" s="64"/>
      <c r="M67" s="65"/>
      <c r="N67" s="65"/>
      <c r="O67" s="64"/>
    </row>
    <row r="68" s="1" customFormat="1" ht="18" customHeight="1" spans="1:15">
      <c r="A68" s="31"/>
      <c r="B68" s="32">
        <f t="shared" ref="B68" si="10">ROUND(G68/(1+E68),2)</f>
        <v>98000</v>
      </c>
      <c r="C68" s="33"/>
      <c r="D68" s="34"/>
      <c r="E68" s="35"/>
      <c r="F68" s="32">
        <f t="shared" si="7"/>
        <v>0</v>
      </c>
      <c r="G68" s="23">
        <f>30000+53000+15000</f>
        <v>98000</v>
      </c>
      <c r="H68" s="20"/>
      <c r="I68" s="12">
        <f>G68</f>
        <v>98000</v>
      </c>
      <c r="J68" s="61" t="s">
        <v>71</v>
      </c>
      <c r="K68" s="77" t="s">
        <v>78</v>
      </c>
      <c r="L68" s="64"/>
      <c r="M68" s="65"/>
      <c r="N68" s="65"/>
      <c r="O68" s="64"/>
    </row>
    <row r="69" ht="18" customHeight="1" spans="1:15">
      <c r="A69" s="27" t="s">
        <v>25</v>
      </c>
      <c r="B69" s="26">
        <f>SUM(B15:B68)</f>
        <v>25106977.41</v>
      </c>
      <c r="C69" s="27"/>
      <c r="D69" s="89"/>
      <c r="E69" s="89"/>
      <c r="F69" s="28">
        <f>SUM(F15:F68)</f>
        <v>1810911.09</v>
      </c>
      <c r="G69" s="27">
        <f>SUM(G15:G68)</f>
        <v>26917888.5</v>
      </c>
      <c r="H69" s="29"/>
      <c r="I69" s="27">
        <f>SUM(I15:I68)</f>
        <v>27104569.64</v>
      </c>
      <c r="J69" s="29"/>
      <c r="K69" s="118"/>
      <c r="L69" s="29"/>
      <c r="M69" s="61"/>
      <c r="N69" s="61"/>
      <c r="O69" s="29"/>
    </row>
    <row r="70" ht="18" customHeight="1" spans="1:14">
      <c r="A70" s="91" t="s">
        <v>93</v>
      </c>
      <c r="B70" s="91">
        <f>B12*0.976</f>
        <v>24270666.4874062</v>
      </c>
      <c r="C70" s="91"/>
      <c r="D70" s="92"/>
      <c r="E70" s="92"/>
      <c r="F70" s="91">
        <f>F12-F69</f>
        <v>80722.0317681399</v>
      </c>
      <c r="G70" s="91"/>
      <c r="H70" s="19" t="s">
        <v>94</v>
      </c>
      <c r="I70" s="27">
        <f>I12-I69</f>
        <v>151899.359999999</v>
      </c>
      <c r="J70" s="7"/>
      <c r="K70" s="119"/>
      <c r="L70" s="7">
        <f>(I48+I55+I68)/I12</f>
        <v>0.00500000018344269</v>
      </c>
      <c r="M70" s="8"/>
      <c r="N70" s="8"/>
    </row>
    <row r="71" ht="18" customHeight="1" spans="1:18">
      <c r="A71" s="91" t="s">
        <v>95</v>
      </c>
      <c r="B71" s="91">
        <f>B70-B69</f>
        <v>-836310.922593832</v>
      </c>
      <c r="C71" s="91"/>
      <c r="D71" s="92"/>
      <c r="E71" s="92"/>
      <c r="F71" s="91"/>
      <c r="G71" s="91"/>
      <c r="H71" s="94"/>
      <c r="I71" s="91"/>
      <c r="J71" s="7"/>
      <c r="K71" s="119"/>
      <c r="M71" s="8"/>
      <c r="N71" s="8"/>
      <c r="R71" s="7" t="s">
        <v>96</v>
      </c>
    </row>
    <row r="72" ht="18" customHeight="1" spans="1:7">
      <c r="A72" s="3" t="s">
        <v>97</v>
      </c>
      <c r="C72" s="3"/>
      <c r="F72" s="95"/>
      <c r="G72" s="95"/>
    </row>
    <row r="73" ht="18" customHeight="1" spans="1:12">
      <c r="A73" s="19" t="s">
        <v>98</v>
      </c>
      <c r="B73" s="18" t="s">
        <v>99</v>
      </c>
      <c r="C73" s="29"/>
      <c r="D73" s="19" t="s">
        <v>98</v>
      </c>
      <c r="E73" s="18" t="s">
        <v>17</v>
      </c>
      <c r="F73" s="18" t="s">
        <v>99</v>
      </c>
      <c r="G73" s="137" t="s">
        <v>100</v>
      </c>
      <c r="H73" s="137" t="s">
        <v>101</v>
      </c>
      <c r="I73" s="137" t="s">
        <v>102</v>
      </c>
      <c r="K73" s="137" t="s">
        <v>103</v>
      </c>
      <c r="L73" s="137" t="s">
        <v>104</v>
      </c>
    </row>
    <row r="74" ht="18" customHeight="1" spans="1:12">
      <c r="A74" s="29" t="s">
        <v>105</v>
      </c>
      <c r="B74" s="32">
        <f>(B12*0.936-B69)*0.25</f>
        <v>-457752.59219975</v>
      </c>
      <c r="C74" s="29"/>
      <c r="D74" s="138" t="s">
        <v>106</v>
      </c>
      <c r="E74" s="139" t="s">
        <v>107</v>
      </c>
      <c r="F74" s="28">
        <f>F12-F69</f>
        <v>80722.0317681399</v>
      </c>
      <c r="G74" s="140">
        <v>68985</v>
      </c>
      <c r="H74" s="140">
        <f>F8-F17-F19-F22-F23-F24</f>
        <v>434092.030909091</v>
      </c>
      <c r="I74" s="149">
        <f>F9-F32</f>
        <v>189747.930458716</v>
      </c>
      <c r="K74" s="140">
        <v>0</v>
      </c>
      <c r="L74" s="149">
        <f>F9+F10+F11-F32-F33-F34-F36</f>
        <v>37979.264495413</v>
      </c>
    </row>
    <row r="75" ht="18" customHeight="1" spans="1:12">
      <c r="A75" s="29" t="s">
        <v>108</v>
      </c>
      <c r="B75" s="102">
        <f>G12*0.0003</f>
        <v>8176.9407</v>
      </c>
      <c r="C75" s="29"/>
      <c r="D75" s="141" t="s">
        <v>109</v>
      </c>
      <c r="E75" s="14">
        <v>0.05</v>
      </c>
      <c r="F75" s="12">
        <f>F74*E75</f>
        <v>4036.101588407</v>
      </c>
      <c r="G75" s="67">
        <v>3449.25</v>
      </c>
      <c r="H75" s="67">
        <f>H74*E75</f>
        <v>21704.6015454545</v>
      </c>
      <c r="I75" s="151">
        <f>I74*E75</f>
        <v>9487.39652293578</v>
      </c>
      <c r="K75" s="67">
        <v>0</v>
      </c>
      <c r="L75" s="151">
        <f>L74*E75</f>
        <v>1898.96322477065</v>
      </c>
    </row>
    <row r="76" ht="18" customHeight="1" spans="1:12">
      <c r="A76" s="29" t="s">
        <v>110</v>
      </c>
      <c r="B76" s="102">
        <f>B12*0.0006</f>
        <v>14920.4916930776</v>
      </c>
      <c r="C76" s="29"/>
      <c r="D76" s="141" t="s">
        <v>111</v>
      </c>
      <c r="E76" s="14">
        <v>0.03</v>
      </c>
      <c r="F76" s="12">
        <f>F74*E76</f>
        <v>2421.6609530442</v>
      </c>
      <c r="G76" s="67">
        <v>2069.55</v>
      </c>
      <c r="H76" s="67">
        <f>H74*E76</f>
        <v>13022.7609272727</v>
      </c>
      <c r="I76" s="151">
        <f>I74*E76</f>
        <v>5692.43791376147</v>
      </c>
      <c r="K76" s="67">
        <v>0</v>
      </c>
      <c r="L76" s="151">
        <f>L74*E76</f>
        <v>1139.37793486239</v>
      </c>
    </row>
    <row r="77" ht="18" customHeight="1" spans="1:12">
      <c r="A77" s="29"/>
      <c r="B77" s="29"/>
      <c r="C77" s="29"/>
      <c r="D77" s="141" t="s">
        <v>112</v>
      </c>
      <c r="E77" s="14">
        <v>0.02</v>
      </c>
      <c r="F77" s="12">
        <f>F74*E77</f>
        <v>1614.4406353628</v>
      </c>
      <c r="G77" s="67">
        <v>1379.7</v>
      </c>
      <c r="H77" s="67">
        <f>H74*E77</f>
        <v>8681.84061818182</v>
      </c>
      <c r="I77" s="151">
        <f>I74*E77</f>
        <v>3794.95860917431</v>
      </c>
      <c r="K77" s="67">
        <v>0</v>
      </c>
      <c r="L77" s="151">
        <f>L74*E77</f>
        <v>759.58528990826</v>
      </c>
    </row>
    <row r="78" ht="18" customHeight="1" spans="1:12">
      <c r="A78" s="25" t="s">
        <v>113</v>
      </c>
      <c r="B78" s="26">
        <f t="shared" ref="B78:I78" si="11">SUM(B74:B77)</f>
        <v>-434655.159806673</v>
      </c>
      <c r="C78" s="29"/>
      <c r="D78" s="138" t="s">
        <v>113</v>
      </c>
      <c r="E78" s="138"/>
      <c r="F78" s="28">
        <f t="shared" si="11"/>
        <v>88794.2349449539</v>
      </c>
      <c r="G78" s="28">
        <f t="shared" si="11"/>
        <v>75883.5</v>
      </c>
      <c r="H78" s="28">
        <f t="shared" si="11"/>
        <v>477501.234</v>
      </c>
      <c r="I78" s="153">
        <f t="shared" si="11"/>
        <v>208722.723504587</v>
      </c>
      <c r="K78" s="28">
        <v>0</v>
      </c>
      <c r="L78" s="153">
        <f>SUM(L74:L77)</f>
        <v>41777.1909449543</v>
      </c>
    </row>
    <row r="79" ht="21.95" customHeight="1" spans="3:14">
      <c r="C79" s="3"/>
      <c r="D79" s="29" t="s">
        <v>108</v>
      </c>
      <c r="E79" s="142">
        <v>0.0003</v>
      </c>
      <c r="F79" s="67">
        <f>G12*E79</f>
        <v>8176.9407</v>
      </c>
      <c r="G79" s="143">
        <v>1800</v>
      </c>
      <c r="H79" s="143">
        <f>G8*E79</f>
        <v>3180</v>
      </c>
      <c r="I79" s="143"/>
      <c r="J79" s="154"/>
      <c r="K79" s="143">
        <f>G9*E79</f>
        <v>900</v>
      </c>
      <c r="L79" s="29"/>
      <c r="M79" s="29"/>
      <c r="N79" s="29"/>
    </row>
    <row r="80" ht="21.95" customHeight="1" spans="3:14">
      <c r="C80" s="3"/>
      <c r="D80" s="29" t="s">
        <v>110</v>
      </c>
      <c r="E80" s="142">
        <v>0.0006</v>
      </c>
      <c r="F80" s="67">
        <f>B12*E80</f>
        <v>14920.4916930776</v>
      </c>
      <c r="G80" s="67">
        <v>3272.73</v>
      </c>
      <c r="H80" s="67">
        <f>B8*E80</f>
        <v>5781.81818181818</v>
      </c>
      <c r="I80" s="151"/>
      <c r="K80" s="67">
        <f>B9*E80</f>
        <v>1651.37614678899</v>
      </c>
      <c r="L80" s="29"/>
      <c r="M80" s="29">
        <f>B10*E80</f>
        <v>1963.19394495413</v>
      </c>
      <c r="N80" s="29">
        <f>B11*E80</f>
        <v>2251.37614678899</v>
      </c>
    </row>
    <row r="81" ht="21.95" customHeight="1" spans="3:14">
      <c r="C81" s="3"/>
      <c r="D81" s="28" t="s">
        <v>113</v>
      </c>
      <c r="E81" s="144"/>
      <c r="F81" s="140">
        <f t="shared" ref="F81:H81" si="12">F79+F80</f>
        <v>23097.4323930776</v>
      </c>
      <c r="G81" s="140">
        <f t="shared" si="12"/>
        <v>5072.73</v>
      </c>
      <c r="H81" s="140">
        <f t="shared" si="12"/>
        <v>8961.81818181818</v>
      </c>
      <c r="I81" s="149"/>
      <c r="K81" s="149">
        <f>K79+K80</f>
        <v>2551.37614678899</v>
      </c>
      <c r="L81" s="29"/>
      <c r="M81" s="29"/>
      <c r="N81" s="29"/>
    </row>
    <row r="82" ht="21.95" customHeight="1" spans="3:14">
      <c r="C82" s="3"/>
      <c r="D82" s="28" t="s">
        <v>25</v>
      </c>
      <c r="E82" s="144"/>
      <c r="F82" s="140">
        <f t="shared" ref="F82:H82" si="13">F78+F81</f>
        <v>111891.667338031</v>
      </c>
      <c r="G82" s="140">
        <f t="shared" si="13"/>
        <v>80956.23</v>
      </c>
      <c r="H82" s="140">
        <f t="shared" si="13"/>
        <v>486463.052181818</v>
      </c>
      <c r="I82" s="149"/>
      <c r="K82" s="149">
        <f>K81</f>
        <v>2551.37614678899</v>
      </c>
      <c r="L82" s="29"/>
      <c r="M82" s="29"/>
      <c r="N82" s="29"/>
    </row>
    <row r="83" ht="21.95" customHeight="1" spans="3:14">
      <c r="C83" s="3"/>
      <c r="D83" s="28" t="s">
        <v>105</v>
      </c>
      <c r="E83" s="144">
        <v>0.016</v>
      </c>
      <c r="F83" s="140">
        <f>B12*E83</f>
        <v>397879.778482068</v>
      </c>
      <c r="G83" s="140">
        <v>87272.73</v>
      </c>
      <c r="H83" s="140"/>
      <c r="I83" s="149"/>
      <c r="K83" s="149"/>
      <c r="L83" s="29"/>
      <c r="M83" s="29"/>
      <c r="N83" s="29"/>
    </row>
    <row r="84" ht="21.95" customHeight="1" spans="3:14">
      <c r="C84" s="3"/>
      <c r="D84" s="28" t="s">
        <v>105</v>
      </c>
      <c r="E84" s="144">
        <v>0.006</v>
      </c>
      <c r="F84" s="140"/>
      <c r="G84" s="140"/>
      <c r="H84" s="140">
        <f>B8*E84</f>
        <v>57818.1818181818</v>
      </c>
      <c r="I84" s="140"/>
      <c r="J84" s="157"/>
      <c r="K84" s="140">
        <f>B9*E84</f>
        <v>16513.7614678899</v>
      </c>
      <c r="L84" s="29"/>
      <c r="M84" s="29">
        <f>G10*E84</f>
        <v>21398.814</v>
      </c>
      <c r="N84" s="29">
        <f>G11*E84</f>
        <v>24540</v>
      </c>
    </row>
    <row r="85" ht="21.95" customHeight="1" spans="3:12">
      <c r="C85" s="3"/>
      <c r="F85" s="95"/>
      <c r="G85" s="95"/>
      <c r="I85" s="128" t="s">
        <v>114</v>
      </c>
      <c r="L85" s="60" t="s">
        <v>115</v>
      </c>
    </row>
    <row r="86" ht="21.95" customHeight="1" spans="3:18">
      <c r="C86" s="3"/>
      <c r="F86" s="95"/>
      <c r="G86" s="95"/>
      <c r="I86" s="128" t="s">
        <v>116</v>
      </c>
      <c r="L86" s="129" t="s">
        <v>117</v>
      </c>
      <c r="R86" s="7">
        <f>755000/0.25</f>
        <v>3020000</v>
      </c>
    </row>
    <row r="87" ht="21.95" customHeight="1" spans="3:13">
      <c r="C87" s="3"/>
      <c r="F87" s="95"/>
      <c r="G87" s="95"/>
      <c r="H87" s="145" t="s">
        <v>118</v>
      </c>
      <c r="I87" s="4">
        <v>208722.72</v>
      </c>
      <c r="L87" s="131" t="s">
        <v>119</v>
      </c>
      <c r="M87" s="131">
        <f>132185.29-L78</f>
        <v>90408.0990550457</v>
      </c>
    </row>
    <row r="88" ht="21.95" customHeight="1" spans="3:7">
      <c r="C88" s="3"/>
      <c r="F88" s="95"/>
      <c r="G88" s="95"/>
    </row>
    <row r="89" ht="21.95" customHeight="1" spans="3:7">
      <c r="C89" s="3"/>
      <c r="F89" s="95"/>
      <c r="G89" s="95"/>
    </row>
    <row r="90" ht="21.95" customHeight="1" spans="3:7">
      <c r="C90" s="3"/>
      <c r="F90" s="95"/>
      <c r="G90" s="95"/>
    </row>
    <row r="91" ht="21.95" customHeight="1" spans="3:7">
      <c r="C91" s="3"/>
      <c r="F91" s="95"/>
      <c r="G91" s="95"/>
    </row>
    <row r="92" ht="21.95" customHeight="1" spans="3:7">
      <c r="C92" s="3"/>
      <c r="F92" s="95"/>
      <c r="G92" s="95"/>
    </row>
    <row r="93" ht="21.95" customHeight="1" spans="3:7">
      <c r="C93" s="3"/>
      <c r="F93" s="95"/>
      <c r="G93" s="95"/>
    </row>
    <row r="94" ht="21.95" customHeight="1" spans="3:7">
      <c r="C94" s="3"/>
      <c r="F94" s="95"/>
      <c r="G94" s="95"/>
    </row>
    <row r="95" ht="21.95" customHeight="1" spans="3:3">
      <c r="C95" s="3"/>
    </row>
    <row r="96" ht="21.95" customHeight="1" spans="3:3">
      <c r="C96" s="3"/>
    </row>
    <row r="97" ht="21.95" customHeight="1" spans="3:3">
      <c r="C97" s="3"/>
    </row>
    <row r="98" ht="21.95" customHeight="1" spans="3:3">
      <c r="C98" s="3"/>
    </row>
    <row r="99" ht="21.95" customHeight="1" spans="3:3">
      <c r="C99" s="3"/>
    </row>
    <row r="100" ht="21.95" customHeight="1" spans="3:3">
      <c r="C100" s="3"/>
    </row>
    <row r="101" spans="3:3">
      <c r="C101" s="3"/>
    </row>
    <row r="102" spans="3:3">
      <c r="C102" s="3"/>
    </row>
  </sheetData>
  <protectedRanges>
    <protectedRange password="CF54" sqref="L31 K24:L30 K54:L54 L55 K56:L60 K46" name="区域1"/>
    <protectedRange password="CF54" sqref="I30" name="区域1_1"/>
  </protectedRanges>
  <autoFilter ref="A14:R87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I2" sqref="I2"/>
    </sheetView>
  </sheetViews>
  <sheetFormatPr defaultColWidth="9" defaultRowHeight="13.5" outlineLevelRow="5"/>
  <cols>
    <col min="3" max="3" width="15.25" customWidth="1"/>
    <col min="6" max="6" width="5.63333333333333" customWidth="1"/>
    <col min="9" max="9" width="12.6333333333333"/>
  </cols>
  <sheetData>
    <row r="1" spans="1:9">
      <c r="A1" s="19" t="s">
        <v>98</v>
      </c>
      <c r="B1" s="18" t="s">
        <v>17</v>
      </c>
      <c r="C1" s="18" t="s">
        <v>102</v>
      </c>
      <c r="G1" s="19" t="s">
        <v>98</v>
      </c>
      <c r="H1" s="18" t="s">
        <v>17</v>
      </c>
      <c r="I1" s="18" t="s">
        <v>120</v>
      </c>
    </row>
    <row r="2" spans="1:9">
      <c r="A2" s="138" t="s">
        <v>106</v>
      </c>
      <c r="B2" s="139" t="s">
        <v>107</v>
      </c>
      <c r="C2" s="28">
        <v>189747.926822352</v>
      </c>
      <c r="G2" s="138" t="s">
        <v>106</v>
      </c>
      <c r="H2" s="139" t="s">
        <v>107</v>
      </c>
      <c r="I2" s="28">
        <v>120168.444036697</v>
      </c>
    </row>
    <row r="3" spans="1:9">
      <c r="A3" s="141" t="s">
        <v>109</v>
      </c>
      <c r="B3" s="14">
        <v>0.05</v>
      </c>
      <c r="C3" s="12">
        <v>9487.39634111759</v>
      </c>
      <c r="G3" s="141" t="s">
        <v>109</v>
      </c>
      <c r="H3" s="14">
        <v>0.05</v>
      </c>
      <c r="I3" s="12">
        <v>6008.42220183487</v>
      </c>
    </row>
    <row r="4" spans="1:9">
      <c r="A4" s="141" t="s">
        <v>111</v>
      </c>
      <c r="B4" s="14">
        <v>0.03</v>
      </c>
      <c r="C4" s="12">
        <v>5692.43780467056</v>
      </c>
      <c r="G4" s="141" t="s">
        <v>111</v>
      </c>
      <c r="H4" s="14">
        <v>0.03</v>
      </c>
      <c r="I4" s="12">
        <v>3605.05332110092</v>
      </c>
    </row>
    <row r="5" spans="1:9">
      <c r="A5" s="141" t="s">
        <v>112</v>
      </c>
      <c r="B5" s="14">
        <v>0.02</v>
      </c>
      <c r="C5" s="12">
        <v>3794.95853644704</v>
      </c>
      <c r="G5" s="141" t="s">
        <v>112</v>
      </c>
      <c r="H5" s="14">
        <v>0.02</v>
      </c>
      <c r="I5" s="12">
        <v>2403.36888073395</v>
      </c>
    </row>
    <row r="6" spans="1:9">
      <c r="A6" s="138" t="s">
        <v>113</v>
      </c>
      <c r="B6" s="138"/>
      <c r="C6" s="28">
        <v>208722.719504587</v>
      </c>
      <c r="G6" s="138" t="s">
        <v>113</v>
      </c>
      <c r="H6" s="138"/>
      <c r="I6" s="28">
        <v>132185.288440367</v>
      </c>
    </row>
  </sheetData>
  <pageMargins left="0.699305555555556" right="0.699305555555556" top="0.75" bottom="0.75" header="0.3" footer="0.3"/>
  <pageSetup paperSize="9" orientation="portrait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8"/>
  <sheetViews>
    <sheetView topLeftCell="C76" workbookViewId="0">
      <selection activeCell="M93" sqref="M93"/>
    </sheetView>
  </sheetViews>
  <sheetFormatPr defaultColWidth="9" defaultRowHeight="11.25"/>
  <cols>
    <col min="1" max="1" width="10.75" style="3" customWidth="1"/>
    <col min="2" max="2" width="14.1333333333333" style="4" customWidth="1"/>
    <col min="3" max="3" width="6" style="4" customWidth="1"/>
    <col min="4" max="4" width="13.3833333333333" style="4" customWidth="1"/>
    <col min="5" max="5" width="6" style="4" customWidth="1"/>
    <col min="6" max="6" width="12.25" style="4" customWidth="1"/>
    <col min="7" max="7" width="14.1333333333333" style="4" customWidth="1"/>
    <col min="8" max="8" width="13.3833333333333" style="4" customWidth="1"/>
    <col min="9" max="9" width="14" style="4" customWidth="1"/>
    <col min="10" max="10" width="4.75" style="6" customWidth="1"/>
    <col min="11" max="11" width="35.3833333333333" style="7" customWidth="1"/>
    <col min="12" max="12" width="12.75" style="7" customWidth="1"/>
    <col min="13" max="13" width="8" style="7" customWidth="1"/>
    <col min="14" max="14" width="5.63333333333333" style="7" customWidth="1"/>
    <col min="15" max="15" width="10.3833333333333" style="7"/>
    <col min="16" max="16" width="9" style="7"/>
    <col min="17" max="17" width="9" style="7" customWidth="1"/>
    <col min="18" max="16384" width="9" style="7"/>
  </cols>
  <sheetData>
    <row r="1" ht="21.95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7"/>
      <c r="L1" s="17"/>
    </row>
    <row r="2" ht="18" customHeight="1" spans="1:12">
      <c r="A2" s="10" t="s">
        <v>1</v>
      </c>
      <c r="B2" s="11">
        <v>43116</v>
      </c>
      <c r="C2" s="12" t="s">
        <v>2</v>
      </c>
      <c r="D2" s="13">
        <v>41448872</v>
      </c>
      <c r="E2" s="14" t="s">
        <v>3</v>
      </c>
      <c r="F2" s="12" t="s">
        <v>4</v>
      </c>
      <c r="G2" s="14" t="s">
        <v>5</v>
      </c>
      <c r="H2" s="15" t="s">
        <v>6</v>
      </c>
      <c r="I2" s="58"/>
      <c r="J2" s="59"/>
      <c r="K2" s="17"/>
      <c r="L2" s="17"/>
    </row>
    <row r="3" ht="18" customHeight="1" spans="1:13">
      <c r="A3" s="10" t="s">
        <v>7</v>
      </c>
      <c r="B3" s="16"/>
      <c r="C3" s="12" t="s">
        <v>8</v>
      </c>
      <c r="D3" s="12"/>
      <c r="H3" s="17"/>
      <c r="I3" s="17"/>
      <c r="J3" s="17"/>
      <c r="K3" s="17"/>
      <c r="L3" s="17"/>
      <c r="M3" s="60" t="s">
        <v>9</v>
      </c>
    </row>
    <row r="4" ht="18" customHeight="1" spans="1:12">
      <c r="A4" s="3" t="s">
        <v>10</v>
      </c>
      <c r="H4" s="17"/>
      <c r="I4" s="17"/>
      <c r="J4" s="17"/>
      <c r="K4" s="17"/>
      <c r="L4" s="17"/>
    </row>
    <row r="5" ht="18" customHeight="1" spans="1:10">
      <c r="A5" s="18" t="s">
        <v>11</v>
      </c>
      <c r="B5" s="18" t="s">
        <v>12</v>
      </c>
      <c r="C5" s="18" t="s">
        <v>13</v>
      </c>
      <c r="D5" s="18"/>
      <c r="E5" s="18" t="s">
        <v>14</v>
      </c>
      <c r="F5" s="18"/>
      <c r="G5" s="18" t="s">
        <v>15</v>
      </c>
      <c r="H5" s="19" t="s">
        <v>16</v>
      </c>
      <c r="I5" s="19"/>
      <c r="J5" s="19"/>
    </row>
    <row r="6" ht="18" customHeight="1" spans="1:11">
      <c r="A6" s="18"/>
      <c r="B6" s="18"/>
      <c r="C6" s="18" t="s">
        <v>17</v>
      </c>
      <c r="D6" s="18" t="s">
        <v>18</v>
      </c>
      <c r="E6" s="18" t="s">
        <v>17</v>
      </c>
      <c r="F6" s="18" t="s">
        <v>18</v>
      </c>
      <c r="G6" s="18"/>
      <c r="H6" s="19" t="s">
        <v>19</v>
      </c>
      <c r="I6" s="19" t="s">
        <v>20</v>
      </c>
      <c r="J6" s="19" t="s">
        <v>21</v>
      </c>
      <c r="K6" s="7" t="s">
        <v>22</v>
      </c>
    </row>
    <row r="7" ht="18" customHeight="1" spans="1:11">
      <c r="A7" s="20">
        <v>43287</v>
      </c>
      <c r="B7" s="12">
        <f t="shared" ref="B7:B13" si="0">G7/(1+C7+E7)</f>
        <v>5454545.45454545</v>
      </c>
      <c r="C7" s="21">
        <v>0.02</v>
      </c>
      <c r="D7" s="22">
        <f t="shared" ref="D7:D13" si="1">G7/(1+E7+C7)*C7</f>
        <v>109090.909090909</v>
      </c>
      <c r="E7" s="21">
        <v>0.08</v>
      </c>
      <c r="F7" s="12">
        <f t="shared" ref="F7:F13" si="2">G7/(1+C7+E7)*E7</f>
        <v>436363.636363636</v>
      </c>
      <c r="G7" s="23">
        <v>6000000</v>
      </c>
      <c r="H7" s="20">
        <v>43294</v>
      </c>
      <c r="I7" s="12">
        <v>6000000</v>
      </c>
      <c r="J7" s="61" t="s">
        <v>23</v>
      </c>
      <c r="K7" s="7" t="s">
        <v>24</v>
      </c>
    </row>
    <row r="8" ht="18" customHeight="1" spans="1:10">
      <c r="A8" s="20">
        <v>43473</v>
      </c>
      <c r="B8" s="12">
        <f t="shared" si="0"/>
        <v>9636363.63636363</v>
      </c>
      <c r="C8" s="21">
        <v>0.02</v>
      </c>
      <c r="D8" s="22">
        <f t="shared" si="1"/>
        <v>192727.272727273</v>
      </c>
      <c r="E8" s="21">
        <v>0.08</v>
      </c>
      <c r="F8" s="12">
        <f t="shared" si="2"/>
        <v>770909.090909091</v>
      </c>
      <c r="G8" s="23">
        <v>10600000</v>
      </c>
      <c r="H8" s="20">
        <v>43483</v>
      </c>
      <c r="I8" s="12">
        <v>10600000</v>
      </c>
      <c r="J8" s="61" t="s">
        <v>23</v>
      </c>
    </row>
    <row r="9" ht="18" customHeight="1" spans="1:10">
      <c r="A9" s="20">
        <v>43654</v>
      </c>
      <c r="B9" s="12">
        <f t="shared" si="0"/>
        <v>2752293.57798165</v>
      </c>
      <c r="C9" s="21">
        <v>0.02</v>
      </c>
      <c r="D9" s="22">
        <f t="shared" si="1"/>
        <v>55045.871559633</v>
      </c>
      <c r="E9" s="21">
        <v>0.07</v>
      </c>
      <c r="F9" s="12">
        <f t="shared" si="2"/>
        <v>192660.550458716</v>
      </c>
      <c r="G9" s="23">
        <v>3000000</v>
      </c>
      <c r="H9" s="20">
        <v>43661</v>
      </c>
      <c r="I9" s="12">
        <v>3000000</v>
      </c>
      <c r="J9" s="61" t="s">
        <v>23</v>
      </c>
    </row>
    <row r="10" ht="18" customHeight="1" spans="1:11">
      <c r="A10" s="20">
        <v>43816</v>
      </c>
      <c r="B10" s="12">
        <f t="shared" si="0"/>
        <v>3271989.90825688</v>
      </c>
      <c r="C10" s="21">
        <v>0.02</v>
      </c>
      <c r="D10" s="22">
        <f t="shared" si="1"/>
        <v>65439.7981651376</v>
      </c>
      <c r="E10" s="24">
        <v>0.07</v>
      </c>
      <c r="F10" s="12">
        <f t="shared" si="2"/>
        <v>229039.293577982</v>
      </c>
      <c r="G10" s="23">
        <v>3566469</v>
      </c>
      <c r="H10" s="20">
        <v>43819</v>
      </c>
      <c r="I10" s="12">
        <v>3566469</v>
      </c>
      <c r="J10" s="61" t="s">
        <v>23</v>
      </c>
      <c r="K10" s="7">
        <f>I10*0.006</f>
        <v>21398.814</v>
      </c>
    </row>
    <row r="11" ht="18" customHeight="1" spans="1:10">
      <c r="A11" s="20">
        <v>43847</v>
      </c>
      <c r="B11" s="12">
        <f t="shared" si="0"/>
        <v>3752293.57798165</v>
      </c>
      <c r="C11" s="21">
        <v>0.02</v>
      </c>
      <c r="D11" s="22">
        <f t="shared" si="1"/>
        <v>75045.871559633</v>
      </c>
      <c r="E11" s="24">
        <v>0.07</v>
      </c>
      <c r="F11" s="12">
        <f t="shared" si="2"/>
        <v>262660.550458716</v>
      </c>
      <c r="G11" s="23">
        <v>4090000</v>
      </c>
      <c r="H11" s="20">
        <v>43916</v>
      </c>
      <c r="I11" s="12">
        <v>4090000</v>
      </c>
      <c r="J11" s="61" t="s">
        <v>23</v>
      </c>
    </row>
    <row r="12" ht="18" customHeight="1" spans="1:10">
      <c r="A12" s="20">
        <v>44034</v>
      </c>
      <c r="B12" s="12">
        <f t="shared" si="0"/>
        <v>2559549.5412844</v>
      </c>
      <c r="C12" s="24">
        <v>0.02</v>
      </c>
      <c r="D12" s="22">
        <f t="shared" si="1"/>
        <v>51190.9908256881</v>
      </c>
      <c r="E12" s="24">
        <v>0.07</v>
      </c>
      <c r="F12" s="12">
        <f t="shared" si="2"/>
        <v>179168.467889908</v>
      </c>
      <c r="G12" s="23">
        <v>2789909</v>
      </c>
      <c r="H12" s="20"/>
      <c r="I12" s="12"/>
      <c r="J12" s="61"/>
    </row>
    <row r="13" ht="18" customHeight="1" spans="1:11">
      <c r="A13" s="20"/>
      <c r="B13" s="12">
        <f t="shared" si="0"/>
        <v>0</v>
      </c>
      <c r="C13" s="21"/>
      <c r="D13" s="22">
        <f t="shared" si="1"/>
        <v>0</v>
      </c>
      <c r="E13" s="24"/>
      <c r="F13" s="12">
        <f t="shared" si="2"/>
        <v>0</v>
      </c>
      <c r="G13" s="23"/>
      <c r="H13" s="20"/>
      <c r="I13" s="12"/>
      <c r="J13" s="61"/>
      <c r="K13" s="7">
        <f>I13*0.006</f>
        <v>0</v>
      </c>
    </row>
    <row r="14" ht="18" customHeight="1" spans="1:10">
      <c r="A14" s="25" t="s">
        <v>25</v>
      </c>
      <c r="B14" s="26">
        <f>SUM(B7:B13)</f>
        <v>27427035.6964137</v>
      </c>
      <c r="C14" s="27"/>
      <c r="D14" s="27">
        <f>SUM(D7:D13)</f>
        <v>548540.713928274</v>
      </c>
      <c r="E14" s="27"/>
      <c r="F14" s="28">
        <f>SUM(F7:F13)</f>
        <v>2070801.58965805</v>
      </c>
      <c r="G14" s="27">
        <f>SUM(G7:G13)</f>
        <v>30046378</v>
      </c>
      <c r="H14" s="29"/>
      <c r="I14" s="27">
        <f>SUM(I7:I13)</f>
        <v>27256469</v>
      </c>
      <c r="J14" s="29"/>
    </row>
    <row r="15" ht="18" customHeight="1" spans="1:12">
      <c r="A15" s="3" t="s">
        <v>26</v>
      </c>
      <c r="B15" s="7"/>
      <c r="J15" s="4"/>
      <c r="K15" s="4"/>
      <c r="L15" s="6"/>
    </row>
    <row r="16" ht="18" customHeight="1" spans="1:15">
      <c r="A16" s="30" t="s">
        <v>19</v>
      </c>
      <c r="B16" s="18" t="s">
        <v>27</v>
      </c>
      <c r="C16" s="18" t="s">
        <v>28</v>
      </c>
      <c r="D16" s="18" t="s">
        <v>29</v>
      </c>
      <c r="E16" s="18" t="s">
        <v>17</v>
      </c>
      <c r="F16" s="18" t="s">
        <v>30</v>
      </c>
      <c r="G16" s="18" t="s">
        <v>15</v>
      </c>
      <c r="H16" s="18" t="s">
        <v>31</v>
      </c>
      <c r="I16" s="18" t="s">
        <v>32</v>
      </c>
      <c r="J16" s="18" t="s">
        <v>21</v>
      </c>
      <c r="K16" s="62" t="s">
        <v>33</v>
      </c>
      <c r="L16" s="19" t="s">
        <v>34</v>
      </c>
      <c r="M16" s="19" t="s">
        <v>35</v>
      </c>
      <c r="N16" s="19" t="s">
        <v>36</v>
      </c>
      <c r="O16" s="19" t="s">
        <v>37</v>
      </c>
    </row>
    <row r="17" s="1" customFormat="1" ht="18" customHeight="1" spans="1:15">
      <c r="A17" s="31">
        <v>43302</v>
      </c>
      <c r="B17" s="32">
        <f t="shared" ref="B17:B36" si="3">ROUND(G17/(1+E17),2)</f>
        <v>2912621.36</v>
      </c>
      <c r="C17" s="33">
        <v>3</v>
      </c>
      <c r="D17" s="34" t="s">
        <v>38</v>
      </c>
      <c r="E17" s="35">
        <v>0.03</v>
      </c>
      <c r="F17" s="32">
        <f t="shared" ref="F17:F37" si="4">ROUND(G17/(1+E17)*E17,2)</f>
        <v>87378.64</v>
      </c>
      <c r="G17" s="23">
        <f>1000000*3</f>
        <v>3000000</v>
      </c>
      <c r="H17" s="20">
        <v>43300</v>
      </c>
      <c r="I17" s="12">
        <v>3000000</v>
      </c>
      <c r="J17" s="61" t="s">
        <v>23</v>
      </c>
      <c r="K17" s="74" t="s">
        <v>39</v>
      </c>
      <c r="L17" s="64" t="s">
        <v>40</v>
      </c>
      <c r="M17" s="65" t="s">
        <v>41</v>
      </c>
      <c r="N17" s="65"/>
      <c r="O17" s="64"/>
    </row>
    <row r="18" s="1" customFormat="1" ht="18" customHeight="1" spans="1:15">
      <c r="A18" s="31">
        <v>43307</v>
      </c>
      <c r="B18" s="32">
        <f t="shared" si="3"/>
        <v>1750000</v>
      </c>
      <c r="C18" s="33">
        <v>2</v>
      </c>
      <c r="D18" s="34" t="s">
        <v>38</v>
      </c>
      <c r="E18" s="35">
        <v>0.16</v>
      </c>
      <c r="F18" s="32">
        <f t="shared" si="4"/>
        <v>280000</v>
      </c>
      <c r="G18" s="23">
        <f>999900+1030100</f>
        <v>2030000</v>
      </c>
      <c r="H18" s="20">
        <v>43300</v>
      </c>
      <c r="I18" s="12">
        <v>2030000</v>
      </c>
      <c r="J18" s="61" t="s">
        <v>23</v>
      </c>
      <c r="K18" s="74" t="s">
        <v>42</v>
      </c>
      <c r="L18" s="64" t="s">
        <v>43</v>
      </c>
      <c r="M18" s="65" t="s">
        <v>41</v>
      </c>
      <c r="N18" s="65"/>
      <c r="O18" s="64"/>
    </row>
    <row r="19" s="1" customFormat="1" ht="18" customHeight="1" spans="1:15">
      <c r="A19" s="31">
        <v>43330</v>
      </c>
      <c r="B19" s="37">
        <f t="shared" si="3"/>
        <v>582524.27</v>
      </c>
      <c r="C19" s="33">
        <v>1</v>
      </c>
      <c r="D19" s="34" t="s">
        <v>38</v>
      </c>
      <c r="E19" s="35">
        <v>0.03</v>
      </c>
      <c r="F19" s="37">
        <f t="shared" si="4"/>
        <v>17475.73</v>
      </c>
      <c r="G19" s="39">
        <v>600000</v>
      </c>
      <c r="H19" s="20">
        <v>43340</v>
      </c>
      <c r="I19" s="67">
        <v>600000</v>
      </c>
      <c r="J19" s="61" t="s">
        <v>23</v>
      </c>
      <c r="K19" s="74" t="s">
        <v>39</v>
      </c>
      <c r="L19" s="64" t="s">
        <v>44</v>
      </c>
      <c r="M19" s="65" t="s">
        <v>41</v>
      </c>
      <c r="N19" s="65"/>
      <c r="O19" s="64"/>
    </row>
    <row r="20" s="1" customFormat="1" ht="18" customHeight="1" spans="1:15">
      <c r="A20" s="31">
        <v>43374</v>
      </c>
      <c r="B20" s="32">
        <f t="shared" si="3"/>
        <v>258543</v>
      </c>
      <c r="C20" s="33"/>
      <c r="D20" s="34" t="s">
        <v>45</v>
      </c>
      <c r="E20" s="35"/>
      <c r="F20" s="32">
        <f t="shared" si="4"/>
        <v>0</v>
      </c>
      <c r="G20" s="23">
        <v>258543</v>
      </c>
      <c r="H20" s="20"/>
      <c r="I20" s="12"/>
      <c r="J20" s="61"/>
      <c r="K20" s="74" t="s">
        <v>46</v>
      </c>
      <c r="L20" s="64" t="s">
        <v>47</v>
      </c>
      <c r="M20" s="65"/>
      <c r="N20" s="65"/>
      <c r="O20" s="64"/>
    </row>
    <row r="21" s="1" customFormat="1" ht="18" customHeight="1" spans="1:15">
      <c r="A21" s="31">
        <v>43435</v>
      </c>
      <c r="B21" s="32">
        <f t="shared" si="3"/>
        <v>495747.57</v>
      </c>
      <c r="C21" s="33">
        <v>5</v>
      </c>
      <c r="D21" s="34" t="s">
        <v>38</v>
      </c>
      <c r="E21" s="35">
        <v>0.03</v>
      </c>
      <c r="F21" s="32">
        <f t="shared" si="4"/>
        <v>14872.43</v>
      </c>
      <c r="G21" s="23">
        <f>102124*5</f>
        <v>510620</v>
      </c>
      <c r="H21" s="20">
        <v>43434</v>
      </c>
      <c r="I21" s="12">
        <v>171270</v>
      </c>
      <c r="J21" s="61" t="s">
        <v>23</v>
      </c>
      <c r="K21" s="74" t="s">
        <v>48</v>
      </c>
      <c r="L21" s="64" t="s">
        <v>49</v>
      </c>
      <c r="M21" s="65" t="s">
        <v>41</v>
      </c>
      <c r="N21" s="65"/>
      <c r="O21" s="64"/>
    </row>
    <row r="22" s="1" customFormat="1" ht="18" customHeight="1" spans="1:15">
      <c r="A22" s="31"/>
      <c r="B22" s="32">
        <f t="shared" si="3"/>
        <v>0</v>
      </c>
      <c r="C22" s="33"/>
      <c r="D22" s="34"/>
      <c r="E22" s="35"/>
      <c r="F22" s="32">
        <f t="shared" si="4"/>
        <v>0</v>
      </c>
      <c r="G22" s="23"/>
      <c r="H22" s="20">
        <v>43434</v>
      </c>
      <c r="I22" s="12">
        <v>339350</v>
      </c>
      <c r="J22" s="61" t="s">
        <v>23</v>
      </c>
      <c r="K22" s="74" t="s">
        <v>48</v>
      </c>
      <c r="L22" s="64" t="s">
        <v>49</v>
      </c>
      <c r="M22" s="65" t="s">
        <v>41</v>
      </c>
      <c r="N22" s="65"/>
      <c r="O22" s="64"/>
    </row>
    <row r="23" s="1" customFormat="1" ht="18" customHeight="1" spans="1:15">
      <c r="A23" s="31"/>
      <c r="B23" s="32">
        <f t="shared" si="3"/>
        <v>0</v>
      </c>
      <c r="C23" s="33"/>
      <c r="D23" s="34"/>
      <c r="E23" s="35"/>
      <c r="F23" s="32">
        <f t="shared" si="4"/>
        <v>0</v>
      </c>
      <c r="G23" s="23"/>
      <c r="H23" s="20">
        <v>43434</v>
      </c>
      <c r="I23" s="12">
        <v>-339350</v>
      </c>
      <c r="J23" s="61" t="s">
        <v>50</v>
      </c>
      <c r="K23" s="74" t="s">
        <v>51</v>
      </c>
      <c r="L23" s="64"/>
      <c r="M23" s="65"/>
      <c r="N23" s="65"/>
      <c r="O23" s="64"/>
    </row>
    <row r="24" s="1" customFormat="1" ht="18" customHeight="1" spans="1:15">
      <c r="A24" s="31">
        <v>43466</v>
      </c>
      <c r="B24" s="32">
        <f t="shared" si="3"/>
        <v>1922330.1</v>
      </c>
      <c r="C24" s="33"/>
      <c r="D24" s="34" t="s">
        <v>38</v>
      </c>
      <c r="E24" s="35">
        <v>0.03</v>
      </c>
      <c r="F24" s="32">
        <f t="shared" si="4"/>
        <v>57669.9</v>
      </c>
      <c r="G24" s="23">
        <f>1000000+980000</f>
        <v>1980000</v>
      </c>
      <c r="H24" s="20">
        <v>43486</v>
      </c>
      <c r="I24" s="12">
        <f>1000000+980000</f>
        <v>1980000</v>
      </c>
      <c r="J24" s="61" t="s">
        <v>23</v>
      </c>
      <c r="K24" s="74" t="s">
        <v>39</v>
      </c>
      <c r="L24" s="64" t="s">
        <v>44</v>
      </c>
      <c r="M24" s="65" t="s">
        <v>41</v>
      </c>
      <c r="N24" s="65"/>
      <c r="O24" s="64"/>
    </row>
    <row r="25" s="1" customFormat="1" ht="18" customHeight="1" spans="1:15">
      <c r="A25" s="31">
        <v>43466</v>
      </c>
      <c r="B25" s="32">
        <f t="shared" si="3"/>
        <v>2912621.36</v>
      </c>
      <c r="C25" s="33"/>
      <c r="D25" s="34" t="s">
        <v>38</v>
      </c>
      <c r="E25" s="35">
        <v>0.03</v>
      </c>
      <c r="F25" s="32">
        <f t="shared" si="4"/>
        <v>87378.64</v>
      </c>
      <c r="G25" s="23">
        <f>30*100000</f>
        <v>3000000</v>
      </c>
      <c r="H25" s="20">
        <v>43486</v>
      </c>
      <c r="I25" s="12">
        <f>30*100000</f>
        <v>3000000</v>
      </c>
      <c r="J25" s="61" t="s">
        <v>23</v>
      </c>
      <c r="K25" s="74" t="s">
        <v>48</v>
      </c>
      <c r="L25" s="64" t="s">
        <v>49</v>
      </c>
      <c r="M25" s="65" t="s">
        <v>41</v>
      </c>
      <c r="N25" s="65"/>
      <c r="O25" s="64"/>
    </row>
    <row r="26" s="1" customFormat="1" ht="18" customHeight="1" spans="1:15">
      <c r="A26" s="31">
        <v>43466</v>
      </c>
      <c r="B26" s="32">
        <f t="shared" si="3"/>
        <v>996377.24</v>
      </c>
      <c r="C26" s="33"/>
      <c r="D26" s="34" t="s">
        <v>38</v>
      </c>
      <c r="E26" s="35">
        <v>0.16</v>
      </c>
      <c r="F26" s="32">
        <f t="shared" si="4"/>
        <v>159420.36</v>
      </c>
      <c r="G26" s="23">
        <v>1155797.6</v>
      </c>
      <c r="H26" s="20">
        <v>43490</v>
      </c>
      <c r="I26" s="12">
        <v>1100000</v>
      </c>
      <c r="J26" s="61" t="s">
        <v>23</v>
      </c>
      <c r="K26" s="69" t="s">
        <v>52</v>
      </c>
      <c r="L26" s="69" t="s">
        <v>53</v>
      </c>
      <c r="M26" s="65" t="s">
        <v>41</v>
      </c>
      <c r="N26" s="65"/>
      <c r="O26" s="64"/>
    </row>
    <row r="27" s="1" customFormat="1" ht="18" customHeight="1" spans="1:15">
      <c r="A27" s="31"/>
      <c r="B27" s="32">
        <f t="shared" si="3"/>
        <v>0</v>
      </c>
      <c r="C27" s="33"/>
      <c r="D27" s="34"/>
      <c r="E27" s="35"/>
      <c r="F27" s="32">
        <f t="shared" si="4"/>
        <v>0</v>
      </c>
      <c r="G27" s="23"/>
      <c r="H27" s="20">
        <v>43494</v>
      </c>
      <c r="I27" s="12">
        <v>55787.6</v>
      </c>
      <c r="J27" s="61" t="s">
        <v>23</v>
      </c>
      <c r="K27" s="69" t="s">
        <v>52</v>
      </c>
      <c r="L27" s="69" t="s">
        <v>53</v>
      </c>
      <c r="M27" s="65"/>
      <c r="N27" s="65"/>
      <c r="O27" s="64"/>
    </row>
    <row r="28" s="1" customFormat="1" ht="18" customHeight="1" spans="1:16">
      <c r="A28" s="41">
        <v>43497</v>
      </c>
      <c r="B28" s="54">
        <f t="shared" si="3"/>
        <v>0</v>
      </c>
      <c r="C28" s="42"/>
      <c r="D28" s="43" t="s">
        <v>54</v>
      </c>
      <c r="E28" s="44"/>
      <c r="F28" s="54">
        <f t="shared" si="4"/>
        <v>0</v>
      </c>
      <c r="G28" s="47"/>
      <c r="H28" s="46">
        <v>43528</v>
      </c>
      <c r="I28" s="54">
        <v>1028276.8</v>
      </c>
      <c r="J28" s="70" t="s">
        <v>23</v>
      </c>
      <c r="K28" s="71" t="s">
        <v>55</v>
      </c>
      <c r="L28" s="71" t="s">
        <v>56</v>
      </c>
      <c r="M28" s="65" t="s">
        <v>41</v>
      </c>
      <c r="N28" s="65"/>
      <c r="O28" s="72" t="s">
        <v>57</v>
      </c>
      <c r="P28" s="1">
        <v>1028276.8</v>
      </c>
    </row>
    <row r="29" s="1" customFormat="1" ht="18" customHeight="1" spans="1:16">
      <c r="A29" s="41">
        <v>43498</v>
      </c>
      <c r="B29" s="54">
        <f t="shared" si="3"/>
        <v>0</v>
      </c>
      <c r="C29" s="42"/>
      <c r="D29" s="43" t="s">
        <v>54</v>
      </c>
      <c r="E29" s="44"/>
      <c r="F29" s="54">
        <f t="shared" si="4"/>
        <v>0</v>
      </c>
      <c r="G29" s="47"/>
      <c r="H29" s="46">
        <v>43531</v>
      </c>
      <c r="I29" s="54">
        <v>1987611.75</v>
      </c>
      <c r="J29" s="70" t="s">
        <v>23</v>
      </c>
      <c r="K29" s="71" t="s">
        <v>55</v>
      </c>
      <c r="L29" s="71" t="s">
        <v>58</v>
      </c>
      <c r="M29" s="65" t="s">
        <v>41</v>
      </c>
      <c r="N29" s="65"/>
      <c r="O29" s="72" t="s">
        <v>57</v>
      </c>
      <c r="P29" s="1">
        <v>1021570.15</v>
      </c>
    </row>
    <row r="30" s="1" customFormat="1" ht="18" customHeight="1" spans="1:16">
      <c r="A30" s="41">
        <v>43499</v>
      </c>
      <c r="B30" s="54">
        <f t="shared" si="3"/>
        <v>0</v>
      </c>
      <c r="C30" s="42"/>
      <c r="D30" s="43" t="s">
        <v>54</v>
      </c>
      <c r="E30" s="44"/>
      <c r="F30" s="54">
        <f t="shared" si="4"/>
        <v>0</v>
      </c>
      <c r="G30" s="47"/>
      <c r="H30" s="46"/>
      <c r="I30" s="54"/>
      <c r="J30" s="70"/>
      <c r="K30" s="71" t="s">
        <v>55</v>
      </c>
      <c r="L30" s="71" t="s">
        <v>59</v>
      </c>
      <c r="M30" s="65"/>
      <c r="N30" s="65"/>
      <c r="O30" s="72" t="s">
        <v>57</v>
      </c>
      <c r="P30" s="1">
        <v>966041.6</v>
      </c>
    </row>
    <row r="31" s="1" customFormat="1" ht="18" customHeight="1" spans="1:15">
      <c r="A31" s="31">
        <v>43525</v>
      </c>
      <c r="B31" s="32">
        <f t="shared" si="3"/>
        <v>1336300</v>
      </c>
      <c r="C31" s="33"/>
      <c r="D31" s="34" t="s">
        <v>54</v>
      </c>
      <c r="E31" s="35"/>
      <c r="F31" s="32">
        <f t="shared" si="4"/>
        <v>0</v>
      </c>
      <c r="G31" s="23">
        <v>1336300</v>
      </c>
      <c r="H31" s="20">
        <v>43549</v>
      </c>
      <c r="I31" s="12">
        <v>851040.85</v>
      </c>
      <c r="J31" s="61" t="s">
        <v>23</v>
      </c>
      <c r="K31" s="69" t="s">
        <v>60</v>
      </c>
      <c r="L31" s="69" t="s">
        <v>61</v>
      </c>
      <c r="M31" s="65"/>
      <c r="N31" s="65"/>
      <c r="O31" s="64"/>
    </row>
    <row r="32" s="1" customFormat="1" ht="18" customHeight="1" spans="1:17">
      <c r="A32" s="31"/>
      <c r="B32" s="32">
        <f t="shared" si="3"/>
        <v>0</v>
      </c>
      <c r="C32" s="33"/>
      <c r="D32" s="34"/>
      <c r="E32" s="35"/>
      <c r="F32" s="32">
        <f t="shared" si="4"/>
        <v>0</v>
      </c>
      <c r="G32" s="23"/>
      <c r="H32" s="20">
        <v>43563</v>
      </c>
      <c r="I32" s="73">
        <v>304741.64</v>
      </c>
      <c r="J32" s="61" t="s">
        <v>23</v>
      </c>
      <c r="K32" s="69" t="s">
        <v>60</v>
      </c>
      <c r="L32" s="69" t="s">
        <v>61</v>
      </c>
      <c r="M32" s="65" t="s">
        <v>41</v>
      </c>
      <c r="N32" s="65"/>
      <c r="O32" s="64"/>
      <c r="P32" s="1">
        <f>P28+P29+P30</f>
        <v>3015888.55</v>
      </c>
      <c r="Q32" s="1">
        <f>P32*0.25</f>
        <v>753972.1375</v>
      </c>
    </row>
    <row r="33" s="1" customFormat="1" ht="18" customHeight="1" spans="1:16">
      <c r="A33" s="31"/>
      <c r="B33" s="32">
        <f t="shared" si="3"/>
        <v>0</v>
      </c>
      <c r="C33" s="33"/>
      <c r="D33" s="34"/>
      <c r="E33" s="35"/>
      <c r="F33" s="32">
        <f t="shared" si="4"/>
        <v>0</v>
      </c>
      <c r="G33" s="23"/>
      <c r="H33" s="20">
        <v>43563</v>
      </c>
      <c r="I33" s="12">
        <v>-304741.64</v>
      </c>
      <c r="J33" s="61" t="s">
        <v>50</v>
      </c>
      <c r="K33" s="74" t="s">
        <v>51</v>
      </c>
      <c r="L33" s="69"/>
      <c r="M33" s="65"/>
      <c r="N33" s="65"/>
      <c r="O33" s="64"/>
      <c r="P33" s="1">
        <v>3020000</v>
      </c>
    </row>
    <row r="34" s="1" customFormat="1" ht="18" customHeight="1" spans="1:15">
      <c r="A34" s="31">
        <v>43586</v>
      </c>
      <c r="B34" s="32">
        <f t="shared" si="3"/>
        <v>97087.38</v>
      </c>
      <c r="C34" s="33"/>
      <c r="D34" s="34" t="s">
        <v>38</v>
      </c>
      <c r="E34" s="35">
        <v>0.03</v>
      </c>
      <c r="F34" s="32">
        <f t="shared" si="4"/>
        <v>2912.62</v>
      </c>
      <c r="G34" s="23">
        <v>100000</v>
      </c>
      <c r="H34" s="20">
        <v>43669</v>
      </c>
      <c r="I34" s="12">
        <v>100000</v>
      </c>
      <c r="J34" s="61" t="s">
        <v>23</v>
      </c>
      <c r="K34" s="74" t="s">
        <v>39</v>
      </c>
      <c r="L34" s="64" t="s">
        <v>44</v>
      </c>
      <c r="M34" s="65"/>
      <c r="N34" s="65"/>
      <c r="O34" s="64"/>
    </row>
    <row r="35" ht="18" customHeight="1" spans="1:15">
      <c r="A35" s="48">
        <v>43647</v>
      </c>
      <c r="B35" s="12">
        <f t="shared" si="3"/>
        <v>2230973.45</v>
      </c>
      <c r="C35" s="49"/>
      <c r="D35" s="50" t="s">
        <v>38</v>
      </c>
      <c r="E35" s="51">
        <v>0.13</v>
      </c>
      <c r="F35" s="12">
        <f t="shared" si="4"/>
        <v>290026.55</v>
      </c>
      <c r="G35" s="52">
        <f>109600*22+109800</f>
        <v>2521000</v>
      </c>
      <c r="H35" s="20">
        <v>43669</v>
      </c>
      <c r="I35" s="12">
        <f>109600*22+109800</f>
        <v>2521000</v>
      </c>
      <c r="J35" s="61" t="s">
        <v>23</v>
      </c>
      <c r="K35" s="75" t="s">
        <v>62</v>
      </c>
      <c r="L35" s="29" t="s">
        <v>63</v>
      </c>
      <c r="M35" s="61" t="s">
        <v>41</v>
      </c>
      <c r="N35" s="61" t="s">
        <v>41</v>
      </c>
      <c r="O35" s="29"/>
    </row>
    <row r="36" customFormat="1" ht="18" customHeight="1" spans="1:15">
      <c r="A36" s="48">
        <v>43678</v>
      </c>
      <c r="B36" s="12">
        <f t="shared" si="3"/>
        <v>286407.77</v>
      </c>
      <c r="C36" s="49"/>
      <c r="D36" s="50" t="s">
        <v>38</v>
      </c>
      <c r="E36" s="53">
        <v>0.03</v>
      </c>
      <c r="F36" s="12">
        <f t="shared" si="4"/>
        <v>8592.23</v>
      </c>
      <c r="G36" s="52">
        <v>295000</v>
      </c>
      <c r="H36" s="20"/>
      <c r="I36" s="12"/>
      <c r="J36" s="61"/>
      <c r="K36" s="75" t="s">
        <v>39</v>
      </c>
      <c r="L36" s="29" t="s">
        <v>40</v>
      </c>
      <c r="M36" s="61"/>
      <c r="N36" s="61"/>
      <c r="O36" s="29"/>
    </row>
    <row r="37" customFormat="1" ht="18" customHeight="1" spans="1:15">
      <c r="A37" s="48"/>
      <c r="B37" s="12">
        <f t="shared" ref="B37:B53" si="5">ROUND(G37/(1+E37),2)</f>
        <v>0</v>
      </c>
      <c r="C37" s="49"/>
      <c r="D37" s="50"/>
      <c r="E37" s="51"/>
      <c r="F37" s="12">
        <f t="shared" si="4"/>
        <v>0</v>
      </c>
      <c r="G37" s="52"/>
      <c r="H37" s="20">
        <v>43696</v>
      </c>
      <c r="I37" s="12">
        <v>295000</v>
      </c>
      <c r="J37" s="61" t="s">
        <v>23</v>
      </c>
      <c r="K37" s="75" t="s">
        <v>39</v>
      </c>
      <c r="L37" s="29" t="s">
        <v>40</v>
      </c>
      <c r="M37" s="61"/>
      <c r="N37" s="61"/>
      <c r="O37" s="29"/>
    </row>
    <row r="38" customFormat="1" ht="18" customHeight="1" spans="1:15">
      <c r="A38" s="48">
        <v>43800</v>
      </c>
      <c r="B38" s="12">
        <f t="shared" si="5"/>
        <v>2652690.27</v>
      </c>
      <c r="C38" s="49"/>
      <c r="D38" s="50" t="s">
        <v>38</v>
      </c>
      <c r="E38" s="51">
        <v>0.13</v>
      </c>
      <c r="F38" s="12">
        <f t="shared" ref="F38:F52" si="6">ROUND(G38/(1+E38)*E38,2)</f>
        <v>344849.73</v>
      </c>
      <c r="G38" s="52">
        <v>2997540</v>
      </c>
      <c r="H38" s="20">
        <v>43830</v>
      </c>
      <c r="I38" s="12">
        <v>2820066.65</v>
      </c>
      <c r="J38" s="61" t="s">
        <v>23</v>
      </c>
      <c r="K38" s="75" t="s">
        <v>64</v>
      </c>
      <c r="L38" s="29" t="s">
        <v>65</v>
      </c>
      <c r="M38" s="61" t="s">
        <v>41</v>
      </c>
      <c r="N38" s="61" t="s">
        <v>41</v>
      </c>
      <c r="O38" s="29"/>
    </row>
    <row r="39" customFormat="1" ht="18" customHeight="1" spans="1:15">
      <c r="A39" s="48">
        <v>43891</v>
      </c>
      <c r="B39" s="12">
        <f t="shared" si="5"/>
        <v>2921519.47</v>
      </c>
      <c r="C39" s="49"/>
      <c r="D39" s="50" t="s">
        <v>38</v>
      </c>
      <c r="E39" s="51">
        <v>0.13</v>
      </c>
      <c r="F39" s="12">
        <f t="shared" si="6"/>
        <v>379797.53</v>
      </c>
      <c r="G39" s="133">
        <v>3301317</v>
      </c>
      <c r="H39" s="20"/>
      <c r="I39" s="12"/>
      <c r="J39" s="61"/>
      <c r="K39" s="75" t="s">
        <v>66</v>
      </c>
      <c r="L39" s="29" t="s">
        <v>67</v>
      </c>
      <c r="M39" s="61"/>
      <c r="N39" s="61"/>
      <c r="O39" s="29"/>
    </row>
    <row r="40" customFormat="1" ht="18" customHeight="1" spans="1:15">
      <c r="A40" s="48"/>
      <c r="B40" s="12">
        <f t="shared" si="5"/>
        <v>0</v>
      </c>
      <c r="C40" s="49"/>
      <c r="D40" s="50"/>
      <c r="E40" s="51"/>
      <c r="F40" s="12">
        <f t="shared" si="6"/>
        <v>0</v>
      </c>
      <c r="G40" s="52"/>
      <c r="H40" s="20">
        <v>43921</v>
      </c>
      <c r="I40" s="12">
        <v>3301317</v>
      </c>
      <c r="J40" s="61" t="s">
        <v>23</v>
      </c>
      <c r="K40" s="75" t="s">
        <v>66</v>
      </c>
      <c r="L40" s="29"/>
      <c r="M40" s="61"/>
      <c r="N40" s="61"/>
      <c r="O40" s="29"/>
    </row>
    <row r="41" customFormat="1" ht="18" customHeight="1" spans="1:15">
      <c r="A41" s="48"/>
      <c r="B41" s="12">
        <f t="shared" si="5"/>
        <v>0</v>
      </c>
      <c r="C41" s="49"/>
      <c r="D41" s="50"/>
      <c r="E41" s="51"/>
      <c r="F41" s="12">
        <f t="shared" si="6"/>
        <v>0</v>
      </c>
      <c r="G41" s="52"/>
      <c r="H41" s="20">
        <v>43964</v>
      </c>
      <c r="I41" s="12">
        <v>644091.64</v>
      </c>
      <c r="J41" s="61" t="s">
        <v>50</v>
      </c>
      <c r="K41" s="75" t="s">
        <v>68</v>
      </c>
      <c r="L41" s="29"/>
      <c r="M41" s="61"/>
      <c r="N41" s="61"/>
      <c r="O41" s="29"/>
    </row>
    <row r="42" customFormat="1" ht="18" customHeight="1" spans="1:15">
      <c r="A42" s="48">
        <v>43952</v>
      </c>
      <c r="B42" s="12">
        <f t="shared" si="5"/>
        <v>619513.27</v>
      </c>
      <c r="C42" s="49"/>
      <c r="D42" s="50" t="s">
        <v>38</v>
      </c>
      <c r="E42" s="51">
        <v>0.13</v>
      </c>
      <c r="F42" s="12">
        <f t="shared" si="6"/>
        <v>80536.73</v>
      </c>
      <c r="G42" s="52">
        <v>700050</v>
      </c>
      <c r="H42" s="20">
        <v>43985</v>
      </c>
      <c r="I42" s="12">
        <v>700050</v>
      </c>
      <c r="J42" s="61" t="s">
        <v>23</v>
      </c>
      <c r="K42" s="75" t="s">
        <v>69</v>
      </c>
      <c r="L42" s="29" t="s">
        <v>70</v>
      </c>
      <c r="M42" s="61" t="s">
        <v>41</v>
      </c>
      <c r="N42" s="61" t="s">
        <v>41</v>
      </c>
      <c r="O42" s="29"/>
    </row>
    <row r="43" customFormat="1" ht="18" customHeight="1" spans="1:15">
      <c r="A43" s="48">
        <v>44013</v>
      </c>
      <c r="B43" s="12">
        <f t="shared" si="5"/>
        <v>1771646.02</v>
      </c>
      <c r="C43" s="49"/>
      <c r="D43" s="50" t="s">
        <v>38</v>
      </c>
      <c r="E43" s="51">
        <v>0.13</v>
      </c>
      <c r="F43" s="12">
        <f t="shared" si="6"/>
        <v>230313.98</v>
      </c>
      <c r="G43" s="52">
        <f>1005960+996000</f>
        <v>2001960</v>
      </c>
      <c r="H43" s="134">
        <v>44063</v>
      </c>
      <c r="I43" s="133">
        <v>150000</v>
      </c>
      <c r="J43" s="135" t="s">
        <v>23</v>
      </c>
      <c r="K43" s="136" t="s">
        <v>64</v>
      </c>
      <c r="L43" s="29" t="s">
        <v>121</v>
      </c>
      <c r="M43" s="61" t="s">
        <v>41</v>
      </c>
      <c r="N43" s="61" t="s">
        <v>41</v>
      </c>
      <c r="O43" s="29"/>
    </row>
    <row r="44" customFormat="1" ht="18" customHeight="1" spans="1:15">
      <c r="A44" s="48"/>
      <c r="B44" s="12">
        <f t="shared" si="5"/>
        <v>0</v>
      </c>
      <c r="C44" s="49"/>
      <c r="D44" s="50"/>
      <c r="E44" s="51"/>
      <c r="F44" s="12">
        <f t="shared" si="6"/>
        <v>0</v>
      </c>
      <c r="G44" s="52"/>
      <c r="H44" s="20"/>
      <c r="I44" s="12"/>
      <c r="J44" s="61"/>
      <c r="K44" s="75"/>
      <c r="L44" s="29"/>
      <c r="M44" s="61"/>
      <c r="N44" s="61"/>
      <c r="O44" s="29"/>
    </row>
    <row r="45" customFormat="1" ht="18" customHeight="1" spans="1:15">
      <c r="A45" s="48"/>
      <c r="B45" s="12">
        <f t="shared" si="5"/>
        <v>0</v>
      </c>
      <c r="C45" s="49"/>
      <c r="D45" s="50"/>
      <c r="E45" s="51"/>
      <c r="F45" s="12">
        <f t="shared" si="6"/>
        <v>0</v>
      </c>
      <c r="G45" s="52"/>
      <c r="H45" s="20"/>
      <c r="I45" s="12"/>
      <c r="J45" s="61"/>
      <c r="K45" s="75"/>
      <c r="L45" s="29"/>
      <c r="M45" s="61"/>
      <c r="N45" s="61"/>
      <c r="O45" s="29"/>
    </row>
    <row r="46" customFormat="1" ht="18" customHeight="1" spans="1:15">
      <c r="A46" s="48"/>
      <c r="B46" s="12">
        <f t="shared" si="5"/>
        <v>0</v>
      </c>
      <c r="C46" s="49"/>
      <c r="D46" s="50"/>
      <c r="E46" s="51"/>
      <c r="F46" s="12">
        <f t="shared" si="6"/>
        <v>0</v>
      </c>
      <c r="G46" s="52"/>
      <c r="H46" s="20"/>
      <c r="I46" s="12"/>
      <c r="J46" s="61"/>
      <c r="K46" s="75"/>
      <c r="L46" s="29"/>
      <c r="M46" s="61"/>
      <c r="N46" s="61"/>
      <c r="O46" s="29"/>
    </row>
    <row r="47" customFormat="1" ht="18" customHeight="1" spans="1:15">
      <c r="A47" s="48"/>
      <c r="B47" s="12">
        <f t="shared" si="5"/>
        <v>0</v>
      </c>
      <c r="C47" s="49"/>
      <c r="D47" s="50"/>
      <c r="E47" s="51"/>
      <c r="F47" s="12">
        <f t="shared" si="6"/>
        <v>0</v>
      </c>
      <c r="G47" s="52"/>
      <c r="H47" s="20"/>
      <c r="I47" s="12"/>
      <c r="J47" s="61"/>
      <c r="K47" s="75"/>
      <c r="L47" s="29"/>
      <c r="M47" s="61"/>
      <c r="N47" s="61"/>
      <c r="O47" s="29"/>
    </row>
    <row r="48" customFormat="1" ht="18" customHeight="1" spans="1:15">
      <c r="A48" s="48"/>
      <c r="B48" s="12">
        <f t="shared" si="5"/>
        <v>0</v>
      </c>
      <c r="C48" s="49"/>
      <c r="D48" s="50"/>
      <c r="E48" s="51"/>
      <c r="F48" s="12">
        <f t="shared" si="6"/>
        <v>0</v>
      </c>
      <c r="G48" s="52"/>
      <c r="H48" s="134" t="s">
        <v>122</v>
      </c>
      <c r="I48" s="133">
        <v>100</v>
      </c>
      <c r="J48" s="135" t="s">
        <v>71</v>
      </c>
      <c r="K48" s="136" t="s">
        <v>72</v>
      </c>
      <c r="L48" s="29"/>
      <c r="M48" s="61"/>
      <c r="N48" s="61"/>
      <c r="O48" s="29"/>
    </row>
    <row r="49" customFormat="1" ht="18" customHeight="1" spans="1:15">
      <c r="A49" s="48"/>
      <c r="B49" s="12">
        <f t="shared" si="5"/>
        <v>0</v>
      </c>
      <c r="C49" s="49"/>
      <c r="D49" s="50"/>
      <c r="E49" s="51"/>
      <c r="F49" s="12">
        <f t="shared" si="6"/>
        <v>0</v>
      </c>
      <c r="G49" s="52"/>
      <c r="H49" s="20">
        <v>43985</v>
      </c>
      <c r="I49" s="12">
        <v>100</v>
      </c>
      <c r="J49" s="61" t="s">
        <v>71</v>
      </c>
      <c r="K49" s="75" t="s">
        <v>72</v>
      </c>
      <c r="L49" s="29"/>
      <c r="M49" s="61"/>
      <c r="N49" s="61"/>
      <c r="O49" s="29"/>
    </row>
    <row r="50" customFormat="1" ht="18" customHeight="1" spans="1:15">
      <c r="A50" s="48"/>
      <c r="B50" s="12">
        <f t="shared" si="5"/>
        <v>0</v>
      </c>
      <c r="C50" s="49"/>
      <c r="D50" s="50"/>
      <c r="E50" s="51"/>
      <c r="F50" s="12">
        <f t="shared" si="6"/>
        <v>0</v>
      </c>
      <c r="G50" s="52"/>
      <c r="H50" s="20">
        <v>43985</v>
      </c>
      <c r="I50" s="12">
        <v>-755000</v>
      </c>
      <c r="J50" s="61" t="s">
        <v>73</v>
      </c>
      <c r="K50" s="146" t="s">
        <v>74</v>
      </c>
      <c r="L50" s="29"/>
      <c r="M50" s="61"/>
      <c r="N50" s="61"/>
      <c r="O50" s="29"/>
    </row>
    <row r="51" customFormat="1" ht="18" customHeight="1" spans="1:15">
      <c r="A51" s="48"/>
      <c r="B51" s="12">
        <f t="shared" si="5"/>
        <v>0</v>
      </c>
      <c r="C51" s="49"/>
      <c r="D51" s="50"/>
      <c r="E51" s="51"/>
      <c r="F51" s="12">
        <f t="shared" si="6"/>
        <v>0</v>
      </c>
      <c r="G51" s="52"/>
      <c r="H51" s="20">
        <v>43964</v>
      </c>
      <c r="I51" s="12">
        <v>100</v>
      </c>
      <c r="J51" s="61" t="s">
        <v>71</v>
      </c>
      <c r="K51" s="75" t="s">
        <v>72</v>
      </c>
      <c r="L51" s="29"/>
      <c r="M51" s="61"/>
      <c r="N51" s="61"/>
      <c r="O51" s="29"/>
    </row>
    <row r="52" customFormat="1" ht="18" customHeight="1" spans="1:15">
      <c r="A52" s="48"/>
      <c r="B52" s="12">
        <f t="shared" si="5"/>
        <v>0</v>
      </c>
      <c r="C52" s="49"/>
      <c r="D52" s="50"/>
      <c r="E52" s="51"/>
      <c r="F52" s="12">
        <f t="shared" si="6"/>
        <v>0</v>
      </c>
      <c r="G52" s="52"/>
      <c r="H52" s="20" t="s">
        <v>75</v>
      </c>
      <c r="I52" s="12">
        <v>2252</v>
      </c>
      <c r="J52" s="61" t="s">
        <v>71</v>
      </c>
      <c r="K52" s="69" t="s">
        <v>76</v>
      </c>
      <c r="L52" s="29"/>
      <c r="M52" s="61"/>
      <c r="N52" s="61"/>
      <c r="O52" s="29"/>
    </row>
    <row r="53" customFormat="1" ht="18" customHeight="1" spans="1:15">
      <c r="A53" s="48"/>
      <c r="B53" s="12">
        <f t="shared" si="5"/>
        <v>0</v>
      </c>
      <c r="C53" s="49"/>
      <c r="D53" s="50"/>
      <c r="E53" s="51"/>
      <c r="F53" s="12">
        <f t="shared" ref="F53:F55" si="7">ROUND(G53/(1+E53)*E53,2)</f>
        <v>0</v>
      </c>
      <c r="G53" s="52"/>
      <c r="H53" s="20" t="s">
        <v>75</v>
      </c>
      <c r="I53" s="12">
        <v>24540</v>
      </c>
      <c r="J53" s="61" t="s">
        <v>71</v>
      </c>
      <c r="K53" s="74" t="s">
        <v>77</v>
      </c>
      <c r="L53" s="29"/>
      <c r="M53" s="61"/>
      <c r="N53" s="61"/>
      <c r="O53" s="29"/>
    </row>
    <row r="54" customFormat="1" ht="18" customHeight="1" spans="1:15">
      <c r="A54" s="48"/>
      <c r="B54" s="12">
        <f t="shared" ref="B54:B55" si="8">ROUND(G54/(1+E54),2)</f>
        <v>0</v>
      </c>
      <c r="C54" s="49"/>
      <c r="D54" s="50"/>
      <c r="E54" s="51"/>
      <c r="F54" s="12">
        <f t="shared" si="7"/>
        <v>0</v>
      </c>
      <c r="G54" s="52"/>
      <c r="H54" s="20" t="s">
        <v>75</v>
      </c>
      <c r="I54" s="12">
        <v>20450</v>
      </c>
      <c r="J54" s="61" t="s">
        <v>71</v>
      </c>
      <c r="K54" s="77" t="s">
        <v>78</v>
      </c>
      <c r="L54" s="29"/>
      <c r="M54" s="61"/>
      <c r="N54" s="61"/>
      <c r="O54" s="29"/>
    </row>
    <row r="55" customFormat="1" ht="18" customHeight="1" spans="1:15">
      <c r="A55" s="48"/>
      <c r="B55" s="12">
        <f t="shared" si="8"/>
        <v>0</v>
      </c>
      <c r="C55" s="49"/>
      <c r="D55" s="50"/>
      <c r="E55" s="51"/>
      <c r="F55" s="12">
        <f t="shared" si="7"/>
        <v>0</v>
      </c>
      <c r="G55" s="52"/>
      <c r="H55" s="20" t="s">
        <v>75</v>
      </c>
      <c r="I55" s="12">
        <v>200</v>
      </c>
      <c r="J55" s="61" t="s">
        <v>71</v>
      </c>
      <c r="K55" s="75" t="s">
        <v>72</v>
      </c>
      <c r="L55" s="29"/>
      <c r="M55" s="61"/>
      <c r="N55" s="61"/>
      <c r="O55" s="29"/>
    </row>
    <row r="56" customFormat="1" ht="18" customHeight="1" spans="1:15">
      <c r="A56" s="48"/>
      <c r="B56" s="12"/>
      <c r="C56" s="49"/>
      <c r="D56" s="50"/>
      <c r="E56" s="51"/>
      <c r="F56" s="12"/>
      <c r="G56" s="52"/>
      <c r="H56" s="20" t="s">
        <v>79</v>
      </c>
      <c r="I56" s="12">
        <v>200</v>
      </c>
      <c r="J56" s="61" t="s">
        <v>71</v>
      </c>
      <c r="K56" s="75" t="s">
        <v>72</v>
      </c>
      <c r="L56" s="29"/>
      <c r="M56" s="61"/>
      <c r="N56" s="61"/>
      <c r="O56" s="29"/>
    </row>
    <row r="57" customFormat="1" ht="18" customHeight="1" spans="1:15">
      <c r="A57" s="48"/>
      <c r="B57" s="12">
        <f t="shared" ref="B57:B74" si="9">ROUND(G57/(1+E57),2)</f>
        <v>0</v>
      </c>
      <c r="C57" s="49"/>
      <c r="D57" s="50"/>
      <c r="E57" s="51"/>
      <c r="F57" s="12">
        <f t="shared" ref="F57:F74" si="10">ROUND(G57/(1+E57)*E57,2)</f>
        <v>0</v>
      </c>
      <c r="G57" s="52"/>
      <c r="H57" s="20" t="s">
        <v>79</v>
      </c>
      <c r="I57" s="12"/>
      <c r="J57" s="61" t="s">
        <v>80</v>
      </c>
      <c r="K57" s="75" t="s">
        <v>81</v>
      </c>
      <c r="L57" s="29"/>
      <c r="M57" s="61"/>
      <c r="N57" s="61"/>
      <c r="O57" s="29"/>
    </row>
    <row r="58" s="1" customFormat="1" ht="18" customHeight="1" spans="1:15">
      <c r="A58" s="31"/>
      <c r="B58" s="12">
        <f t="shared" si="9"/>
        <v>0</v>
      </c>
      <c r="C58" s="33"/>
      <c r="D58" s="34"/>
      <c r="E58" s="35"/>
      <c r="F58" s="12">
        <f t="shared" si="10"/>
        <v>0</v>
      </c>
      <c r="G58" s="23"/>
      <c r="H58" s="20" t="s">
        <v>79</v>
      </c>
      <c r="I58" s="12">
        <v>755000</v>
      </c>
      <c r="J58" s="61" t="s">
        <v>71</v>
      </c>
      <c r="K58" s="74" t="s">
        <v>82</v>
      </c>
      <c r="L58" s="64"/>
      <c r="M58" s="65"/>
      <c r="N58" s="65"/>
      <c r="O58" s="64"/>
    </row>
    <row r="59" s="1" customFormat="1" ht="18" customHeight="1" spans="1:15">
      <c r="A59" s="31"/>
      <c r="B59" s="12">
        <f t="shared" si="9"/>
        <v>0</v>
      </c>
      <c r="C59" s="33"/>
      <c r="D59" s="34"/>
      <c r="E59" s="35"/>
      <c r="F59" s="12">
        <f t="shared" si="10"/>
        <v>0</v>
      </c>
      <c r="G59" s="23"/>
      <c r="H59" s="20" t="s">
        <v>79</v>
      </c>
      <c r="I59" s="12">
        <v>21340</v>
      </c>
      <c r="J59" s="61" t="s">
        <v>71</v>
      </c>
      <c r="K59" s="74" t="s">
        <v>83</v>
      </c>
      <c r="L59" s="64"/>
      <c r="M59" s="65"/>
      <c r="N59" s="61"/>
      <c r="O59" s="64"/>
    </row>
    <row r="60" s="1" customFormat="1" ht="18" customHeight="1" spans="1:15">
      <c r="A60" s="31"/>
      <c r="B60" s="12">
        <f t="shared" si="9"/>
        <v>0</v>
      </c>
      <c r="C60" s="33"/>
      <c r="D60" s="34"/>
      <c r="E60" s="35"/>
      <c r="F60" s="12">
        <f t="shared" si="10"/>
        <v>0</v>
      </c>
      <c r="G60" s="23"/>
      <c r="H60" s="20" t="s">
        <v>79</v>
      </c>
      <c r="I60" s="12">
        <v>1964</v>
      </c>
      <c r="J60" s="61" t="s">
        <v>71</v>
      </c>
      <c r="K60" s="69" t="s">
        <v>84</v>
      </c>
      <c r="L60" s="69"/>
      <c r="M60" s="65"/>
      <c r="N60" s="65"/>
      <c r="O60" s="64"/>
    </row>
    <row r="61" s="1" customFormat="1" ht="18" customHeight="1" spans="1:15">
      <c r="A61" s="31"/>
      <c r="B61" s="12">
        <f t="shared" si="9"/>
        <v>17832.35</v>
      </c>
      <c r="C61" s="33"/>
      <c r="D61" s="34"/>
      <c r="E61" s="35"/>
      <c r="F61" s="12">
        <f t="shared" si="10"/>
        <v>0</v>
      </c>
      <c r="G61" s="23">
        <f>17832.35</f>
        <v>17832.35</v>
      </c>
      <c r="H61" s="20" t="s">
        <v>79</v>
      </c>
      <c r="I61" s="12">
        <f>G61</f>
        <v>17832.35</v>
      </c>
      <c r="J61" s="61" t="s">
        <v>71</v>
      </c>
      <c r="K61" s="77" t="s">
        <v>78</v>
      </c>
      <c r="L61" s="69"/>
      <c r="M61" s="65"/>
      <c r="N61" s="65"/>
      <c r="O61" s="64"/>
    </row>
    <row r="62" s="1" customFormat="1" ht="18" customHeight="1" spans="1:15">
      <c r="A62" s="31"/>
      <c r="B62" s="12">
        <f t="shared" si="9"/>
        <v>0</v>
      </c>
      <c r="C62" s="33"/>
      <c r="D62" s="34"/>
      <c r="E62" s="35"/>
      <c r="F62" s="12">
        <f t="shared" si="10"/>
        <v>0</v>
      </c>
      <c r="G62" s="23"/>
      <c r="H62" s="20"/>
      <c r="I62" s="12">
        <v>16514</v>
      </c>
      <c r="J62" s="61" t="s">
        <v>71</v>
      </c>
      <c r="K62" s="69" t="s">
        <v>9</v>
      </c>
      <c r="L62" s="69"/>
      <c r="M62" s="65"/>
      <c r="N62" s="65"/>
      <c r="O62" s="64"/>
    </row>
    <row r="63" s="1" customFormat="1" ht="18" customHeight="1" spans="1:17">
      <c r="A63" s="31"/>
      <c r="B63" s="12">
        <f t="shared" si="9"/>
        <v>0</v>
      </c>
      <c r="C63" s="33"/>
      <c r="D63" s="34"/>
      <c r="E63" s="35"/>
      <c r="F63" s="12">
        <f t="shared" si="10"/>
        <v>0</v>
      </c>
      <c r="G63" s="23"/>
      <c r="H63" s="20"/>
      <c r="I63" s="12">
        <v>2552</v>
      </c>
      <c r="J63" s="61" t="s">
        <v>71</v>
      </c>
      <c r="K63" s="69" t="s">
        <v>85</v>
      </c>
      <c r="L63" s="69"/>
      <c r="M63" s="65"/>
      <c r="N63" s="65"/>
      <c r="O63" s="64"/>
      <c r="Q63" s="1">
        <f>P33*0.25</f>
        <v>755000</v>
      </c>
    </row>
    <row r="64" s="1" customFormat="1" ht="18" customHeight="1" spans="1:15">
      <c r="A64" s="31"/>
      <c r="B64" s="12">
        <f t="shared" si="9"/>
        <v>0</v>
      </c>
      <c r="C64" s="33"/>
      <c r="D64" s="34"/>
      <c r="E64" s="35"/>
      <c r="F64" s="12">
        <f t="shared" si="10"/>
        <v>0</v>
      </c>
      <c r="G64" s="23"/>
      <c r="H64" s="20"/>
      <c r="I64" s="12">
        <v>-17678</v>
      </c>
      <c r="J64" s="61" t="s">
        <v>73</v>
      </c>
      <c r="K64" s="69" t="s">
        <v>86</v>
      </c>
      <c r="L64" s="69"/>
      <c r="M64" s="65"/>
      <c r="N64" s="65"/>
      <c r="O64" s="64"/>
    </row>
    <row r="65" s="1" customFormat="1" ht="18" customHeight="1" spans="1:15">
      <c r="A65" s="31"/>
      <c r="B65" s="12">
        <f t="shared" si="9"/>
        <v>0</v>
      </c>
      <c r="C65" s="33"/>
      <c r="D65" s="34"/>
      <c r="E65" s="35"/>
      <c r="F65" s="12">
        <f t="shared" si="10"/>
        <v>0</v>
      </c>
      <c r="G65" s="23"/>
      <c r="H65" s="20"/>
      <c r="I65" s="12">
        <v>17678</v>
      </c>
      <c r="J65" s="61" t="s">
        <v>80</v>
      </c>
      <c r="K65" s="69" t="s">
        <v>87</v>
      </c>
      <c r="L65" s="69"/>
      <c r="M65" s="65"/>
      <c r="N65" s="65"/>
      <c r="O65" s="64"/>
    </row>
    <row r="66" s="1" customFormat="1" ht="18" customHeight="1" spans="1:15">
      <c r="A66" s="31"/>
      <c r="B66" s="12">
        <f t="shared" si="9"/>
        <v>0</v>
      </c>
      <c r="C66" s="33"/>
      <c r="D66" s="34"/>
      <c r="E66" s="35"/>
      <c r="F66" s="12">
        <f t="shared" si="10"/>
        <v>0</v>
      </c>
      <c r="G66" s="23"/>
      <c r="H66" s="20"/>
      <c r="I66" s="12">
        <v>57819</v>
      </c>
      <c r="J66" s="61" t="s">
        <v>71</v>
      </c>
      <c r="K66" s="69" t="s">
        <v>9</v>
      </c>
      <c r="L66" s="69"/>
      <c r="M66" s="65"/>
      <c r="N66" s="65"/>
      <c r="O66" s="64"/>
    </row>
    <row r="67" s="1" customFormat="1" ht="18" customHeight="1" spans="1:15">
      <c r="A67" s="31"/>
      <c r="B67" s="12">
        <f t="shared" si="9"/>
        <v>0</v>
      </c>
      <c r="C67" s="33"/>
      <c r="D67" s="34"/>
      <c r="E67" s="35"/>
      <c r="F67" s="12">
        <f t="shared" si="10"/>
        <v>0</v>
      </c>
      <c r="G67" s="23"/>
      <c r="H67" s="20"/>
      <c r="I67" s="12">
        <v>8962</v>
      </c>
      <c r="J67" s="61" t="s">
        <v>71</v>
      </c>
      <c r="K67" s="74" t="s">
        <v>88</v>
      </c>
      <c r="L67" s="64"/>
      <c r="M67" s="65"/>
      <c r="N67" s="65"/>
      <c r="O67" s="64"/>
    </row>
    <row r="68" s="1" customFormat="1" ht="18" customHeight="1" spans="1:15">
      <c r="A68" s="31"/>
      <c r="B68" s="12">
        <f t="shared" si="9"/>
        <v>0</v>
      </c>
      <c r="C68" s="33"/>
      <c r="D68" s="34"/>
      <c r="E68" s="35"/>
      <c r="F68" s="12">
        <f t="shared" si="10"/>
        <v>0</v>
      </c>
      <c r="G68" s="23"/>
      <c r="H68" s="20"/>
      <c r="I68" s="133">
        <v>477502</v>
      </c>
      <c r="J68" s="135" t="s">
        <v>71</v>
      </c>
      <c r="K68" s="146" t="s">
        <v>89</v>
      </c>
      <c r="L68" s="64"/>
      <c r="M68" s="65"/>
      <c r="N68" s="65"/>
      <c r="O68" s="64"/>
    </row>
    <row r="69" s="1" customFormat="1" ht="18" customHeight="1" spans="1:15">
      <c r="A69" s="31"/>
      <c r="B69" s="32">
        <f t="shared" si="9"/>
        <v>0</v>
      </c>
      <c r="C69" s="33"/>
      <c r="D69" s="34"/>
      <c r="E69" s="35"/>
      <c r="F69" s="12">
        <f t="shared" si="10"/>
        <v>0</v>
      </c>
      <c r="G69" s="23"/>
      <c r="H69" s="20"/>
      <c r="I69" s="12">
        <v>-370000</v>
      </c>
      <c r="J69" s="61" t="s">
        <v>73</v>
      </c>
      <c r="K69" s="74" t="s">
        <v>80</v>
      </c>
      <c r="L69" s="64"/>
      <c r="M69" s="65"/>
      <c r="N69" s="65"/>
      <c r="O69" s="64"/>
    </row>
    <row r="70" s="1" customFormat="1" ht="18" customHeight="1" spans="1:15">
      <c r="A70" s="31"/>
      <c r="B70" s="32">
        <f t="shared" si="9"/>
        <v>0</v>
      </c>
      <c r="C70" s="33"/>
      <c r="D70" s="34"/>
      <c r="E70" s="35"/>
      <c r="F70" s="32">
        <f t="shared" si="10"/>
        <v>0</v>
      </c>
      <c r="G70" s="23"/>
      <c r="H70" s="20"/>
      <c r="I70" s="12">
        <v>370000</v>
      </c>
      <c r="J70" s="61" t="s">
        <v>80</v>
      </c>
      <c r="K70" s="74"/>
      <c r="L70" s="64"/>
      <c r="M70" s="65"/>
      <c r="N70" s="65"/>
      <c r="O70" s="64"/>
    </row>
    <row r="71" s="1" customFormat="1" ht="18" customHeight="1" spans="1:15">
      <c r="A71" s="31"/>
      <c r="B71" s="32">
        <f t="shared" si="9"/>
        <v>0</v>
      </c>
      <c r="C71" s="33"/>
      <c r="D71" s="34"/>
      <c r="E71" s="35"/>
      <c r="F71" s="32">
        <f t="shared" si="10"/>
        <v>0</v>
      </c>
      <c r="G71" s="23"/>
      <c r="H71" s="20"/>
      <c r="I71" s="12">
        <v>87273</v>
      </c>
      <c r="J71" s="61" t="s">
        <v>71</v>
      </c>
      <c r="K71" s="74" t="s">
        <v>90</v>
      </c>
      <c r="L71" s="64"/>
      <c r="M71" s="65"/>
      <c r="N71" s="65"/>
      <c r="O71" s="64"/>
    </row>
    <row r="72" s="1" customFormat="1" ht="18" customHeight="1" spans="1:15">
      <c r="A72" s="31"/>
      <c r="B72" s="32">
        <f t="shared" si="9"/>
        <v>0</v>
      </c>
      <c r="C72" s="33"/>
      <c r="D72" s="34"/>
      <c r="E72" s="35"/>
      <c r="F72" s="32">
        <f t="shared" si="10"/>
        <v>0</v>
      </c>
      <c r="G72" s="23"/>
      <c r="H72" s="20"/>
      <c r="I72" s="133">
        <v>80957</v>
      </c>
      <c r="J72" s="135" t="s">
        <v>71</v>
      </c>
      <c r="K72" s="146" t="s">
        <v>91</v>
      </c>
      <c r="L72" s="64"/>
      <c r="M72" s="65"/>
      <c r="N72" s="65"/>
      <c r="O72" s="64"/>
    </row>
    <row r="73" s="1" customFormat="1" ht="18" customHeight="1" spans="1:15">
      <c r="A73" s="31"/>
      <c r="B73" s="32">
        <f t="shared" si="9"/>
        <v>0</v>
      </c>
      <c r="C73" s="33"/>
      <c r="D73" s="34"/>
      <c r="E73" s="35"/>
      <c r="F73" s="32">
        <f t="shared" si="10"/>
        <v>0</v>
      </c>
      <c r="G73" s="23"/>
      <c r="H73" s="20"/>
      <c r="I73" s="12">
        <v>500</v>
      </c>
      <c r="J73" s="61" t="s">
        <v>71</v>
      </c>
      <c r="K73" s="77" t="s">
        <v>92</v>
      </c>
      <c r="L73" s="64"/>
      <c r="M73" s="65"/>
      <c r="N73" s="65"/>
      <c r="O73" s="64"/>
    </row>
    <row r="74" s="1" customFormat="1" ht="18" customHeight="1" spans="1:15">
      <c r="A74" s="31"/>
      <c r="B74" s="32">
        <f t="shared" si="9"/>
        <v>98000</v>
      </c>
      <c r="C74" s="33"/>
      <c r="D74" s="34"/>
      <c r="E74" s="35"/>
      <c r="F74" s="32">
        <f t="shared" si="10"/>
        <v>0</v>
      </c>
      <c r="G74" s="23">
        <f>30000+53000+15000</f>
        <v>98000</v>
      </c>
      <c r="H74" s="20"/>
      <c r="I74" s="12">
        <f>G74</f>
        <v>98000</v>
      </c>
      <c r="J74" s="61" t="s">
        <v>71</v>
      </c>
      <c r="K74" s="77" t="s">
        <v>78</v>
      </c>
      <c r="L74" s="64"/>
      <c r="M74" s="65"/>
      <c r="N74" s="65"/>
      <c r="O74" s="64"/>
    </row>
    <row r="75" ht="18" customHeight="1" spans="1:15">
      <c r="A75" s="27" t="s">
        <v>25</v>
      </c>
      <c r="B75" s="26">
        <f>SUM(B17:B74)</f>
        <v>23862734.88</v>
      </c>
      <c r="C75" s="27"/>
      <c r="D75" s="89"/>
      <c r="E75" s="89"/>
      <c r="F75" s="28">
        <f>SUM(F17:F74)</f>
        <v>2041225.07</v>
      </c>
      <c r="G75" s="27">
        <f>SUM(G17:G74)</f>
        <v>25903959.95</v>
      </c>
      <c r="H75" s="29"/>
      <c r="I75" s="27">
        <f>SUM(I17:I74)</f>
        <v>27254669.64</v>
      </c>
      <c r="J75" s="29"/>
      <c r="K75" s="118"/>
      <c r="L75" s="29"/>
      <c r="M75" s="61"/>
      <c r="N75" s="61"/>
      <c r="O75" s="29"/>
    </row>
    <row r="76" ht="18" customHeight="1" spans="1:14">
      <c r="A76" s="91" t="s">
        <v>93</v>
      </c>
      <c r="B76" s="91">
        <f>B14*0.976</f>
        <v>26768786.8396997</v>
      </c>
      <c r="C76" s="91"/>
      <c r="D76" s="92"/>
      <c r="E76" s="92"/>
      <c r="F76" s="91">
        <f>F14-F75</f>
        <v>29576.5196580482</v>
      </c>
      <c r="G76" s="91"/>
      <c r="H76" s="19" t="s">
        <v>94</v>
      </c>
      <c r="I76" s="27">
        <f>I14-I75</f>
        <v>1799.3599999994</v>
      </c>
      <c r="J76" s="7"/>
      <c r="K76" s="119"/>
      <c r="L76" s="7">
        <f>(I54+I61+I74)/I14</f>
        <v>0.00500000018344269</v>
      </c>
      <c r="M76" s="8"/>
      <c r="N76" s="8"/>
    </row>
    <row r="77" ht="18" customHeight="1" spans="1:18">
      <c r="A77" s="91" t="s">
        <v>95</v>
      </c>
      <c r="B77" s="91">
        <f>B76-B75</f>
        <v>2906051.95969975</v>
      </c>
      <c r="C77" s="91"/>
      <c r="D77" s="92"/>
      <c r="E77" s="92"/>
      <c r="F77" s="91"/>
      <c r="G77" s="91"/>
      <c r="H77" s="94"/>
      <c r="I77" s="91"/>
      <c r="J77" s="7"/>
      <c r="K77" s="119"/>
      <c r="M77" s="8"/>
      <c r="N77" s="8"/>
      <c r="R77" s="7" t="s">
        <v>96</v>
      </c>
    </row>
    <row r="78" ht="18" customHeight="1" spans="1:15">
      <c r="A78" s="3" t="s">
        <v>97</v>
      </c>
      <c r="C78" s="3"/>
      <c r="F78" s="95"/>
      <c r="G78" s="95"/>
      <c r="O78" s="29"/>
    </row>
    <row r="79" ht="18" customHeight="1" spans="1:15">
      <c r="A79" s="19" t="s">
        <v>98</v>
      </c>
      <c r="B79" s="18" t="s">
        <v>99</v>
      </c>
      <c r="C79" s="29"/>
      <c r="D79" s="19" t="s">
        <v>98</v>
      </c>
      <c r="E79" s="18" t="s">
        <v>17</v>
      </c>
      <c r="F79" s="18" t="s">
        <v>99</v>
      </c>
      <c r="G79" s="137" t="s">
        <v>100</v>
      </c>
      <c r="H79" s="137" t="s">
        <v>101</v>
      </c>
      <c r="I79" s="137" t="s">
        <v>102</v>
      </c>
      <c r="K79" s="137" t="s">
        <v>103</v>
      </c>
      <c r="L79" s="137" t="s">
        <v>104</v>
      </c>
      <c r="O79" s="163" t="s">
        <v>123</v>
      </c>
    </row>
    <row r="80" ht="18" customHeight="1" spans="1:15">
      <c r="A80" s="29" t="s">
        <v>105</v>
      </c>
      <c r="B80" s="32">
        <f>(B14*0.936-B75)*0.25</f>
        <v>452242.632960801</v>
      </c>
      <c r="C80" s="29"/>
      <c r="D80" s="138" t="s">
        <v>106</v>
      </c>
      <c r="E80" s="139" t="s">
        <v>107</v>
      </c>
      <c r="F80" s="28">
        <f>F14-F75</f>
        <v>29576.5196580482</v>
      </c>
      <c r="G80" s="140">
        <v>68985</v>
      </c>
      <c r="H80" s="140">
        <f>F8-F19-F21-F24-F25-F26</f>
        <v>434092.030909091</v>
      </c>
      <c r="I80" s="149">
        <f>F9-F34</f>
        <v>189747.930458716</v>
      </c>
      <c r="K80" s="140">
        <v>0</v>
      </c>
      <c r="L80" s="149">
        <v>37979.264495414</v>
      </c>
      <c r="O80" s="140">
        <v>0</v>
      </c>
    </row>
    <row r="81" ht="18" customHeight="1" spans="1:15">
      <c r="A81" s="29" t="s">
        <v>108</v>
      </c>
      <c r="B81" s="102">
        <f>G14*0.0003</f>
        <v>9013.9134</v>
      </c>
      <c r="C81" s="29"/>
      <c r="D81" s="141" t="s">
        <v>109</v>
      </c>
      <c r="E81" s="14">
        <v>0.05</v>
      </c>
      <c r="F81" s="12">
        <f>F80*E81</f>
        <v>1478.82598290241</v>
      </c>
      <c r="G81" s="67">
        <v>3449.25</v>
      </c>
      <c r="H81" s="67">
        <f>H80*E81</f>
        <v>21704.6015454545</v>
      </c>
      <c r="I81" s="151">
        <f>I80*E81</f>
        <v>9487.39652293578</v>
      </c>
      <c r="K81" s="67">
        <v>0</v>
      </c>
      <c r="L81" s="151">
        <v>1898.9632247707</v>
      </c>
      <c r="O81" s="67">
        <v>0</v>
      </c>
    </row>
    <row r="82" ht="18" customHeight="1" spans="1:15">
      <c r="A82" s="29" t="s">
        <v>110</v>
      </c>
      <c r="B82" s="102">
        <f>B14*0.0006</f>
        <v>16456.2214178482</v>
      </c>
      <c r="C82" s="29"/>
      <c r="D82" s="141" t="s">
        <v>111</v>
      </c>
      <c r="E82" s="14">
        <v>0.03</v>
      </c>
      <c r="F82" s="12">
        <f>F80*E82</f>
        <v>887.295589741445</v>
      </c>
      <c r="G82" s="67">
        <v>2069.55</v>
      </c>
      <c r="H82" s="67">
        <f>H80*E82</f>
        <v>13022.7609272727</v>
      </c>
      <c r="I82" s="151">
        <f>I80*E82</f>
        <v>5692.43791376147</v>
      </c>
      <c r="K82" s="67">
        <v>0</v>
      </c>
      <c r="L82" s="151">
        <v>1139.37793486242</v>
      </c>
      <c r="O82" s="67">
        <v>0</v>
      </c>
    </row>
    <row r="83" ht="18" customHeight="1" spans="1:15">
      <c r="A83" s="29"/>
      <c r="B83" s="29"/>
      <c r="C83" s="29"/>
      <c r="D83" s="141" t="s">
        <v>112</v>
      </c>
      <c r="E83" s="14">
        <v>0.02</v>
      </c>
      <c r="F83" s="12">
        <f>F80*E83</f>
        <v>591.530393160963</v>
      </c>
      <c r="G83" s="67">
        <v>1379.7</v>
      </c>
      <c r="H83" s="67">
        <f>H80*E83</f>
        <v>8681.84061818182</v>
      </c>
      <c r="I83" s="151">
        <f>I80*E83</f>
        <v>3794.95860917431</v>
      </c>
      <c r="K83" s="67">
        <v>0</v>
      </c>
      <c r="L83" s="151">
        <v>759.585289908281</v>
      </c>
      <c r="O83" s="67">
        <v>0</v>
      </c>
    </row>
    <row r="84" ht="18" customHeight="1" spans="1:15">
      <c r="A84" s="25" t="s">
        <v>113</v>
      </c>
      <c r="B84" s="26">
        <f t="shared" ref="B84:I84" si="11">SUM(B80:B83)</f>
        <v>477712.767778649</v>
      </c>
      <c r="C84" s="29"/>
      <c r="D84" s="138" t="s">
        <v>113</v>
      </c>
      <c r="E84" s="138"/>
      <c r="F84" s="28">
        <f t="shared" si="11"/>
        <v>32534.171623853</v>
      </c>
      <c r="G84" s="28">
        <f t="shared" si="11"/>
        <v>75883.5</v>
      </c>
      <c r="H84" s="28">
        <f t="shared" si="11"/>
        <v>477501.234</v>
      </c>
      <c r="I84" s="153">
        <f t="shared" si="11"/>
        <v>208722.723504587</v>
      </c>
      <c r="K84" s="28">
        <v>0</v>
      </c>
      <c r="L84" s="153">
        <v>41777.1909449555</v>
      </c>
      <c r="O84" s="140">
        <v>0</v>
      </c>
    </row>
    <row r="85" ht="21.95" customHeight="1" spans="3:15">
      <c r="C85" s="3"/>
      <c r="D85" s="29" t="s">
        <v>108</v>
      </c>
      <c r="E85" s="142">
        <v>0.0003</v>
      </c>
      <c r="F85" s="67">
        <f>G14*E85</f>
        <v>9013.9134</v>
      </c>
      <c r="G85" s="143">
        <v>1800</v>
      </c>
      <c r="H85" s="143">
        <f>G8*E85</f>
        <v>3180</v>
      </c>
      <c r="I85" s="143"/>
      <c r="J85" s="154"/>
      <c r="K85" s="143">
        <f>G9*E85</f>
        <v>900</v>
      </c>
      <c r="L85" s="29"/>
      <c r="M85" s="29"/>
      <c r="N85" s="155"/>
      <c r="O85" s="29"/>
    </row>
    <row r="86" ht="21.95" customHeight="1" spans="3:15">
      <c r="C86" s="3"/>
      <c r="D86" s="29" t="s">
        <v>110</v>
      </c>
      <c r="E86" s="142">
        <v>0.0006</v>
      </c>
      <c r="F86" s="67">
        <f>B14*E86</f>
        <v>16456.2214178482</v>
      </c>
      <c r="G86" s="67">
        <v>3272.73</v>
      </c>
      <c r="H86" s="67">
        <f>B8*E86</f>
        <v>5781.81818181818</v>
      </c>
      <c r="I86" s="151"/>
      <c r="K86" s="67">
        <f>B9*E86</f>
        <v>1651.37614678899</v>
      </c>
      <c r="L86" s="29"/>
      <c r="M86" s="29">
        <v>1963.19394495413</v>
      </c>
      <c r="N86" s="155">
        <v>2251.37614678899</v>
      </c>
      <c r="O86" s="29">
        <f>B12*E86</f>
        <v>1535.72972477064</v>
      </c>
    </row>
    <row r="87" ht="21.95" customHeight="1" spans="3:15">
      <c r="C87" s="3"/>
      <c r="D87" s="28" t="s">
        <v>113</v>
      </c>
      <c r="E87" s="144"/>
      <c r="F87" s="140">
        <f t="shared" ref="F87:H87" si="12">F85+F86</f>
        <v>25470.1348178482</v>
      </c>
      <c r="G87" s="140">
        <f t="shared" si="12"/>
        <v>5072.73</v>
      </c>
      <c r="H87" s="140">
        <f t="shared" si="12"/>
        <v>8961.81818181818</v>
      </c>
      <c r="I87" s="149"/>
      <c r="K87" s="149">
        <f>K85+K86</f>
        <v>2551.37614678899</v>
      </c>
      <c r="L87" s="29"/>
      <c r="M87" s="29"/>
      <c r="N87" s="155"/>
      <c r="O87" s="29"/>
    </row>
    <row r="88" ht="21.95" customHeight="1" spans="3:15">
      <c r="C88" s="3"/>
      <c r="D88" s="28" t="s">
        <v>25</v>
      </c>
      <c r="E88" s="144"/>
      <c r="F88" s="140">
        <f t="shared" ref="F88:H88" si="13">F84+F87</f>
        <v>58004.3064417012</v>
      </c>
      <c r="G88" s="140">
        <f t="shared" si="13"/>
        <v>80956.23</v>
      </c>
      <c r="H88" s="140">
        <f t="shared" si="13"/>
        <v>486463.052181818</v>
      </c>
      <c r="I88" s="149"/>
      <c r="K88" s="149">
        <f>K87</f>
        <v>2551.37614678899</v>
      </c>
      <c r="L88" s="29"/>
      <c r="M88" s="29"/>
      <c r="N88" s="155"/>
      <c r="O88" s="29"/>
    </row>
    <row r="89" ht="21.95" customHeight="1" spans="3:15">
      <c r="C89" s="3"/>
      <c r="D89" s="28" t="s">
        <v>105</v>
      </c>
      <c r="E89" s="144">
        <v>0.016</v>
      </c>
      <c r="F89" s="140">
        <f>B14*E89</f>
        <v>438832.571142619</v>
      </c>
      <c r="G89" s="140">
        <v>87272.73</v>
      </c>
      <c r="H89" s="140"/>
      <c r="I89" s="149"/>
      <c r="K89" s="149"/>
      <c r="L89" s="29"/>
      <c r="M89" s="29"/>
      <c r="N89" s="155"/>
      <c r="O89" s="29"/>
    </row>
    <row r="90" ht="21.95" customHeight="1" spans="3:15">
      <c r="C90" s="3"/>
      <c r="D90" s="28" t="s">
        <v>105</v>
      </c>
      <c r="E90" s="144">
        <v>0.006</v>
      </c>
      <c r="F90" s="140"/>
      <c r="G90" s="140"/>
      <c r="H90" s="140">
        <f>B8*E90</f>
        <v>57818.1818181818</v>
      </c>
      <c r="I90" s="140"/>
      <c r="J90" s="157"/>
      <c r="K90" s="140">
        <f>B9*E90</f>
        <v>16513.7614678899</v>
      </c>
      <c r="L90" s="29"/>
      <c r="M90" s="29">
        <v>21398.814</v>
      </c>
      <c r="N90" s="155">
        <v>24540</v>
      </c>
      <c r="O90" s="140"/>
    </row>
    <row r="91" ht="21.95" customHeight="1" spans="3:12">
      <c r="C91" s="3"/>
      <c r="F91" s="95"/>
      <c r="G91" s="95"/>
      <c r="I91" s="128" t="s">
        <v>114</v>
      </c>
      <c r="L91" s="60" t="s">
        <v>115</v>
      </c>
    </row>
    <row r="92" ht="21.95" customHeight="1" spans="3:18">
      <c r="C92" s="3"/>
      <c r="F92" s="95"/>
      <c r="G92" s="95"/>
      <c r="I92" s="128" t="s">
        <v>116</v>
      </c>
      <c r="L92" s="129" t="s">
        <v>117</v>
      </c>
      <c r="R92" s="7">
        <f>755000/0.25</f>
        <v>3020000</v>
      </c>
    </row>
    <row r="93" ht="21.95" customHeight="1" spans="3:13">
      <c r="C93" s="3"/>
      <c r="F93" s="95"/>
      <c r="G93" s="95"/>
      <c r="H93" s="145" t="s">
        <v>118</v>
      </c>
      <c r="I93" s="4">
        <v>208722.72</v>
      </c>
      <c r="L93" s="131" t="s">
        <v>119</v>
      </c>
      <c r="M93" s="131">
        <v>90408.0990550446</v>
      </c>
    </row>
    <row r="94" ht="21.95" customHeight="1" spans="3:7">
      <c r="C94" s="3"/>
      <c r="F94" s="95"/>
      <c r="G94" s="95"/>
    </row>
    <row r="95" ht="21.95" customHeight="1" spans="3:7">
      <c r="C95" s="3"/>
      <c r="F95" s="95"/>
      <c r="G95" s="95"/>
    </row>
    <row r="96" ht="21.95" customHeight="1" spans="3:7">
      <c r="C96" s="3"/>
      <c r="F96" s="95"/>
      <c r="G96" s="95"/>
    </row>
    <row r="97" ht="21.95" customHeight="1" spans="3:7">
      <c r="C97" s="3"/>
      <c r="F97" s="95"/>
      <c r="G97" s="95"/>
    </row>
    <row r="98" ht="21.95" customHeight="1" spans="3:7">
      <c r="C98" s="3"/>
      <c r="F98" s="95"/>
      <c r="G98" s="95"/>
    </row>
    <row r="99" ht="21.95" customHeight="1" spans="3:7">
      <c r="C99" s="3"/>
      <c r="F99" s="95"/>
      <c r="G99" s="95"/>
    </row>
    <row r="100" ht="21.95" customHeight="1" spans="3:7">
      <c r="C100" s="3"/>
      <c r="F100" s="95"/>
      <c r="G100" s="95"/>
    </row>
    <row r="101" ht="21.95" customHeight="1" spans="3:3">
      <c r="C101" s="3"/>
    </row>
    <row r="102" ht="21.95" customHeight="1" spans="3:3">
      <c r="C102" s="3"/>
    </row>
    <row r="103" ht="21.95" customHeight="1" spans="3:3">
      <c r="C103" s="3"/>
    </row>
    <row r="104" ht="21.95" customHeight="1" spans="3:3">
      <c r="C104" s="3"/>
    </row>
    <row r="105" ht="21.95" customHeight="1" spans="3:3">
      <c r="C105" s="3"/>
    </row>
    <row r="106" ht="21.95" customHeight="1" spans="3:3">
      <c r="C106" s="3"/>
    </row>
    <row r="107" spans="3:3">
      <c r="C107" s="3"/>
    </row>
    <row r="108" spans="3:3">
      <c r="C108" s="3"/>
    </row>
  </sheetData>
  <protectedRanges>
    <protectedRange sqref="L33 K26:L32 K60:L60 L61 K62:L66 K52" name="区域1"/>
    <protectedRange sqref="I32" name="区域1_1"/>
  </protectedRanges>
  <autoFilter ref="A16:R93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9"/>
  <sheetViews>
    <sheetView topLeftCell="B97" workbookViewId="0">
      <selection activeCell="M114" sqref="M114"/>
    </sheetView>
  </sheetViews>
  <sheetFormatPr defaultColWidth="9" defaultRowHeight="11.25"/>
  <cols>
    <col min="1" max="1" width="10.75" style="3" customWidth="1"/>
    <col min="2" max="2" width="14.1333333333333" style="4" customWidth="1"/>
    <col min="3" max="3" width="6" style="4" customWidth="1"/>
    <col min="4" max="4" width="13.3833333333333" style="4" customWidth="1"/>
    <col min="5" max="5" width="6" style="4" customWidth="1"/>
    <col min="6" max="6" width="12.25" style="4" customWidth="1"/>
    <col min="7" max="7" width="14.1333333333333" style="4" customWidth="1"/>
    <col min="8" max="8" width="13.3833333333333" style="4" customWidth="1"/>
    <col min="9" max="9" width="14" style="4" customWidth="1"/>
    <col min="10" max="10" width="4.75" style="6" customWidth="1"/>
    <col min="11" max="11" width="35.3833333333333" style="7" customWidth="1"/>
    <col min="12" max="12" width="12.75" style="7" customWidth="1"/>
    <col min="13" max="13" width="8" style="7" customWidth="1"/>
    <col min="14" max="14" width="5.63333333333333" style="7" customWidth="1"/>
    <col min="15" max="15" width="10.3833333333333" style="7"/>
    <col min="16" max="16" width="9" style="7"/>
    <col min="17" max="17" width="9" style="7" customWidth="1"/>
    <col min="18" max="16384" width="9" style="7"/>
  </cols>
  <sheetData>
    <row r="1" ht="38.25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7"/>
      <c r="L1" s="17"/>
    </row>
    <row r="2" ht="18" customHeight="1" spans="1:12">
      <c r="A2" s="10" t="s">
        <v>1</v>
      </c>
      <c r="B2" s="11">
        <v>43116</v>
      </c>
      <c r="C2" s="12" t="s">
        <v>2</v>
      </c>
      <c r="D2" s="13">
        <v>41448872</v>
      </c>
      <c r="E2" s="14" t="s">
        <v>3</v>
      </c>
      <c r="F2" s="12" t="s">
        <v>4</v>
      </c>
      <c r="G2" s="14" t="s">
        <v>5</v>
      </c>
      <c r="H2" s="15" t="s">
        <v>6</v>
      </c>
      <c r="I2" s="58"/>
      <c r="J2" s="59"/>
      <c r="K2" s="17"/>
      <c r="L2" s="17"/>
    </row>
    <row r="3" ht="18" customHeight="1" spans="1:13">
      <c r="A3" s="10" t="s">
        <v>7</v>
      </c>
      <c r="B3" s="16"/>
      <c r="C3" s="12" t="s">
        <v>8</v>
      </c>
      <c r="D3" s="12"/>
      <c r="H3" s="17"/>
      <c r="I3" s="17"/>
      <c r="J3" s="17"/>
      <c r="K3" s="17"/>
      <c r="L3" s="17"/>
      <c r="M3" s="60" t="s">
        <v>9</v>
      </c>
    </row>
    <row r="4" ht="18" customHeight="1" spans="1:12">
      <c r="A4" s="3" t="s">
        <v>10</v>
      </c>
      <c r="H4" s="17"/>
      <c r="I4" s="17"/>
      <c r="J4" s="17"/>
      <c r="K4" s="17"/>
      <c r="L4" s="17"/>
    </row>
    <row r="5" ht="18" customHeight="1" spans="1:10">
      <c r="A5" s="18" t="s">
        <v>11</v>
      </c>
      <c r="B5" s="18" t="s">
        <v>12</v>
      </c>
      <c r="C5" s="18" t="s">
        <v>13</v>
      </c>
      <c r="D5" s="18"/>
      <c r="E5" s="18" t="s">
        <v>14</v>
      </c>
      <c r="F5" s="18"/>
      <c r="G5" s="18" t="s">
        <v>15</v>
      </c>
      <c r="H5" s="19" t="s">
        <v>16</v>
      </c>
      <c r="I5" s="19"/>
      <c r="J5" s="19"/>
    </row>
    <row r="6" ht="18" customHeight="1" spans="1:11">
      <c r="A6" s="18"/>
      <c r="B6" s="18"/>
      <c r="C6" s="18" t="s">
        <v>17</v>
      </c>
      <c r="D6" s="18" t="s">
        <v>18</v>
      </c>
      <c r="E6" s="18" t="s">
        <v>17</v>
      </c>
      <c r="F6" s="18" t="s">
        <v>18</v>
      </c>
      <c r="G6" s="18"/>
      <c r="H6" s="19" t="s">
        <v>19</v>
      </c>
      <c r="I6" s="19" t="s">
        <v>20</v>
      </c>
      <c r="J6" s="19" t="s">
        <v>21</v>
      </c>
      <c r="K6" s="7" t="s">
        <v>22</v>
      </c>
    </row>
    <row r="7" ht="18" customHeight="1" spans="1:11">
      <c r="A7" s="20">
        <v>43287</v>
      </c>
      <c r="B7" s="12">
        <f t="shared" ref="B7:B13" si="0">G7/(1+C7+E7)</f>
        <v>5454545.45454545</v>
      </c>
      <c r="C7" s="21">
        <v>0.02</v>
      </c>
      <c r="D7" s="22">
        <f t="shared" ref="D7:D13" si="1">G7/(1+E7+C7)*C7</f>
        <v>109090.909090909</v>
      </c>
      <c r="E7" s="21">
        <v>0.08</v>
      </c>
      <c r="F7" s="12">
        <f t="shared" ref="F7:F13" si="2">G7/(1+C7+E7)*E7</f>
        <v>436363.636363636</v>
      </c>
      <c r="G7" s="23">
        <v>6000000</v>
      </c>
      <c r="H7" s="20">
        <v>43294</v>
      </c>
      <c r="I7" s="12">
        <v>6000000</v>
      </c>
      <c r="J7" s="61" t="s">
        <v>23</v>
      </c>
      <c r="K7" s="7" t="s">
        <v>24</v>
      </c>
    </row>
    <row r="8" ht="18" customHeight="1" spans="1:10">
      <c r="A8" s="20">
        <v>43473</v>
      </c>
      <c r="B8" s="12">
        <f t="shared" si="0"/>
        <v>9636363.63636363</v>
      </c>
      <c r="C8" s="21">
        <v>0.02</v>
      </c>
      <c r="D8" s="22">
        <f t="shared" si="1"/>
        <v>192727.272727273</v>
      </c>
      <c r="E8" s="21">
        <v>0.08</v>
      </c>
      <c r="F8" s="12">
        <f t="shared" si="2"/>
        <v>770909.090909091</v>
      </c>
      <c r="G8" s="23">
        <v>10600000</v>
      </c>
      <c r="H8" s="20">
        <v>43483</v>
      </c>
      <c r="I8" s="12">
        <v>10600000</v>
      </c>
      <c r="J8" s="61" t="s">
        <v>23</v>
      </c>
    </row>
    <row r="9" ht="18" customHeight="1" spans="1:10">
      <c r="A9" s="20">
        <v>43654</v>
      </c>
      <c r="B9" s="12">
        <f t="shared" si="0"/>
        <v>2752293.57798165</v>
      </c>
      <c r="C9" s="21">
        <v>0.02</v>
      </c>
      <c r="D9" s="22">
        <f t="shared" si="1"/>
        <v>55045.871559633</v>
      </c>
      <c r="E9" s="21">
        <v>0.07</v>
      </c>
      <c r="F9" s="12">
        <f t="shared" si="2"/>
        <v>192660.550458716</v>
      </c>
      <c r="G9" s="23">
        <v>3000000</v>
      </c>
      <c r="H9" s="20">
        <v>43661</v>
      </c>
      <c r="I9" s="12">
        <v>3000000</v>
      </c>
      <c r="J9" s="61" t="s">
        <v>23</v>
      </c>
    </row>
    <row r="10" ht="18" customHeight="1" spans="1:11">
      <c r="A10" s="20">
        <v>43816</v>
      </c>
      <c r="B10" s="12">
        <f t="shared" si="0"/>
        <v>3271989.90825688</v>
      </c>
      <c r="C10" s="21">
        <v>0.02</v>
      </c>
      <c r="D10" s="22">
        <f t="shared" si="1"/>
        <v>65439.7981651376</v>
      </c>
      <c r="E10" s="24">
        <v>0.07</v>
      </c>
      <c r="F10" s="12">
        <f t="shared" si="2"/>
        <v>229039.293577982</v>
      </c>
      <c r="G10" s="23">
        <v>3566469</v>
      </c>
      <c r="H10" s="20">
        <v>43819</v>
      </c>
      <c r="I10" s="12">
        <v>3566469</v>
      </c>
      <c r="J10" s="61" t="s">
        <v>23</v>
      </c>
      <c r="K10" s="7">
        <f>I10*0.006</f>
        <v>21398.814</v>
      </c>
    </row>
    <row r="11" ht="18" customHeight="1" spans="1:10">
      <c r="A11" s="20">
        <v>43847</v>
      </c>
      <c r="B11" s="12">
        <f t="shared" si="0"/>
        <v>3752293.57798165</v>
      </c>
      <c r="C11" s="21">
        <v>0.02</v>
      </c>
      <c r="D11" s="22">
        <f t="shared" si="1"/>
        <v>75045.871559633</v>
      </c>
      <c r="E11" s="24">
        <v>0.07</v>
      </c>
      <c r="F11" s="12">
        <f t="shared" si="2"/>
        <v>262660.550458716</v>
      </c>
      <c r="G11" s="23">
        <v>4090000</v>
      </c>
      <c r="H11" s="20">
        <v>43916</v>
      </c>
      <c r="I11" s="12">
        <v>4090000</v>
      </c>
      <c r="J11" s="61" t="s">
        <v>23</v>
      </c>
    </row>
    <row r="12" ht="18" customHeight="1" spans="1:10">
      <c r="A12" s="20">
        <v>44034</v>
      </c>
      <c r="B12" s="12">
        <f t="shared" si="0"/>
        <v>2559549.5412844</v>
      </c>
      <c r="C12" s="24">
        <v>0.02</v>
      </c>
      <c r="D12" s="22">
        <f t="shared" si="1"/>
        <v>51190.9908256881</v>
      </c>
      <c r="E12" s="24">
        <v>0.07</v>
      </c>
      <c r="F12" s="12">
        <f t="shared" si="2"/>
        <v>179168.467889908</v>
      </c>
      <c r="G12" s="23">
        <v>2789909</v>
      </c>
      <c r="H12" s="20">
        <v>44075</v>
      </c>
      <c r="I12" s="12">
        <v>2743531</v>
      </c>
      <c r="J12" s="61" t="s">
        <v>23</v>
      </c>
    </row>
    <row r="13" ht="18" customHeight="1" spans="1:11">
      <c r="A13" s="20"/>
      <c r="B13" s="12">
        <f t="shared" si="0"/>
        <v>0</v>
      </c>
      <c r="C13" s="21"/>
      <c r="D13" s="22">
        <f t="shared" si="1"/>
        <v>0</v>
      </c>
      <c r="E13" s="24"/>
      <c r="F13" s="12">
        <f t="shared" si="2"/>
        <v>0</v>
      </c>
      <c r="G13" s="23"/>
      <c r="H13" s="20"/>
      <c r="I13" s="12"/>
      <c r="J13" s="61"/>
      <c r="K13" s="7">
        <f>I13*0.006</f>
        <v>0</v>
      </c>
    </row>
    <row r="14" ht="24" customHeight="1" spans="1:10">
      <c r="A14" s="25" t="s">
        <v>25</v>
      </c>
      <c r="B14" s="26">
        <f t="shared" ref="B14:G14" si="3">SUM(B7:B13)</f>
        <v>27427035.6964137</v>
      </c>
      <c r="C14" s="27"/>
      <c r="D14" s="27">
        <f t="shared" si="3"/>
        <v>548540.713928274</v>
      </c>
      <c r="E14" s="27"/>
      <c r="F14" s="28">
        <f t="shared" si="3"/>
        <v>2070801.58965805</v>
      </c>
      <c r="G14" s="27">
        <f t="shared" si="3"/>
        <v>30046378</v>
      </c>
      <c r="H14" s="29"/>
      <c r="I14" s="27">
        <f>SUM(I7:I13)</f>
        <v>30000000</v>
      </c>
      <c r="J14" s="29"/>
    </row>
    <row r="15" ht="18" customHeight="1" spans="1:12">
      <c r="A15" s="3" t="s">
        <v>26</v>
      </c>
      <c r="B15" s="7"/>
      <c r="J15" s="4"/>
      <c r="K15" s="4"/>
      <c r="L15" s="6"/>
    </row>
    <row r="16" ht="18" customHeight="1" spans="1:15">
      <c r="A16" s="30" t="s">
        <v>19</v>
      </c>
      <c r="B16" s="18" t="s">
        <v>27</v>
      </c>
      <c r="C16" s="18" t="s">
        <v>28</v>
      </c>
      <c r="D16" s="18" t="s">
        <v>29</v>
      </c>
      <c r="E16" s="18" t="s">
        <v>17</v>
      </c>
      <c r="F16" s="18" t="s">
        <v>30</v>
      </c>
      <c r="G16" s="18" t="s">
        <v>15</v>
      </c>
      <c r="H16" s="18" t="s">
        <v>31</v>
      </c>
      <c r="I16" s="18" t="s">
        <v>32</v>
      </c>
      <c r="J16" s="18" t="s">
        <v>21</v>
      </c>
      <c r="K16" s="62" t="s">
        <v>33</v>
      </c>
      <c r="L16" s="19" t="s">
        <v>34</v>
      </c>
      <c r="M16" s="19" t="s">
        <v>35</v>
      </c>
      <c r="N16" s="19" t="s">
        <v>36</v>
      </c>
      <c r="O16" s="19" t="s">
        <v>37</v>
      </c>
    </row>
    <row r="17" s="1" customFormat="1" ht="18" customHeight="1" spans="1:15">
      <c r="A17" s="31">
        <v>43302</v>
      </c>
      <c r="B17" s="32">
        <f t="shared" ref="B17:B41" si="4">ROUND(G17/(1+E17),2)</f>
        <v>2912621.36</v>
      </c>
      <c r="C17" s="33">
        <v>3</v>
      </c>
      <c r="D17" s="34" t="s">
        <v>38</v>
      </c>
      <c r="E17" s="35">
        <v>0.03</v>
      </c>
      <c r="F17" s="32">
        <f t="shared" ref="F17:F41" si="5">ROUND(G17/(1+E17)*E17,2)</f>
        <v>87378.64</v>
      </c>
      <c r="G17" s="23">
        <f>1000000*3</f>
        <v>3000000</v>
      </c>
      <c r="H17" s="20">
        <v>43300</v>
      </c>
      <c r="I17" s="12">
        <v>3000000</v>
      </c>
      <c r="J17" s="61" t="s">
        <v>23</v>
      </c>
      <c r="K17" s="74" t="s">
        <v>39</v>
      </c>
      <c r="L17" s="64" t="s">
        <v>40</v>
      </c>
      <c r="M17" s="65" t="s">
        <v>41</v>
      </c>
      <c r="N17" s="65"/>
      <c r="O17" s="64"/>
    </row>
    <row r="18" s="1" customFormat="1" ht="18" customHeight="1" spans="1:15">
      <c r="A18" s="31">
        <v>43307</v>
      </c>
      <c r="B18" s="32">
        <f t="shared" si="4"/>
        <v>1750000</v>
      </c>
      <c r="C18" s="33">
        <v>2</v>
      </c>
      <c r="D18" s="34" t="s">
        <v>38</v>
      </c>
      <c r="E18" s="35">
        <v>0.16</v>
      </c>
      <c r="F18" s="32">
        <f t="shared" si="5"/>
        <v>280000</v>
      </c>
      <c r="G18" s="23">
        <f>999900+1030100</f>
        <v>2030000</v>
      </c>
      <c r="H18" s="20">
        <v>43300</v>
      </c>
      <c r="I18" s="12">
        <v>2030000</v>
      </c>
      <c r="J18" s="61" t="s">
        <v>23</v>
      </c>
      <c r="K18" s="74" t="s">
        <v>42</v>
      </c>
      <c r="L18" s="64" t="s">
        <v>43</v>
      </c>
      <c r="M18" s="65" t="s">
        <v>41</v>
      </c>
      <c r="N18" s="65"/>
      <c r="O18" s="64"/>
    </row>
    <row r="19" s="1" customFormat="1" ht="18" customHeight="1" spans="1:15">
      <c r="A19" s="31">
        <v>43330</v>
      </c>
      <c r="B19" s="37">
        <f t="shared" si="4"/>
        <v>582524.27</v>
      </c>
      <c r="C19" s="33">
        <v>1</v>
      </c>
      <c r="D19" s="34" t="s">
        <v>38</v>
      </c>
      <c r="E19" s="35">
        <v>0.03</v>
      </c>
      <c r="F19" s="37">
        <f t="shared" si="5"/>
        <v>17475.73</v>
      </c>
      <c r="G19" s="39">
        <v>600000</v>
      </c>
      <c r="H19" s="20">
        <v>43340</v>
      </c>
      <c r="I19" s="67">
        <v>600000</v>
      </c>
      <c r="J19" s="61" t="s">
        <v>23</v>
      </c>
      <c r="K19" s="74" t="s">
        <v>39</v>
      </c>
      <c r="L19" s="64" t="s">
        <v>44</v>
      </c>
      <c r="M19" s="65" t="s">
        <v>41</v>
      </c>
      <c r="N19" s="65"/>
      <c r="O19" s="64"/>
    </row>
    <row r="20" s="1" customFormat="1" ht="18" customHeight="1" spans="1:15">
      <c r="A20" s="31">
        <v>43374</v>
      </c>
      <c r="B20" s="32">
        <f t="shared" si="4"/>
        <v>258543</v>
      </c>
      <c r="C20" s="33"/>
      <c r="D20" s="34" t="s">
        <v>45</v>
      </c>
      <c r="E20" s="35"/>
      <c r="F20" s="32">
        <f t="shared" si="5"/>
        <v>0</v>
      </c>
      <c r="G20" s="23">
        <v>258543</v>
      </c>
      <c r="H20" s="20"/>
      <c r="I20" s="12"/>
      <c r="J20" s="61"/>
      <c r="K20" s="74" t="s">
        <v>46</v>
      </c>
      <c r="L20" s="64" t="s">
        <v>47</v>
      </c>
      <c r="M20" s="65"/>
      <c r="N20" s="65"/>
      <c r="O20" s="64"/>
    </row>
    <row r="21" s="1" customFormat="1" ht="18" customHeight="1" spans="1:15">
      <c r="A21" s="31">
        <v>43435</v>
      </c>
      <c r="B21" s="32">
        <f t="shared" si="4"/>
        <v>495747.57</v>
      </c>
      <c r="C21" s="33">
        <v>5</v>
      </c>
      <c r="D21" s="34" t="s">
        <v>38</v>
      </c>
      <c r="E21" s="35">
        <v>0.03</v>
      </c>
      <c r="F21" s="32">
        <f t="shared" si="5"/>
        <v>14872.43</v>
      </c>
      <c r="G21" s="23">
        <f>102124*5</f>
        <v>510620</v>
      </c>
      <c r="H21" s="20">
        <v>43434</v>
      </c>
      <c r="I21" s="12">
        <v>171270</v>
      </c>
      <c r="J21" s="61" t="s">
        <v>23</v>
      </c>
      <c r="K21" s="74" t="s">
        <v>48</v>
      </c>
      <c r="L21" s="64" t="s">
        <v>49</v>
      </c>
      <c r="M21" s="65" t="s">
        <v>41</v>
      </c>
      <c r="N21" s="65"/>
      <c r="O21" s="64"/>
    </row>
    <row r="22" s="1" customFormat="1" ht="18" customHeight="1" spans="1:15">
      <c r="A22" s="31"/>
      <c r="B22" s="32">
        <f t="shared" si="4"/>
        <v>0</v>
      </c>
      <c r="C22" s="33"/>
      <c r="D22" s="34"/>
      <c r="E22" s="35"/>
      <c r="F22" s="32">
        <f t="shared" si="5"/>
        <v>0</v>
      </c>
      <c r="G22" s="23"/>
      <c r="H22" s="20">
        <v>43434</v>
      </c>
      <c r="I22" s="12">
        <v>339350</v>
      </c>
      <c r="J22" s="61" t="s">
        <v>23</v>
      </c>
      <c r="K22" s="74" t="s">
        <v>48</v>
      </c>
      <c r="L22" s="64" t="s">
        <v>49</v>
      </c>
      <c r="M22" s="65" t="s">
        <v>41</v>
      </c>
      <c r="N22" s="65"/>
      <c r="O22" s="64"/>
    </row>
    <row r="23" s="1" customFormat="1" ht="18" customHeight="1" spans="1:15">
      <c r="A23" s="31"/>
      <c r="B23" s="32">
        <f t="shared" si="4"/>
        <v>0</v>
      </c>
      <c r="C23" s="33"/>
      <c r="D23" s="34"/>
      <c r="E23" s="35"/>
      <c r="F23" s="32">
        <f t="shared" si="5"/>
        <v>0</v>
      </c>
      <c r="G23" s="23"/>
      <c r="H23" s="20">
        <v>43434</v>
      </c>
      <c r="I23" s="12">
        <v>-339350</v>
      </c>
      <c r="J23" s="61" t="s">
        <v>50</v>
      </c>
      <c r="K23" s="74" t="s">
        <v>51</v>
      </c>
      <c r="L23" s="64"/>
      <c r="M23" s="65"/>
      <c r="N23" s="65"/>
      <c r="O23" s="64"/>
    </row>
    <row r="24" s="1" customFormat="1" ht="18" customHeight="1" spans="1:15">
      <c r="A24" s="31">
        <v>43466</v>
      </c>
      <c r="B24" s="32">
        <f t="shared" si="4"/>
        <v>1922330.1</v>
      </c>
      <c r="C24" s="33"/>
      <c r="D24" s="34" t="s">
        <v>38</v>
      </c>
      <c r="E24" s="35">
        <v>0.03</v>
      </c>
      <c r="F24" s="32">
        <f t="shared" si="5"/>
        <v>57669.9</v>
      </c>
      <c r="G24" s="23">
        <f>1000000+980000</f>
        <v>1980000</v>
      </c>
      <c r="H24" s="20">
        <v>43486</v>
      </c>
      <c r="I24" s="12">
        <f>1000000+980000</f>
        <v>1980000</v>
      </c>
      <c r="J24" s="61" t="s">
        <v>23</v>
      </c>
      <c r="K24" s="74" t="s">
        <v>39</v>
      </c>
      <c r="L24" s="64" t="s">
        <v>44</v>
      </c>
      <c r="M24" s="65" t="s">
        <v>41</v>
      </c>
      <c r="N24" s="65"/>
      <c r="O24" s="64"/>
    </row>
    <row r="25" s="1" customFormat="1" ht="18" customHeight="1" spans="1:15">
      <c r="A25" s="31">
        <v>43466</v>
      </c>
      <c r="B25" s="32">
        <f t="shared" si="4"/>
        <v>2912621.36</v>
      </c>
      <c r="C25" s="33"/>
      <c r="D25" s="34" t="s">
        <v>38</v>
      </c>
      <c r="E25" s="35">
        <v>0.03</v>
      </c>
      <c r="F25" s="32">
        <f t="shared" si="5"/>
        <v>87378.64</v>
      </c>
      <c r="G25" s="23">
        <f>30*100000</f>
        <v>3000000</v>
      </c>
      <c r="H25" s="20">
        <v>43486</v>
      </c>
      <c r="I25" s="12">
        <f>30*100000</f>
        <v>3000000</v>
      </c>
      <c r="J25" s="61" t="s">
        <v>23</v>
      </c>
      <c r="K25" s="74" t="s">
        <v>48</v>
      </c>
      <c r="L25" s="64" t="s">
        <v>49</v>
      </c>
      <c r="M25" s="65" t="s">
        <v>41</v>
      </c>
      <c r="N25" s="65"/>
      <c r="O25" s="64"/>
    </row>
    <row r="26" s="1" customFormat="1" ht="18" customHeight="1" spans="1:15">
      <c r="A26" s="31">
        <v>43466</v>
      </c>
      <c r="B26" s="32">
        <f t="shared" si="4"/>
        <v>996377.24</v>
      </c>
      <c r="C26" s="33"/>
      <c r="D26" s="34" t="s">
        <v>38</v>
      </c>
      <c r="E26" s="35">
        <v>0.16</v>
      </c>
      <c r="F26" s="32">
        <f t="shared" si="5"/>
        <v>159420.36</v>
      </c>
      <c r="G26" s="23">
        <v>1155797.6</v>
      </c>
      <c r="H26" s="20">
        <v>43490</v>
      </c>
      <c r="I26" s="12">
        <v>1100000</v>
      </c>
      <c r="J26" s="61" t="s">
        <v>23</v>
      </c>
      <c r="K26" s="69" t="s">
        <v>52</v>
      </c>
      <c r="L26" s="69" t="s">
        <v>53</v>
      </c>
      <c r="M26" s="65" t="s">
        <v>41</v>
      </c>
      <c r="N26" s="65"/>
      <c r="O26" s="64"/>
    </row>
    <row r="27" s="1" customFormat="1" ht="18" customHeight="1" spans="1:15">
      <c r="A27" s="31"/>
      <c r="B27" s="32">
        <f t="shared" si="4"/>
        <v>0</v>
      </c>
      <c r="C27" s="33"/>
      <c r="D27" s="34"/>
      <c r="E27" s="35"/>
      <c r="F27" s="32">
        <f t="shared" si="5"/>
        <v>0</v>
      </c>
      <c r="G27" s="23"/>
      <c r="H27" s="20">
        <v>43494</v>
      </c>
      <c r="I27" s="12">
        <v>55787.6</v>
      </c>
      <c r="J27" s="61" t="s">
        <v>23</v>
      </c>
      <c r="K27" s="69" t="s">
        <v>52</v>
      </c>
      <c r="L27" s="69" t="s">
        <v>53</v>
      </c>
      <c r="M27" s="65"/>
      <c r="N27" s="65"/>
      <c r="O27" s="64"/>
    </row>
    <row r="28" s="1" customFormat="1" ht="18" customHeight="1" spans="1:16">
      <c r="A28" s="41">
        <v>43497</v>
      </c>
      <c r="B28" s="32">
        <f t="shared" si="4"/>
        <v>1028276.8</v>
      </c>
      <c r="C28" s="42"/>
      <c r="D28" s="43" t="s">
        <v>54</v>
      </c>
      <c r="E28" s="44"/>
      <c r="F28" s="54">
        <f t="shared" si="5"/>
        <v>0</v>
      </c>
      <c r="G28" s="32">
        <v>1028276.8</v>
      </c>
      <c r="H28" s="46">
        <v>43528</v>
      </c>
      <c r="I28" s="32">
        <v>1028276.8</v>
      </c>
      <c r="J28" s="70" t="s">
        <v>23</v>
      </c>
      <c r="K28" s="71" t="s">
        <v>55</v>
      </c>
      <c r="L28" s="71" t="s">
        <v>56</v>
      </c>
      <c r="M28" s="65" t="s">
        <v>41</v>
      </c>
      <c r="N28" s="65"/>
      <c r="O28" s="72" t="s">
        <v>57</v>
      </c>
      <c r="P28" s="1">
        <v>1028276.8</v>
      </c>
    </row>
    <row r="29" s="1" customFormat="1" ht="18" customHeight="1" spans="1:16">
      <c r="A29" s="41">
        <v>43498</v>
      </c>
      <c r="B29" s="32">
        <f t="shared" si="4"/>
        <v>1987611.75</v>
      </c>
      <c r="C29" s="42"/>
      <c r="D29" s="43" t="s">
        <v>54</v>
      </c>
      <c r="E29" s="44"/>
      <c r="F29" s="54">
        <f t="shared" si="5"/>
        <v>0</v>
      </c>
      <c r="G29" s="32">
        <v>1987611.75</v>
      </c>
      <c r="H29" s="46">
        <v>43531</v>
      </c>
      <c r="I29" s="32">
        <v>1987611.75</v>
      </c>
      <c r="J29" s="70" t="s">
        <v>23</v>
      </c>
      <c r="K29" s="71" t="s">
        <v>55</v>
      </c>
      <c r="L29" s="71" t="s">
        <v>58</v>
      </c>
      <c r="M29" s="65" t="s">
        <v>41</v>
      </c>
      <c r="N29" s="65"/>
      <c r="O29" s="72" t="s">
        <v>57</v>
      </c>
      <c r="P29" s="1">
        <v>1021570.15</v>
      </c>
    </row>
    <row r="30" s="1" customFormat="1" ht="18" customHeight="1" spans="1:16">
      <c r="A30" s="41">
        <v>43499</v>
      </c>
      <c r="B30" s="32">
        <f t="shared" si="4"/>
        <v>0</v>
      </c>
      <c r="C30" s="42"/>
      <c r="D30" s="43" t="s">
        <v>54</v>
      </c>
      <c r="E30" s="44"/>
      <c r="F30" s="54">
        <f t="shared" si="5"/>
        <v>0</v>
      </c>
      <c r="G30" s="47"/>
      <c r="H30" s="46"/>
      <c r="I30" s="54"/>
      <c r="J30" s="70"/>
      <c r="K30" s="71" t="s">
        <v>55</v>
      </c>
      <c r="L30" s="71" t="s">
        <v>59</v>
      </c>
      <c r="M30" s="65"/>
      <c r="N30" s="65"/>
      <c r="O30" s="72" t="s">
        <v>57</v>
      </c>
      <c r="P30" s="1">
        <v>966041.6</v>
      </c>
    </row>
    <row r="31" s="1" customFormat="1" ht="18" customHeight="1" spans="1:15">
      <c r="A31" s="31">
        <v>43525</v>
      </c>
      <c r="B31" s="32">
        <f t="shared" si="4"/>
        <v>1336300</v>
      </c>
      <c r="C31" s="33"/>
      <c r="D31" s="34" t="s">
        <v>54</v>
      </c>
      <c r="E31" s="35"/>
      <c r="F31" s="32">
        <f t="shared" si="5"/>
        <v>0</v>
      </c>
      <c r="G31" s="23">
        <v>1336300</v>
      </c>
      <c r="H31" s="20">
        <v>43549</v>
      </c>
      <c r="I31" s="12">
        <v>851040.85</v>
      </c>
      <c r="J31" s="61" t="s">
        <v>23</v>
      </c>
      <c r="K31" s="69" t="s">
        <v>60</v>
      </c>
      <c r="L31" s="69" t="s">
        <v>61</v>
      </c>
      <c r="M31" s="65"/>
      <c r="N31" s="65"/>
      <c r="O31" s="64"/>
    </row>
    <row r="32" s="1" customFormat="1" ht="18" customHeight="1" spans="1:17">
      <c r="A32" s="31"/>
      <c r="B32" s="32">
        <f t="shared" si="4"/>
        <v>0</v>
      </c>
      <c r="C32" s="33"/>
      <c r="D32" s="34"/>
      <c r="E32" s="35"/>
      <c r="F32" s="32">
        <f t="shared" si="5"/>
        <v>0</v>
      </c>
      <c r="G32" s="23"/>
      <c r="H32" s="20">
        <v>43563</v>
      </c>
      <c r="I32" s="73">
        <v>304741.64</v>
      </c>
      <c r="J32" s="61" t="s">
        <v>23</v>
      </c>
      <c r="K32" s="69" t="s">
        <v>60</v>
      </c>
      <c r="L32" s="69" t="s">
        <v>61</v>
      </c>
      <c r="M32" s="65" t="s">
        <v>41</v>
      </c>
      <c r="N32" s="65"/>
      <c r="O32" s="64"/>
      <c r="P32" s="1">
        <f>P28+P29+P30</f>
        <v>3015888.55</v>
      </c>
      <c r="Q32" s="1">
        <f>P32*0.25</f>
        <v>753972.1375</v>
      </c>
    </row>
    <row r="33" s="1" customFormat="1" ht="18" customHeight="1" spans="1:16">
      <c r="A33" s="31"/>
      <c r="B33" s="32">
        <f t="shared" si="4"/>
        <v>0</v>
      </c>
      <c r="C33" s="33"/>
      <c r="D33" s="34"/>
      <c r="E33" s="35"/>
      <c r="F33" s="32">
        <f t="shared" si="5"/>
        <v>0</v>
      </c>
      <c r="G33" s="23"/>
      <c r="H33" s="20">
        <v>43563</v>
      </c>
      <c r="I33" s="12">
        <v>-304741.64</v>
      </c>
      <c r="J33" s="61" t="s">
        <v>50</v>
      </c>
      <c r="K33" s="74" t="s">
        <v>51</v>
      </c>
      <c r="L33" s="69"/>
      <c r="M33" s="65"/>
      <c r="N33" s="65"/>
      <c r="O33" s="64"/>
      <c r="P33" s="1">
        <v>3020000</v>
      </c>
    </row>
    <row r="34" s="1" customFormat="1" ht="18" customHeight="1" spans="1:15">
      <c r="A34" s="31">
        <v>43586</v>
      </c>
      <c r="B34" s="32">
        <f t="shared" si="4"/>
        <v>97087.38</v>
      </c>
      <c r="C34" s="33"/>
      <c r="D34" s="34" t="s">
        <v>38</v>
      </c>
      <c r="E34" s="35">
        <v>0.03</v>
      </c>
      <c r="F34" s="32">
        <f t="shared" si="5"/>
        <v>2912.62</v>
      </c>
      <c r="G34" s="23">
        <v>100000</v>
      </c>
      <c r="H34" s="20">
        <v>43669</v>
      </c>
      <c r="I34" s="12">
        <v>100000</v>
      </c>
      <c r="J34" s="61" t="s">
        <v>23</v>
      </c>
      <c r="K34" s="74" t="s">
        <v>39</v>
      </c>
      <c r="L34" s="64" t="s">
        <v>44</v>
      </c>
      <c r="M34" s="65"/>
      <c r="N34" s="65"/>
      <c r="O34" s="64"/>
    </row>
    <row r="35" ht="18" customHeight="1" spans="1:15">
      <c r="A35" s="48">
        <v>43647</v>
      </c>
      <c r="B35" s="12">
        <f t="shared" si="4"/>
        <v>2230973.45</v>
      </c>
      <c r="C35" s="49"/>
      <c r="D35" s="50" t="s">
        <v>38</v>
      </c>
      <c r="E35" s="51">
        <v>0.13</v>
      </c>
      <c r="F35" s="12">
        <f t="shared" si="5"/>
        <v>290026.55</v>
      </c>
      <c r="G35" s="52">
        <f>109600*22+109800</f>
        <v>2521000</v>
      </c>
      <c r="H35" s="20">
        <v>43669</v>
      </c>
      <c r="I35" s="12">
        <f>109600*22+109800</f>
        <v>2521000</v>
      </c>
      <c r="J35" s="61" t="s">
        <v>23</v>
      </c>
      <c r="K35" s="75" t="s">
        <v>62</v>
      </c>
      <c r="L35" s="29" t="s">
        <v>63</v>
      </c>
      <c r="M35" s="61" t="s">
        <v>41</v>
      </c>
      <c r="N35" s="61" t="s">
        <v>41</v>
      </c>
      <c r="O35" s="29"/>
    </row>
    <row r="36" customFormat="1" ht="18" customHeight="1" spans="1:15">
      <c r="A36" s="48">
        <v>43678</v>
      </c>
      <c r="B36" s="12">
        <f t="shared" si="4"/>
        <v>286407.77</v>
      </c>
      <c r="C36" s="49"/>
      <c r="D36" s="50" t="s">
        <v>38</v>
      </c>
      <c r="E36" s="53">
        <v>0.03</v>
      </c>
      <c r="F36" s="12">
        <f t="shared" si="5"/>
        <v>8592.23</v>
      </c>
      <c r="G36" s="52">
        <v>295000</v>
      </c>
      <c r="H36" s="20"/>
      <c r="I36" s="12"/>
      <c r="J36" s="61"/>
      <c r="K36" s="75" t="s">
        <v>39</v>
      </c>
      <c r="L36" s="29" t="s">
        <v>40</v>
      </c>
      <c r="M36" s="61"/>
      <c r="N36" s="61"/>
      <c r="O36" s="29"/>
    </row>
    <row r="37" customFormat="1" ht="18" customHeight="1" spans="1:15">
      <c r="A37" s="48"/>
      <c r="B37" s="12">
        <f t="shared" si="4"/>
        <v>0</v>
      </c>
      <c r="C37" s="49"/>
      <c r="D37" s="50"/>
      <c r="E37" s="51"/>
      <c r="F37" s="12">
        <f t="shared" si="5"/>
        <v>0</v>
      </c>
      <c r="G37" s="52"/>
      <c r="H37" s="20">
        <v>43696</v>
      </c>
      <c r="I37" s="12">
        <v>295000</v>
      </c>
      <c r="J37" s="61" t="s">
        <v>23</v>
      </c>
      <c r="K37" s="75" t="s">
        <v>39</v>
      </c>
      <c r="L37" s="29" t="s">
        <v>40</v>
      </c>
      <c r="M37" s="61"/>
      <c r="N37" s="61"/>
      <c r="O37" s="29"/>
    </row>
    <row r="38" customFormat="1" ht="18" customHeight="1" spans="1:15">
      <c r="A38" s="48">
        <v>43800</v>
      </c>
      <c r="B38" s="12">
        <f t="shared" si="4"/>
        <v>2652690.27</v>
      </c>
      <c r="C38" s="49"/>
      <c r="D38" s="50" t="s">
        <v>38</v>
      </c>
      <c r="E38" s="51">
        <v>0.13</v>
      </c>
      <c r="F38" s="12">
        <f t="shared" si="5"/>
        <v>344849.73</v>
      </c>
      <c r="G38" s="52">
        <v>2997540</v>
      </c>
      <c r="H38" s="20">
        <v>43830</v>
      </c>
      <c r="I38" s="12">
        <v>2820066.65</v>
      </c>
      <c r="J38" s="61" t="s">
        <v>23</v>
      </c>
      <c r="K38" s="75" t="s">
        <v>64</v>
      </c>
      <c r="L38" s="29" t="s">
        <v>65</v>
      </c>
      <c r="M38" s="61" t="s">
        <v>41</v>
      </c>
      <c r="N38" s="61" t="s">
        <v>41</v>
      </c>
      <c r="O38" s="29"/>
    </row>
    <row r="39" customFormat="1" ht="18" customHeight="1" spans="1:15">
      <c r="A39" s="48">
        <v>43891</v>
      </c>
      <c r="B39" s="12">
        <f t="shared" si="4"/>
        <v>2921519.47</v>
      </c>
      <c r="C39" s="49"/>
      <c r="D39" s="50" t="s">
        <v>38</v>
      </c>
      <c r="E39" s="51">
        <v>0.13</v>
      </c>
      <c r="F39" s="12">
        <f t="shared" si="5"/>
        <v>379797.53</v>
      </c>
      <c r="G39" s="133">
        <v>3301317</v>
      </c>
      <c r="H39" s="20"/>
      <c r="I39" s="12"/>
      <c r="J39" s="61"/>
      <c r="K39" s="75" t="s">
        <v>66</v>
      </c>
      <c r="L39" s="29" t="s">
        <v>67</v>
      </c>
      <c r="M39" s="61"/>
      <c r="N39" s="61"/>
      <c r="O39" s="29"/>
    </row>
    <row r="40" customFormat="1" ht="18" customHeight="1" spans="1:15">
      <c r="A40" s="48"/>
      <c r="B40" s="12">
        <f t="shared" si="4"/>
        <v>0</v>
      </c>
      <c r="C40" s="49"/>
      <c r="D40" s="50"/>
      <c r="E40" s="51"/>
      <c r="F40" s="12">
        <f t="shared" si="5"/>
        <v>0</v>
      </c>
      <c r="G40" s="52"/>
      <c r="H40" s="20">
        <v>43921</v>
      </c>
      <c r="I40" s="12">
        <v>3301317</v>
      </c>
      <c r="J40" s="61" t="s">
        <v>23</v>
      </c>
      <c r="K40" s="75" t="s">
        <v>66</v>
      </c>
      <c r="L40" s="29"/>
      <c r="M40" s="61"/>
      <c r="N40" s="61"/>
      <c r="O40" s="29"/>
    </row>
    <row r="41" customFormat="1" ht="18" customHeight="1" spans="1:15">
      <c r="A41" s="48"/>
      <c r="B41" s="12">
        <f t="shared" si="4"/>
        <v>0</v>
      </c>
      <c r="C41" s="49"/>
      <c r="D41" s="50"/>
      <c r="E41" s="51"/>
      <c r="F41" s="12">
        <f t="shared" si="5"/>
        <v>0</v>
      </c>
      <c r="G41" s="52"/>
      <c r="H41" s="20">
        <v>43964</v>
      </c>
      <c r="I41" s="12">
        <v>644091.64</v>
      </c>
      <c r="J41" s="61" t="s">
        <v>50</v>
      </c>
      <c r="K41" s="75" t="s">
        <v>68</v>
      </c>
      <c r="L41" s="29"/>
      <c r="M41" s="61"/>
      <c r="N41" s="61"/>
      <c r="O41" s="29"/>
    </row>
    <row r="42" customFormat="1" ht="18" customHeight="1" spans="1:15">
      <c r="A42" s="48">
        <v>43952</v>
      </c>
      <c r="B42" s="12">
        <v>299520</v>
      </c>
      <c r="C42" s="49">
        <v>3</v>
      </c>
      <c r="D42" s="50" t="s">
        <v>45</v>
      </c>
      <c r="E42" s="51"/>
      <c r="F42" s="12"/>
      <c r="G42" s="52">
        <f t="shared" ref="G42:G45" si="6">99840+99840+99840</f>
        <v>299520</v>
      </c>
      <c r="H42" s="20"/>
      <c r="I42" s="12"/>
      <c r="J42" s="61"/>
      <c r="K42" s="75" t="s">
        <v>124</v>
      </c>
      <c r="L42" s="29" t="s">
        <v>125</v>
      </c>
      <c r="M42" s="70" t="s">
        <v>126</v>
      </c>
      <c r="N42" s="70" t="s">
        <v>126</v>
      </c>
      <c r="O42" s="29"/>
    </row>
    <row r="43" customFormat="1" ht="18" customHeight="1" spans="1:15">
      <c r="A43" s="48">
        <v>43952</v>
      </c>
      <c r="B43" s="12">
        <v>299520</v>
      </c>
      <c r="C43" s="49">
        <v>3</v>
      </c>
      <c r="D43" s="50" t="s">
        <v>45</v>
      </c>
      <c r="E43" s="51"/>
      <c r="F43" s="12"/>
      <c r="G43" s="52">
        <f t="shared" si="6"/>
        <v>299520</v>
      </c>
      <c r="H43" s="20"/>
      <c r="I43" s="12"/>
      <c r="J43" s="61"/>
      <c r="K43" s="75" t="s">
        <v>127</v>
      </c>
      <c r="L43" s="29" t="s">
        <v>125</v>
      </c>
      <c r="M43" s="70" t="s">
        <v>126</v>
      </c>
      <c r="N43" s="70" t="s">
        <v>126</v>
      </c>
      <c r="O43" s="29"/>
    </row>
    <row r="44" customFormat="1" ht="18" customHeight="1" spans="1:15">
      <c r="A44" s="48">
        <v>43952</v>
      </c>
      <c r="B44" s="12">
        <v>299520</v>
      </c>
      <c r="C44" s="49">
        <v>3</v>
      </c>
      <c r="D44" s="50" t="s">
        <v>45</v>
      </c>
      <c r="E44" s="51"/>
      <c r="F44" s="12"/>
      <c r="G44" s="52">
        <f t="shared" si="6"/>
        <v>299520</v>
      </c>
      <c r="H44" s="20"/>
      <c r="I44" s="12"/>
      <c r="J44" s="61"/>
      <c r="K44" s="75" t="s">
        <v>128</v>
      </c>
      <c r="L44" s="29" t="s">
        <v>125</v>
      </c>
      <c r="M44" s="70" t="s">
        <v>126</v>
      </c>
      <c r="N44" s="70" t="s">
        <v>126</v>
      </c>
      <c r="O44" s="29"/>
    </row>
    <row r="45" customFormat="1" ht="18" customHeight="1" spans="1:15">
      <c r="A45" s="48">
        <v>43952</v>
      </c>
      <c r="B45" s="12">
        <v>299520</v>
      </c>
      <c r="C45" s="49">
        <v>3</v>
      </c>
      <c r="D45" s="50" t="s">
        <v>45</v>
      </c>
      <c r="E45" s="51"/>
      <c r="F45" s="12"/>
      <c r="G45" s="52">
        <f t="shared" si="6"/>
        <v>299520</v>
      </c>
      <c r="H45" s="20"/>
      <c r="I45" s="12"/>
      <c r="J45" s="61"/>
      <c r="K45" s="75" t="s">
        <v>129</v>
      </c>
      <c r="L45" s="29" t="s">
        <v>125</v>
      </c>
      <c r="M45" s="70" t="s">
        <v>126</v>
      </c>
      <c r="N45" s="70" t="s">
        <v>126</v>
      </c>
      <c r="O45" s="29"/>
    </row>
    <row r="46" customFormat="1" ht="18" customHeight="1" spans="1:15">
      <c r="A46" s="48">
        <v>43952</v>
      </c>
      <c r="B46" s="12">
        <v>299520</v>
      </c>
      <c r="C46" s="49">
        <v>4</v>
      </c>
      <c r="D46" s="50" t="s">
        <v>45</v>
      </c>
      <c r="E46" s="51"/>
      <c r="F46" s="12"/>
      <c r="G46" s="52">
        <f t="shared" ref="G46:G49" si="7">99840*3+4960</f>
        <v>304480</v>
      </c>
      <c r="H46" s="20"/>
      <c r="I46" s="12"/>
      <c r="J46" s="61"/>
      <c r="K46" s="75" t="s">
        <v>130</v>
      </c>
      <c r="L46" s="29" t="s">
        <v>125</v>
      </c>
      <c r="M46" s="70" t="s">
        <v>126</v>
      </c>
      <c r="N46" s="70" t="s">
        <v>126</v>
      </c>
      <c r="O46" s="29"/>
    </row>
    <row r="47" customFormat="1" ht="18" customHeight="1" spans="1:15">
      <c r="A47" s="48">
        <v>43952</v>
      </c>
      <c r="B47" s="12">
        <v>304480</v>
      </c>
      <c r="C47" s="49">
        <v>4</v>
      </c>
      <c r="D47" s="50" t="s">
        <v>45</v>
      </c>
      <c r="E47" s="51"/>
      <c r="F47" s="12"/>
      <c r="G47" s="52">
        <f t="shared" si="7"/>
        <v>304480</v>
      </c>
      <c r="H47" s="20"/>
      <c r="I47" s="12"/>
      <c r="J47" s="61"/>
      <c r="K47" s="75" t="s">
        <v>131</v>
      </c>
      <c r="L47" s="29" t="s">
        <v>125</v>
      </c>
      <c r="M47" s="70" t="s">
        <v>126</v>
      </c>
      <c r="N47" s="70" t="s">
        <v>126</v>
      </c>
      <c r="O47" s="29"/>
    </row>
    <row r="48" customFormat="1" ht="18" customHeight="1" spans="1:15">
      <c r="A48" s="48">
        <v>43952</v>
      </c>
      <c r="B48" s="12">
        <v>299520</v>
      </c>
      <c r="C48" s="49">
        <v>3</v>
      </c>
      <c r="D48" s="50" t="s">
        <v>45</v>
      </c>
      <c r="E48" s="51"/>
      <c r="F48" s="12"/>
      <c r="G48" s="52">
        <f>99840*3</f>
        <v>299520</v>
      </c>
      <c r="H48" s="20"/>
      <c r="I48" s="12"/>
      <c r="J48" s="61"/>
      <c r="K48" s="75" t="s">
        <v>132</v>
      </c>
      <c r="L48" s="29" t="s">
        <v>125</v>
      </c>
      <c r="M48" s="70" t="s">
        <v>126</v>
      </c>
      <c r="N48" s="70" t="s">
        <v>126</v>
      </c>
      <c r="O48" s="29"/>
    </row>
    <row r="49" customFormat="1" ht="18" customHeight="1" spans="1:15">
      <c r="A49" s="48">
        <v>43952</v>
      </c>
      <c r="B49" s="12">
        <v>304480</v>
      </c>
      <c r="C49" s="49">
        <v>4</v>
      </c>
      <c r="D49" s="50" t="s">
        <v>45</v>
      </c>
      <c r="E49" s="51"/>
      <c r="F49" s="12"/>
      <c r="G49" s="52">
        <f t="shared" si="7"/>
        <v>304480</v>
      </c>
      <c r="H49" s="20"/>
      <c r="I49" s="12"/>
      <c r="J49" s="61"/>
      <c r="K49" s="75" t="s">
        <v>133</v>
      </c>
      <c r="L49" s="29" t="s">
        <v>125</v>
      </c>
      <c r="M49" s="70" t="s">
        <v>126</v>
      </c>
      <c r="N49" s="70" t="s">
        <v>126</v>
      </c>
      <c r="O49" s="29"/>
    </row>
    <row r="50" customFormat="1" ht="18" customHeight="1" spans="1:15">
      <c r="A50" s="48">
        <v>43952</v>
      </c>
      <c r="B50" s="12">
        <v>299520</v>
      </c>
      <c r="C50" s="49">
        <v>3</v>
      </c>
      <c r="D50" s="50" t="s">
        <v>45</v>
      </c>
      <c r="E50" s="51"/>
      <c r="F50" s="12"/>
      <c r="G50" s="52">
        <f>99840+99840+99840</f>
        <v>299520</v>
      </c>
      <c r="H50" s="20"/>
      <c r="I50" s="12"/>
      <c r="J50" s="61"/>
      <c r="K50" s="75" t="s">
        <v>134</v>
      </c>
      <c r="L50" s="29" t="s">
        <v>125</v>
      </c>
      <c r="M50" s="70" t="s">
        <v>126</v>
      </c>
      <c r="N50" s="70" t="s">
        <v>126</v>
      </c>
      <c r="O50" s="29"/>
    </row>
    <row r="51" customFormat="1" ht="18" customHeight="1" spans="1:15">
      <c r="A51" s="48">
        <v>43952</v>
      </c>
      <c r="B51" s="12">
        <v>299520</v>
      </c>
      <c r="C51" s="49">
        <v>3</v>
      </c>
      <c r="D51" s="50" t="s">
        <v>45</v>
      </c>
      <c r="E51" s="51"/>
      <c r="F51" s="12"/>
      <c r="G51" s="52">
        <f>99840+99840+99840</f>
        <v>299520</v>
      </c>
      <c r="H51" s="20"/>
      <c r="I51" s="12"/>
      <c r="J51" s="61"/>
      <c r="K51" s="75" t="s">
        <v>135</v>
      </c>
      <c r="L51" s="29" t="s">
        <v>125</v>
      </c>
      <c r="M51" s="70" t="s">
        <v>126</v>
      </c>
      <c r="N51" s="70" t="s">
        <v>126</v>
      </c>
      <c r="O51" s="29"/>
    </row>
    <row r="52" customFormat="1" ht="18" customHeight="1" spans="1:15">
      <c r="A52" s="48">
        <v>43952</v>
      </c>
      <c r="B52" s="12">
        <f t="shared" ref="B52:B55" si="8">ROUND(G52/(1+E52),2)</f>
        <v>619513.27</v>
      </c>
      <c r="C52" s="49"/>
      <c r="D52" s="50" t="s">
        <v>38</v>
      </c>
      <c r="E52" s="51">
        <v>0.13</v>
      </c>
      <c r="F52" s="12">
        <f t="shared" ref="F52:F55" si="9">ROUND(G52/(1+E52)*E52,2)</f>
        <v>80536.73</v>
      </c>
      <c r="G52" s="52">
        <v>700050</v>
      </c>
      <c r="H52" s="55">
        <v>43985</v>
      </c>
      <c r="I52" s="82">
        <v>700050</v>
      </c>
      <c r="J52" s="83" t="s">
        <v>23</v>
      </c>
      <c r="K52" s="84" t="s">
        <v>69</v>
      </c>
      <c r="L52" s="29" t="s">
        <v>70</v>
      </c>
      <c r="M52" s="61" t="s">
        <v>41</v>
      </c>
      <c r="N52" s="61" t="s">
        <v>41</v>
      </c>
      <c r="O52" s="29"/>
    </row>
    <row r="53" customFormat="1" ht="18" customHeight="1" spans="1:15">
      <c r="A53" s="48">
        <v>44013</v>
      </c>
      <c r="B53" s="12">
        <f t="shared" si="8"/>
        <v>1771646.02</v>
      </c>
      <c r="C53" s="49"/>
      <c r="D53" s="50" t="s">
        <v>38</v>
      </c>
      <c r="E53" s="51">
        <v>0.13</v>
      </c>
      <c r="F53" s="12">
        <f t="shared" si="9"/>
        <v>230313.98</v>
      </c>
      <c r="G53" s="52">
        <f>1005960+996000</f>
        <v>2001960</v>
      </c>
      <c r="H53" s="55">
        <v>44063</v>
      </c>
      <c r="I53" s="82">
        <v>150000</v>
      </c>
      <c r="J53" s="83" t="s">
        <v>23</v>
      </c>
      <c r="K53" s="84" t="s">
        <v>64</v>
      </c>
      <c r="L53" s="29" t="s">
        <v>121</v>
      </c>
      <c r="M53" s="61" t="s">
        <v>41</v>
      </c>
      <c r="N53" s="61" t="s">
        <v>41</v>
      </c>
      <c r="O53" s="29"/>
    </row>
    <row r="54" customFormat="1" ht="18" customHeight="1" spans="1:15">
      <c r="A54" s="48">
        <v>44075</v>
      </c>
      <c r="B54" s="12">
        <f t="shared" si="8"/>
        <v>1456310.68</v>
      </c>
      <c r="C54" s="49"/>
      <c r="D54" s="50" t="s">
        <v>38</v>
      </c>
      <c r="E54" s="53">
        <v>0.03</v>
      </c>
      <c r="F54" s="12">
        <f t="shared" si="9"/>
        <v>43689.32</v>
      </c>
      <c r="G54" s="52">
        <v>1500000</v>
      </c>
      <c r="H54" s="55">
        <v>44082</v>
      </c>
      <c r="I54" s="133">
        <v>1500000</v>
      </c>
      <c r="J54" s="135" t="s">
        <v>23</v>
      </c>
      <c r="K54" s="136" t="s">
        <v>136</v>
      </c>
      <c r="L54" s="29" t="s">
        <v>137</v>
      </c>
      <c r="M54" s="61"/>
      <c r="N54" s="61"/>
      <c r="O54" s="29"/>
    </row>
    <row r="55" customFormat="1" ht="18" customHeight="1" spans="1:15">
      <c r="A55" s="48"/>
      <c r="B55" s="12">
        <f t="shared" si="8"/>
        <v>0</v>
      </c>
      <c r="C55" s="49"/>
      <c r="D55" s="50"/>
      <c r="E55" s="51"/>
      <c r="F55" s="12">
        <f t="shared" si="9"/>
        <v>0</v>
      </c>
      <c r="G55" s="52"/>
      <c r="H55" s="55">
        <v>44084</v>
      </c>
      <c r="I55" s="133">
        <v>490000</v>
      </c>
      <c r="J55" s="135" t="s">
        <v>23</v>
      </c>
      <c r="K55" s="136" t="s">
        <v>64</v>
      </c>
      <c r="L55" s="29"/>
      <c r="M55" s="61"/>
      <c r="N55" s="61"/>
      <c r="O55" s="29"/>
    </row>
    <row r="56" customFormat="1" ht="18" customHeight="1" spans="1:15">
      <c r="A56" s="48"/>
      <c r="B56" s="12"/>
      <c r="C56" s="49"/>
      <c r="D56" s="50"/>
      <c r="E56" s="53">
        <v>0.03</v>
      </c>
      <c r="F56" s="12"/>
      <c r="G56" s="52"/>
      <c r="H56" s="55"/>
      <c r="I56" s="22"/>
      <c r="J56" s="85"/>
      <c r="K56" s="86"/>
      <c r="L56" s="29"/>
      <c r="M56" s="61"/>
      <c r="N56" s="61"/>
      <c r="O56" s="29"/>
    </row>
    <row r="57" customFormat="1" ht="18" customHeight="1" spans="1:15">
      <c r="A57" s="48"/>
      <c r="B57" s="12"/>
      <c r="C57" s="49"/>
      <c r="D57" s="50"/>
      <c r="E57" s="51"/>
      <c r="F57" s="12"/>
      <c r="G57" s="52"/>
      <c r="H57" s="55"/>
      <c r="I57" s="22"/>
      <c r="J57" s="85"/>
      <c r="K57" s="86"/>
      <c r="L57" s="29"/>
      <c r="M57" s="61"/>
      <c r="N57" s="61"/>
      <c r="O57" s="29"/>
    </row>
    <row r="58" customFormat="1" ht="18" customHeight="1" spans="1:15">
      <c r="A58" s="48"/>
      <c r="B58" s="12"/>
      <c r="C58" s="49"/>
      <c r="D58" s="50"/>
      <c r="E58" s="51"/>
      <c r="F58" s="12"/>
      <c r="G58" s="52"/>
      <c r="H58" s="55"/>
      <c r="I58" s="22"/>
      <c r="J58" s="85"/>
      <c r="K58" s="86"/>
      <c r="L58" s="29"/>
      <c r="M58" s="61"/>
      <c r="N58" s="61"/>
      <c r="O58" s="29"/>
    </row>
    <row r="59" customFormat="1" ht="18" customHeight="1" spans="1:15">
      <c r="A59" s="48"/>
      <c r="B59" s="12"/>
      <c r="C59" s="49"/>
      <c r="D59" s="50"/>
      <c r="E59" s="51"/>
      <c r="F59" s="12"/>
      <c r="G59" s="52"/>
      <c r="H59" s="55"/>
      <c r="I59" s="22"/>
      <c r="J59" s="85"/>
      <c r="K59" s="86"/>
      <c r="L59" s="29"/>
      <c r="M59" s="61"/>
      <c r="N59" s="61"/>
      <c r="O59" s="29"/>
    </row>
    <row r="60" customFormat="1" ht="18" customHeight="1" spans="1:15">
      <c r="A60" s="48"/>
      <c r="B60" s="12"/>
      <c r="C60" s="49"/>
      <c r="D60" s="50"/>
      <c r="E60" s="51"/>
      <c r="F60" s="12"/>
      <c r="G60" s="52"/>
      <c r="H60" s="55"/>
      <c r="I60" s="22"/>
      <c r="J60" s="85"/>
      <c r="K60" s="86"/>
      <c r="L60" s="29"/>
      <c r="M60" s="61"/>
      <c r="N60" s="61"/>
      <c r="O60" s="29"/>
    </row>
    <row r="61" customFormat="1" ht="18" customHeight="1" spans="1:15">
      <c r="A61" s="48"/>
      <c r="B61" s="12">
        <f t="shared" ref="B61:B76" si="10">ROUND(G61/(1+E61),2)</f>
        <v>0</v>
      </c>
      <c r="C61" s="49"/>
      <c r="D61" s="50"/>
      <c r="E61" s="51"/>
      <c r="F61" s="12">
        <f t="shared" ref="F61:F76" si="11">ROUND(G61/(1+E61)*E61,2)</f>
        <v>0</v>
      </c>
      <c r="G61" s="52"/>
      <c r="H61" s="55"/>
      <c r="I61" s="22"/>
      <c r="J61" s="85"/>
      <c r="K61" s="86"/>
      <c r="L61" s="29"/>
      <c r="M61" s="61"/>
      <c r="N61" s="61"/>
      <c r="O61" s="29"/>
    </row>
    <row r="62" customFormat="1" ht="18" customHeight="1" spans="1:15">
      <c r="A62" s="48"/>
      <c r="B62" s="12">
        <f t="shared" si="10"/>
        <v>0</v>
      </c>
      <c r="C62" s="49"/>
      <c r="D62" s="50"/>
      <c r="E62" s="51"/>
      <c r="F62" s="12">
        <f t="shared" si="11"/>
        <v>0</v>
      </c>
      <c r="G62" s="52"/>
      <c r="H62" s="55"/>
      <c r="I62" s="82"/>
      <c r="J62" s="83"/>
      <c r="K62" s="84"/>
      <c r="L62" s="29"/>
      <c r="M62" s="61"/>
      <c r="N62" s="61"/>
      <c r="O62" s="29"/>
    </row>
    <row r="63" customFormat="1" ht="18" customHeight="1" spans="1:15">
      <c r="A63" s="48"/>
      <c r="B63" s="12">
        <f t="shared" si="10"/>
        <v>0</v>
      </c>
      <c r="C63" s="49"/>
      <c r="D63" s="50"/>
      <c r="E63" s="51"/>
      <c r="F63" s="12">
        <f t="shared" si="11"/>
        <v>0</v>
      </c>
      <c r="G63" s="52"/>
      <c r="H63" s="134" t="s">
        <v>138</v>
      </c>
      <c r="I63" s="133">
        <v>265729</v>
      </c>
      <c r="J63" s="135" t="s">
        <v>80</v>
      </c>
      <c r="K63" s="136" t="s">
        <v>139</v>
      </c>
      <c r="L63" s="29"/>
      <c r="M63" s="61"/>
      <c r="N63" s="61"/>
      <c r="O63" s="29"/>
    </row>
    <row r="64" customFormat="1" ht="18" customHeight="1" spans="1:15">
      <c r="A64" s="48"/>
      <c r="B64" s="12">
        <f t="shared" si="10"/>
        <v>13717.66</v>
      </c>
      <c r="C64" s="49"/>
      <c r="D64" s="50"/>
      <c r="E64" s="51"/>
      <c r="F64" s="12">
        <f t="shared" si="11"/>
        <v>0</v>
      </c>
      <c r="G64" s="52">
        <f>I64</f>
        <v>13717.66</v>
      </c>
      <c r="H64" s="134" t="s">
        <v>140</v>
      </c>
      <c r="I64" s="133">
        <v>13717.66</v>
      </c>
      <c r="J64" s="135" t="s">
        <v>71</v>
      </c>
      <c r="K64" s="136" t="s">
        <v>78</v>
      </c>
      <c r="L64" s="29"/>
      <c r="M64" s="61"/>
      <c r="N64" s="61"/>
      <c r="O64" s="29"/>
    </row>
    <row r="65" customFormat="1" ht="18" customHeight="1" spans="1:15">
      <c r="A65" s="48"/>
      <c r="B65" s="12">
        <f t="shared" si="10"/>
        <v>0</v>
      </c>
      <c r="C65" s="49"/>
      <c r="D65" s="50"/>
      <c r="E65" s="51"/>
      <c r="F65" s="12">
        <f t="shared" si="11"/>
        <v>0</v>
      </c>
      <c r="G65" s="52"/>
      <c r="H65" s="134" t="s">
        <v>140</v>
      </c>
      <c r="I65" s="133">
        <v>200</v>
      </c>
      <c r="J65" s="135" t="s">
        <v>71</v>
      </c>
      <c r="K65" s="136" t="s">
        <v>72</v>
      </c>
      <c r="L65" s="29"/>
      <c r="M65" s="61"/>
      <c r="N65" s="61"/>
      <c r="O65" s="29"/>
    </row>
    <row r="66" customFormat="1" ht="18" customHeight="1" spans="1:15">
      <c r="A66" s="48"/>
      <c r="B66" s="12">
        <f t="shared" si="10"/>
        <v>0</v>
      </c>
      <c r="C66" s="49"/>
      <c r="D66" s="50"/>
      <c r="E66" s="51"/>
      <c r="F66" s="12">
        <f t="shared" si="11"/>
        <v>0</v>
      </c>
      <c r="G66" s="52"/>
      <c r="H66" s="134" t="s">
        <v>140</v>
      </c>
      <c r="I66" s="133">
        <v>16740</v>
      </c>
      <c r="J66" s="135" t="s">
        <v>71</v>
      </c>
      <c r="K66" s="136" t="s">
        <v>9</v>
      </c>
      <c r="L66" s="29"/>
      <c r="M66" s="61"/>
      <c r="N66" s="61"/>
      <c r="O66" s="29"/>
    </row>
    <row r="67" customFormat="1" ht="18" customHeight="1" spans="1:15">
      <c r="A67" s="48"/>
      <c r="B67" s="12">
        <f t="shared" si="10"/>
        <v>0</v>
      </c>
      <c r="C67" s="49"/>
      <c r="D67" s="50"/>
      <c r="E67" s="51"/>
      <c r="F67" s="12">
        <f t="shared" si="11"/>
        <v>0</v>
      </c>
      <c r="G67" s="52"/>
      <c r="H67" s="134" t="s">
        <v>140</v>
      </c>
      <c r="I67" s="133">
        <v>452243</v>
      </c>
      <c r="J67" s="135" t="s">
        <v>80</v>
      </c>
      <c r="K67" s="136" t="s">
        <v>86</v>
      </c>
      <c r="L67" s="29"/>
      <c r="M67" s="61"/>
      <c r="N67" s="61"/>
      <c r="O67" s="29"/>
    </row>
    <row r="68" customFormat="1" ht="18" customHeight="1" spans="1:15">
      <c r="A68" s="48"/>
      <c r="B68" s="12">
        <f t="shared" si="10"/>
        <v>0</v>
      </c>
      <c r="C68" s="49"/>
      <c r="D68" s="50"/>
      <c r="E68" s="51"/>
      <c r="F68" s="12">
        <f t="shared" si="11"/>
        <v>0</v>
      </c>
      <c r="G68" s="52"/>
      <c r="H68" s="134" t="s">
        <v>140</v>
      </c>
      <c r="I68" s="133">
        <v>1536</v>
      </c>
      <c r="J68" s="135" t="s">
        <v>71</v>
      </c>
      <c r="K68" s="136" t="s">
        <v>110</v>
      </c>
      <c r="L68" s="29"/>
      <c r="M68" s="61"/>
      <c r="N68" s="61"/>
      <c r="O68" s="29"/>
    </row>
    <row r="69" customFormat="1" ht="18" customHeight="1" spans="1:15">
      <c r="A69" s="48"/>
      <c r="B69" s="12">
        <f t="shared" si="10"/>
        <v>0</v>
      </c>
      <c r="C69" s="49"/>
      <c r="D69" s="50"/>
      <c r="E69" s="51"/>
      <c r="F69" s="12">
        <f t="shared" si="11"/>
        <v>0</v>
      </c>
      <c r="G69" s="52"/>
      <c r="H69" s="55" t="s">
        <v>122</v>
      </c>
      <c r="I69" s="82">
        <v>200</v>
      </c>
      <c r="J69" s="83" t="s">
        <v>71</v>
      </c>
      <c r="K69" s="84" t="s">
        <v>72</v>
      </c>
      <c r="L69" s="29"/>
      <c r="M69" s="61"/>
      <c r="N69" s="61"/>
      <c r="O69" s="29"/>
    </row>
    <row r="70" customFormat="1" ht="18" customHeight="1" spans="1:15">
      <c r="A70" s="48"/>
      <c r="B70" s="12">
        <f t="shared" si="10"/>
        <v>0</v>
      </c>
      <c r="C70" s="49"/>
      <c r="D70" s="50"/>
      <c r="E70" s="51"/>
      <c r="F70" s="12">
        <f t="shared" si="11"/>
        <v>0</v>
      </c>
      <c r="G70" s="52"/>
      <c r="H70" s="55">
        <v>43985</v>
      </c>
      <c r="I70" s="82">
        <v>100</v>
      </c>
      <c r="J70" s="83" t="s">
        <v>71</v>
      </c>
      <c r="K70" s="84" t="s">
        <v>72</v>
      </c>
      <c r="L70" s="29"/>
      <c r="M70" s="61"/>
      <c r="N70" s="61"/>
      <c r="O70" s="29"/>
    </row>
    <row r="71" customFormat="1" ht="18" customHeight="1" spans="1:15">
      <c r="A71" s="48"/>
      <c r="B71" s="12">
        <f t="shared" si="10"/>
        <v>0</v>
      </c>
      <c r="C71" s="49"/>
      <c r="D71" s="50"/>
      <c r="E71" s="51"/>
      <c r="F71" s="12">
        <f t="shared" si="11"/>
        <v>0</v>
      </c>
      <c r="G71" s="52"/>
      <c r="H71" s="55">
        <v>43985</v>
      </c>
      <c r="I71" s="82">
        <v>-755000</v>
      </c>
      <c r="J71" s="83" t="s">
        <v>73</v>
      </c>
      <c r="K71" s="113" t="s">
        <v>74</v>
      </c>
      <c r="L71" s="29"/>
      <c r="M71" s="61"/>
      <c r="N71" s="61"/>
      <c r="O71" s="29"/>
    </row>
    <row r="72" customFormat="1" ht="18" customHeight="1" spans="1:15">
      <c r="A72" s="48"/>
      <c r="B72" s="12">
        <f t="shared" si="10"/>
        <v>0</v>
      </c>
      <c r="C72" s="49"/>
      <c r="D72" s="50"/>
      <c r="E72" s="51"/>
      <c r="F72" s="12">
        <f t="shared" si="11"/>
        <v>0</v>
      </c>
      <c r="G72" s="52"/>
      <c r="H72" s="20">
        <v>43964</v>
      </c>
      <c r="I72" s="12">
        <v>100</v>
      </c>
      <c r="J72" s="61" t="s">
        <v>71</v>
      </c>
      <c r="K72" s="75" t="s">
        <v>72</v>
      </c>
      <c r="L72" s="29"/>
      <c r="M72" s="61"/>
      <c r="N72" s="61"/>
      <c r="O72" s="29"/>
    </row>
    <row r="73" customFormat="1" ht="18" customHeight="1" spans="1:15">
      <c r="A73" s="48"/>
      <c r="B73" s="12">
        <f t="shared" si="10"/>
        <v>0</v>
      </c>
      <c r="C73" s="49"/>
      <c r="D73" s="50"/>
      <c r="E73" s="51"/>
      <c r="F73" s="12">
        <f t="shared" si="11"/>
        <v>0</v>
      </c>
      <c r="G73" s="52"/>
      <c r="H73" s="20" t="s">
        <v>75</v>
      </c>
      <c r="I73" s="12">
        <v>2252</v>
      </c>
      <c r="J73" s="61" t="s">
        <v>71</v>
      </c>
      <c r="K73" s="69" t="s">
        <v>76</v>
      </c>
      <c r="L73" s="29"/>
      <c r="M73" s="61"/>
      <c r="N73" s="61"/>
      <c r="O73" s="29"/>
    </row>
    <row r="74" customFormat="1" ht="18" customHeight="1" spans="1:15">
      <c r="A74" s="48"/>
      <c r="B74" s="12">
        <f t="shared" si="10"/>
        <v>0</v>
      </c>
      <c r="C74" s="49"/>
      <c r="D74" s="50"/>
      <c r="E74" s="51"/>
      <c r="F74" s="12">
        <f t="shared" si="11"/>
        <v>0</v>
      </c>
      <c r="G74" s="52"/>
      <c r="H74" s="20" t="s">
        <v>75</v>
      </c>
      <c r="I74" s="12">
        <v>24540</v>
      </c>
      <c r="J74" s="61" t="s">
        <v>71</v>
      </c>
      <c r="K74" s="74" t="s">
        <v>77</v>
      </c>
      <c r="L74" s="29"/>
      <c r="M74" s="61"/>
      <c r="N74" s="61"/>
      <c r="O74" s="29"/>
    </row>
    <row r="75" customFormat="1" ht="18" customHeight="1" spans="1:15">
      <c r="A75" s="48"/>
      <c r="B75" s="12">
        <f t="shared" si="10"/>
        <v>20450</v>
      </c>
      <c r="C75" s="49"/>
      <c r="D75" s="50"/>
      <c r="E75" s="51"/>
      <c r="F75" s="12">
        <f t="shared" si="11"/>
        <v>0</v>
      </c>
      <c r="G75" s="52">
        <f>I75</f>
        <v>20450</v>
      </c>
      <c r="H75" s="20" t="s">
        <v>75</v>
      </c>
      <c r="I75" s="12">
        <v>20450</v>
      </c>
      <c r="J75" s="61" t="s">
        <v>71</v>
      </c>
      <c r="K75" s="77" t="s">
        <v>78</v>
      </c>
      <c r="L75" s="29"/>
      <c r="M75" s="61"/>
      <c r="N75" s="61"/>
      <c r="O75" s="29"/>
    </row>
    <row r="76" customFormat="1" ht="18" customHeight="1" spans="1:15">
      <c r="A76" s="48"/>
      <c r="B76" s="12">
        <f t="shared" si="10"/>
        <v>0</v>
      </c>
      <c r="C76" s="49"/>
      <c r="D76" s="50"/>
      <c r="E76" s="51"/>
      <c r="F76" s="12">
        <f t="shared" si="11"/>
        <v>0</v>
      </c>
      <c r="G76" s="52"/>
      <c r="H76" s="20" t="s">
        <v>75</v>
      </c>
      <c r="I76" s="12">
        <v>200</v>
      </c>
      <c r="J76" s="61" t="s">
        <v>71</v>
      </c>
      <c r="K76" s="75" t="s">
        <v>72</v>
      </c>
      <c r="L76" s="29"/>
      <c r="M76" s="61"/>
      <c r="N76" s="61"/>
      <c r="O76" s="29"/>
    </row>
    <row r="77" customFormat="1" ht="18" customHeight="1" spans="1:15">
      <c r="A77" s="48"/>
      <c r="B77" s="12"/>
      <c r="C77" s="49"/>
      <c r="D77" s="50"/>
      <c r="E77" s="51"/>
      <c r="F77" s="12"/>
      <c r="G77" s="52"/>
      <c r="H77" s="20" t="s">
        <v>79</v>
      </c>
      <c r="I77" s="12">
        <v>200</v>
      </c>
      <c r="J77" s="61" t="s">
        <v>71</v>
      </c>
      <c r="K77" s="75" t="s">
        <v>72</v>
      </c>
      <c r="L77" s="29"/>
      <c r="M77" s="61"/>
      <c r="N77" s="61"/>
      <c r="O77" s="29"/>
    </row>
    <row r="78" customFormat="1" ht="18" customHeight="1" spans="1:15">
      <c r="A78" s="48"/>
      <c r="B78" s="12">
        <f t="shared" ref="B78:B95" si="12">ROUND(G78/(1+E78),2)</f>
        <v>0</v>
      </c>
      <c r="C78" s="49"/>
      <c r="D78" s="50"/>
      <c r="E78" s="51"/>
      <c r="F78" s="12">
        <f t="shared" ref="F78:F95" si="13">ROUND(G78/(1+E78)*E78,2)</f>
        <v>0</v>
      </c>
      <c r="G78" s="52"/>
      <c r="H78" s="20" t="s">
        <v>79</v>
      </c>
      <c r="I78" s="12"/>
      <c r="J78" s="61" t="s">
        <v>80</v>
      </c>
      <c r="K78" s="75" t="s">
        <v>81</v>
      </c>
      <c r="L78" s="29"/>
      <c r="M78" s="61"/>
      <c r="N78" s="61"/>
      <c r="O78" s="29"/>
    </row>
    <row r="79" s="1" customFormat="1" ht="18" customHeight="1" spans="1:15">
      <c r="A79" s="31"/>
      <c r="B79" s="12">
        <f t="shared" si="12"/>
        <v>0</v>
      </c>
      <c r="C79" s="33"/>
      <c r="D79" s="34"/>
      <c r="E79" s="35"/>
      <c r="F79" s="12">
        <f t="shared" si="13"/>
        <v>0</v>
      </c>
      <c r="G79" s="23"/>
      <c r="H79" s="20" t="s">
        <v>79</v>
      </c>
      <c r="I79" s="12">
        <v>755000</v>
      </c>
      <c r="J79" s="61" t="s">
        <v>71</v>
      </c>
      <c r="K79" s="74" t="s">
        <v>82</v>
      </c>
      <c r="L79" s="64"/>
      <c r="M79" s="65"/>
      <c r="N79" s="65"/>
      <c r="O79" s="64"/>
    </row>
    <row r="80" s="1" customFormat="1" ht="18" customHeight="1" spans="1:15">
      <c r="A80" s="31"/>
      <c r="B80" s="12">
        <f t="shared" si="12"/>
        <v>0</v>
      </c>
      <c r="C80" s="33"/>
      <c r="D80" s="34"/>
      <c r="E80" s="35"/>
      <c r="F80" s="12">
        <f t="shared" si="13"/>
        <v>0</v>
      </c>
      <c r="G80" s="23"/>
      <c r="H80" s="20" t="s">
        <v>79</v>
      </c>
      <c r="I80" s="12">
        <v>21340</v>
      </c>
      <c r="J80" s="61" t="s">
        <v>71</v>
      </c>
      <c r="K80" s="74" t="s">
        <v>83</v>
      </c>
      <c r="L80" s="64"/>
      <c r="M80" s="65"/>
      <c r="N80" s="61"/>
      <c r="O80" s="64"/>
    </row>
    <row r="81" s="1" customFormat="1" ht="18" customHeight="1" spans="1:15">
      <c r="A81" s="31"/>
      <c r="B81" s="12">
        <f t="shared" si="12"/>
        <v>0</v>
      </c>
      <c r="C81" s="33"/>
      <c r="D81" s="34"/>
      <c r="E81" s="35"/>
      <c r="F81" s="12">
        <f t="shared" si="13"/>
        <v>0</v>
      </c>
      <c r="G81" s="23"/>
      <c r="H81" s="20" t="s">
        <v>79</v>
      </c>
      <c r="I81" s="12">
        <v>1964</v>
      </c>
      <c r="J81" s="61" t="s">
        <v>71</v>
      </c>
      <c r="K81" s="69" t="s">
        <v>84</v>
      </c>
      <c r="L81" s="69"/>
      <c r="M81" s="65"/>
      <c r="N81" s="65"/>
      <c r="O81" s="64"/>
    </row>
    <row r="82" s="1" customFormat="1" ht="18" customHeight="1" spans="1:15">
      <c r="A82" s="31"/>
      <c r="B82" s="12">
        <f t="shared" si="12"/>
        <v>17832.35</v>
      </c>
      <c r="C82" s="33"/>
      <c r="D82" s="34"/>
      <c r="E82" s="35"/>
      <c r="F82" s="12">
        <f t="shared" si="13"/>
        <v>0</v>
      </c>
      <c r="G82" s="23">
        <f>17832.35</f>
        <v>17832.35</v>
      </c>
      <c r="H82" s="20" t="s">
        <v>79</v>
      </c>
      <c r="I82" s="12">
        <f>G82</f>
        <v>17832.35</v>
      </c>
      <c r="J82" s="61" t="s">
        <v>71</v>
      </c>
      <c r="K82" s="77" t="s">
        <v>78</v>
      </c>
      <c r="L82" s="69"/>
      <c r="M82" s="65"/>
      <c r="N82" s="65"/>
      <c r="O82" s="64"/>
    </row>
    <row r="83" s="1" customFormat="1" ht="18" customHeight="1" spans="1:15">
      <c r="A83" s="31"/>
      <c r="B83" s="12">
        <f t="shared" si="12"/>
        <v>0</v>
      </c>
      <c r="C83" s="33"/>
      <c r="D83" s="34"/>
      <c r="E83" s="35"/>
      <c r="F83" s="12">
        <f t="shared" si="13"/>
        <v>0</v>
      </c>
      <c r="G83" s="23"/>
      <c r="H83" s="20"/>
      <c r="I83" s="12">
        <v>16514</v>
      </c>
      <c r="J83" s="61" t="s">
        <v>71</v>
      </c>
      <c r="K83" s="69" t="s">
        <v>9</v>
      </c>
      <c r="L83" s="69"/>
      <c r="M83" s="65"/>
      <c r="N83" s="65"/>
      <c r="O83" s="64"/>
    </row>
    <row r="84" s="1" customFormat="1" ht="18" customHeight="1" spans="1:17">
      <c r="A84" s="31"/>
      <c r="B84" s="12">
        <f t="shared" si="12"/>
        <v>0</v>
      </c>
      <c r="C84" s="33"/>
      <c r="D84" s="34"/>
      <c r="E84" s="35"/>
      <c r="F84" s="12">
        <f t="shared" si="13"/>
        <v>0</v>
      </c>
      <c r="G84" s="23"/>
      <c r="H84" s="20"/>
      <c r="I84" s="12">
        <v>2552</v>
      </c>
      <c r="J84" s="61" t="s">
        <v>71</v>
      </c>
      <c r="K84" s="69" t="s">
        <v>85</v>
      </c>
      <c r="L84" s="69"/>
      <c r="M84" s="65"/>
      <c r="N84" s="65"/>
      <c r="O84" s="64"/>
      <c r="Q84" s="1">
        <f>P33*0.25</f>
        <v>755000</v>
      </c>
    </row>
    <row r="85" s="1" customFormat="1" ht="18" customHeight="1" spans="1:15">
      <c r="A85" s="31"/>
      <c r="B85" s="12">
        <f t="shared" si="12"/>
        <v>0</v>
      </c>
      <c r="C85" s="33"/>
      <c r="D85" s="34"/>
      <c r="E85" s="35"/>
      <c r="F85" s="12">
        <f t="shared" si="13"/>
        <v>0</v>
      </c>
      <c r="G85" s="23"/>
      <c r="H85" s="20"/>
      <c r="I85" s="12">
        <v>-17678</v>
      </c>
      <c r="J85" s="61" t="s">
        <v>73</v>
      </c>
      <c r="K85" s="69" t="s">
        <v>86</v>
      </c>
      <c r="L85" s="69"/>
      <c r="M85" s="65"/>
      <c r="N85" s="65"/>
      <c r="O85" s="64"/>
    </row>
    <row r="86" s="1" customFormat="1" ht="18" customHeight="1" spans="1:15">
      <c r="A86" s="31"/>
      <c r="B86" s="12">
        <f t="shared" si="12"/>
        <v>0</v>
      </c>
      <c r="C86" s="33"/>
      <c r="D86" s="34"/>
      <c r="E86" s="35"/>
      <c r="F86" s="12">
        <f t="shared" si="13"/>
        <v>0</v>
      </c>
      <c r="G86" s="23"/>
      <c r="H86" s="20"/>
      <c r="I86" s="12">
        <v>17678</v>
      </c>
      <c r="J86" s="61" t="s">
        <v>80</v>
      </c>
      <c r="K86" s="69" t="s">
        <v>87</v>
      </c>
      <c r="L86" s="69"/>
      <c r="M86" s="65"/>
      <c r="N86" s="65"/>
      <c r="O86" s="64"/>
    </row>
    <row r="87" s="1" customFormat="1" ht="18" customHeight="1" spans="1:15">
      <c r="A87" s="31"/>
      <c r="B87" s="12">
        <f t="shared" si="12"/>
        <v>0</v>
      </c>
      <c r="C87" s="33"/>
      <c r="D87" s="34"/>
      <c r="E87" s="35"/>
      <c r="F87" s="12">
        <f t="shared" si="13"/>
        <v>0</v>
      </c>
      <c r="G87" s="23"/>
      <c r="H87" s="20"/>
      <c r="I87" s="12">
        <v>57819</v>
      </c>
      <c r="J87" s="61" t="s">
        <v>71</v>
      </c>
      <c r="K87" s="69" t="s">
        <v>9</v>
      </c>
      <c r="L87" s="69"/>
      <c r="M87" s="65"/>
      <c r="N87" s="65"/>
      <c r="O87" s="64"/>
    </row>
    <row r="88" s="1" customFormat="1" ht="18" customHeight="1" spans="1:15">
      <c r="A88" s="31"/>
      <c r="B88" s="12">
        <f t="shared" si="12"/>
        <v>0</v>
      </c>
      <c r="C88" s="33"/>
      <c r="D88" s="34"/>
      <c r="E88" s="35"/>
      <c r="F88" s="12">
        <f t="shared" si="13"/>
        <v>0</v>
      </c>
      <c r="G88" s="23"/>
      <c r="H88" s="20"/>
      <c r="I88" s="12">
        <v>8962</v>
      </c>
      <c r="J88" s="61" t="s">
        <v>71</v>
      </c>
      <c r="K88" s="74" t="s">
        <v>88</v>
      </c>
      <c r="L88" s="64"/>
      <c r="M88" s="65"/>
      <c r="N88" s="65"/>
      <c r="O88" s="64"/>
    </row>
    <row r="89" s="1" customFormat="1" ht="18" customHeight="1" spans="1:15">
      <c r="A89" s="31"/>
      <c r="B89" s="12">
        <f t="shared" si="12"/>
        <v>0</v>
      </c>
      <c r="C89" s="33"/>
      <c r="D89" s="34"/>
      <c r="E89" s="35"/>
      <c r="F89" s="12">
        <f t="shared" si="13"/>
        <v>0</v>
      </c>
      <c r="G89" s="23"/>
      <c r="H89" s="20"/>
      <c r="I89" s="133">
        <v>477502</v>
      </c>
      <c r="J89" s="135" t="s">
        <v>71</v>
      </c>
      <c r="K89" s="146" t="s">
        <v>89</v>
      </c>
      <c r="L89" s="64"/>
      <c r="M89" s="65"/>
      <c r="N89" s="65"/>
      <c r="O89" s="64"/>
    </row>
    <row r="90" s="1" customFormat="1" ht="18" customHeight="1" spans="1:15">
      <c r="A90" s="31"/>
      <c r="B90" s="32">
        <f t="shared" si="12"/>
        <v>0</v>
      </c>
      <c r="C90" s="33"/>
      <c r="D90" s="34"/>
      <c r="E90" s="35"/>
      <c r="F90" s="12">
        <f t="shared" si="13"/>
        <v>0</v>
      </c>
      <c r="G90" s="23"/>
      <c r="H90" s="20"/>
      <c r="I90" s="12">
        <v>-370000</v>
      </c>
      <c r="J90" s="61" t="s">
        <v>73</v>
      </c>
      <c r="K90" s="74" t="s">
        <v>80</v>
      </c>
      <c r="L90" s="64"/>
      <c r="M90" s="65"/>
      <c r="N90" s="65"/>
      <c r="O90" s="64"/>
    </row>
    <row r="91" s="1" customFormat="1" ht="18" customHeight="1" spans="1:15">
      <c r="A91" s="31"/>
      <c r="B91" s="32">
        <f t="shared" si="12"/>
        <v>0</v>
      </c>
      <c r="C91" s="33"/>
      <c r="D91" s="34"/>
      <c r="E91" s="35"/>
      <c r="F91" s="32">
        <f t="shared" si="13"/>
        <v>0</v>
      </c>
      <c r="G91" s="23"/>
      <c r="H91" s="20"/>
      <c r="I91" s="12">
        <v>370000</v>
      </c>
      <c r="J91" s="61" t="s">
        <v>80</v>
      </c>
      <c r="K91" s="74"/>
      <c r="L91" s="64"/>
      <c r="M91" s="65"/>
      <c r="N91" s="65"/>
      <c r="O91" s="64"/>
    </row>
    <row r="92" s="1" customFormat="1" ht="18" customHeight="1" spans="1:15">
      <c r="A92" s="31"/>
      <c r="B92" s="32">
        <f t="shared" si="12"/>
        <v>0</v>
      </c>
      <c r="C92" s="33"/>
      <c r="D92" s="34"/>
      <c r="E92" s="35"/>
      <c r="F92" s="32">
        <f t="shared" si="13"/>
        <v>0</v>
      </c>
      <c r="G92" s="23"/>
      <c r="H92" s="20"/>
      <c r="I92" s="12">
        <v>87273</v>
      </c>
      <c r="J92" s="61" t="s">
        <v>71</v>
      </c>
      <c r="K92" s="74" t="s">
        <v>90</v>
      </c>
      <c r="L92" s="64"/>
      <c r="M92" s="65"/>
      <c r="N92" s="65"/>
      <c r="O92" s="64"/>
    </row>
    <row r="93" s="1" customFormat="1" ht="18" customHeight="1" spans="1:15">
      <c r="A93" s="31"/>
      <c r="B93" s="32">
        <f t="shared" si="12"/>
        <v>0</v>
      </c>
      <c r="C93" s="33"/>
      <c r="D93" s="34"/>
      <c r="E93" s="35"/>
      <c r="F93" s="32">
        <f t="shared" si="13"/>
        <v>0</v>
      </c>
      <c r="G93" s="23"/>
      <c r="H93" s="20"/>
      <c r="I93" s="133">
        <v>80957</v>
      </c>
      <c r="J93" s="135" t="s">
        <v>71</v>
      </c>
      <c r="K93" s="146" t="s">
        <v>91</v>
      </c>
      <c r="L93" s="64"/>
      <c r="M93" s="65"/>
      <c r="N93" s="65"/>
      <c r="O93" s="64"/>
    </row>
    <row r="94" s="1" customFormat="1" ht="18" customHeight="1" spans="1:15">
      <c r="A94" s="31"/>
      <c r="B94" s="32">
        <f t="shared" si="12"/>
        <v>0</v>
      </c>
      <c r="C94" s="33"/>
      <c r="D94" s="34"/>
      <c r="E94" s="35"/>
      <c r="F94" s="32">
        <f t="shared" si="13"/>
        <v>0</v>
      </c>
      <c r="G94" s="23"/>
      <c r="H94" s="20"/>
      <c r="I94" s="12">
        <v>500</v>
      </c>
      <c r="J94" s="61" t="s">
        <v>71</v>
      </c>
      <c r="K94" s="77" t="s">
        <v>92</v>
      </c>
      <c r="L94" s="64"/>
      <c r="M94" s="65"/>
      <c r="N94" s="65"/>
      <c r="O94" s="64"/>
    </row>
    <row r="95" s="1" customFormat="1" ht="18" customHeight="1" spans="1:15">
      <c r="A95" s="31"/>
      <c r="B95" s="32">
        <f t="shared" si="12"/>
        <v>98000</v>
      </c>
      <c r="C95" s="33"/>
      <c r="D95" s="34"/>
      <c r="E95" s="35"/>
      <c r="F95" s="32">
        <f t="shared" si="13"/>
        <v>0</v>
      </c>
      <c r="G95" s="23">
        <f>30000+53000+15000</f>
        <v>98000</v>
      </c>
      <c r="H95" s="20"/>
      <c r="I95" s="12">
        <f>G95</f>
        <v>98000</v>
      </c>
      <c r="J95" s="61" t="s">
        <v>71</v>
      </c>
      <c r="K95" s="77" t="s">
        <v>78</v>
      </c>
      <c r="L95" s="64"/>
      <c r="M95" s="65"/>
      <c r="N95" s="65"/>
      <c r="O95" s="64"/>
    </row>
    <row r="96" ht="18" customHeight="1" spans="1:15">
      <c r="A96" s="27" t="s">
        <v>25</v>
      </c>
      <c r="B96" s="26">
        <f t="shared" ref="B96:G96" si="14">SUM(B17:B95)</f>
        <v>31374221.77</v>
      </c>
      <c r="C96" s="27"/>
      <c r="D96" s="89"/>
      <c r="E96" s="89"/>
      <c r="F96" s="28">
        <f t="shared" si="14"/>
        <v>2084914.39</v>
      </c>
      <c r="G96" s="27">
        <f t="shared" si="14"/>
        <v>33464096.16</v>
      </c>
      <c r="H96" s="29"/>
      <c r="I96" s="27">
        <f>SUM(I17:I95)</f>
        <v>29994935.3</v>
      </c>
      <c r="J96" s="29"/>
      <c r="K96" s="118"/>
      <c r="L96" s="29"/>
      <c r="M96" s="61"/>
      <c r="N96" s="61"/>
      <c r="O96" s="29"/>
    </row>
    <row r="97" ht="18" customHeight="1" spans="1:14">
      <c r="A97" s="91" t="s">
        <v>93</v>
      </c>
      <c r="B97" s="91">
        <f>B14*0.976</f>
        <v>26768786.8396997</v>
      </c>
      <c r="C97" s="91"/>
      <c r="D97" s="92"/>
      <c r="E97" s="92"/>
      <c r="F97" s="91">
        <f>F14-F96</f>
        <v>-14112.8003419519</v>
      </c>
      <c r="G97" s="91"/>
      <c r="H97" s="19" t="s">
        <v>94</v>
      </c>
      <c r="I97" s="27">
        <f>I14-I96</f>
        <v>5064.69999999925</v>
      </c>
      <c r="J97" s="7"/>
      <c r="K97" s="119"/>
      <c r="L97" s="7">
        <f>(I75+I82+I95)/I14</f>
        <v>0.004542745</v>
      </c>
      <c r="M97" s="8"/>
      <c r="N97" s="8"/>
    </row>
    <row r="98" ht="18" customHeight="1" spans="1:18">
      <c r="A98" s="91" t="s">
        <v>95</v>
      </c>
      <c r="B98" s="91">
        <f>B97-B96</f>
        <v>-4605434.93030025</v>
      </c>
      <c r="C98" s="91"/>
      <c r="D98" s="92"/>
      <c r="E98" s="92"/>
      <c r="F98" s="91"/>
      <c r="G98" s="91"/>
      <c r="H98" s="94"/>
      <c r="I98" s="91"/>
      <c r="J98" s="7"/>
      <c r="K98" s="119"/>
      <c r="M98" s="8"/>
      <c r="N98" s="8"/>
      <c r="R98" s="7" t="s">
        <v>96</v>
      </c>
    </row>
    <row r="99" ht="18" customHeight="1" spans="1:15">
      <c r="A99" s="3" t="s">
        <v>97</v>
      </c>
      <c r="C99" s="3"/>
      <c r="F99" s="95"/>
      <c r="G99" s="95"/>
      <c r="O99" s="29"/>
    </row>
    <row r="100" ht="18" customHeight="1" spans="1:15">
      <c r="A100" s="19" t="s">
        <v>98</v>
      </c>
      <c r="B100" s="18" t="s">
        <v>99</v>
      </c>
      <c r="C100" s="29"/>
      <c r="D100" s="19" t="s">
        <v>98</v>
      </c>
      <c r="E100" s="18" t="s">
        <v>17</v>
      </c>
      <c r="F100" s="18" t="s">
        <v>99</v>
      </c>
      <c r="G100" s="137" t="s">
        <v>100</v>
      </c>
      <c r="H100" s="137" t="s">
        <v>101</v>
      </c>
      <c r="I100" s="137" t="s">
        <v>102</v>
      </c>
      <c r="K100" s="137" t="s">
        <v>103</v>
      </c>
      <c r="L100" s="137" t="s">
        <v>104</v>
      </c>
      <c r="O100" s="147" t="s">
        <v>123</v>
      </c>
    </row>
    <row r="101" ht="18" customHeight="1" spans="1:15">
      <c r="A101" s="29" t="s">
        <v>105</v>
      </c>
      <c r="B101" s="32">
        <f>B98*0.25</f>
        <v>-1151358.73257506</v>
      </c>
      <c r="C101" s="29"/>
      <c r="D101" s="138" t="s">
        <v>106</v>
      </c>
      <c r="E101" s="139" t="s">
        <v>107</v>
      </c>
      <c r="F101" s="28">
        <f>F14-F96</f>
        <v>-14112.8003419519</v>
      </c>
      <c r="G101" s="140">
        <v>68985</v>
      </c>
      <c r="H101" s="140">
        <f>F8-F19-F21-F24-F25-F26</f>
        <v>434092.030909091</v>
      </c>
      <c r="I101" s="149">
        <f>F9-F34</f>
        <v>189747.930458716</v>
      </c>
      <c r="K101" s="140">
        <v>0</v>
      </c>
      <c r="L101" s="149">
        <v>37979.264495414</v>
      </c>
      <c r="O101" s="150">
        <v>0</v>
      </c>
    </row>
    <row r="102" ht="18" customHeight="1" spans="1:15">
      <c r="A102" s="29" t="s">
        <v>108</v>
      </c>
      <c r="B102" s="102">
        <f>G14*0.0003</f>
        <v>9013.9134</v>
      </c>
      <c r="C102" s="29"/>
      <c r="D102" s="141" t="s">
        <v>109</v>
      </c>
      <c r="E102" s="14">
        <v>0.05</v>
      </c>
      <c r="F102" s="12">
        <f>F101*E102</f>
        <v>-705.640017097595</v>
      </c>
      <c r="G102" s="67">
        <v>3449.25</v>
      </c>
      <c r="H102" s="67">
        <f>H101*E102</f>
        <v>21704.6015454545</v>
      </c>
      <c r="I102" s="151">
        <f>I101*E102</f>
        <v>9487.39652293578</v>
      </c>
      <c r="K102" s="67">
        <v>0</v>
      </c>
      <c r="L102" s="151">
        <v>1898.9632247707</v>
      </c>
      <c r="O102" s="152">
        <v>0</v>
      </c>
    </row>
    <row r="103" ht="18" customHeight="1" spans="1:15">
      <c r="A103" s="29" t="s">
        <v>110</v>
      </c>
      <c r="B103" s="102">
        <f>B14*0.0006</f>
        <v>16456.2214178482</v>
      </c>
      <c r="C103" s="29"/>
      <c r="D103" s="141" t="s">
        <v>111</v>
      </c>
      <c r="E103" s="14">
        <v>0.03</v>
      </c>
      <c r="F103" s="12">
        <f>F101*E103</f>
        <v>-423.384010258557</v>
      </c>
      <c r="G103" s="67">
        <v>2069.55</v>
      </c>
      <c r="H103" s="67">
        <f>H101*E103</f>
        <v>13022.7609272727</v>
      </c>
      <c r="I103" s="151">
        <f>I101*E103</f>
        <v>5692.43791376147</v>
      </c>
      <c r="K103" s="67">
        <v>0</v>
      </c>
      <c r="L103" s="151">
        <v>1139.37793486242</v>
      </c>
      <c r="O103" s="152">
        <v>0</v>
      </c>
    </row>
    <row r="104" ht="18" customHeight="1" spans="1:15">
      <c r="A104" s="29"/>
      <c r="B104" s="29"/>
      <c r="C104" s="29"/>
      <c r="D104" s="141" t="s">
        <v>112</v>
      </c>
      <c r="E104" s="14">
        <v>0.02</v>
      </c>
      <c r="F104" s="12">
        <f>F101*E104</f>
        <v>-282.256006839038</v>
      </c>
      <c r="G104" s="67">
        <v>1379.7</v>
      </c>
      <c r="H104" s="67">
        <f>H101*E104</f>
        <v>8681.84061818182</v>
      </c>
      <c r="I104" s="151">
        <f>I101*E104</f>
        <v>3794.95860917431</v>
      </c>
      <c r="K104" s="67">
        <v>0</v>
      </c>
      <c r="L104" s="151">
        <v>759.585289908281</v>
      </c>
      <c r="O104" s="152">
        <v>0</v>
      </c>
    </row>
    <row r="105" ht="18" customHeight="1" spans="1:15">
      <c r="A105" s="25" t="s">
        <v>113</v>
      </c>
      <c r="B105" s="26">
        <f t="shared" ref="B105:I105" si="15">SUM(B101:B104)</f>
        <v>-1125888.59775721</v>
      </c>
      <c r="C105" s="29"/>
      <c r="D105" s="138" t="s">
        <v>113</v>
      </c>
      <c r="E105" s="138"/>
      <c r="F105" s="28">
        <f t="shared" si="15"/>
        <v>-15524.0803761471</v>
      </c>
      <c r="G105" s="28">
        <f t="shared" si="15"/>
        <v>75883.5</v>
      </c>
      <c r="H105" s="28">
        <f t="shared" si="15"/>
        <v>477501.234</v>
      </c>
      <c r="I105" s="153">
        <f t="shared" si="15"/>
        <v>208722.723504587</v>
      </c>
      <c r="K105" s="28">
        <v>0</v>
      </c>
      <c r="L105" s="153">
        <v>41777.1909449555</v>
      </c>
      <c r="O105" s="150">
        <v>0</v>
      </c>
    </row>
    <row r="106" ht="21.95" customHeight="1" spans="3:15">
      <c r="C106" s="3"/>
      <c r="D106" s="29" t="s">
        <v>108</v>
      </c>
      <c r="E106" s="142">
        <v>0.0003</v>
      </c>
      <c r="F106" s="67">
        <f>G14*E106</f>
        <v>9013.9134</v>
      </c>
      <c r="G106" s="143">
        <v>1800</v>
      </c>
      <c r="H106" s="143">
        <f>G8*E106</f>
        <v>3180</v>
      </c>
      <c r="I106" s="143"/>
      <c r="J106" s="154"/>
      <c r="K106" s="143">
        <f>G9*E106</f>
        <v>900</v>
      </c>
      <c r="L106" s="29"/>
      <c r="M106" s="29"/>
      <c r="N106" s="155"/>
      <c r="O106" s="156"/>
    </row>
    <row r="107" ht="21.95" customHeight="1" spans="3:15">
      <c r="C107" s="3"/>
      <c r="D107" s="29" t="s">
        <v>110</v>
      </c>
      <c r="E107" s="142">
        <v>0.0006</v>
      </c>
      <c r="F107" s="67">
        <f>B14*E107</f>
        <v>16456.2214178482</v>
      </c>
      <c r="G107" s="67">
        <v>3272.73</v>
      </c>
      <c r="H107" s="67">
        <f>B8*E107</f>
        <v>5781.81818181818</v>
      </c>
      <c r="I107" s="151"/>
      <c r="K107" s="67">
        <f>B9*E107</f>
        <v>1651.37614678899</v>
      </c>
      <c r="L107" s="29"/>
      <c r="M107" s="29">
        <v>1963.19394495413</v>
      </c>
      <c r="N107" s="155">
        <v>2251.37614678899</v>
      </c>
      <c r="O107" s="156">
        <f>B12*E107</f>
        <v>1535.72972477064</v>
      </c>
    </row>
    <row r="108" ht="21.95" customHeight="1" spans="3:15">
      <c r="C108" s="3"/>
      <c r="D108" s="28" t="s">
        <v>113</v>
      </c>
      <c r="E108" s="144"/>
      <c r="F108" s="140">
        <f t="shared" ref="F108:H108" si="16">F106+F107</f>
        <v>25470.1348178482</v>
      </c>
      <c r="G108" s="140">
        <f t="shared" si="16"/>
        <v>5072.73</v>
      </c>
      <c r="H108" s="140">
        <f t="shared" si="16"/>
        <v>8961.81818181818</v>
      </c>
      <c r="I108" s="149"/>
      <c r="K108" s="149">
        <f>K106+K107</f>
        <v>2551.37614678899</v>
      </c>
      <c r="L108" s="29"/>
      <c r="M108" s="29"/>
      <c r="N108" s="155"/>
      <c r="O108" s="156"/>
    </row>
    <row r="109" ht="21.95" customHeight="1" spans="3:15">
      <c r="C109" s="3"/>
      <c r="D109" s="28" t="s">
        <v>25</v>
      </c>
      <c r="E109" s="144"/>
      <c r="F109" s="140">
        <f t="shared" ref="F109:H109" si="17">F105+F108</f>
        <v>9946.05444170113</v>
      </c>
      <c r="G109" s="140">
        <f t="shared" si="17"/>
        <v>80956.23</v>
      </c>
      <c r="H109" s="140">
        <f t="shared" si="17"/>
        <v>486463.052181818</v>
      </c>
      <c r="I109" s="149"/>
      <c r="K109" s="149">
        <f>K108</f>
        <v>2551.37614678899</v>
      </c>
      <c r="L109" s="29"/>
      <c r="M109" s="29"/>
      <c r="N109" s="155"/>
      <c r="O109" s="156"/>
    </row>
    <row r="110" ht="21.95" customHeight="1" spans="3:15">
      <c r="C110" s="3"/>
      <c r="D110" s="28" t="s">
        <v>105</v>
      </c>
      <c r="E110" s="144">
        <v>0.016</v>
      </c>
      <c r="F110" s="140">
        <f>B14*E110</f>
        <v>438832.571142619</v>
      </c>
      <c r="G110" s="140">
        <v>87272.73</v>
      </c>
      <c r="H110" s="140"/>
      <c r="I110" s="149"/>
      <c r="K110" s="149"/>
      <c r="L110" s="29"/>
      <c r="M110" s="29"/>
      <c r="N110" s="155"/>
      <c r="O110" s="156"/>
    </row>
    <row r="111" ht="21.95" customHeight="1" spans="3:15">
      <c r="C111" s="3"/>
      <c r="D111" s="28" t="s">
        <v>105</v>
      </c>
      <c r="E111" s="144">
        <v>0.006</v>
      </c>
      <c r="F111" s="140"/>
      <c r="G111" s="140"/>
      <c r="H111" s="140">
        <f>B8*E111</f>
        <v>57818.1818181818</v>
      </c>
      <c r="I111" s="140"/>
      <c r="J111" s="157"/>
      <c r="K111" s="140">
        <f>B9*E111</f>
        <v>16513.7614678899</v>
      </c>
      <c r="L111" s="29"/>
      <c r="M111" s="29">
        <v>21398.814</v>
      </c>
      <c r="N111" s="155">
        <v>24540</v>
      </c>
      <c r="O111" s="150">
        <f>G12*E111</f>
        <v>16739.454</v>
      </c>
    </row>
    <row r="112" ht="21.95" customHeight="1" spans="3:12">
      <c r="C112" s="3"/>
      <c r="F112" s="95"/>
      <c r="G112" s="95"/>
      <c r="I112" s="128" t="s">
        <v>114</v>
      </c>
      <c r="L112" s="60" t="s">
        <v>115</v>
      </c>
    </row>
    <row r="113" ht="21.95" customHeight="1" spans="3:18">
      <c r="C113" s="3"/>
      <c r="F113" s="95"/>
      <c r="G113" s="95"/>
      <c r="I113" s="128" t="s">
        <v>116</v>
      </c>
      <c r="L113" s="129" t="s">
        <v>117</v>
      </c>
      <c r="R113" s="7">
        <f>755000/0.25</f>
        <v>3020000</v>
      </c>
    </row>
    <row r="114" ht="21.95" customHeight="1" spans="3:13">
      <c r="C114" s="3"/>
      <c r="F114" s="95"/>
      <c r="G114" s="95"/>
      <c r="H114" s="145" t="s">
        <v>118</v>
      </c>
      <c r="I114" s="4">
        <v>208722.72</v>
      </c>
      <c r="L114" s="131" t="s">
        <v>119</v>
      </c>
      <c r="M114" s="131">
        <v>90408.0990550446</v>
      </c>
    </row>
    <row r="115" ht="21.95" customHeight="1" spans="3:7">
      <c r="C115" s="3"/>
      <c r="F115" s="95"/>
      <c r="G115" s="95"/>
    </row>
    <row r="116" ht="21.95" customHeight="1" spans="3:7">
      <c r="C116" s="3"/>
      <c r="F116" s="95"/>
      <c r="G116" s="95"/>
    </row>
    <row r="117" ht="21.95" customHeight="1" spans="3:7">
      <c r="C117" s="3"/>
      <c r="F117" s="95"/>
      <c r="G117" s="95"/>
    </row>
    <row r="118" ht="21.95" customHeight="1" spans="3:7">
      <c r="C118" s="3"/>
      <c r="F118" s="95"/>
      <c r="G118" s="95"/>
    </row>
    <row r="119" ht="21.95" customHeight="1" spans="3:7">
      <c r="C119" s="3"/>
      <c r="F119" s="95"/>
      <c r="G119" s="95"/>
    </row>
    <row r="120" ht="21.95" customHeight="1" spans="3:7">
      <c r="C120" s="3"/>
      <c r="F120" s="95"/>
      <c r="G120" s="95"/>
    </row>
    <row r="121" ht="21.95" customHeight="1" spans="3:7">
      <c r="C121" s="3"/>
      <c r="F121" s="95"/>
      <c r="G121" s="95"/>
    </row>
    <row r="122" ht="21.95" customHeight="1" spans="3:3">
      <c r="C122" s="3"/>
    </row>
    <row r="123" ht="21.95" customHeight="1" spans="3:3">
      <c r="C123" s="3"/>
    </row>
    <row r="124" ht="21.95" customHeight="1" spans="3:3">
      <c r="C124" s="3"/>
    </row>
    <row r="125" ht="21.95" customHeight="1" spans="3:3">
      <c r="C125" s="3"/>
    </row>
    <row r="126" ht="21.95" customHeight="1" spans="3:3">
      <c r="C126" s="3"/>
    </row>
    <row r="127" ht="21.95" customHeight="1" spans="3:3">
      <c r="C127" s="3"/>
    </row>
    <row r="128" spans="3:3">
      <c r="C128" s="3"/>
    </row>
    <row r="129" spans="3:3">
      <c r="C129" s="3"/>
    </row>
  </sheetData>
  <protectedRanges>
    <protectedRange sqref="L33 K26:L32 K81:L81 L82 K83:L87 K73" name="区域1"/>
    <protectedRange sqref="I32" name="区域1_1"/>
  </protectedRanges>
  <autoFilter ref="A16:R114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9"/>
  <sheetViews>
    <sheetView topLeftCell="E55" workbookViewId="0">
      <selection activeCell="I13" sqref="I13"/>
    </sheetView>
  </sheetViews>
  <sheetFormatPr defaultColWidth="9" defaultRowHeight="11.25"/>
  <cols>
    <col min="1" max="1" width="10.75" style="3" customWidth="1"/>
    <col min="2" max="2" width="16.6666666666667" style="4" customWidth="1"/>
    <col min="3" max="3" width="6" style="4" customWidth="1"/>
    <col min="4" max="4" width="13.3833333333333" style="4" customWidth="1"/>
    <col min="5" max="5" width="6" style="4" customWidth="1"/>
    <col min="6" max="6" width="12.25" style="4" customWidth="1"/>
    <col min="7" max="7" width="14.1333333333333" style="4" customWidth="1"/>
    <col min="8" max="8" width="13.3833333333333" style="4" customWidth="1"/>
    <col min="9" max="9" width="14" style="4" customWidth="1"/>
    <col min="10" max="10" width="4.75" style="6" customWidth="1"/>
    <col min="11" max="11" width="35.3833333333333" style="7" customWidth="1"/>
    <col min="12" max="12" width="12.75" style="7" customWidth="1"/>
    <col min="13" max="13" width="8" style="7" customWidth="1"/>
    <col min="14" max="14" width="5.63333333333333" style="7" customWidth="1"/>
    <col min="15" max="15" width="12.1333333333333" style="7" customWidth="1"/>
    <col min="16" max="16" width="11.5" style="8" customWidth="1"/>
    <col min="17" max="17" width="13.25" style="7" customWidth="1"/>
    <col min="18" max="16384" width="9" style="7"/>
  </cols>
  <sheetData>
    <row r="1" ht="38.25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7"/>
      <c r="L1" s="17"/>
    </row>
    <row r="2" ht="18" customHeight="1" spans="1:12">
      <c r="A2" s="10" t="s">
        <v>1</v>
      </c>
      <c r="B2" s="11">
        <v>43116</v>
      </c>
      <c r="C2" s="12" t="s">
        <v>2</v>
      </c>
      <c r="D2" s="13">
        <v>41448872</v>
      </c>
      <c r="E2" s="14" t="s">
        <v>3</v>
      </c>
      <c r="F2" s="12" t="s">
        <v>4</v>
      </c>
      <c r="G2" s="14" t="s">
        <v>5</v>
      </c>
      <c r="H2" s="15" t="s">
        <v>6</v>
      </c>
      <c r="I2" s="58"/>
      <c r="J2" s="59"/>
      <c r="K2" s="17"/>
      <c r="L2" s="17"/>
    </row>
    <row r="3" ht="18" customHeight="1" spans="1:13">
      <c r="A3" s="10" t="s">
        <v>7</v>
      </c>
      <c r="B3" s="16"/>
      <c r="C3" s="12" t="s">
        <v>8</v>
      </c>
      <c r="D3" s="12"/>
      <c r="H3" s="17"/>
      <c r="I3" s="17"/>
      <c r="J3" s="17"/>
      <c r="K3" s="17"/>
      <c r="L3" s="17"/>
      <c r="M3" s="60" t="s">
        <v>9</v>
      </c>
    </row>
    <row r="4" ht="18" customHeight="1" spans="1:12">
      <c r="A4" s="3" t="s">
        <v>10</v>
      </c>
      <c r="H4" s="17"/>
      <c r="I4" s="17"/>
      <c r="J4" s="17"/>
      <c r="K4" s="17"/>
      <c r="L4" s="17"/>
    </row>
    <row r="5" ht="18" customHeight="1" spans="1:10">
      <c r="A5" s="18" t="s">
        <v>11</v>
      </c>
      <c r="B5" s="18" t="s">
        <v>12</v>
      </c>
      <c r="C5" s="18" t="s">
        <v>13</v>
      </c>
      <c r="D5" s="18"/>
      <c r="E5" s="18" t="s">
        <v>14</v>
      </c>
      <c r="F5" s="18"/>
      <c r="G5" s="18" t="s">
        <v>15</v>
      </c>
      <c r="H5" s="19" t="s">
        <v>16</v>
      </c>
      <c r="I5" s="19"/>
      <c r="J5" s="19"/>
    </row>
    <row r="6" ht="18" customHeight="1" spans="1:11">
      <c r="A6" s="18"/>
      <c r="B6" s="18"/>
      <c r="C6" s="18" t="s">
        <v>17</v>
      </c>
      <c r="D6" s="18" t="s">
        <v>18</v>
      </c>
      <c r="E6" s="18" t="s">
        <v>17</v>
      </c>
      <c r="F6" s="18" t="s">
        <v>18</v>
      </c>
      <c r="G6" s="18"/>
      <c r="H6" s="19" t="s">
        <v>19</v>
      </c>
      <c r="I6" s="19" t="s">
        <v>20</v>
      </c>
      <c r="J6" s="19" t="s">
        <v>21</v>
      </c>
      <c r="K6" s="7" t="s">
        <v>22</v>
      </c>
    </row>
    <row r="7" ht="18" customHeight="1" spans="1:11">
      <c r="A7" s="20">
        <v>43287</v>
      </c>
      <c r="B7" s="12">
        <f t="shared" ref="B7:B13" si="0">G7/(1+C7+E7)</f>
        <v>5454545.45454545</v>
      </c>
      <c r="C7" s="21">
        <v>0.02</v>
      </c>
      <c r="D7" s="22">
        <f t="shared" ref="D7:D13" si="1">G7/(1+E7+C7)*C7</f>
        <v>109090.909090909</v>
      </c>
      <c r="E7" s="21">
        <v>0.08</v>
      </c>
      <c r="F7" s="12">
        <f t="shared" ref="F7:F13" si="2">G7/(1+C7+E7)*E7</f>
        <v>436363.636363636</v>
      </c>
      <c r="G7" s="23">
        <v>6000000</v>
      </c>
      <c r="H7" s="20">
        <v>43294</v>
      </c>
      <c r="I7" s="12">
        <v>6000000</v>
      </c>
      <c r="J7" s="61" t="s">
        <v>23</v>
      </c>
      <c r="K7" s="7" t="s">
        <v>24</v>
      </c>
    </row>
    <row r="8" ht="18" customHeight="1" spans="1:10">
      <c r="A8" s="20">
        <v>43473</v>
      </c>
      <c r="B8" s="12">
        <f t="shared" si="0"/>
        <v>9636363.63636363</v>
      </c>
      <c r="C8" s="21">
        <v>0.02</v>
      </c>
      <c r="D8" s="22">
        <f t="shared" si="1"/>
        <v>192727.272727273</v>
      </c>
      <c r="E8" s="21">
        <v>0.08</v>
      </c>
      <c r="F8" s="12">
        <f t="shared" si="2"/>
        <v>770909.090909091</v>
      </c>
      <c r="G8" s="23">
        <v>10600000</v>
      </c>
      <c r="H8" s="20">
        <v>43483</v>
      </c>
      <c r="I8" s="12">
        <v>10600000</v>
      </c>
      <c r="J8" s="61" t="s">
        <v>23</v>
      </c>
    </row>
    <row r="9" ht="18" customHeight="1" spans="1:10">
      <c r="A9" s="20">
        <v>43654</v>
      </c>
      <c r="B9" s="12">
        <f t="shared" si="0"/>
        <v>2752293.57798165</v>
      </c>
      <c r="C9" s="21">
        <v>0.02</v>
      </c>
      <c r="D9" s="22">
        <f t="shared" si="1"/>
        <v>55045.871559633</v>
      </c>
      <c r="E9" s="21">
        <v>0.07</v>
      </c>
      <c r="F9" s="12">
        <f t="shared" si="2"/>
        <v>192660.550458716</v>
      </c>
      <c r="G9" s="23">
        <v>3000000</v>
      </c>
      <c r="H9" s="20">
        <v>43661</v>
      </c>
      <c r="I9" s="12">
        <v>3000000</v>
      </c>
      <c r="J9" s="61" t="s">
        <v>23</v>
      </c>
    </row>
    <row r="10" ht="18" customHeight="1" spans="1:11">
      <c r="A10" s="20">
        <v>43816</v>
      </c>
      <c r="B10" s="12">
        <f t="shared" si="0"/>
        <v>3271989.90825688</v>
      </c>
      <c r="C10" s="21">
        <v>0.02</v>
      </c>
      <c r="D10" s="22">
        <f t="shared" si="1"/>
        <v>65439.7981651376</v>
      </c>
      <c r="E10" s="24">
        <v>0.07</v>
      </c>
      <c r="F10" s="12">
        <f t="shared" si="2"/>
        <v>229039.293577982</v>
      </c>
      <c r="G10" s="23">
        <v>3566469</v>
      </c>
      <c r="H10" s="20">
        <v>43819</v>
      </c>
      <c r="I10" s="12">
        <v>3566469</v>
      </c>
      <c r="J10" s="61" t="s">
        <v>23</v>
      </c>
      <c r="K10" s="7">
        <f>F10+F11-F38</f>
        <v>146850.114036697</v>
      </c>
    </row>
    <row r="11" ht="18" customHeight="1" spans="1:10">
      <c r="A11" s="20">
        <v>43847</v>
      </c>
      <c r="B11" s="12">
        <f t="shared" si="0"/>
        <v>3752293.57798165</v>
      </c>
      <c r="C11" s="21">
        <v>0.02</v>
      </c>
      <c r="D11" s="22">
        <f t="shared" si="1"/>
        <v>75045.871559633</v>
      </c>
      <c r="E11" s="24">
        <v>0.07</v>
      </c>
      <c r="F11" s="12">
        <f t="shared" si="2"/>
        <v>262660.550458716</v>
      </c>
      <c r="G11" s="23">
        <v>4090000</v>
      </c>
      <c r="H11" s="20">
        <v>43916</v>
      </c>
      <c r="I11" s="12">
        <v>4090000</v>
      </c>
      <c r="J11" s="61" t="s">
        <v>23</v>
      </c>
    </row>
    <row r="12" ht="18" customHeight="1" spans="1:10">
      <c r="A12" s="20">
        <v>44034</v>
      </c>
      <c r="B12" s="12">
        <f t="shared" si="0"/>
        <v>2559549.5412844</v>
      </c>
      <c r="C12" s="24">
        <v>0.02</v>
      </c>
      <c r="D12" s="22">
        <f t="shared" si="1"/>
        <v>51190.9908256881</v>
      </c>
      <c r="E12" s="24">
        <v>0.07</v>
      </c>
      <c r="F12" s="12">
        <f t="shared" si="2"/>
        <v>179168.467889908</v>
      </c>
      <c r="G12" s="23">
        <v>2789909</v>
      </c>
      <c r="H12" s="20">
        <v>44075</v>
      </c>
      <c r="I12" s="12">
        <v>2743531</v>
      </c>
      <c r="J12" s="61" t="s">
        <v>23</v>
      </c>
    </row>
    <row r="13" ht="18" customHeight="1" spans="1:11">
      <c r="A13" s="20">
        <v>44116</v>
      </c>
      <c r="B13" s="12">
        <f t="shared" si="0"/>
        <v>2320978.89908257</v>
      </c>
      <c r="C13" s="24">
        <v>0.02</v>
      </c>
      <c r="D13" s="22">
        <f t="shared" si="1"/>
        <v>46419.5779816514</v>
      </c>
      <c r="E13" s="24">
        <v>0.07</v>
      </c>
      <c r="F13" s="12">
        <f t="shared" si="2"/>
        <v>162468.52293578</v>
      </c>
      <c r="G13" s="23">
        <v>2529867</v>
      </c>
      <c r="H13" s="20">
        <v>44126</v>
      </c>
      <c r="I13" s="12">
        <v>1529867</v>
      </c>
      <c r="J13" s="61" t="s">
        <v>23</v>
      </c>
      <c r="K13" s="7">
        <f>I13*0.006</f>
        <v>9179.202</v>
      </c>
    </row>
    <row r="14" ht="24" customHeight="1" spans="1:10">
      <c r="A14" s="25" t="s">
        <v>25</v>
      </c>
      <c r="B14" s="26">
        <f t="shared" ref="B14:G14" si="3">SUM(B7:B13)</f>
        <v>29748014.5954962</v>
      </c>
      <c r="C14" s="27"/>
      <c r="D14" s="27">
        <f t="shared" si="3"/>
        <v>594960.291909925</v>
      </c>
      <c r="E14" s="27"/>
      <c r="F14" s="28">
        <f t="shared" si="3"/>
        <v>2233270.11259383</v>
      </c>
      <c r="G14" s="27">
        <f t="shared" si="3"/>
        <v>32576245</v>
      </c>
      <c r="H14" s="29"/>
      <c r="I14" s="27">
        <f>SUM(I7:I13)</f>
        <v>31529867</v>
      </c>
      <c r="J14" s="29"/>
    </row>
    <row r="15" ht="18" customHeight="1" spans="1:12">
      <c r="A15" s="3" t="s">
        <v>26</v>
      </c>
      <c r="B15" s="7"/>
      <c r="J15" s="4"/>
      <c r="K15" s="4"/>
      <c r="L15" s="6"/>
    </row>
    <row r="16" ht="18" customHeight="1" spans="1:15">
      <c r="A16" s="30" t="s">
        <v>19</v>
      </c>
      <c r="B16" s="18" t="s">
        <v>27</v>
      </c>
      <c r="C16" s="18" t="s">
        <v>28</v>
      </c>
      <c r="D16" s="18" t="s">
        <v>29</v>
      </c>
      <c r="E16" s="18" t="s">
        <v>17</v>
      </c>
      <c r="F16" s="18" t="s">
        <v>30</v>
      </c>
      <c r="G16" s="18" t="s">
        <v>15</v>
      </c>
      <c r="H16" s="18" t="s">
        <v>31</v>
      </c>
      <c r="I16" s="18" t="s">
        <v>32</v>
      </c>
      <c r="J16" s="18" t="s">
        <v>21</v>
      </c>
      <c r="K16" s="62" t="s">
        <v>33</v>
      </c>
      <c r="L16" s="19" t="s">
        <v>34</v>
      </c>
      <c r="M16" s="19" t="s">
        <v>35</v>
      </c>
      <c r="N16" s="19" t="s">
        <v>36</v>
      </c>
      <c r="O16" s="19" t="s">
        <v>37</v>
      </c>
    </row>
    <row r="17" s="1" customFormat="1" ht="18" customHeight="1" spans="1:16">
      <c r="A17" s="31">
        <v>43302</v>
      </c>
      <c r="B17" s="32">
        <f t="shared" ref="B17:B57" si="4">ROUND(G17/(1+E17),2)</f>
        <v>2912621.36</v>
      </c>
      <c r="C17" s="33">
        <v>3</v>
      </c>
      <c r="D17" s="34" t="s">
        <v>38</v>
      </c>
      <c r="E17" s="35">
        <v>0.03</v>
      </c>
      <c r="F17" s="32">
        <f t="shared" ref="F17:F57" si="5">ROUND(G17/(1+E17)*E17,2)</f>
        <v>87378.64</v>
      </c>
      <c r="G17" s="23">
        <f>1000000*3</f>
        <v>3000000</v>
      </c>
      <c r="H17" s="20">
        <v>43300</v>
      </c>
      <c r="I17" s="12">
        <v>3000000</v>
      </c>
      <c r="J17" s="61" t="s">
        <v>23</v>
      </c>
      <c r="K17" s="74" t="s">
        <v>39</v>
      </c>
      <c r="L17" s="64" t="s">
        <v>40</v>
      </c>
      <c r="M17" s="65" t="s">
        <v>41</v>
      </c>
      <c r="N17" s="65"/>
      <c r="O17" s="64"/>
      <c r="P17" s="66"/>
    </row>
    <row r="18" s="1" customFormat="1" ht="18" customHeight="1" spans="1:16">
      <c r="A18" s="31">
        <v>43307</v>
      </c>
      <c r="B18" s="32">
        <f t="shared" si="4"/>
        <v>1750000</v>
      </c>
      <c r="C18" s="33">
        <v>2</v>
      </c>
      <c r="D18" s="34" t="s">
        <v>38</v>
      </c>
      <c r="E18" s="35">
        <v>0.16</v>
      </c>
      <c r="F18" s="32">
        <f t="shared" si="5"/>
        <v>280000</v>
      </c>
      <c r="G18" s="23">
        <f>999900+1030100</f>
        <v>2030000</v>
      </c>
      <c r="H18" s="20">
        <v>43300</v>
      </c>
      <c r="I18" s="12">
        <v>2030000</v>
      </c>
      <c r="J18" s="61" t="s">
        <v>23</v>
      </c>
      <c r="K18" s="74" t="s">
        <v>42</v>
      </c>
      <c r="L18" s="64" t="s">
        <v>43</v>
      </c>
      <c r="M18" s="65" t="s">
        <v>41</v>
      </c>
      <c r="N18" s="65"/>
      <c r="O18" s="64"/>
      <c r="P18" s="66"/>
    </row>
    <row r="19" s="1" customFormat="1" ht="18" customHeight="1" spans="1:16">
      <c r="A19" s="31">
        <v>43330</v>
      </c>
      <c r="B19" s="37">
        <f t="shared" si="4"/>
        <v>582524.27</v>
      </c>
      <c r="C19" s="33">
        <v>1</v>
      </c>
      <c r="D19" s="34" t="s">
        <v>38</v>
      </c>
      <c r="E19" s="35">
        <v>0.03</v>
      </c>
      <c r="F19" s="37">
        <f t="shared" si="5"/>
        <v>17475.73</v>
      </c>
      <c r="G19" s="39">
        <v>600000</v>
      </c>
      <c r="H19" s="20">
        <v>43340</v>
      </c>
      <c r="I19" s="67">
        <v>600000</v>
      </c>
      <c r="J19" s="61" t="s">
        <v>23</v>
      </c>
      <c r="K19" s="74" t="s">
        <v>39</v>
      </c>
      <c r="L19" s="64" t="s">
        <v>44</v>
      </c>
      <c r="M19" s="65" t="s">
        <v>41</v>
      </c>
      <c r="N19" s="65"/>
      <c r="O19" s="64"/>
      <c r="P19" s="66"/>
    </row>
    <row r="20" s="1" customFormat="1" ht="18" customHeight="1" spans="1:16">
      <c r="A20" s="31">
        <v>43374</v>
      </c>
      <c r="B20" s="32">
        <f t="shared" si="4"/>
        <v>258543</v>
      </c>
      <c r="C20" s="33"/>
      <c r="D20" s="34" t="s">
        <v>45</v>
      </c>
      <c r="E20" s="35"/>
      <c r="F20" s="32">
        <f t="shared" si="5"/>
        <v>0</v>
      </c>
      <c r="G20" s="23">
        <v>258543</v>
      </c>
      <c r="H20" s="20"/>
      <c r="I20" s="12"/>
      <c r="J20" s="61"/>
      <c r="K20" s="74" t="s">
        <v>46</v>
      </c>
      <c r="L20" s="64" t="s">
        <v>47</v>
      </c>
      <c r="M20" s="65"/>
      <c r="N20" s="65"/>
      <c r="O20" s="64"/>
      <c r="P20" s="66"/>
    </row>
    <row r="21" s="1" customFormat="1" ht="18" customHeight="1" spans="1:16">
      <c r="A21" s="31">
        <v>43435</v>
      </c>
      <c r="B21" s="32">
        <f t="shared" si="4"/>
        <v>495747.57</v>
      </c>
      <c r="C21" s="33">
        <v>5</v>
      </c>
      <c r="D21" s="34" t="s">
        <v>38</v>
      </c>
      <c r="E21" s="35">
        <v>0.03</v>
      </c>
      <c r="F21" s="32">
        <f t="shared" si="5"/>
        <v>14872.43</v>
      </c>
      <c r="G21" s="23">
        <f>102124*5</f>
        <v>510620</v>
      </c>
      <c r="H21" s="20">
        <v>43434</v>
      </c>
      <c r="I21" s="12">
        <v>171270</v>
      </c>
      <c r="J21" s="61" t="s">
        <v>23</v>
      </c>
      <c r="K21" s="74" t="s">
        <v>48</v>
      </c>
      <c r="L21" s="64" t="s">
        <v>49</v>
      </c>
      <c r="M21" s="65" t="s">
        <v>41</v>
      </c>
      <c r="N21" s="65"/>
      <c r="O21" s="64"/>
      <c r="P21" s="66"/>
    </row>
    <row r="22" s="1" customFormat="1" ht="18" customHeight="1" spans="1:16">
      <c r="A22" s="31"/>
      <c r="B22" s="32">
        <f t="shared" si="4"/>
        <v>0</v>
      </c>
      <c r="C22" s="33"/>
      <c r="D22" s="34"/>
      <c r="E22" s="35"/>
      <c r="F22" s="32">
        <f t="shared" si="5"/>
        <v>0</v>
      </c>
      <c r="G22" s="23"/>
      <c r="H22" s="20">
        <v>43434</v>
      </c>
      <c r="I22" s="12">
        <v>339350</v>
      </c>
      <c r="J22" s="61" t="s">
        <v>23</v>
      </c>
      <c r="K22" s="74" t="s">
        <v>48</v>
      </c>
      <c r="L22" s="64" t="s">
        <v>49</v>
      </c>
      <c r="M22" s="65" t="s">
        <v>41</v>
      </c>
      <c r="N22" s="65"/>
      <c r="O22" s="64"/>
      <c r="P22" s="66"/>
    </row>
    <row r="23" s="1" customFormat="1" ht="18" customHeight="1" spans="1:16">
      <c r="A23" s="31"/>
      <c r="B23" s="32">
        <f t="shared" si="4"/>
        <v>0</v>
      </c>
      <c r="C23" s="33"/>
      <c r="D23" s="34"/>
      <c r="E23" s="35"/>
      <c r="F23" s="32">
        <f t="shared" si="5"/>
        <v>0</v>
      </c>
      <c r="G23" s="23"/>
      <c r="H23" s="20">
        <v>43434</v>
      </c>
      <c r="I23" s="12">
        <v>-339350</v>
      </c>
      <c r="J23" s="61" t="s">
        <v>50</v>
      </c>
      <c r="K23" s="74" t="s">
        <v>51</v>
      </c>
      <c r="L23" s="64"/>
      <c r="M23" s="65"/>
      <c r="N23" s="65"/>
      <c r="O23" s="64"/>
      <c r="P23" s="66"/>
    </row>
    <row r="24" s="1" customFormat="1" ht="18" customHeight="1" spans="1:16">
      <c r="A24" s="31">
        <v>43466</v>
      </c>
      <c r="B24" s="32">
        <f t="shared" si="4"/>
        <v>1922330.1</v>
      </c>
      <c r="C24" s="33"/>
      <c r="D24" s="34" t="s">
        <v>38</v>
      </c>
      <c r="E24" s="35">
        <v>0.03</v>
      </c>
      <c r="F24" s="32">
        <f t="shared" si="5"/>
        <v>57669.9</v>
      </c>
      <c r="G24" s="23">
        <f>1000000+980000</f>
        <v>1980000</v>
      </c>
      <c r="H24" s="20">
        <v>43486</v>
      </c>
      <c r="I24" s="12">
        <f>1000000+980000</f>
        <v>1980000</v>
      </c>
      <c r="J24" s="61" t="s">
        <v>23</v>
      </c>
      <c r="K24" s="74" t="s">
        <v>39</v>
      </c>
      <c r="L24" s="64" t="s">
        <v>44</v>
      </c>
      <c r="M24" s="65" t="s">
        <v>41</v>
      </c>
      <c r="N24" s="65"/>
      <c r="O24" s="64"/>
      <c r="P24" s="66"/>
    </row>
    <row r="25" s="1" customFormat="1" ht="18" customHeight="1" spans="1:16">
      <c r="A25" s="31">
        <v>43466</v>
      </c>
      <c r="B25" s="32">
        <f t="shared" si="4"/>
        <v>2912621.36</v>
      </c>
      <c r="C25" s="33"/>
      <c r="D25" s="34" t="s">
        <v>38</v>
      </c>
      <c r="E25" s="35">
        <v>0.03</v>
      </c>
      <c r="F25" s="32">
        <f t="shared" si="5"/>
        <v>87378.64</v>
      </c>
      <c r="G25" s="23">
        <f>30*100000</f>
        <v>3000000</v>
      </c>
      <c r="H25" s="20">
        <v>43486</v>
      </c>
      <c r="I25" s="12">
        <f>30*100000</f>
        <v>3000000</v>
      </c>
      <c r="J25" s="61" t="s">
        <v>23</v>
      </c>
      <c r="K25" s="74" t="s">
        <v>48</v>
      </c>
      <c r="L25" s="64" t="s">
        <v>49</v>
      </c>
      <c r="M25" s="65" t="s">
        <v>41</v>
      </c>
      <c r="N25" s="65"/>
      <c r="O25" s="64"/>
      <c r="P25" s="66"/>
    </row>
    <row r="26" s="1" customFormat="1" ht="18" customHeight="1" spans="1:16">
      <c r="A26" s="31">
        <v>43466</v>
      </c>
      <c r="B26" s="32">
        <f t="shared" si="4"/>
        <v>996377.24</v>
      </c>
      <c r="C26" s="33"/>
      <c r="D26" s="34" t="s">
        <v>38</v>
      </c>
      <c r="E26" s="35">
        <v>0.16</v>
      </c>
      <c r="F26" s="32">
        <f t="shared" si="5"/>
        <v>159420.36</v>
      </c>
      <c r="G26" s="23">
        <v>1155797.6</v>
      </c>
      <c r="H26" s="20">
        <v>43490</v>
      </c>
      <c r="I26" s="12">
        <v>1100000</v>
      </c>
      <c r="J26" s="61" t="s">
        <v>23</v>
      </c>
      <c r="K26" s="69" t="s">
        <v>52</v>
      </c>
      <c r="L26" s="69" t="s">
        <v>53</v>
      </c>
      <c r="M26" s="65" t="s">
        <v>41</v>
      </c>
      <c r="N26" s="65"/>
      <c r="O26" s="64"/>
      <c r="P26" s="66"/>
    </row>
    <row r="27" s="1" customFormat="1" ht="18" customHeight="1" spans="1:16">
      <c r="A27" s="31"/>
      <c r="B27" s="32">
        <f t="shared" si="4"/>
        <v>0</v>
      </c>
      <c r="C27" s="33"/>
      <c r="D27" s="34"/>
      <c r="E27" s="35"/>
      <c r="F27" s="32">
        <f t="shared" si="5"/>
        <v>0</v>
      </c>
      <c r="G27" s="23"/>
      <c r="H27" s="20">
        <v>43494</v>
      </c>
      <c r="I27" s="12">
        <v>55787.6</v>
      </c>
      <c r="J27" s="61" t="s">
        <v>23</v>
      </c>
      <c r="K27" s="69" t="s">
        <v>52</v>
      </c>
      <c r="L27" s="69" t="s">
        <v>53</v>
      </c>
      <c r="M27" s="65"/>
      <c r="N27" s="65"/>
      <c r="O27" s="64"/>
      <c r="P27" s="66"/>
    </row>
    <row r="28" s="1" customFormat="1" ht="18" customHeight="1" spans="1:16">
      <c r="A28" s="41">
        <v>43497</v>
      </c>
      <c r="B28" s="32">
        <f t="shared" si="4"/>
        <v>1028276.8</v>
      </c>
      <c r="C28" s="42"/>
      <c r="D28" s="43" t="s">
        <v>54</v>
      </c>
      <c r="E28" s="44"/>
      <c r="F28" s="54">
        <f t="shared" si="5"/>
        <v>0</v>
      </c>
      <c r="G28" s="32">
        <v>1028276.8</v>
      </c>
      <c r="H28" s="46">
        <v>43528</v>
      </c>
      <c r="I28" s="32">
        <v>1028276.8</v>
      </c>
      <c r="J28" s="70" t="s">
        <v>23</v>
      </c>
      <c r="K28" s="71" t="s">
        <v>55</v>
      </c>
      <c r="L28" s="71" t="s">
        <v>56</v>
      </c>
      <c r="M28" s="65" t="s">
        <v>41</v>
      </c>
      <c r="N28" s="65"/>
      <c r="O28" s="72" t="s">
        <v>57</v>
      </c>
      <c r="P28" s="66">
        <v>1028276.8</v>
      </c>
    </row>
    <row r="29" s="1" customFormat="1" ht="18" customHeight="1" spans="1:16">
      <c r="A29" s="41">
        <v>43498</v>
      </c>
      <c r="B29" s="32">
        <f t="shared" si="4"/>
        <v>1987611.75</v>
      </c>
      <c r="C29" s="42"/>
      <c r="D29" s="43" t="s">
        <v>54</v>
      </c>
      <c r="E29" s="44"/>
      <c r="F29" s="54">
        <f t="shared" si="5"/>
        <v>0</v>
      </c>
      <c r="G29" s="32">
        <v>1987611.75</v>
      </c>
      <c r="H29" s="46">
        <v>43531</v>
      </c>
      <c r="I29" s="32">
        <v>1987611.75</v>
      </c>
      <c r="J29" s="70" t="s">
        <v>23</v>
      </c>
      <c r="K29" s="71" t="s">
        <v>55</v>
      </c>
      <c r="L29" s="71" t="s">
        <v>58</v>
      </c>
      <c r="M29" s="65" t="s">
        <v>41</v>
      </c>
      <c r="N29" s="65"/>
      <c r="O29" s="72" t="s">
        <v>57</v>
      </c>
      <c r="P29" s="66">
        <v>1021570.15</v>
      </c>
    </row>
    <row r="30" s="1" customFormat="1" ht="18" customHeight="1" spans="1:16">
      <c r="A30" s="41">
        <v>43499</v>
      </c>
      <c r="B30" s="32">
        <f t="shared" si="4"/>
        <v>0</v>
      </c>
      <c r="C30" s="42"/>
      <c r="D30" s="43" t="s">
        <v>54</v>
      </c>
      <c r="E30" s="44"/>
      <c r="F30" s="54">
        <f t="shared" si="5"/>
        <v>0</v>
      </c>
      <c r="G30" s="47"/>
      <c r="H30" s="46"/>
      <c r="I30" s="54"/>
      <c r="J30" s="70"/>
      <c r="K30" s="71" t="s">
        <v>55</v>
      </c>
      <c r="L30" s="71" t="s">
        <v>59</v>
      </c>
      <c r="M30" s="65"/>
      <c r="N30" s="65"/>
      <c r="O30" s="72" t="s">
        <v>57</v>
      </c>
      <c r="P30" s="66">
        <v>966041.6</v>
      </c>
    </row>
    <row r="31" s="1" customFormat="1" ht="18" customHeight="1" spans="1:16">
      <c r="A31" s="31">
        <v>43525</v>
      </c>
      <c r="B31" s="32">
        <f t="shared" si="4"/>
        <v>1336300</v>
      </c>
      <c r="C31" s="33"/>
      <c r="D31" s="34" t="s">
        <v>54</v>
      </c>
      <c r="E31" s="35"/>
      <c r="F31" s="32">
        <f t="shared" si="5"/>
        <v>0</v>
      </c>
      <c r="G31" s="23">
        <v>1336300</v>
      </c>
      <c r="H31" s="20">
        <v>43549</v>
      </c>
      <c r="I31" s="12">
        <v>851040.85</v>
      </c>
      <c r="J31" s="61" t="s">
        <v>23</v>
      </c>
      <c r="K31" s="69" t="s">
        <v>60</v>
      </c>
      <c r="L31" s="69" t="s">
        <v>61</v>
      </c>
      <c r="M31" s="65"/>
      <c r="N31" s="65"/>
      <c r="O31" s="64"/>
      <c r="P31" s="66"/>
    </row>
    <row r="32" s="1" customFormat="1" ht="18" customHeight="1" spans="1:17">
      <c r="A32" s="31"/>
      <c r="B32" s="32">
        <f t="shared" si="4"/>
        <v>0</v>
      </c>
      <c r="C32" s="33"/>
      <c r="D32" s="34"/>
      <c r="E32" s="35"/>
      <c r="F32" s="32">
        <f t="shared" si="5"/>
        <v>0</v>
      </c>
      <c r="G32" s="23"/>
      <c r="H32" s="20">
        <v>43563</v>
      </c>
      <c r="I32" s="73">
        <v>304741.64</v>
      </c>
      <c r="J32" s="61" t="s">
        <v>23</v>
      </c>
      <c r="K32" s="69" t="s">
        <v>60</v>
      </c>
      <c r="L32" s="69" t="s">
        <v>61</v>
      </c>
      <c r="M32" s="65" t="s">
        <v>41</v>
      </c>
      <c r="N32" s="65"/>
      <c r="O32" s="64"/>
      <c r="P32" s="66">
        <f>P28+P29+P30</f>
        <v>3015888.55</v>
      </c>
      <c r="Q32" s="1">
        <f>P32*0.25</f>
        <v>753972.1375</v>
      </c>
    </row>
    <row r="33" s="1" customFormat="1" ht="18" customHeight="1" spans="1:16">
      <c r="A33" s="31"/>
      <c r="B33" s="32">
        <f t="shared" si="4"/>
        <v>0</v>
      </c>
      <c r="C33" s="33"/>
      <c r="D33" s="34"/>
      <c r="E33" s="35"/>
      <c r="F33" s="32">
        <f t="shared" si="5"/>
        <v>0</v>
      </c>
      <c r="G33" s="23"/>
      <c r="H33" s="20">
        <v>43563</v>
      </c>
      <c r="I33" s="12">
        <v>-304741.64</v>
      </c>
      <c r="J33" s="61" t="s">
        <v>50</v>
      </c>
      <c r="K33" s="74" t="s">
        <v>51</v>
      </c>
      <c r="L33" s="69"/>
      <c r="M33" s="65"/>
      <c r="N33" s="65"/>
      <c r="O33" s="64"/>
      <c r="P33" s="66">
        <v>3020000</v>
      </c>
    </row>
    <row r="34" s="1" customFormat="1" ht="18" customHeight="1" spans="1:16">
      <c r="A34" s="31">
        <v>43586</v>
      </c>
      <c r="B34" s="32">
        <f t="shared" si="4"/>
        <v>97087.38</v>
      </c>
      <c r="C34" s="33"/>
      <c r="D34" s="34" t="s">
        <v>38</v>
      </c>
      <c r="E34" s="35">
        <v>0.03</v>
      </c>
      <c r="F34" s="32">
        <f t="shared" si="5"/>
        <v>2912.62</v>
      </c>
      <c r="G34" s="23">
        <v>100000</v>
      </c>
      <c r="H34" s="20">
        <v>43669</v>
      </c>
      <c r="I34" s="12">
        <v>100000</v>
      </c>
      <c r="J34" s="61" t="s">
        <v>23</v>
      </c>
      <c r="K34" s="74" t="s">
        <v>39</v>
      </c>
      <c r="L34" s="64" t="s">
        <v>44</v>
      </c>
      <c r="M34" s="65"/>
      <c r="N34" s="65"/>
      <c r="O34" s="64"/>
      <c r="P34" s="66"/>
    </row>
    <row r="35" ht="18" customHeight="1" spans="1:15">
      <c r="A35" s="48">
        <v>43647</v>
      </c>
      <c r="B35" s="12">
        <f t="shared" si="4"/>
        <v>2230973.45</v>
      </c>
      <c r="C35" s="49"/>
      <c r="D35" s="50" t="s">
        <v>38</v>
      </c>
      <c r="E35" s="51">
        <v>0.13</v>
      </c>
      <c r="F35" s="12">
        <f t="shared" si="5"/>
        <v>290026.55</v>
      </c>
      <c r="G35" s="52">
        <f>109600*22+109800</f>
        <v>2521000</v>
      </c>
      <c r="H35" s="20">
        <v>43669</v>
      </c>
      <c r="I35" s="12">
        <f>109600*22+109800</f>
        <v>2521000</v>
      </c>
      <c r="J35" s="61" t="s">
        <v>23</v>
      </c>
      <c r="K35" s="75" t="s">
        <v>62</v>
      </c>
      <c r="L35" s="29" t="s">
        <v>63</v>
      </c>
      <c r="M35" s="61" t="s">
        <v>41</v>
      </c>
      <c r="N35" s="61" t="s">
        <v>41</v>
      </c>
      <c r="O35" s="29"/>
    </row>
    <row r="36" customFormat="1" ht="18" customHeight="1" spans="1:16">
      <c r="A36" s="48">
        <v>43678</v>
      </c>
      <c r="B36" s="12">
        <f t="shared" si="4"/>
        <v>286407.77</v>
      </c>
      <c r="C36" s="49"/>
      <c r="D36" s="50" t="s">
        <v>38</v>
      </c>
      <c r="E36" s="53">
        <v>0.03</v>
      </c>
      <c r="F36" s="12">
        <f t="shared" si="5"/>
        <v>8592.23</v>
      </c>
      <c r="G36" s="52">
        <v>295000</v>
      </c>
      <c r="H36" s="20"/>
      <c r="I36" s="12"/>
      <c r="J36" s="61"/>
      <c r="K36" s="75" t="s">
        <v>39</v>
      </c>
      <c r="L36" s="29" t="s">
        <v>40</v>
      </c>
      <c r="M36" s="61"/>
      <c r="N36" s="61"/>
      <c r="O36" s="29"/>
      <c r="P36" s="76"/>
    </row>
    <row r="37" customFormat="1" ht="18" customHeight="1" spans="1:16">
      <c r="A37" s="48"/>
      <c r="B37" s="12">
        <f t="shared" si="4"/>
        <v>0</v>
      </c>
      <c r="C37" s="49"/>
      <c r="D37" s="50"/>
      <c r="E37" s="51"/>
      <c r="F37" s="12">
        <f t="shared" si="5"/>
        <v>0</v>
      </c>
      <c r="G37" s="52"/>
      <c r="H37" s="20">
        <v>43696</v>
      </c>
      <c r="I37" s="12">
        <v>295000</v>
      </c>
      <c r="J37" s="61" t="s">
        <v>23</v>
      </c>
      <c r="K37" s="75" t="s">
        <v>39</v>
      </c>
      <c r="L37" s="29" t="s">
        <v>40</v>
      </c>
      <c r="M37" s="61"/>
      <c r="N37" s="61"/>
      <c r="O37" s="29"/>
      <c r="P37" s="76"/>
    </row>
    <row r="38" customFormat="1" ht="18" customHeight="1" spans="1:16">
      <c r="A38" s="48">
        <v>43800</v>
      </c>
      <c r="B38" s="12">
        <f t="shared" si="4"/>
        <v>2652690.27</v>
      </c>
      <c r="C38" s="49"/>
      <c r="D38" s="50" t="s">
        <v>38</v>
      </c>
      <c r="E38" s="51">
        <v>0.13</v>
      </c>
      <c r="F38" s="12">
        <f t="shared" si="5"/>
        <v>344849.73</v>
      </c>
      <c r="G38" s="52">
        <v>2997540</v>
      </c>
      <c r="H38" s="20">
        <v>43830</v>
      </c>
      <c r="I38" s="12">
        <v>2820066.65</v>
      </c>
      <c r="J38" s="61" t="s">
        <v>23</v>
      </c>
      <c r="K38" s="75" t="s">
        <v>64</v>
      </c>
      <c r="L38" s="29" t="s">
        <v>65</v>
      </c>
      <c r="M38" s="61" t="s">
        <v>41</v>
      </c>
      <c r="N38" s="61" t="s">
        <v>41</v>
      </c>
      <c r="O38" s="29"/>
      <c r="P38" s="76"/>
    </row>
    <row r="39" customFormat="1" ht="18" customHeight="1" spans="1:16">
      <c r="A39" s="48">
        <v>43891</v>
      </c>
      <c r="B39" s="12">
        <f t="shared" si="4"/>
        <v>2921519.47</v>
      </c>
      <c r="C39" s="49"/>
      <c r="D39" s="50" t="s">
        <v>38</v>
      </c>
      <c r="E39" s="51">
        <v>0.13</v>
      </c>
      <c r="F39" s="12">
        <f t="shared" si="5"/>
        <v>379797.53</v>
      </c>
      <c r="G39" s="133">
        <v>3301317</v>
      </c>
      <c r="H39" s="20"/>
      <c r="I39" s="12"/>
      <c r="J39" s="61"/>
      <c r="K39" s="75" t="s">
        <v>66</v>
      </c>
      <c r="L39" s="29" t="s">
        <v>67</v>
      </c>
      <c r="M39" s="61"/>
      <c r="N39" s="61"/>
      <c r="O39" s="29"/>
      <c r="P39" s="76"/>
    </row>
    <row r="40" customFormat="1" ht="18" customHeight="1" spans="1:16">
      <c r="A40" s="48"/>
      <c r="B40" s="12">
        <f t="shared" si="4"/>
        <v>0</v>
      </c>
      <c r="C40" s="49"/>
      <c r="D40" s="50"/>
      <c r="E40" s="51"/>
      <c r="F40" s="12">
        <f t="shared" si="5"/>
        <v>0</v>
      </c>
      <c r="G40" s="52"/>
      <c r="H40" s="20">
        <v>43921</v>
      </c>
      <c r="I40" s="12">
        <v>3301317</v>
      </c>
      <c r="J40" s="61" t="s">
        <v>23</v>
      </c>
      <c r="K40" s="75" t="s">
        <v>66</v>
      </c>
      <c r="L40" s="29"/>
      <c r="M40" s="61"/>
      <c r="N40" s="61"/>
      <c r="O40" s="29"/>
      <c r="P40" s="76"/>
    </row>
    <row r="41" customFormat="1" ht="18" customHeight="1" spans="1:16">
      <c r="A41" s="48"/>
      <c r="B41" s="12">
        <f t="shared" si="4"/>
        <v>0</v>
      </c>
      <c r="C41" s="49"/>
      <c r="D41" s="50"/>
      <c r="E41" s="51"/>
      <c r="F41" s="12">
        <f t="shared" si="5"/>
        <v>0</v>
      </c>
      <c r="G41" s="52"/>
      <c r="H41" s="20">
        <v>43964</v>
      </c>
      <c r="I41" s="12">
        <v>644091.64</v>
      </c>
      <c r="J41" s="61" t="s">
        <v>50</v>
      </c>
      <c r="K41" s="75" t="s">
        <v>68</v>
      </c>
      <c r="L41" s="29"/>
      <c r="M41" s="61"/>
      <c r="N41" s="61"/>
      <c r="O41" s="29"/>
      <c r="P41" s="76"/>
    </row>
    <row r="42" customFormat="1" ht="18" customHeight="1" spans="1:16">
      <c r="A42" s="48">
        <v>43952</v>
      </c>
      <c r="B42" s="12">
        <v>299520</v>
      </c>
      <c r="C42" s="49">
        <v>3</v>
      </c>
      <c r="D42" s="50" t="s">
        <v>45</v>
      </c>
      <c r="E42" s="51"/>
      <c r="F42" s="12"/>
      <c r="G42" s="52">
        <f>99840+99840+99840</f>
        <v>299520</v>
      </c>
      <c r="H42" s="20"/>
      <c r="I42" s="12"/>
      <c r="J42" s="61"/>
      <c r="K42" s="75" t="s">
        <v>124</v>
      </c>
      <c r="L42" s="29" t="s">
        <v>125</v>
      </c>
      <c r="M42" s="70" t="s">
        <v>126</v>
      </c>
      <c r="N42" s="70" t="s">
        <v>126</v>
      </c>
      <c r="O42" s="29"/>
      <c r="P42" s="76"/>
    </row>
    <row r="43" customFormat="1" ht="18" customHeight="1" spans="1:16">
      <c r="A43" s="48">
        <v>43952</v>
      </c>
      <c r="B43" s="12">
        <v>299520</v>
      </c>
      <c r="C43" s="49">
        <v>3</v>
      </c>
      <c r="D43" s="50" t="s">
        <v>45</v>
      </c>
      <c r="E43" s="51"/>
      <c r="F43" s="12"/>
      <c r="G43" s="52">
        <f>99840+99840+99840</f>
        <v>299520</v>
      </c>
      <c r="H43" s="20"/>
      <c r="I43" s="12"/>
      <c r="J43" s="61"/>
      <c r="K43" s="75" t="s">
        <v>127</v>
      </c>
      <c r="L43" s="29" t="s">
        <v>125</v>
      </c>
      <c r="M43" s="70" t="s">
        <v>126</v>
      </c>
      <c r="N43" s="70" t="s">
        <v>126</v>
      </c>
      <c r="O43" s="29"/>
      <c r="P43" s="76"/>
    </row>
    <row r="44" customFormat="1" ht="18" customHeight="1" spans="1:16">
      <c r="A44" s="48">
        <v>43952</v>
      </c>
      <c r="B44" s="12">
        <v>299520</v>
      </c>
      <c r="C44" s="49">
        <v>3</v>
      </c>
      <c r="D44" s="50" t="s">
        <v>45</v>
      </c>
      <c r="E44" s="51"/>
      <c r="F44" s="12"/>
      <c r="G44" s="52">
        <f>99840+99840+99840</f>
        <v>299520</v>
      </c>
      <c r="H44" s="20"/>
      <c r="I44" s="12"/>
      <c r="J44" s="61"/>
      <c r="K44" s="75" t="s">
        <v>128</v>
      </c>
      <c r="L44" s="29" t="s">
        <v>125</v>
      </c>
      <c r="M44" s="70" t="s">
        <v>126</v>
      </c>
      <c r="N44" s="70" t="s">
        <v>126</v>
      </c>
      <c r="O44" s="29"/>
      <c r="P44" s="76"/>
    </row>
    <row r="45" customFormat="1" ht="18" customHeight="1" spans="1:16">
      <c r="A45" s="48">
        <v>43952</v>
      </c>
      <c r="B45" s="12">
        <v>299520</v>
      </c>
      <c r="C45" s="49">
        <v>3</v>
      </c>
      <c r="D45" s="50" t="s">
        <v>45</v>
      </c>
      <c r="E45" s="51"/>
      <c r="F45" s="12"/>
      <c r="G45" s="52">
        <f>99840+99840+99840</f>
        <v>299520</v>
      </c>
      <c r="H45" s="20"/>
      <c r="I45" s="12"/>
      <c r="J45" s="61"/>
      <c r="K45" s="75" t="s">
        <v>129</v>
      </c>
      <c r="L45" s="29" t="s">
        <v>125</v>
      </c>
      <c r="M45" s="70" t="s">
        <v>126</v>
      </c>
      <c r="N45" s="70" t="s">
        <v>126</v>
      </c>
      <c r="O45" s="29"/>
      <c r="P45" s="76"/>
    </row>
    <row r="46" customFormat="1" ht="18" customHeight="1" spans="1:16">
      <c r="A46" s="48">
        <v>43952</v>
      </c>
      <c r="B46" s="12">
        <v>299520</v>
      </c>
      <c r="C46" s="49">
        <v>4</v>
      </c>
      <c r="D46" s="50" t="s">
        <v>45</v>
      </c>
      <c r="E46" s="51"/>
      <c r="F46" s="12"/>
      <c r="G46" s="52">
        <f>99840*3+4960</f>
        <v>304480</v>
      </c>
      <c r="H46" s="20"/>
      <c r="I46" s="12"/>
      <c r="J46" s="61"/>
      <c r="K46" s="75" t="s">
        <v>130</v>
      </c>
      <c r="L46" s="29" t="s">
        <v>125</v>
      </c>
      <c r="M46" s="70" t="s">
        <v>126</v>
      </c>
      <c r="N46" s="70" t="s">
        <v>126</v>
      </c>
      <c r="O46" s="29"/>
      <c r="P46" s="76"/>
    </row>
    <row r="47" customFormat="1" ht="18" customHeight="1" spans="1:16">
      <c r="A47" s="48">
        <v>43952</v>
      </c>
      <c r="B47" s="12">
        <v>304480</v>
      </c>
      <c r="C47" s="49">
        <v>4</v>
      </c>
      <c r="D47" s="50" t="s">
        <v>45</v>
      </c>
      <c r="E47" s="51"/>
      <c r="F47" s="12"/>
      <c r="G47" s="52">
        <f>99840*3+4960</f>
        <v>304480</v>
      </c>
      <c r="H47" s="20"/>
      <c r="I47" s="12"/>
      <c r="J47" s="61"/>
      <c r="K47" s="75" t="s">
        <v>131</v>
      </c>
      <c r="L47" s="29" t="s">
        <v>125</v>
      </c>
      <c r="M47" s="70" t="s">
        <v>126</v>
      </c>
      <c r="N47" s="70" t="s">
        <v>126</v>
      </c>
      <c r="O47" s="29"/>
      <c r="P47" s="76"/>
    </row>
    <row r="48" customFormat="1" ht="18" customHeight="1" spans="1:16">
      <c r="A48" s="48">
        <v>43952</v>
      </c>
      <c r="B48" s="12">
        <v>299520</v>
      </c>
      <c r="C48" s="49">
        <v>3</v>
      </c>
      <c r="D48" s="50" t="s">
        <v>45</v>
      </c>
      <c r="E48" s="51"/>
      <c r="F48" s="12"/>
      <c r="G48" s="52">
        <f>99840*3</f>
        <v>299520</v>
      </c>
      <c r="H48" s="20"/>
      <c r="I48" s="12"/>
      <c r="J48" s="61"/>
      <c r="K48" s="75" t="s">
        <v>132</v>
      </c>
      <c r="L48" s="29" t="s">
        <v>125</v>
      </c>
      <c r="M48" s="70" t="s">
        <v>126</v>
      </c>
      <c r="N48" s="70" t="s">
        <v>126</v>
      </c>
      <c r="O48" s="29"/>
      <c r="P48" s="76"/>
    </row>
    <row r="49" customFormat="1" ht="18" customHeight="1" spans="1:16">
      <c r="A49" s="48">
        <v>43952</v>
      </c>
      <c r="B49" s="12">
        <v>304480</v>
      </c>
      <c r="C49" s="49">
        <v>4</v>
      </c>
      <c r="D49" s="50" t="s">
        <v>45</v>
      </c>
      <c r="E49" s="51"/>
      <c r="F49" s="12"/>
      <c r="G49" s="52">
        <f>99840*3+4960</f>
        <v>304480</v>
      </c>
      <c r="H49" s="20"/>
      <c r="I49" s="12"/>
      <c r="J49" s="61"/>
      <c r="K49" s="75" t="s">
        <v>133</v>
      </c>
      <c r="L49" s="29" t="s">
        <v>125</v>
      </c>
      <c r="M49" s="70" t="s">
        <v>126</v>
      </c>
      <c r="N49" s="70" t="s">
        <v>126</v>
      </c>
      <c r="O49" s="29"/>
      <c r="P49" s="76"/>
    </row>
    <row r="50" customFormat="1" ht="18" customHeight="1" spans="1:16">
      <c r="A50" s="48">
        <v>43952</v>
      </c>
      <c r="B50" s="12">
        <v>299520</v>
      </c>
      <c r="C50" s="49">
        <v>3</v>
      </c>
      <c r="D50" s="50" t="s">
        <v>45</v>
      </c>
      <c r="E50" s="51"/>
      <c r="F50" s="12"/>
      <c r="G50" s="52">
        <f>99840+99840+99840</f>
        <v>299520</v>
      </c>
      <c r="H50" s="20"/>
      <c r="I50" s="12"/>
      <c r="J50" s="61"/>
      <c r="K50" s="75" t="s">
        <v>134</v>
      </c>
      <c r="L50" s="29" t="s">
        <v>125</v>
      </c>
      <c r="M50" s="70" t="s">
        <v>126</v>
      </c>
      <c r="N50" s="70" t="s">
        <v>126</v>
      </c>
      <c r="O50" s="29"/>
      <c r="P50" s="76"/>
    </row>
    <row r="51" customFormat="1" ht="18" customHeight="1" spans="1:16">
      <c r="A51" s="48">
        <v>43952</v>
      </c>
      <c r="B51" s="12">
        <v>299520</v>
      </c>
      <c r="C51" s="49">
        <v>3</v>
      </c>
      <c r="D51" s="50" t="s">
        <v>45</v>
      </c>
      <c r="E51" s="51"/>
      <c r="F51" s="12"/>
      <c r="G51" s="52">
        <f>99840+99840+99840</f>
        <v>299520</v>
      </c>
      <c r="H51" s="20"/>
      <c r="I51" s="12"/>
      <c r="J51" s="61"/>
      <c r="K51" s="75" t="s">
        <v>135</v>
      </c>
      <c r="L51" s="29" t="s">
        <v>125</v>
      </c>
      <c r="M51" s="70" t="s">
        <v>126</v>
      </c>
      <c r="N51" s="70" t="s">
        <v>126</v>
      </c>
      <c r="O51" s="29"/>
      <c r="P51" s="76"/>
    </row>
    <row r="52" customFormat="1" ht="18" customHeight="1" spans="1:16">
      <c r="A52" s="48">
        <v>43952</v>
      </c>
      <c r="B52" s="12">
        <f t="shared" si="4"/>
        <v>619513.27</v>
      </c>
      <c r="C52" s="49"/>
      <c r="D52" s="50" t="s">
        <v>38</v>
      </c>
      <c r="E52" s="51">
        <v>0.13</v>
      </c>
      <c r="F52" s="12">
        <f t="shared" si="5"/>
        <v>80536.73</v>
      </c>
      <c r="G52" s="52">
        <v>700050</v>
      </c>
      <c r="H52" s="55">
        <v>43985</v>
      </c>
      <c r="I52" s="82">
        <v>700050</v>
      </c>
      <c r="J52" s="83" t="s">
        <v>23</v>
      </c>
      <c r="K52" s="84" t="s">
        <v>69</v>
      </c>
      <c r="L52" s="29" t="s">
        <v>70</v>
      </c>
      <c r="M52" s="61" t="s">
        <v>41</v>
      </c>
      <c r="N52" s="61" t="s">
        <v>41</v>
      </c>
      <c r="O52" s="29"/>
      <c r="P52" s="76"/>
    </row>
    <row r="53" customFormat="1" ht="18" customHeight="1" spans="1:16">
      <c r="A53" s="48">
        <v>44013</v>
      </c>
      <c r="B53" s="12">
        <f t="shared" si="4"/>
        <v>1771646.02</v>
      </c>
      <c r="C53" s="49"/>
      <c r="D53" s="50" t="s">
        <v>38</v>
      </c>
      <c r="E53" s="51">
        <v>0.13</v>
      </c>
      <c r="F53" s="12">
        <f t="shared" si="5"/>
        <v>230313.98</v>
      </c>
      <c r="G53" s="52">
        <f>1005960+996000</f>
        <v>2001960</v>
      </c>
      <c r="H53" s="55">
        <v>44063</v>
      </c>
      <c r="I53" s="82">
        <v>150000</v>
      </c>
      <c r="J53" s="83" t="s">
        <v>23</v>
      </c>
      <c r="K53" s="84" t="s">
        <v>64</v>
      </c>
      <c r="L53" s="29" t="s">
        <v>121</v>
      </c>
      <c r="M53" s="61" t="s">
        <v>41</v>
      </c>
      <c r="N53" s="61" t="s">
        <v>41</v>
      </c>
      <c r="O53" s="29"/>
      <c r="P53" s="76"/>
    </row>
    <row r="54" customFormat="1" ht="18" customHeight="1" spans="1:16">
      <c r="A54" s="48">
        <v>44075</v>
      </c>
      <c r="B54" s="12">
        <f t="shared" si="4"/>
        <v>1456310.68</v>
      </c>
      <c r="C54" s="49"/>
      <c r="D54" s="50" t="s">
        <v>38</v>
      </c>
      <c r="E54" s="53">
        <v>0.03</v>
      </c>
      <c r="F54" s="12">
        <f t="shared" si="5"/>
        <v>43689.32</v>
      </c>
      <c r="G54" s="52">
        <v>1500000</v>
      </c>
      <c r="H54" s="55">
        <v>44082</v>
      </c>
      <c r="I54" s="22">
        <v>1500000</v>
      </c>
      <c r="J54" s="85" t="s">
        <v>23</v>
      </c>
      <c r="K54" s="86" t="s">
        <v>136</v>
      </c>
      <c r="L54" s="29" t="s">
        <v>137</v>
      </c>
      <c r="M54" s="61"/>
      <c r="N54" s="61"/>
      <c r="O54" s="29"/>
      <c r="P54" s="76"/>
    </row>
    <row r="55" customFormat="1" ht="18" customHeight="1" spans="1:16">
      <c r="A55" s="48"/>
      <c r="B55" s="12">
        <f t="shared" si="4"/>
        <v>0</v>
      </c>
      <c r="C55" s="49"/>
      <c r="D55" s="50"/>
      <c r="E55" s="51"/>
      <c r="F55" s="12">
        <f t="shared" si="5"/>
        <v>0</v>
      </c>
      <c r="G55" s="52"/>
      <c r="H55" s="55">
        <v>44084</v>
      </c>
      <c r="I55" s="22">
        <v>490000</v>
      </c>
      <c r="J55" s="85" t="s">
        <v>23</v>
      </c>
      <c r="K55" s="86" t="s">
        <v>64</v>
      </c>
      <c r="L55" s="29"/>
      <c r="M55" s="61"/>
      <c r="N55" s="61"/>
      <c r="O55" s="29"/>
      <c r="P55" s="76"/>
    </row>
    <row r="56" customFormat="1" ht="18" customHeight="1" spans="1:16">
      <c r="A56" s="48"/>
      <c r="B56" s="12">
        <f t="shared" si="4"/>
        <v>0</v>
      </c>
      <c r="C56" s="49"/>
      <c r="D56" s="50"/>
      <c r="E56" s="53">
        <v>0.03</v>
      </c>
      <c r="F56" s="12">
        <f t="shared" si="5"/>
        <v>0</v>
      </c>
      <c r="G56" s="52"/>
      <c r="H56" s="134">
        <v>44103</v>
      </c>
      <c r="I56" s="133">
        <v>720000</v>
      </c>
      <c r="J56" s="135" t="s">
        <v>23</v>
      </c>
      <c r="K56" s="161" t="s">
        <v>69</v>
      </c>
      <c r="L56" s="29"/>
      <c r="M56" s="61"/>
      <c r="N56" s="61"/>
      <c r="O56" s="29"/>
      <c r="P56" s="76"/>
    </row>
    <row r="57" customFormat="1" ht="18" customHeight="1" spans="1:16">
      <c r="A57" s="48">
        <v>44105</v>
      </c>
      <c r="B57" s="12">
        <f t="shared" si="4"/>
        <v>1456310.68</v>
      </c>
      <c r="C57" s="49">
        <v>15</v>
      </c>
      <c r="D57" s="50" t="s">
        <v>38</v>
      </c>
      <c r="E57" s="53">
        <v>0.03</v>
      </c>
      <c r="F57" s="12">
        <f t="shared" si="5"/>
        <v>43689.32</v>
      </c>
      <c r="G57" s="52">
        <v>1500000</v>
      </c>
      <c r="H57" s="55"/>
      <c r="I57" s="22"/>
      <c r="J57" s="85"/>
      <c r="K57" s="86" t="s">
        <v>136</v>
      </c>
      <c r="L57" s="29" t="s">
        <v>137</v>
      </c>
      <c r="M57" s="61"/>
      <c r="N57" s="61"/>
      <c r="O57" s="29"/>
      <c r="P57" s="76"/>
    </row>
    <row r="58" customFormat="1" ht="18" customHeight="1" spans="1:16">
      <c r="A58" s="48"/>
      <c r="B58" s="12"/>
      <c r="C58" s="49"/>
      <c r="D58" s="50"/>
      <c r="E58" s="51"/>
      <c r="F58" s="12"/>
      <c r="G58" s="52"/>
      <c r="H58" s="55"/>
      <c r="I58" s="22"/>
      <c r="J58" s="85"/>
      <c r="K58" s="86"/>
      <c r="L58" s="29"/>
      <c r="M58" s="61"/>
      <c r="N58" s="61"/>
      <c r="O58" s="29"/>
      <c r="P58" s="76"/>
    </row>
    <row r="59" customFormat="1" ht="18" customHeight="1" spans="1:16">
      <c r="A59" s="48"/>
      <c r="B59" s="12"/>
      <c r="C59" s="49"/>
      <c r="D59" s="50"/>
      <c r="E59" s="51"/>
      <c r="F59" s="12"/>
      <c r="G59" s="52"/>
      <c r="H59" s="55"/>
      <c r="I59" s="22"/>
      <c r="J59" s="85"/>
      <c r="K59" s="86"/>
      <c r="L59" s="29"/>
      <c r="M59" s="61"/>
      <c r="N59" s="61"/>
      <c r="O59" s="29"/>
      <c r="P59" s="76"/>
    </row>
    <row r="60" customFormat="1" ht="18" customHeight="1" spans="1:16">
      <c r="A60" s="48"/>
      <c r="B60" s="12"/>
      <c r="C60" s="49"/>
      <c r="D60" s="50"/>
      <c r="E60" s="51"/>
      <c r="F60" s="12"/>
      <c r="G60" s="52"/>
      <c r="H60" s="55"/>
      <c r="I60" s="22"/>
      <c r="J60" s="85"/>
      <c r="K60" s="86"/>
      <c r="L60" s="29"/>
      <c r="M60" s="61"/>
      <c r="N60" s="61"/>
      <c r="O60" s="29"/>
      <c r="P60" s="76"/>
    </row>
    <row r="61" customFormat="1" ht="18" customHeight="1" spans="1:16">
      <c r="A61" s="48"/>
      <c r="B61" s="12">
        <f t="shared" ref="B61:B76" si="6">ROUND(G61/(1+E61),2)</f>
        <v>0</v>
      </c>
      <c r="C61" s="49"/>
      <c r="D61" s="50"/>
      <c r="E61" s="51"/>
      <c r="F61" s="12">
        <f t="shared" ref="F61:F76" si="7">ROUND(G61/(1+E61)*E61,2)</f>
        <v>0</v>
      </c>
      <c r="G61" s="52"/>
      <c r="H61" s="134">
        <v>44103</v>
      </c>
      <c r="I61" s="133">
        <v>100</v>
      </c>
      <c r="J61" s="135" t="s">
        <v>71</v>
      </c>
      <c r="K61" s="136" t="s">
        <v>72</v>
      </c>
      <c r="L61" s="29"/>
      <c r="M61" s="61"/>
      <c r="N61" s="61"/>
      <c r="O61" s="29"/>
      <c r="P61" s="76"/>
    </row>
    <row r="62" customFormat="1" ht="18" customHeight="1" spans="1:16">
      <c r="A62" s="48"/>
      <c r="B62" s="12">
        <f t="shared" si="6"/>
        <v>0</v>
      </c>
      <c r="C62" s="49"/>
      <c r="D62" s="50"/>
      <c r="E62" s="51"/>
      <c r="F62" s="12">
        <f t="shared" si="7"/>
        <v>0</v>
      </c>
      <c r="G62" s="52"/>
      <c r="H62" s="134">
        <v>44103</v>
      </c>
      <c r="I62" s="133">
        <v>-717972</v>
      </c>
      <c r="J62" s="135" t="s">
        <v>73</v>
      </c>
      <c r="K62" s="162" t="s">
        <v>141</v>
      </c>
      <c r="L62" s="29"/>
      <c r="M62" s="61"/>
      <c r="N62" s="61"/>
      <c r="O62" s="29"/>
      <c r="P62" s="76"/>
    </row>
    <row r="63" customFormat="1" ht="18" customHeight="1" spans="1:16">
      <c r="A63" s="48"/>
      <c r="B63" s="12">
        <f t="shared" si="6"/>
        <v>0</v>
      </c>
      <c r="C63" s="49"/>
      <c r="D63" s="50"/>
      <c r="E63" s="51"/>
      <c r="F63" s="12">
        <f t="shared" si="7"/>
        <v>0</v>
      </c>
      <c r="G63" s="52"/>
      <c r="H63" s="56" t="s">
        <v>138</v>
      </c>
      <c r="I63" s="22">
        <v>265729</v>
      </c>
      <c r="J63" s="85" t="s">
        <v>80</v>
      </c>
      <c r="K63" s="86" t="s">
        <v>139</v>
      </c>
      <c r="L63" s="29"/>
      <c r="M63" s="61"/>
      <c r="N63" s="61"/>
      <c r="O63" s="29"/>
      <c r="P63" s="76"/>
    </row>
    <row r="64" customFormat="1" ht="18" customHeight="1" spans="1:16">
      <c r="A64" s="48"/>
      <c r="B64" s="12">
        <f t="shared" si="6"/>
        <v>13717.66</v>
      </c>
      <c r="C64" s="49"/>
      <c r="D64" s="50"/>
      <c r="E64" s="51"/>
      <c r="F64" s="12">
        <f t="shared" si="7"/>
        <v>0</v>
      </c>
      <c r="G64" s="52">
        <f>I64</f>
        <v>13717.66</v>
      </c>
      <c r="H64" s="56" t="s">
        <v>140</v>
      </c>
      <c r="I64" s="22">
        <v>13717.66</v>
      </c>
      <c r="J64" s="85" t="s">
        <v>71</v>
      </c>
      <c r="K64" s="86" t="s">
        <v>78</v>
      </c>
      <c r="L64" s="29"/>
      <c r="M64" s="61"/>
      <c r="N64" s="61"/>
      <c r="O64" s="29"/>
      <c r="P64" s="76"/>
    </row>
    <row r="65" customFormat="1" ht="18" customHeight="1" spans="1:16">
      <c r="A65" s="48"/>
      <c r="B65" s="12">
        <f t="shared" si="6"/>
        <v>0</v>
      </c>
      <c r="C65" s="49"/>
      <c r="D65" s="50"/>
      <c r="E65" s="51"/>
      <c r="F65" s="12">
        <f t="shared" si="7"/>
        <v>0</v>
      </c>
      <c r="G65" s="52"/>
      <c r="H65" s="56" t="s">
        <v>140</v>
      </c>
      <c r="I65" s="22">
        <v>200</v>
      </c>
      <c r="J65" s="85" t="s">
        <v>71</v>
      </c>
      <c r="K65" s="86" t="s">
        <v>72</v>
      </c>
      <c r="L65" s="29"/>
      <c r="M65" s="61"/>
      <c r="N65" s="61"/>
      <c r="O65" s="29"/>
      <c r="P65" s="76"/>
    </row>
    <row r="66" customFormat="1" ht="18" customHeight="1" spans="1:16">
      <c r="A66" s="48"/>
      <c r="B66" s="12">
        <f t="shared" si="6"/>
        <v>0</v>
      </c>
      <c r="C66" s="49"/>
      <c r="D66" s="50"/>
      <c r="E66" s="51"/>
      <c r="F66" s="12">
        <f t="shared" si="7"/>
        <v>0</v>
      </c>
      <c r="G66" s="52"/>
      <c r="H66" s="56" t="s">
        <v>140</v>
      </c>
      <c r="I66" s="22">
        <v>16740</v>
      </c>
      <c r="J66" s="85" t="s">
        <v>71</v>
      </c>
      <c r="K66" s="86" t="s">
        <v>9</v>
      </c>
      <c r="L66" s="29"/>
      <c r="M66" s="61"/>
      <c r="N66" s="61"/>
      <c r="O66" s="29"/>
      <c r="P66" s="76"/>
    </row>
    <row r="67" customFormat="1" ht="18" customHeight="1" spans="1:16">
      <c r="A67" s="48"/>
      <c r="B67" s="12">
        <f t="shared" si="6"/>
        <v>0</v>
      </c>
      <c r="C67" s="49"/>
      <c r="D67" s="50"/>
      <c r="E67" s="51"/>
      <c r="F67" s="12">
        <f t="shared" si="7"/>
        <v>0</v>
      </c>
      <c r="G67" s="52"/>
      <c r="H67" s="56" t="s">
        <v>140</v>
      </c>
      <c r="I67" s="22">
        <v>452243</v>
      </c>
      <c r="J67" s="85" t="s">
        <v>80</v>
      </c>
      <c r="K67" s="86" t="s">
        <v>86</v>
      </c>
      <c r="L67" s="29"/>
      <c r="M67" s="61"/>
      <c r="N67" s="61"/>
      <c r="O67" s="29"/>
      <c r="P67" s="76"/>
    </row>
    <row r="68" customFormat="1" ht="18" customHeight="1" spans="1:16">
      <c r="A68" s="48"/>
      <c r="B68" s="12">
        <f t="shared" si="6"/>
        <v>0</v>
      </c>
      <c r="C68" s="49"/>
      <c r="D68" s="50"/>
      <c r="E68" s="51"/>
      <c r="F68" s="12">
        <f t="shared" si="7"/>
        <v>0</v>
      </c>
      <c r="G68" s="52"/>
      <c r="H68" s="56" t="s">
        <v>140</v>
      </c>
      <c r="I68" s="22">
        <v>1536</v>
      </c>
      <c r="J68" s="85" t="s">
        <v>71</v>
      </c>
      <c r="K68" s="86" t="s">
        <v>110</v>
      </c>
      <c r="L68" s="29"/>
      <c r="M68" s="61"/>
      <c r="N68" s="61"/>
      <c r="O68" s="29"/>
      <c r="P68" s="76"/>
    </row>
    <row r="69" customFormat="1" ht="18" customHeight="1" spans="1:16">
      <c r="A69" s="48"/>
      <c r="B69" s="12">
        <f t="shared" si="6"/>
        <v>0</v>
      </c>
      <c r="C69" s="49"/>
      <c r="D69" s="50"/>
      <c r="E69" s="51"/>
      <c r="F69" s="12">
        <f t="shared" si="7"/>
        <v>0</v>
      </c>
      <c r="G69" s="52"/>
      <c r="H69" s="55" t="s">
        <v>122</v>
      </c>
      <c r="I69" s="82">
        <v>200</v>
      </c>
      <c r="J69" s="83" t="s">
        <v>71</v>
      </c>
      <c r="K69" s="84" t="s">
        <v>72</v>
      </c>
      <c r="L69" s="29"/>
      <c r="M69" s="61"/>
      <c r="N69" s="61"/>
      <c r="O69" s="29"/>
      <c r="P69" s="76"/>
    </row>
    <row r="70" customFormat="1" ht="18" customHeight="1" spans="1:16">
      <c r="A70" s="48"/>
      <c r="B70" s="12">
        <f t="shared" si="6"/>
        <v>0</v>
      </c>
      <c r="C70" s="49"/>
      <c r="D70" s="50"/>
      <c r="E70" s="51"/>
      <c r="F70" s="12">
        <f t="shared" si="7"/>
        <v>0</v>
      </c>
      <c r="G70" s="52"/>
      <c r="H70" s="55">
        <v>43985</v>
      </c>
      <c r="I70" s="82">
        <v>100</v>
      </c>
      <c r="J70" s="83" t="s">
        <v>71</v>
      </c>
      <c r="K70" s="84" t="s">
        <v>72</v>
      </c>
      <c r="L70" s="29"/>
      <c r="M70" s="61"/>
      <c r="N70" s="61"/>
      <c r="O70" s="29"/>
      <c r="P70" s="76"/>
    </row>
    <row r="71" customFormat="1" ht="18" customHeight="1" spans="1:16">
      <c r="A71" s="48"/>
      <c r="B71" s="12">
        <f t="shared" si="6"/>
        <v>0</v>
      </c>
      <c r="C71" s="49"/>
      <c r="D71" s="50"/>
      <c r="E71" s="51"/>
      <c r="F71" s="12">
        <f t="shared" si="7"/>
        <v>0</v>
      </c>
      <c r="G71" s="52"/>
      <c r="H71" s="55">
        <v>43985</v>
      </c>
      <c r="I71" s="82">
        <v>-755000</v>
      </c>
      <c r="J71" s="83" t="s">
        <v>73</v>
      </c>
      <c r="K71" s="113" t="s">
        <v>74</v>
      </c>
      <c r="L71" s="29"/>
      <c r="M71" s="61"/>
      <c r="N71" s="61"/>
      <c r="O71" s="29"/>
      <c r="P71" s="76"/>
    </row>
    <row r="72" customFormat="1" ht="18" customHeight="1" spans="1:16">
      <c r="A72" s="48"/>
      <c r="B72" s="12">
        <f t="shared" si="6"/>
        <v>0</v>
      </c>
      <c r="C72" s="49"/>
      <c r="D72" s="50"/>
      <c r="E72" s="51"/>
      <c r="F72" s="12">
        <f t="shared" si="7"/>
        <v>0</v>
      </c>
      <c r="G72" s="52"/>
      <c r="H72" s="20">
        <v>43964</v>
      </c>
      <c r="I72" s="12">
        <v>100</v>
      </c>
      <c r="J72" s="61" t="s">
        <v>71</v>
      </c>
      <c r="K72" s="75" t="s">
        <v>72</v>
      </c>
      <c r="L72" s="29"/>
      <c r="M72" s="61"/>
      <c r="N72" s="61"/>
      <c r="O72" s="29"/>
      <c r="P72" s="76"/>
    </row>
    <row r="73" customFormat="1" ht="18" customHeight="1" spans="1:16">
      <c r="A73" s="48"/>
      <c r="B73" s="12">
        <f t="shared" si="6"/>
        <v>0</v>
      </c>
      <c r="C73" s="49"/>
      <c r="D73" s="50"/>
      <c r="E73" s="51"/>
      <c r="F73" s="12">
        <f t="shared" si="7"/>
        <v>0</v>
      </c>
      <c r="G73" s="52"/>
      <c r="H73" s="20" t="s">
        <v>75</v>
      </c>
      <c r="I73" s="12">
        <v>2252</v>
      </c>
      <c r="J73" s="61" t="s">
        <v>71</v>
      </c>
      <c r="K73" s="69" t="s">
        <v>76</v>
      </c>
      <c r="L73" s="29"/>
      <c r="M73" s="61"/>
      <c r="N73" s="61"/>
      <c r="O73" s="29"/>
      <c r="P73" s="76"/>
    </row>
    <row r="74" customFormat="1" ht="18" customHeight="1" spans="1:16">
      <c r="A74" s="48"/>
      <c r="B74" s="12">
        <f t="shared" si="6"/>
        <v>0</v>
      </c>
      <c r="C74" s="49"/>
      <c r="D74" s="50"/>
      <c r="E74" s="51"/>
      <c r="F74" s="12">
        <f t="shared" si="7"/>
        <v>0</v>
      </c>
      <c r="G74" s="52"/>
      <c r="H74" s="20" t="s">
        <v>75</v>
      </c>
      <c r="I74" s="12">
        <v>24540</v>
      </c>
      <c r="J74" s="61" t="s">
        <v>71</v>
      </c>
      <c r="K74" s="74" t="s">
        <v>77</v>
      </c>
      <c r="L74" s="29"/>
      <c r="M74" s="61"/>
      <c r="N74" s="61"/>
      <c r="O74" s="29"/>
      <c r="P74" s="76"/>
    </row>
    <row r="75" customFormat="1" ht="18" customHeight="1" spans="1:16">
      <c r="A75" s="48"/>
      <c r="B75" s="12">
        <f t="shared" si="6"/>
        <v>20450</v>
      </c>
      <c r="C75" s="49"/>
      <c r="D75" s="50"/>
      <c r="E75" s="51"/>
      <c r="F75" s="12">
        <f t="shared" si="7"/>
        <v>0</v>
      </c>
      <c r="G75" s="52">
        <f>I75</f>
        <v>20450</v>
      </c>
      <c r="H75" s="20" t="s">
        <v>75</v>
      </c>
      <c r="I75" s="12">
        <v>20450</v>
      </c>
      <c r="J75" s="61" t="s">
        <v>71</v>
      </c>
      <c r="K75" s="77" t="s">
        <v>78</v>
      </c>
      <c r="L75" s="29"/>
      <c r="M75" s="61"/>
      <c r="N75" s="61"/>
      <c r="O75" s="29"/>
      <c r="P75" s="76"/>
    </row>
    <row r="76" customFormat="1" ht="18" customHeight="1" spans="1:16">
      <c r="A76" s="48"/>
      <c r="B76" s="12">
        <f t="shared" si="6"/>
        <v>0</v>
      </c>
      <c r="C76" s="49"/>
      <c r="D76" s="50"/>
      <c r="E76" s="51"/>
      <c r="F76" s="12">
        <f t="shared" si="7"/>
        <v>0</v>
      </c>
      <c r="G76" s="52"/>
      <c r="H76" s="20" t="s">
        <v>75</v>
      </c>
      <c r="I76" s="12">
        <v>200</v>
      </c>
      <c r="J76" s="61" t="s">
        <v>71</v>
      </c>
      <c r="K76" s="75" t="s">
        <v>72</v>
      </c>
      <c r="L76" s="29"/>
      <c r="M76" s="61"/>
      <c r="N76" s="61"/>
      <c r="O76" s="29"/>
      <c r="P76" s="76"/>
    </row>
    <row r="77" customFormat="1" ht="18" customHeight="1" spans="1:16">
      <c r="A77" s="48"/>
      <c r="B77" s="12"/>
      <c r="C77" s="49"/>
      <c r="D77" s="50"/>
      <c r="E77" s="51"/>
      <c r="F77" s="12"/>
      <c r="G77" s="52"/>
      <c r="H77" s="20" t="s">
        <v>79</v>
      </c>
      <c r="I77" s="12">
        <v>200</v>
      </c>
      <c r="J77" s="61" t="s">
        <v>71</v>
      </c>
      <c r="K77" s="75" t="s">
        <v>72</v>
      </c>
      <c r="L77" s="29"/>
      <c r="M77" s="61"/>
      <c r="N77" s="61"/>
      <c r="O77" s="29"/>
      <c r="P77" s="76"/>
    </row>
    <row r="78" customFormat="1" ht="18" customHeight="1" spans="1:16">
      <c r="A78" s="48"/>
      <c r="B78" s="12">
        <f t="shared" ref="B78:B95" si="8">ROUND(G78/(1+E78),2)</f>
        <v>0</v>
      </c>
      <c r="C78" s="49"/>
      <c r="D78" s="50"/>
      <c r="E78" s="51"/>
      <c r="F78" s="12">
        <f t="shared" ref="F78:F95" si="9">ROUND(G78/(1+E78)*E78,2)</f>
        <v>0</v>
      </c>
      <c r="G78" s="52"/>
      <c r="H78" s="20" t="s">
        <v>79</v>
      </c>
      <c r="I78" s="12"/>
      <c r="J78" s="61" t="s">
        <v>80</v>
      </c>
      <c r="K78" s="75" t="s">
        <v>81</v>
      </c>
      <c r="L78" s="29"/>
      <c r="M78" s="61"/>
      <c r="N78" s="61"/>
      <c r="O78" s="29"/>
      <c r="P78" s="76"/>
    </row>
    <row r="79" s="1" customFormat="1" ht="18" customHeight="1" spans="1:16">
      <c r="A79" s="31"/>
      <c r="B79" s="12">
        <f t="shared" si="8"/>
        <v>0</v>
      </c>
      <c r="C79" s="33"/>
      <c r="D79" s="34"/>
      <c r="E79" s="35"/>
      <c r="F79" s="12">
        <f t="shared" si="9"/>
        <v>0</v>
      </c>
      <c r="G79" s="23"/>
      <c r="H79" s="20" t="s">
        <v>79</v>
      </c>
      <c r="I79" s="12">
        <v>755000</v>
      </c>
      <c r="J79" s="61" t="s">
        <v>71</v>
      </c>
      <c r="K79" s="74" t="s">
        <v>82</v>
      </c>
      <c r="L79" s="64"/>
      <c r="M79" s="65"/>
      <c r="N79" s="65"/>
      <c r="O79" s="64"/>
      <c r="P79" s="66"/>
    </row>
    <row r="80" s="1" customFormat="1" ht="18" customHeight="1" spans="1:16">
      <c r="A80" s="31"/>
      <c r="B80" s="12">
        <f t="shared" si="8"/>
        <v>0</v>
      </c>
      <c r="C80" s="33"/>
      <c r="D80" s="34"/>
      <c r="E80" s="35"/>
      <c r="F80" s="12">
        <f t="shared" si="9"/>
        <v>0</v>
      </c>
      <c r="G80" s="23"/>
      <c r="H80" s="20" t="s">
        <v>79</v>
      </c>
      <c r="I80" s="12">
        <v>21340</v>
      </c>
      <c r="J80" s="61" t="s">
        <v>71</v>
      </c>
      <c r="K80" s="74" t="s">
        <v>83</v>
      </c>
      <c r="L80" s="64"/>
      <c r="M80" s="65"/>
      <c r="N80" s="61"/>
      <c r="O80" s="64"/>
      <c r="P80" s="66"/>
    </row>
    <row r="81" s="1" customFormat="1" ht="18" customHeight="1" spans="1:16">
      <c r="A81" s="31"/>
      <c r="B81" s="12">
        <f t="shared" si="8"/>
        <v>0</v>
      </c>
      <c r="C81" s="33"/>
      <c r="D81" s="34"/>
      <c r="E81" s="35"/>
      <c r="F81" s="12">
        <f t="shared" si="9"/>
        <v>0</v>
      </c>
      <c r="G81" s="23"/>
      <c r="H81" s="20" t="s">
        <v>79</v>
      </c>
      <c r="I81" s="12">
        <v>1964</v>
      </c>
      <c r="J81" s="61" t="s">
        <v>71</v>
      </c>
      <c r="K81" s="69" t="s">
        <v>84</v>
      </c>
      <c r="L81" s="69"/>
      <c r="M81" s="65"/>
      <c r="N81" s="65"/>
      <c r="O81" s="64"/>
      <c r="P81" s="66"/>
    </row>
    <row r="82" s="1" customFormat="1" ht="18" customHeight="1" spans="1:16">
      <c r="A82" s="31"/>
      <c r="B82" s="12">
        <f t="shared" si="8"/>
        <v>17832.35</v>
      </c>
      <c r="C82" s="33"/>
      <c r="D82" s="34"/>
      <c r="E82" s="35"/>
      <c r="F82" s="12">
        <f t="shared" si="9"/>
        <v>0</v>
      </c>
      <c r="G82" s="23">
        <f>17832.35</f>
        <v>17832.35</v>
      </c>
      <c r="H82" s="20" t="s">
        <v>79</v>
      </c>
      <c r="I82" s="12">
        <f>G82</f>
        <v>17832.35</v>
      </c>
      <c r="J82" s="61" t="s">
        <v>71</v>
      </c>
      <c r="K82" s="77" t="s">
        <v>78</v>
      </c>
      <c r="L82" s="69"/>
      <c r="M82" s="65"/>
      <c r="N82" s="65"/>
      <c r="O82" s="64"/>
      <c r="P82" s="66"/>
    </row>
    <row r="83" s="1" customFormat="1" ht="18" customHeight="1" spans="1:16">
      <c r="A83" s="31"/>
      <c r="B83" s="12">
        <f t="shared" si="8"/>
        <v>0</v>
      </c>
      <c r="C83" s="33"/>
      <c r="D83" s="34"/>
      <c r="E83" s="35"/>
      <c r="F83" s="12">
        <f t="shared" si="9"/>
        <v>0</v>
      </c>
      <c r="G83" s="23"/>
      <c r="H83" s="20"/>
      <c r="I83" s="12">
        <v>16514</v>
      </c>
      <c r="J83" s="61" t="s">
        <v>71</v>
      </c>
      <c r="K83" s="69" t="s">
        <v>142</v>
      </c>
      <c r="L83" s="69"/>
      <c r="M83" s="65"/>
      <c r="N83" s="65"/>
      <c r="O83" s="64"/>
      <c r="P83" s="66"/>
    </row>
    <row r="84" s="1" customFormat="1" ht="18" customHeight="1" spans="1:17">
      <c r="A84" s="31"/>
      <c r="B84" s="12">
        <f t="shared" si="8"/>
        <v>0</v>
      </c>
      <c r="C84" s="33"/>
      <c r="D84" s="34"/>
      <c r="E84" s="35"/>
      <c r="F84" s="12">
        <f t="shared" si="9"/>
        <v>0</v>
      </c>
      <c r="G84" s="23"/>
      <c r="H84" s="20"/>
      <c r="I84" s="12">
        <v>2552</v>
      </c>
      <c r="J84" s="61" t="s">
        <v>71</v>
      </c>
      <c r="K84" s="69" t="s">
        <v>85</v>
      </c>
      <c r="L84" s="69"/>
      <c r="M84" s="65"/>
      <c r="N84" s="65"/>
      <c r="O84" s="64"/>
      <c r="P84" s="66"/>
      <c r="Q84" s="1">
        <f>P33*0.25</f>
        <v>755000</v>
      </c>
    </row>
    <row r="85" s="1" customFormat="1" ht="18" customHeight="1" spans="1:16">
      <c r="A85" s="31"/>
      <c r="B85" s="12">
        <f t="shared" si="8"/>
        <v>0</v>
      </c>
      <c r="C85" s="33"/>
      <c r="D85" s="34"/>
      <c r="E85" s="35"/>
      <c r="F85" s="12">
        <f t="shared" si="9"/>
        <v>0</v>
      </c>
      <c r="G85" s="23"/>
      <c r="H85" s="20"/>
      <c r="I85" s="12">
        <v>-17678</v>
      </c>
      <c r="J85" s="61" t="s">
        <v>73</v>
      </c>
      <c r="K85" s="69" t="s">
        <v>86</v>
      </c>
      <c r="L85" s="69"/>
      <c r="M85" s="65"/>
      <c r="N85" s="65"/>
      <c r="O85" s="64"/>
      <c r="P85" s="66"/>
    </row>
    <row r="86" s="1" customFormat="1" ht="18" customHeight="1" spans="1:16">
      <c r="A86" s="31"/>
      <c r="B86" s="12">
        <f t="shared" si="8"/>
        <v>0</v>
      </c>
      <c r="C86" s="33"/>
      <c r="D86" s="34"/>
      <c r="E86" s="35"/>
      <c r="F86" s="12">
        <f t="shared" si="9"/>
        <v>0</v>
      </c>
      <c r="G86" s="23"/>
      <c r="H86" s="20"/>
      <c r="I86" s="12">
        <v>17678</v>
      </c>
      <c r="J86" s="61" t="s">
        <v>80</v>
      </c>
      <c r="K86" s="69" t="s">
        <v>87</v>
      </c>
      <c r="L86" s="69"/>
      <c r="M86" s="65"/>
      <c r="N86" s="65"/>
      <c r="O86" s="64"/>
      <c r="P86" s="66"/>
    </row>
    <row r="87" s="1" customFormat="1" ht="18" customHeight="1" spans="1:16">
      <c r="A87" s="31"/>
      <c r="B87" s="12">
        <f t="shared" si="8"/>
        <v>0</v>
      </c>
      <c r="C87" s="33"/>
      <c r="D87" s="34"/>
      <c r="E87" s="35"/>
      <c r="F87" s="12">
        <f t="shared" si="9"/>
        <v>0</v>
      </c>
      <c r="G87" s="23"/>
      <c r="H87" s="20"/>
      <c r="I87" s="12">
        <v>57819</v>
      </c>
      <c r="J87" s="61" t="s">
        <v>71</v>
      </c>
      <c r="K87" s="69" t="s">
        <v>9</v>
      </c>
      <c r="L87" s="69"/>
      <c r="M87" s="65"/>
      <c r="N87" s="65"/>
      <c r="O87" s="64"/>
      <c r="P87" s="66"/>
    </row>
    <row r="88" s="1" customFormat="1" ht="18" customHeight="1" spans="1:16">
      <c r="A88" s="31"/>
      <c r="B88" s="12">
        <f t="shared" si="8"/>
        <v>0</v>
      </c>
      <c r="C88" s="33"/>
      <c r="D88" s="34"/>
      <c r="E88" s="35"/>
      <c r="F88" s="12">
        <f t="shared" si="9"/>
        <v>0</v>
      </c>
      <c r="G88" s="23"/>
      <c r="H88" s="20"/>
      <c r="I88" s="12">
        <v>8962</v>
      </c>
      <c r="J88" s="61" t="s">
        <v>71</v>
      </c>
      <c r="K88" s="74" t="s">
        <v>88</v>
      </c>
      <c r="L88" s="64"/>
      <c r="M88" s="65"/>
      <c r="N88" s="65"/>
      <c r="O88" s="64"/>
      <c r="P88" s="66"/>
    </row>
    <row r="89" s="1" customFormat="1" ht="18" customHeight="1" spans="1:16">
      <c r="A89" s="31"/>
      <c r="B89" s="12">
        <f t="shared" si="8"/>
        <v>0</v>
      </c>
      <c r="C89" s="33"/>
      <c r="D89" s="34"/>
      <c r="E89" s="35"/>
      <c r="F89" s="12">
        <f t="shared" si="9"/>
        <v>0</v>
      </c>
      <c r="G89" s="23"/>
      <c r="H89" s="20"/>
      <c r="I89" s="133">
        <v>477502</v>
      </c>
      <c r="J89" s="135" t="s">
        <v>71</v>
      </c>
      <c r="K89" s="146" t="s">
        <v>89</v>
      </c>
      <c r="L89" s="64"/>
      <c r="M89" s="65"/>
      <c r="N89" s="65"/>
      <c r="O89" s="64"/>
      <c r="P89" s="66"/>
    </row>
    <row r="90" s="1" customFormat="1" ht="18" customHeight="1" spans="1:16">
      <c r="A90" s="31"/>
      <c r="B90" s="32">
        <f t="shared" si="8"/>
        <v>0</v>
      </c>
      <c r="C90" s="33"/>
      <c r="D90" s="34"/>
      <c r="E90" s="35"/>
      <c r="F90" s="12">
        <f t="shared" si="9"/>
        <v>0</v>
      </c>
      <c r="G90" s="23"/>
      <c r="H90" s="20"/>
      <c r="I90" s="12">
        <v>-370000</v>
      </c>
      <c r="J90" s="61" t="s">
        <v>73</v>
      </c>
      <c r="K90" s="74" t="s">
        <v>80</v>
      </c>
      <c r="L90" s="64"/>
      <c r="M90" s="65"/>
      <c r="N90" s="65"/>
      <c r="O90" s="64"/>
      <c r="P90" s="66"/>
    </row>
    <row r="91" s="1" customFormat="1" ht="18" customHeight="1" spans="1:16">
      <c r="A91" s="31"/>
      <c r="B91" s="32">
        <f t="shared" si="8"/>
        <v>0</v>
      </c>
      <c r="C91" s="33"/>
      <c r="D91" s="34"/>
      <c r="E91" s="35"/>
      <c r="F91" s="32">
        <f t="shared" si="9"/>
        <v>0</v>
      </c>
      <c r="G91" s="23"/>
      <c r="H91" s="20"/>
      <c r="I91" s="12">
        <v>370000</v>
      </c>
      <c r="J91" s="61" t="s">
        <v>80</v>
      </c>
      <c r="K91" s="74"/>
      <c r="L91" s="64"/>
      <c r="M91" s="65"/>
      <c r="N91" s="65"/>
      <c r="O91" s="64"/>
      <c r="P91" s="66"/>
    </row>
    <row r="92" s="1" customFormat="1" ht="18" customHeight="1" spans="1:16">
      <c r="A92" s="31"/>
      <c r="B92" s="32">
        <f t="shared" si="8"/>
        <v>0</v>
      </c>
      <c r="C92" s="33"/>
      <c r="D92" s="34"/>
      <c r="E92" s="35"/>
      <c r="F92" s="32">
        <f t="shared" si="9"/>
        <v>0</v>
      </c>
      <c r="G92" s="23"/>
      <c r="H92" s="20"/>
      <c r="I92" s="12">
        <v>87273</v>
      </c>
      <c r="J92" s="61" t="s">
        <v>71</v>
      </c>
      <c r="K92" s="74" t="s">
        <v>90</v>
      </c>
      <c r="L92" s="64"/>
      <c r="M92" s="65"/>
      <c r="N92" s="65"/>
      <c r="O92" s="64"/>
      <c r="P92" s="66"/>
    </row>
    <row r="93" s="1" customFormat="1" ht="18" customHeight="1" spans="1:16">
      <c r="A93" s="31"/>
      <c r="B93" s="32">
        <f t="shared" si="8"/>
        <v>0</v>
      </c>
      <c r="C93" s="33"/>
      <c r="D93" s="34"/>
      <c r="E93" s="35"/>
      <c r="F93" s="32">
        <f t="shared" si="9"/>
        <v>0</v>
      </c>
      <c r="G93" s="23"/>
      <c r="H93" s="20"/>
      <c r="I93" s="133">
        <v>80957</v>
      </c>
      <c r="J93" s="135" t="s">
        <v>71</v>
      </c>
      <c r="K93" s="146" t="s">
        <v>91</v>
      </c>
      <c r="L93" s="64"/>
      <c r="M93" s="65"/>
      <c r="N93" s="65"/>
      <c r="O93" s="64"/>
      <c r="P93" s="66"/>
    </row>
    <row r="94" s="1" customFormat="1" ht="18" customHeight="1" spans="1:16">
      <c r="A94" s="31"/>
      <c r="B94" s="32">
        <f t="shared" si="8"/>
        <v>0</v>
      </c>
      <c r="C94" s="33"/>
      <c r="D94" s="34"/>
      <c r="E94" s="35"/>
      <c r="F94" s="32">
        <f t="shared" si="9"/>
        <v>0</v>
      </c>
      <c r="G94" s="23"/>
      <c r="H94" s="20"/>
      <c r="I94" s="12">
        <v>500</v>
      </c>
      <c r="J94" s="61" t="s">
        <v>71</v>
      </c>
      <c r="K94" s="77" t="s">
        <v>92</v>
      </c>
      <c r="L94" s="64"/>
      <c r="M94" s="65"/>
      <c r="N94" s="65"/>
      <c r="O94" s="64"/>
      <c r="P94" s="66"/>
    </row>
    <row r="95" s="1" customFormat="1" ht="18" customHeight="1" spans="1:16">
      <c r="A95" s="31"/>
      <c r="B95" s="32">
        <f t="shared" si="8"/>
        <v>98000</v>
      </c>
      <c r="C95" s="33"/>
      <c r="D95" s="34"/>
      <c r="E95" s="35"/>
      <c r="F95" s="32">
        <f t="shared" si="9"/>
        <v>0</v>
      </c>
      <c r="G95" s="23">
        <f>30000+53000+15000</f>
        <v>98000</v>
      </c>
      <c r="H95" s="20"/>
      <c r="I95" s="12">
        <f>G95</f>
        <v>98000</v>
      </c>
      <c r="J95" s="61" t="s">
        <v>71</v>
      </c>
      <c r="K95" s="77" t="s">
        <v>78</v>
      </c>
      <c r="L95" s="64"/>
      <c r="M95" s="65"/>
      <c r="N95" s="65"/>
      <c r="O95" s="64"/>
      <c r="P95" s="66"/>
    </row>
    <row r="96" ht="18" customHeight="1" spans="1:15">
      <c r="A96" s="27" t="s">
        <v>25</v>
      </c>
      <c r="B96" s="26">
        <f>SUM(B17:B95)</f>
        <v>32830532.45</v>
      </c>
      <c r="C96" s="27"/>
      <c r="D96" s="89"/>
      <c r="E96" s="89"/>
      <c r="F96" s="28">
        <f>SUM(F17:F95)</f>
        <v>2128603.71</v>
      </c>
      <c r="G96" s="27">
        <f>SUM(G17:G95)</f>
        <v>34964096.16</v>
      </c>
      <c r="H96" s="29"/>
      <c r="I96" s="27">
        <f>SUM(I17:I95)</f>
        <v>29997063.3</v>
      </c>
      <c r="J96" s="29"/>
      <c r="K96" s="118"/>
      <c r="L96" s="29"/>
      <c r="M96" s="61"/>
      <c r="N96" s="61"/>
      <c r="O96" s="29"/>
    </row>
    <row r="97" ht="18" customHeight="1" spans="1:14">
      <c r="A97" s="91" t="s">
        <v>93</v>
      </c>
      <c r="B97" s="91">
        <f>B14*0.976</f>
        <v>29034062.2452043</v>
      </c>
      <c r="C97" s="91"/>
      <c r="D97" s="92"/>
      <c r="E97" s="92"/>
      <c r="F97" s="91">
        <f>F14-F96</f>
        <v>104666.40259383</v>
      </c>
      <c r="G97" s="91"/>
      <c r="H97" s="19" t="s">
        <v>94</v>
      </c>
      <c r="I97" s="27">
        <f>I14-I96</f>
        <v>1532803.7</v>
      </c>
      <c r="J97" s="7"/>
      <c r="K97" s="119"/>
      <c r="L97" s="7">
        <f>(I75+I82+I95)/I14</f>
        <v>0.00432232555881064</v>
      </c>
      <c r="M97" s="8"/>
      <c r="N97" s="8"/>
    </row>
    <row r="98" ht="18" customHeight="1" spans="1:18">
      <c r="A98" s="91" t="s">
        <v>95</v>
      </c>
      <c r="B98" s="91">
        <f>B97-B96</f>
        <v>-3796470.2047957</v>
      </c>
      <c r="C98" s="91"/>
      <c r="D98" s="92"/>
      <c r="E98" s="92"/>
      <c r="F98" s="91"/>
      <c r="G98" s="91"/>
      <c r="H98" s="94"/>
      <c r="I98" s="91">
        <v>1525154.37</v>
      </c>
      <c r="J98" s="7"/>
      <c r="K98" s="119"/>
      <c r="M98" s="8"/>
      <c r="N98" s="8"/>
      <c r="R98" s="7" t="s">
        <v>96</v>
      </c>
    </row>
    <row r="99" ht="18" customHeight="1" spans="1:15">
      <c r="A99" s="3" t="s">
        <v>97</v>
      </c>
      <c r="C99" s="3"/>
      <c r="F99" s="95"/>
      <c r="G99" s="95"/>
      <c r="O99" s="29"/>
    </row>
    <row r="100" ht="18" customHeight="1" spans="1:17">
      <c r="A100" s="19" t="s">
        <v>98</v>
      </c>
      <c r="B100" s="18" t="s">
        <v>99</v>
      </c>
      <c r="C100" s="29"/>
      <c r="D100" s="19" t="s">
        <v>98</v>
      </c>
      <c r="E100" s="18" t="s">
        <v>17</v>
      </c>
      <c r="F100" s="18" t="s">
        <v>99</v>
      </c>
      <c r="G100" s="137" t="s">
        <v>100</v>
      </c>
      <c r="H100" s="137" t="s">
        <v>101</v>
      </c>
      <c r="I100" s="137" t="s">
        <v>102</v>
      </c>
      <c r="K100" s="137" t="s">
        <v>103</v>
      </c>
      <c r="L100" s="137" t="s">
        <v>104</v>
      </c>
      <c r="O100" s="147" t="s">
        <v>123</v>
      </c>
      <c r="P100" s="148" t="s">
        <v>143</v>
      </c>
      <c r="Q100" s="159"/>
    </row>
    <row r="101" ht="18" customHeight="1" spans="1:17">
      <c r="A101" s="29" t="s">
        <v>105</v>
      </c>
      <c r="B101" s="32">
        <f>B98*0.25</f>
        <v>-949117.551198925</v>
      </c>
      <c r="C101" s="29"/>
      <c r="D101" s="138" t="s">
        <v>106</v>
      </c>
      <c r="E101" s="139" t="s">
        <v>107</v>
      </c>
      <c r="F101" s="28">
        <f>F14-F96</f>
        <v>104666.40259383</v>
      </c>
      <c r="G101" s="140">
        <v>68985</v>
      </c>
      <c r="H101" s="140">
        <f>F8-F19-F21-F24-F25-F26</f>
        <v>434092.030909091</v>
      </c>
      <c r="I101" s="149">
        <f>F9-F34</f>
        <v>189747.930458716</v>
      </c>
      <c r="K101" s="140">
        <v>0</v>
      </c>
      <c r="L101" s="149">
        <v>37979.264495414</v>
      </c>
      <c r="O101" s="150"/>
      <c r="P101" s="106" t="s">
        <v>106</v>
      </c>
      <c r="Q101" s="160">
        <f>F12+F13-(F39+F52+F53+F54+F57)</f>
        <v>-436389.889174312</v>
      </c>
    </row>
    <row r="102" ht="18" customHeight="1" spans="1:17">
      <c r="A102" s="29" t="s">
        <v>108</v>
      </c>
      <c r="B102" s="102">
        <f>G14*0.0003</f>
        <v>9772.8735</v>
      </c>
      <c r="C102" s="29"/>
      <c r="D102" s="141" t="s">
        <v>109</v>
      </c>
      <c r="E102" s="14">
        <v>0.05</v>
      </c>
      <c r="F102" s="12">
        <f>F101*E102</f>
        <v>5233.32012969151</v>
      </c>
      <c r="G102" s="67">
        <v>3449.25</v>
      </c>
      <c r="H102" s="67">
        <f>H101*E102</f>
        <v>21704.6015454545</v>
      </c>
      <c r="I102" s="151">
        <f>I101*E102</f>
        <v>9487.39652293578</v>
      </c>
      <c r="K102" s="67">
        <v>0</v>
      </c>
      <c r="L102" s="151">
        <v>1898.9632247707</v>
      </c>
      <c r="O102" s="152">
        <v>0</v>
      </c>
      <c r="P102" s="56" t="s">
        <v>109</v>
      </c>
      <c r="Q102" s="160">
        <v>0</v>
      </c>
    </row>
    <row r="103" ht="18" customHeight="1" spans="1:17">
      <c r="A103" s="29" t="s">
        <v>110</v>
      </c>
      <c r="B103" s="102">
        <f>B14*0.0006</f>
        <v>17848.8087572977</v>
      </c>
      <c r="C103" s="29"/>
      <c r="D103" s="141" t="s">
        <v>111</v>
      </c>
      <c r="E103" s="14">
        <v>0.03</v>
      </c>
      <c r="F103" s="12">
        <f>F101*E103</f>
        <v>3139.9920778149</v>
      </c>
      <c r="G103" s="67">
        <v>2069.55</v>
      </c>
      <c r="H103" s="67">
        <f>H101*E103</f>
        <v>13022.7609272727</v>
      </c>
      <c r="I103" s="151">
        <f>I101*E103</f>
        <v>5692.43791376147</v>
      </c>
      <c r="K103" s="67">
        <v>0</v>
      </c>
      <c r="L103" s="151">
        <v>1139.37793486242</v>
      </c>
      <c r="O103" s="152">
        <v>0</v>
      </c>
      <c r="P103" s="56" t="s">
        <v>111</v>
      </c>
      <c r="Q103" s="160">
        <v>0</v>
      </c>
    </row>
    <row r="104" ht="18" customHeight="1" spans="1:17">
      <c r="A104" s="29"/>
      <c r="B104" s="29"/>
      <c r="C104" s="29"/>
      <c r="D104" s="141" t="s">
        <v>112</v>
      </c>
      <c r="E104" s="14">
        <v>0.02</v>
      </c>
      <c r="F104" s="12">
        <f>F101*E104</f>
        <v>2093.3280518766</v>
      </c>
      <c r="G104" s="67">
        <v>1379.7</v>
      </c>
      <c r="H104" s="67">
        <f>H101*E104</f>
        <v>8681.84061818182</v>
      </c>
      <c r="I104" s="151">
        <f>I101*E104</f>
        <v>3794.95860917431</v>
      </c>
      <c r="K104" s="67">
        <v>0</v>
      </c>
      <c r="L104" s="151">
        <v>759.585289908281</v>
      </c>
      <c r="O104" s="152">
        <v>0</v>
      </c>
      <c r="P104" s="56" t="s">
        <v>112</v>
      </c>
      <c r="Q104" s="160">
        <v>0</v>
      </c>
    </row>
    <row r="105" ht="18" customHeight="1" spans="1:17">
      <c r="A105" s="25" t="s">
        <v>113</v>
      </c>
      <c r="B105" s="26">
        <f t="shared" ref="B105:I105" si="10">SUM(B101:B104)</f>
        <v>-921495.868941627</v>
      </c>
      <c r="C105" s="29"/>
      <c r="D105" s="138" t="s">
        <v>113</v>
      </c>
      <c r="E105" s="138"/>
      <c r="F105" s="28">
        <f t="shared" si="10"/>
        <v>115133.042853213</v>
      </c>
      <c r="G105" s="28">
        <f t="shared" si="10"/>
        <v>75883.5</v>
      </c>
      <c r="H105" s="28">
        <f t="shared" si="10"/>
        <v>477501.234</v>
      </c>
      <c r="I105" s="153">
        <f t="shared" si="10"/>
        <v>208722.723504587</v>
      </c>
      <c r="K105" s="28">
        <v>0</v>
      </c>
      <c r="L105" s="153">
        <v>41777.1909449555</v>
      </c>
      <c r="O105" s="150">
        <v>0</v>
      </c>
      <c r="P105" s="106"/>
      <c r="Q105" s="160"/>
    </row>
    <row r="106" ht="21.95" customHeight="1" spans="3:17">
      <c r="C106" s="3"/>
      <c r="D106" s="29" t="s">
        <v>108</v>
      </c>
      <c r="E106" s="142">
        <v>0.0003</v>
      </c>
      <c r="F106" s="67">
        <f>G14*E106</f>
        <v>9772.8735</v>
      </c>
      <c r="G106" s="143">
        <v>1800</v>
      </c>
      <c r="H106" s="143">
        <f>G8*E106</f>
        <v>3180</v>
      </c>
      <c r="I106" s="143"/>
      <c r="J106" s="154"/>
      <c r="K106" s="143">
        <f>G9*E106</f>
        <v>900</v>
      </c>
      <c r="L106" s="29"/>
      <c r="M106" s="29"/>
      <c r="N106" s="155"/>
      <c r="O106" s="156"/>
      <c r="P106" s="61" t="s">
        <v>108</v>
      </c>
      <c r="Q106" s="160"/>
    </row>
    <row r="107" ht="21.95" customHeight="1" spans="3:17">
      <c r="C107" s="3"/>
      <c r="D107" s="29" t="s">
        <v>110</v>
      </c>
      <c r="E107" s="142">
        <v>0.0006</v>
      </c>
      <c r="F107" s="67">
        <f>B14*E107</f>
        <v>17848.8087572977</v>
      </c>
      <c r="G107" s="67">
        <v>3272.73</v>
      </c>
      <c r="H107" s="67">
        <f>B8*E107</f>
        <v>5781.81818181818</v>
      </c>
      <c r="I107" s="151"/>
      <c r="K107" s="67">
        <f>B9*E107</f>
        <v>1651.37614678899</v>
      </c>
      <c r="L107" s="29"/>
      <c r="M107" s="29">
        <v>1963.19394495413</v>
      </c>
      <c r="N107" s="155">
        <v>2251.37614678899</v>
      </c>
      <c r="O107" s="156">
        <f>B12*E107</f>
        <v>1535.72972477064</v>
      </c>
      <c r="P107" s="61" t="s">
        <v>110</v>
      </c>
      <c r="Q107" s="160">
        <f>E107*B13</f>
        <v>1392.58733944954</v>
      </c>
    </row>
    <row r="108" ht="21.95" customHeight="1" spans="3:17">
      <c r="C108" s="3"/>
      <c r="D108" s="28" t="s">
        <v>113</v>
      </c>
      <c r="E108" s="144"/>
      <c r="F108" s="140">
        <f t="shared" ref="F108:H108" si="11">F106+F107</f>
        <v>27621.6822572977</v>
      </c>
      <c r="G108" s="140">
        <f t="shared" si="11"/>
        <v>5072.73</v>
      </c>
      <c r="H108" s="140">
        <f t="shared" si="11"/>
        <v>8961.81818181818</v>
      </c>
      <c r="I108" s="149"/>
      <c r="K108" s="149">
        <f>K106+K107</f>
        <v>2551.37614678899</v>
      </c>
      <c r="L108" s="29"/>
      <c r="M108" s="29"/>
      <c r="N108" s="155"/>
      <c r="O108" s="156"/>
      <c r="P108" s="61" t="s">
        <v>25</v>
      </c>
      <c r="Q108" s="160">
        <v>0</v>
      </c>
    </row>
    <row r="109" ht="21.95" customHeight="1" spans="3:17">
      <c r="C109" s="3"/>
      <c r="D109" s="28" t="s">
        <v>25</v>
      </c>
      <c r="E109" s="144"/>
      <c r="F109" s="140">
        <f t="shared" ref="F109:H109" si="12">F105+F108</f>
        <v>142754.725110511</v>
      </c>
      <c r="G109" s="140">
        <f t="shared" si="12"/>
        <v>80956.23</v>
      </c>
      <c r="H109" s="140">
        <f t="shared" si="12"/>
        <v>486463.052181818</v>
      </c>
      <c r="I109" s="149"/>
      <c r="K109" s="149">
        <f>K108</f>
        <v>2551.37614678899</v>
      </c>
      <c r="L109" s="29"/>
      <c r="M109" s="29"/>
      <c r="N109" s="155"/>
      <c r="O109" s="156"/>
      <c r="Q109" s="132"/>
    </row>
    <row r="110" ht="21.95" customHeight="1" spans="3:17">
      <c r="C110" s="3"/>
      <c r="D110" s="28" t="s">
        <v>105</v>
      </c>
      <c r="E110" s="144">
        <v>0.016</v>
      </c>
      <c r="F110" s="140">
        <f>B14*E110</f>
        <v>475968.23352794</v>
      </c>
      <c r="G110" s="140">
        <v>87272.73</v>
      </c>
      <c r="H110" s="140"/>
      <c r="I110" s="149"/>
      <c r="K110" s="149"/>
      <c r="L110" s="29"/>
      <c r="M110" s="29"/>
      <c r="N110" s="155"/>
      <c r="O110" s="156"/>
      <c r="Q110" s="132"/>
    </row>
    <row r="111" ht="21.95" customHeight="1" spans="3:17">
      <c r="C111" s="3"/>
      <c r="D111" s="28" t="s">
        <v>105</v>
      </c>
      <c r="E111" s="144">
        <v>0.006</v>
      </c>
      <c r="F111" s="140"/>
      <c r="G111" s="140"/>
      <c r="H111" s="140">
        <f>B8*E111</f>
        <v>57818.1818181818</v>
      </c>
      <c r="I111" s="140"/>
      <c r="J111" s="157"/>
      <c r="K111" s="140">
        <f>B9*E111</f>
        <v>16513.7614678899</v>
      </c>
      <c r="L111" s="29"/>
      <c r="M111" s="29">
        <v>21398.814</v>
      </c>
      <c r="N111" s="155">
        <v>24540</v>
      </c>
      <c r="O111" s="150">
        <f>G12*E111</f>
        <v>16739.454</v>
      </c>
      <c r="P111" s="8" t="s">
        <v>105</v>
      </c>
      <c r="Q111" s="132">
        <f>E111*G13</f>
        <v>15179.202</v>
      </c>
    </row>
    <row r="112" ht="21.95" customHeight="1" spans="3:12">
      <c r="C112" s="3"/>
      <c r="F112" s="95"/>
      <c r="G112" s="95"/>
      <c r="I112" s="128" t="s">
        <v>114</v>
      </c>
      <c r="L112" s="60" t="s">
        <v>115</v>
      </c>
    </row>
    <row r="113" ht="21.95" customHeight="1" spans="3:12">
      <c r="C113" s="3"/>
      <c r="F113" s="95"/>
      <c r="G113" s="95"/>
      <c r="I113" s="128" t="s">
        <v>116</v>
      </c>
      <c r="L113" s="129" t="s">
        <v>117</v>
      </c>
    </row>
    <row r="114" ht="21.95" customHeight="1" spans="3:13">
      <c r="C114" s="3"/>
      <c r="F114" s="95"/>
      <c r="G114" s="95"/>
      <c r="H114" s="145" t="s">
        <v>118</v>
      </c>
      <c r="I114" s="158">
        <v>208722.72</v>
      </c>
      <c r="L114" s="131" t="s">
        <v>119</v>
      </c>
      <c r="M114" s="131">
        <v>90408.0990550446</v>
      </c>
    </row>
    <row r="115" ht="21.95" customHeight="1" spans="3:7">
      <c r="C115" s="3"/>
      <c r="F115" s="95"/>
      <c r="G115" s="95"/>
    </row>
    <row r="116" ht="21.95" customHeight="1" spans="3:7">
      <c r="C116" s="3"/>
      <c r="F116" s="95"/>
      <c r="G116" s="95"/>
    </row>
    <row r="117" ht="21.95" customHeight="1" spans="3:7">
      <c r="C117" s="3"/>
      <c r="F117" s="95"/>
      <c r="G117" s="95"/>
    </row>
    <row r="118" ht="21.95" customHeight="1" spans="3:7">
      <c r="C118" s="3"/>
      <c r="F118" s="95"/>
      <c r="G118" s="95"/>
    </row>
    <row r="119" ht="21.95" customHeight="1" spans="3:7">
      <c r="C119" s="3"/>
      <c r="F119" s="95"/>
      <c r="G119" s="95"/>
    </row>
    <row r="120" ht="21.95" customHeight="1" spans="3:7">
      <c r="C120" s="3"/>
      <c r="F120" s="95"/>
      <c r="G120" s="95"/>
    </row>
    <row r="121" ht="21.95" customHeight="1" spans="3:7">
      <c r="C121" s="3"/>
      <c r="F121" s="95"/>
      <c r="G121" s="95"/>
    </row>
    <row r="122" ht="21.95" customHeight="1" spans="3:3">
      <c r="C122" s="3"/>
    </row>
    <row r="123" ht="21.95" customHeight="1" spans="3:3">
      <c r="C123" s="3"/>
    </row>
    <row r="124" ht="21.95" customHeight="1" spans="3:3">
      <c r="C124" s="3"/>
    </row>
    <row r="125" ht="21.95" customHeight="1" spans="3:3">
      <c r="C125" s="3"/>
    </row>
    <row r="126" ht="21.95" customHeight="1" spans="3:3">
      <c r="C126" s="3"/>
    </row>
    <row r="127" ht="21.95" customHeight="1" spans="3:3">
      <c r="C127" s="3"/>
    </row>
    <row r="128" spans="3:3">
      <c r="C128" s="3"/>
    </row>
    <row r="129" spans="3:3">
      <c r="C129" s="3"/>
    </row>
  </sheetData>
  <protectedRanges>
    <protectedRange sqref="L33 K26:L32 K81:L81 L82 K83:L87 K73" name="区域1"/>
    <protectedRange sqref="I32" name="区域1_1"/>
  </protectedRanges>
  <autoFilter ref="A16:R114">
    <extLst/>
  </autoFilter>
  <mergeCells count="9">
    <mergeCell ref="A1:J1"/>
    <mergeCell ref="H2:J2"/>
    <mergeCell ref="C5:D5"/>
    <mergeCell ref="E5:F5"/>
    <mergeCell ref="H5:J5"/>
    <mergeCell ref="P100:Q100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2"/>
  <sheetViews>
    <sheetView topLeftCell="C12" workbookViewId="0">
      <selection activeCell="K112" sqref="K112"/>
    </sheetView>
  </sheetViews>
  <sheetFormatPr defaultColWidth="9" defaultRowHeight="11.25"/>
  <cols>
    <col min="1" max="1" width="10.75" style="3" customWidth="1"/>
    <col min="2" max="2" width="16.6666666666667" style="4" customWidth="1"/>
    <col min="3" max="3" width="6" style="4" customWidth="1"/>
    <col min="4" max="4" width="13.3833333333333" style="4" customWidth="1"/>
    <col min="5" max="5" width="6" style="4" customWidth="1"/>
    <col min="6" max="6" width="12.25" style="4" customWidth="1"/>
    <col min="7" max="7" width="14.1333333333333" style="4" customWidth="1"/>
    <col min="8" max="8" width="13.3833333333333" style="4" customWidth="1"/>
    <col min="9" max="9" width="14" style="4" customWidth="1"/>
    <col min="10" max="10" width="4.75" style="6" customWidth="1"/>
    <col min="11" max="11" width="35.3833333333333" style="7" customWidth="1"/>
    <col min="12" max="12" width="12.75" style="7" customWidth="1"/>
    <col min="13" max="13" width="8" style="7" customWidth="1"/>
    <col min="14" max="14" width="5.63333333333333" style="7" customWidth="1"/>
    <col min="15" max="15" width="12.1333333333333" style="7" customWidth="1"/>
    <col min="16" max="16" width="11.5" style="8" customWidth="1"/>
    <col min="17" max="17" width="13.25" style="7" customWidth="1"/>
    <col min="18" max="16384" width="9" style="7"/>
  </cols>
  <sheetData>
    <row r="1" ht="38.25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7"/>
      <c r="L1" s="17"/>
    </row>
    <row r="2" ht="18" customHeight="1" spans="1:12">
      <c r="A2" s="10" t="s">
        <v>1</v>
      </c>
      <c r="B2" s="11">
        <v>43116</v>
      </c>
      <c r="C2" s="12" t="s">
        <v>2</v>
      </c>
      <c r="D2" s="13">
        <v>41448872</v>
      </c>
      <c r="E2" s="14" t="s">
        <v>3</v>
      </c>
      <c r="F2" s="12" t="s">
        <v>4</v>
      </c>
      <c r="G2" s="14" t="s">
        <v>5</v>
      </c>
      <c r="H2" s="15" t="s">
        <v>6</v>
      </c>
      <c r="I2" s="58"/>
      <c r="J2" s="59"/>
      <c r="K2" s="17"/>
      <c r="L2" s="17"/>
    </row>
    <row r="3" ht="18" customHeight="1" spans="1:13">
      <c r="A3" s="10" t="s">
        <v>7</v>
      </c>
      <c r="B3" s="16"/>
      <c r="C3" s="12" t="s">
        <v>8</v>
      </c>
      <c r="D3" s="12"/>
      <c r="H3" s="17"/>
      <c r="I3" s="17"/>
      <c r="J3" s="17"/>
      <c r="K3" s="17"/>
      <c r="L3" s="17"/>
      <c r="M3" s="60" t="s">
        <v>9</v>
      </c>
    </row>
    <row r="4" ht="18" customHeight="1" spans="1:12">
      <c r="A4" s="3" t="s">
        <v>10</v>
      </c>
      <c r="H4" s="17"/>
      <c r="I4" s="17"/>
      <c r="J4" s="17"/>
      <c r="K4" s="17"/>
      <c r="L4" s="17"/>
    </row>
    <row r="5" ht="18" customHeight="1" spans="1:10">
      <c r="A5" s="18" t="s">
        <v>11</v>
      </c>
      <c r="B5" s="18" t="s">
        <v>12</v>
      </c>
      <c r="C5" s="18" t="s">
        <v>13</v>
      </c>
      <c r="D5" s="18"/>
      <c r="E5" s="18" t="s">
        <v>14</v>
      </c>
      <c r="F5" s="18"/>
      <c r="G5" s="18" t="s">
        <v>15</v>
      </c>
      <c r="H5" s="19" t="s">
        <v>16</v>
      </c>
      <c r="I5" s="19"/>
      <c r="J5" s="19"/>
    </row>
    <row r="6" ht="18" customHeight="1" spans="1:11">
      <c r="A6" s="18"/>
      <c r="B6" s="18"/>
      <c r="C6" s="18" t="s">
        <v>17</v>
      </c>
      <c r="D6" s="18" t="s">
        <v>18</v>
      </c>
      <c r="E6" s="18" t="s">
        <v>17</v>
      </c>
      <c r="F6" s="18" t="s">
        <v>18</v>
      </c>
      <c r="G6" s="18"/>
      <c r="H6" s="19" t="s">
        <v>19</v>
      </c>
      <c r="I6" s="19" t="s">
        <v>20</v>
      </c>
      <c r="J6" s="19" t="s">
        <v>21</v>
      </c>
      <c r="K6" s="7" t="s">
        <v>22</v>
      </c>
    </row>
    <row r="7" ht="18" customHeight="1" spans="1:11">
      <c r="A7" s="20">
        <v>43287</v>
      </c>
      <c r="B7" s="12">
        <f t="shared" ref="B7:B13" si="0">G7/(1+C7+E7)</f>
        <v>5454545.45454545</v>
      </c>
      <c r="C7" s="21">
        <v>0.02</v>
      </c>
      <c r="D7" s="22">
        <f t="shared" ref="D7:D13" si="1">G7/(1+E7+C7)*C7</f>
        <v>109090.909090909</v>
      </c>
      <c r="E7" s="21">
        <v>0.08</v>
      </c>
      <c r="F7" s="12">
        <f t="shared" ref="F7:F13" si="2">G7/(1+C7+E7)*E7</f>
        <v>436363.636363636</v>
      </c>
      <c r="G7" s="23">
        <v>6000000</v>
      </c>
      <c r="H7" s="20">
        <v>43294</v>
      </c>
      <c r="I7" s="12">
        <v>6000000</v>
      </c>
      <c r="J7" s="61" t="s">
        <v>23</v>
      </c>
      <c r="K7" s="7" t="s">
        <v>24</v>
      </c>
    </row>
    <row r="8" ht="18" customHeight="1" spans="1:10">
      <c r="A8" s="20">
        <v>43473</v>
      </c>
      <c r="B8" s="12">
        <f t="shared" si="0"/>
        <v>9636363.63636363</v>
      </c>
      <c r="C8" s="21">
        <v>0.02</v>
      </c>
      <c r="D8" s="22">
        <f t="shared" si="1"/>
        <v>192727.272727273</v>
      </c>
      <c r="E8" s="21">
        <v>0.08</v>
      </c>
      <c r="F8" s="12">
        <f t="shared" si="2"/>
        <v>770909.090909091</v>
      </c>
      <c r="G8" s="23">
        <v>10600000</v>
      </c>
      <c r="H8" s="20">
        <v>43483</v>
      </c>
      <c r="I8" s="12">
        <v>10600000</v>
      </c>
      <c r="J8" s="61" t="s">
        <v>23</v>
      </c>
    </row>
    <row r="9" ht="18" customHeight="1" spans="1:10">
      <c r="A9" s="20">
        <v>43654</v>
      </c>
      <c r="B9" s="12">
        <f t="shared" si="0"/>
        <v>2752293.57798165</v>
      </c>
      <c r="C9" s="21">
        <v>0.02</v>
      </c>
      <c r="D9" s="22">
        <f t="shared" si="1"/>
        <v>55045.871559633</v>
      </c>
      <c r="E9" s="21">
        <v>0.07</v>
      </c>
      <c r="F9" s="12">
        <f t="shared" si="2"/>
        <v>192660.550458716</v>
      </c>
      <c r="G9" s="23">
        <v>3000000</v>
      </c>
      <c r="H9" s="20">
        <v>43661</v>
      </c>
      <c r="I9" s="12">
        <v>3000000</v>
      </c>
      <c r="J9" s="61" t="s">
        <v>23</v>
      </c>
    </row>
    <row r="10" ht="18" customHeight="1" spans="1:11">
      <c r="A10" s="20">
        <v>43816</v>
      </c>
      <c r="B10" s="12">
        <f t="shared" si="0"/>
        <v>3271989.90825688</v>
      </c>
      <c r="C10" s="21">
        <v>0.02</v>
      </c>
      <c r="D10" s="22">
        <f t="shared" si="1"/>
        <v>65439.7981651376</v>
      </c>
      <c r="E10" s="24">
        <v>0.07</v>
      </c>
      <c r="F10" s="12">
        <f t="shared" si="2"/>
        <v>229039.293577982</v>
      </c>
      <c r="G10" s="23">
        <v>3566469</v>
      </c>
      <c r="H10" s="20">
        <v>43819</v>
      </c>
      <c r="I10" s="12">
        <v>3566469</v>
      </c>
      <c r="J10" s="61" t="s">
        <v>23</v>
      </c>
      <c r="K10" s="7">
        <f>F10+F11-F38</f>
        <v>146850.114036697</v>
      </c>
    </row>
    <row r="11" ht="18" customHeight="1" spans="1:10">
      <c r="A11" s="20">
        <v>43847</v>
      </c>
      <c r="B11" s="12">
        <f t="shared" si="0"/>
        <v>3752293.57798165</v>
      </c>
      <c r="C11" s="21">
        <v>0.02</v>
      </c>
      <c r="D11" s="22">
        <f t="shared" si="1"/>
        <v>75045.871559633</v>
      </c>
      <c r="E11" s="24">
        <v>0.07</v>
      </c>
      <c r="F11" s="12">
        <f t="shared" si="2"/>
        <v>262660.550458716</v>
      </c>
      <c r="G11" s="23">
        <v>4090000</v>
      </c>
      <c r="H11" s="20">
        <v>43916</v>
      </c>
      <c r="I11" s="12">
        <v>4090000</v>
      </c>
      <c r="J11" s="61" t="s">
        <v>23</v>
      </c>
    </row>
    <row r="12" ht="18" customHeight="1" spans="1:10">
      <c r="A12" s="20">
        <v>44034</v>
      </c>
      <c r="B12" s="12">
        <f t="shared" si="0"/>
        <v>2559549.5412844</v>
      </c>
      <c r="C12" s="24">
        <v>0.02</v>
      </c>
      <c r="D12" s="22">
        <f t="shared" si="1"/>
        <v>51190.9908256881</v>
      </c>
      <c r="E12" s="24">
        <v>0.07</v>
      </c>
      <c r="F12" s="12">
        <f t="shared" si="2"/>
        <v>179168.467889908</v>
      </c>
      <c r="G12" s="23">
        <v>2789909</v>
      </c>
      <c r="H12" s="20">
        <v>44075</v>
      </c>
      <c r="I12" s="12">
        <v>2743531</v>
      </c>
      <c r="J12" s="61" t="s">
        <v>23</v>
      </c>
    </row>
    <row r="13" ht="18" customHeight="1" spans="1:11">
      <c r="A13" s="20">
        <v>44116</v>
      </c>
      <c r="B13" s="12">
        <f t="shared" si="0"/>
        <v>2320978.89908257</v>
      </c>
      <c r="C13" s="24">
        <v>0.02</v>
      </c>
      <c r="D13" s="22">
        <f t="shared" si="1"/>
        <v>46419.5779816514</v>
      </c>
      <c r="E13" s="24">
        <v>0.07</v>
      </c>
      <c r="F13" s="12">
        <f t="shared" si="2"/>
        <v>162468.52293578</v>
      </c>
      <c r="G13" s="23">
        <v>2529867</v>
      </c>
      <c r="H13" s="20">
        <v>44126</v>
      </c>
      <c r="I13" s="12">
        <v>1529867</v>
      </c>
      <c r="J13" s="61" t="s">
        <v>23</v>
      </c>
      <c r="K13" s="7">
        <f>I13*0.006</f>
        <v>9179.202</v>
      </c>
    </row>
    <row r="14" ht="24" customHeight="1" spans="1:10">
      <c r="A14" s="25" t="s">
        <v>25</v>
      </c>
      <c r="B14" s="26">
        <f t="shared" ref="B14:G14" si="3">SUM(B7:B13)</f>
        <v>29748014.5954962</v>
      </c>
      <c r="C14" s="27"/>
      <c r="D14" s="27">
        <f t="shared" si="3"/>
        <v>594960.291909925</v>
      </c>
      <c r="E14" s="27"/>
      <c r="F14" s="28">
        <f t="shared" si="3"/>
        <v>2233270.11259383</v>
      </c>
      <c r="G14" s="27">
        <f t="shared" si="3"/>
        <v>32576245</v>
      </c>
      <c r="H14" s="29"/>
      <c r="I14" s="27">
        <f>SUM(I7:I13)</f>
        <v>31529867</v>
      </c>
      <c r="J14" s="29"/>
    </row>
    <row r="15" ht="18" customHeight="1" spans="1:12">
      <c r="A15" s="3" t="s">
        <v>26</v>
      </c>
      <c r="B15" s="7"/>
      <c r="J15" s="4"/>
      <c r="K15" s="4"/>
      <c r="L15" s="6"/>
    </row>
    <row r="16" ht="18" customHeight="1" spans="1:15">
      <c r="A16" s="30" t="s">
        <v>19</v>
      </c>
      <c r="B16" s="18" t="s">
        <v>27</v>
      </c>
      <c r="C16" s="18" t="s">
        <v>28</v>
      </c>
      <c r="D16" s="18" t="s">
        <v>29</v>
      </c>
      <c r="E16" s="18" t="s">
        <v>17</v>
      </c>
      <c r="F16" s="18" t="s">
        <v>30</v>
      </c>
      <c r="G16" s="18" t="s">
        <v>15</v>
      </c>
      <c r="H16" s="18" t="s">
        <v>31</v>
      </c>
      <c r="I16" s="18" t="s">
        <v>32</v>
      </c>
      <c r="J16" s="18" t="s">
        <v>21</v>
      </c>
      <c r="K16" s="62" t="s">
        <v>33</v>
      </c>
      <c r="L16" s="19" t="s">
        <v>34</v>
      </c>
      <c r="M16" s="19" t="s">
        <v>35</v>
      </c>
      <c r="N16" s="19" t="s">
        <v>36</v>
      </c>
      <c r="O16" s="19" t="s">
        <v>37</v>
      </c>
    </row>
    <row r="17" s="1" customFormat="1" ht="18" customHeight="1" spans="1:16">
      <c r="A17" s="31">
        <v>43302</v>
      </c>
      <c r="B17" s="32">
        <f t="shared" ref="B17:B41" si="4">ROUND(G17/(1+E17),2)</f>
        <v>2912621.36</v>
      </c>
      <c r="C17" s="33">
        <v>3</v>
      </c>
      <c r="D17" s="34" t="s">
        <v>38</v>
      </c>
      <c r="E17" s="35">
        <v>0.03</v>
      </c>
      <c r="F17" s="32">
        <f t="shared" ref="F17:F41" si="5">ROUND(G17/(1+E17)*E17,2)</f>
        <v>87378.64</v>
      </c>
      <c r="G17" s="23">
        <f>1000000*3</f>
        <v>3000000</v>
      </c>
      <c r="H17" s="20">
        <v>43300</v>
      </c>
      <c r="I17" s="12">
        <v>3000000</v>
      </c>
      <c r="J17" s="61" t="s">
        <v>23</v>
      </c>
      <c r="K17" s="74" t="s">
        <v>39</v>
      </c>
      <c r="L17" s="64" t="s">
        <v>40</v>
      </c>
      <c r="M17" s="65" t="s">
        <v>41</v>
      </c>
      <c r="N17" s="65"/>
      <c r="O17" s="64"/>
      <c r="P17" s="66"/>
    </row>
    <row r="18" s="1" customFormat="1" ht="18" customHeight="1" spans="1:16">
      <c r="A18" s="31">
        <v>43307</v>
      </c>
      <c r="B18" s="32">
        <f t="shared" si="4"/>
        <v>1750000</v>
      </c>
      <c r="C18" s="33">
        <v>2</v>
      </c>
      <c r="D18" s="34" t="s">
        <v>38</v>
      </c>
      <c r="E18" s="35">
        <v>0.16</v>
      </c>
      <c r="F18" s="32">
        <f t="shared" si="5"/>
        <v>280000</v>
      </c>
      <c r="G18" s="23">
        <f>999900+1030100</f>
        <v>2030000</v>
      </c>
      <c r="H18" s="20">
        <v>43300</v>
      </c>
      <c r="I18" s="12">
        <v>2030000</v>
      </c>
      <c r="J18" s="61" t="s">
        <v>23</v>
      </c>
      <c r="K18" s="74" t="s">
        <v>42</v>
      </c>
      <c r="L18" s="64" t="s">
        <v>43</v>
      </c>
      <c r="M18" s="65" t="s">
        <v>41</v>
      </c>
      <c r="N18" s="65"/>
      <c r="O18" s="64"/>
      <c r="P18" s="66"/>
    </row>
    <row r="19" s="1" customFormat="1" ht="18" customHeight="1" spans="1:16">
      <c r="A19" s="31">
        <v>43330</v>
      </c>
      <c r="B19" s="37">
        <f t="shared" si="4"/>
        <v>582524.27</v>
      </c>
      <c r="C19" s="33">
        <v>1</v>
      </c>
      <c r="D19" s="34" t="s">
        <v>38</v>
      </c>
      <c r="E19" s="35">
        <v>0.03</v>
      </c>
      <c r="F19" s="37">
        <f t="shared" si="5"/>
        <v>17475.73</v>
      </c>
      <c r="G19" s="39">
        <v>600000</v>
      </c>
      <c r="H19" s="20">
        <v>43340</v>
      </c>
      <c r="I19" s="67">
        <v>600000</v>
      </c>
      <c r="J19" s="61" t="s">
        <v>23</v>
      </c>
      <c r="K19" s="74" t="s">
        <v>39</v>
      </c>
      <c r="L19" s="64" t="s">
        <v>44</v>
      </c>
      <c r="M19" s="65" t="s">
        <v>41</v>
      </c>
      <c r="N19" s="65"/>
      <c r="O19" s="64"/>
      <c r="P19" s="66"/>
    </row>
    <row r="20" s="1" customFormat="1" ht="18" customHeight="1" spans="1:16">
      <c r="A20" s="31">
        <v>43374</v>
      </c>
      <c r="B20" s="32">
        <f t="shared" si="4"/>
        <v>258543</v>
      </c>
      <c r="C20" s="33"/>
      <c r="D20" s="34" t="s">
        <v>45</v>
      </c>
      <c r="E20" s="35"/>
      <c r="F20" s="32">
        <f t="shared" si="5"/>
        <v>0</v>
      </c>
      <c r="G20" s="23">
        <v>258543</v>
      </c>
      <c r="H20" s="20"/>
      <c r="I20" s="12"/>
      <c r="J20" s="61"/>
      <c r="K20" s="74" t="s">
        <v>46</v>
      </c>
      <c r="L20" s="64" t="s">
        <v>47</v>
      </c>
      <c r="M20" s="65"/>
      <c r="N20" s="65"/>
      <c r="O20" s="64"/>
      <c r="P20" s="66"/>
    </row>
    <row r="21" s="1" customFormat="1" ht="18" customHeight="1" spans="1:16">
      <c r="A21" s="31">
        <v>43435</v>
      </c>
      <c r="B21" s="32">
        <f t="shared" si="4"/>
        <v>495747.57</v>
      </c>
      <c r="C21" s="33">
        <v>5</v>
      </c>
      <c r="D21" s="34" t="s">
        <v>38</v>
      </c>
      <c r="E21" s="35">
        <v>0.03</v>
      </c>
      <c r="F21" s="32">
        <f t="shared" si="5"/>
        <v>14872.43</v>
      </c>
      <c r="G21" s="23">
        <f>102124*5</f>
        <v>510620</v>
      </c>
      <c r="H21" s="20">
        <v>43434</v>
      </c>
      <c r="I21" s="12">
        <v>171270</v>
      </c>
      <c r="J21" s="61" t="s">
        <v>23</v>
      </c>
      <c r="K21" s="74" t="s">
        <v>48</v>
      </c>
      <c r="L21" s="64" t="s">
        <v>49</v>
      </c>
      <c r="M21" s="65" t="s">
        <v>41</v>
      </c>
      <c r="N21" s="65"/>
      <c r="O21" s="64"/>
      <c r="P21" s="66"/>
    </row>
    <row r="22" s="1" customFormat="1" ht="18" customHeight="1" spans="1:16">
      <c r="A22" s="31"/>
      <c r="B22" s="32">
        <f t="shared" si="4"/>
        <v>0</v>
      </c>
      <c r="C22" s="33"/>
      <c r="D22" s="34"/>
      <c r="E22" s="35"/>
      <c r="F22" s="32">
        <f t="shared" si="5"/>
        <v>0</v>
      </c>
      <c r="G22" s="23"/>
      <c r="H22" s="20">
        <v>43434</v>
      </c>
      <c r="I22" s="12">
        <v>339350</v>
      </c>
      <c r="J22" s="61" t="s">
        <v>23</v>
      </c>
      <c r="K22" s="74" t="s">
        <v>48</v>
      </c>
      <c r="L22" s="64" t="s">
        <v>49</v>
      </c>
      <c r="M22" s="65" t="s">
        <v>41</v>
      </c>
      <c r="N22" s="65"/>
      <c r="O22" s="64"/>
      <c r="P22" s="66"/>
    </row>
    <row r="23" s="1" customFormat="1" ht="18" customHeight="1" spans="1:16">
      <c r="A23" s="31"/>
      <c r="B23" s="32">
        <f t="shared" si="4"/>
        <v>0</v>
      </c>
      <c r="C23" s="33"/>
      <c r="D23" s="34"/>
      <c r="E23" s="35"/>
      <c r="F23" s="32">
        <f t="shared" si="5"/>
        <v>0</v>
      </c>
      <c r="G23" s="23"/>
      <c r="H23" s="20">
        <v>43434</v>
      </c>
      <c r="I23" s="12">
        <v>-339350</v>
      </c>
      <c r="J23" s="61" t="s">
        <v>50</v>
      </c>
      <c r="K23" s="74" t="s">
        <v>51</v>
      </c>
      <c r="L23" s="64"/>
      <c r="M23" s="65"/>
      <c r="N23" s="65"/>
      <c r="O23" s="64"/>
      <c r="P23" s="66"/>
    </row>
    <row r="24" s="1" customFormat="1" ht="18" customHeight="1" spans="1:16">
      <c r="A24" s="31">
        <v>43466</v>
      </c>
      <c r="B24" s="32">
        <f t="shared" si="4"/>
        <v>1922330.1</v>
      </c>
      <c r="C24" s="33"/>
      <c r="D24" s="34" t="s">
        <v>38</v>
      </c>
      <c r="E24" s="35">
        <v>0.03</v>
      </c>
      <c r="F24" s="32">
        <f t="shared" si="5"/>
        <v>57669.9</v>
      </c>
      <c r="G24" s="23">
        <f>1000000+980000</f>
        <v>1980000</v>
      </c>
      <c r="H24" s="20">
        <v>43486</v>
      </c>
      <c r="I24" s="12">
        <f>1000000+980000</f>
        <v>1980000</v>
      </c>
      <c r="J24" s="61" t="s">
        <v>23</v>
      </c>
      <c r="K24" s="74" t="s">
        <v>39</v>
      </c>
      <c r="L24" s="64" t="s">
        <v>44</v>
      </c>
      <c r="M24" s="65" t="s">
        <v>41</v>
      </c>
      <c r="N24" s="65"/>
      <c r="O24" s="64"/>
      <c r="P24" s="66"/>
    </row>
    <row r="25" s="1" customFormat="1" ht="18" customHeight="1" spans="1:16">
      <c r="A25" s="31">
        <v>43466</v>
      </c>
      <c r="B25" s="32">
        <f t="shared" si="4"/>
        <v>2912621.36</v>
      </c>
      <c r="C25" s="33"/>
      <c r="D25" s="34" t="s">
        <v>38</v>
      </c>
      <c r="E25" s="35">
        <v>0.03</v>
      </c>
      <c r="F25" s="32">
        <f t="shared" si="5"/>
        <v>87378.64</v>
      </c>
      <c r="G25" s="23">
        <f>30*100000</f>
        <v>3000000</v>
      </c>
      <c r="H25" s="20">
        <v>43486</v>
      </c>
      <c r="I25" s="12">
        <f>30*100000</f>
        <v>3000000</v>
      </c>
      <c r="J25" s="61" t="s">
        <v>23</v>
      </c>
      <c r="K25" s="74" t="s">
        <v>48</v>
      </c>
      <c r="L25" s="64" t="s">
        <v>49</v>
      </c>
      <c r="M25" s="65" t="s">
        <v>41</v>
      </c>
      <c r="N25" s="65"/>
      <c r="O25" s="64"/>
      <c r="P25" s="66"/>
    </row>
    <row r="26" s="1" customFormat="1" ht="18" customHeight="1" spans="1:16">
      <c r="A26" s="31">
        <v>43466</v>
      </c>
      <c r="B26" s="32">
        <f t="shared" si="4"/>
        <v>996377.24</v>
      </c>
      <c r="C26" s="33"/>
      <c r="D26" s="34" t="s">
        <v>38</v>
      </c>
      <c r="E26" s="35">
        <v>0.16</v>
      </c>
      <c r="F26" s="32">
        <f t="shared" si="5"/>
        <v>159420.36</v>
      </c>
      <c r="G26" s="23">
        <v>1155797.6</v>
      </c>
      <c r="H26" s="20">
        <v>43490</v>
      </c>
      <c r="I26" s="12">
        <v>1100000</v>
      </c>
      <c r="J26" s="61" t="s">
        <v>23</v>
      </c>
      <c r="K26" s="69" t="s">
        <v>52</v>
      </c>
      <c r="L26" s="69" t="s">
        <v>53</v>
      </c>
      <c r="M26" s="65" t="s">
        <v>41</v>
      </c>
      <c r="N26" s="65"/>
      <c r="O26" s="64"/>
      <c r="P26" s="66"/>
    </row>
    <row r="27" s="1" customFormat="1" ht="18" customHeight="1" spans="1:16">
      <c r="A27" s="31"/>
      <c r="B27" s="32">
        <f t="shared" si="4"/>
        <v>0</v>
      </c>
      <c r="C27" s="33"/>
      <c r="D27" s="34"/>
      <c r="E27" s="35"/>
      <c r="F27" s="32">
        <f t="shared" si="5"/>
        <v>0</v>
      </c>
      <c r="G27" s="23"/>
      <c r="H27" s="20">
        <v>43494</v>
      </c>
      <c r="I27" s="12">
        <v>55787.6</v>
      </c>
      <c r="J27" s="61" t="s">
        <v>23</v>
      </c>
      <c r="K27" s="69" t="s">
        <v>52</v>
      </c>
      <c r="L27" s="69" t="s">
        <v>53</v>
      </c>
      <c r="M27" s="65"/>
      <c r="N27" s="65"/>
      <c r="O27" s="64"/>
      <c r="P27" s="66"/>
    </row>
    <row r="28" s="1" customFormat="1" ht="18" customHeight="1" spans="1:16">
      <c r="A28" s="41">
        <v>43497</v>
      </c>
      <c r="B28" s="32">
        <f t="shared" si="4"/>
        <v>1028276.8</v>
      </c>
      <c r="C28" s="42"/>
      <c r="D28" s="43" t="s">
        <v>54</v>
      </c>
      <c r="E28" s="44"/>
      <c r="F28" s="54">
        <f t="shared" si="5"/>
        <v>0</v>
      </c>
      <c r="G28" s="32">
        <v>1028276.8</v>
      </c>
      <c r="H28" s="46">
        <v>43528</v>
      </c>
      <c r="I28" s="32">
        <v>1028276.8</v>
      </c>
      <c r="J28" s="70" t="s">
        <v>23</v>
      </c>
      <c r="K28" s="71" t="s">
        <v>55</v>
      </c>
      <c r="L28" s="71" t="s">
        <v>56</v>
      </c>
      <c r="M28" s="65" t="s">
        <v>41</v>
      </c>
      <c r="N28" s="65"/>
      <c r="O28" s="72" t="s">
        <v>57</v>
      </c>
      <c r="P28" s="66">
        <v>1028276.8</v>
      </c>
    </row>
    <row r="29" s="1" customFormat="1" ht="18" customHeight="1" spans="1:16">
      <c r="A29" s="41">
        <v>43498</v>
      </c>
      <c r="B29" s="32">
        <f t="shared" si="4"/>
        <v>1987611.75</v>
      </c>
      <c r="C29" s="42"/>
      <c r="D29" s="43" t="s">
        <v>54</v>
      </c>
      <c r="E29" s="44"/>
      <c r="F29" s="54">
        <f t="shared" si="5"/>
        <v>0</v>
      </c>
      <c r="G29" s="32">
        <v>1987611.75</v>
      </c>
      <c r="H29" s="46">
        <v>43531</v>
      </c>
      <c r="I29" s="32">
        <v>1987611.75</v>
      </c>
      <c r="J29" s="70" t="s">
        <v>23</v>
      </c>
      <c r="K29" s="71" t="s">
        <v>55</v>
      </c>
      <c r="L29" s="71" t="s">
        <v>58</v>
      </c>
      <c r="M29" s="65" t="s">
        <v>41</v>
      </c>
      <c r="N29" s="65"/>
      <c r="O29" s="72" t="s">
        <v>57</v>
      </c>
      <c r="P29" s="66">
        <v>1021570.15</v>
      </c>
    </row>
    <row r="30" s="1" customFormat="1" ht="18" customHeight="1" spans="1:16">
      <c r="A30" s="41">
        <v>43499</v>
      </c>
      <c r="B30" s="32">
        <f t="shared" si="4"/>
        <v>0</v>
      </c>
      <c r="C30" s="42"/>
      <c r="D30" s="43" t="s">
        <v>54</v>
      </c>
      <c r="E30" s="44"/>
      <c r="F30" s="54">
        <f t="shared" si="5"/>
        <v>0</v>
      </c>
      <c r="G30" s="47"/>
      <c r="H30" s="46"/>
      <c r="I30" s="54"/>
      <c r="J30" s="70"/>
      <c r="K30" s="71" t="s">
        <v>55</v>
      </c>
      <c r="L30" s="71" t="s">
        <v>59</v>
      </c>
      <c r="M30" s="65"/>
      <c r="N30" s="65"/>
      <c r="O30" s="72" t="s">
        <v>57</v>
      </c>
      <c r="P30" s="66">
        <v>966041.6</v>
      </c>
    </row>
    <row r="31" s="1" customFormat="1" ht="18" customHeight="1" spans="1:16">
      <c r="A31" s="31">
        <v>43525</v>
      </c>
      <c r="B31" s="32">
        <f t="shared" si="4"/>
        <v>1336300</v>
      </c>
      <c r="C31" s="33"/>
      <c r="D31" s="34" t="s">
        <v>54</v>
      </c>
      <c r="E31" s="35"/>
      <c r="F31" s="32">
        <f t="shared" si="5"/>
        <v>0</v>
      </c>
      <c r="G31" s="23">
        <v>1336300</v>
      </c>
      <c r="H31" s="20">
        <v>43549</v>
      </c>
      <c r="I31" s="12">
        <v>851040.85</v>
      </c>
      <c r="J31" s="61" t="s">
        <v>23</v>
      </c>
      <c r="K31" s="69" t="s">
        <v>60</v>
      </c>
      <c r="L31" s="69" t="s">
        <v>61</v>
      </c>
      <c r="M31" s="65"/>
      <c r="N31" s="65"/>
      <c r="O31" s="64"/>
      <c r="P31" s="66"/>
    </row>
    <row r="32" s="1" customFormat="1" ht="18" customHeight="1" spans="1:17">
      <c r="A32" s="31"/>
      <c r="B32" s="32">
        <f t="shared" si="4"/>
        <v>0</v>
      </c>
      <c r="C32" s="33"/>
      <c r="D32" s="34"/>
      <c r="E32" s="35"/>
      <c r="F32" s="32">
        <f t="shared" si="5"/>
        <v>0</v>
      </c>
      <c r="G32" s="23"/>
      <c r="H32" s="20">
        <v>43563</v>
      </c>
      <c r="I32" s="73">
        <v>304741.64</v>
      </c>
      <c r="J32" s="61" t="s">
        <v>23</v>
      </c>
      <c r="K32" s="69" t="s">
        <v>60</v>
      </c>
      <c r="L32" s="69" t="s">
        <v>61</v>
      </c>
      <c r="M32" s="65" t="s">
        <v>41</v>
      </c>
      <c r="N32" s="65"/>
      <c r="O32" s="64"/>
      <c r="P32" s="66">
        <f>P28+P29+P30</f>
        <v>3015888.55</v>
      </c>
      <c r="Q32" s="1">
        <f>P32*0.25</f>
        <v>753972.1375</v>
      </c>
    </row>
    <row r="33" s="1" customFormat="1" ht="18" customHeight="1" spans="1:16">
      <c r="A33" s="31"/>
      <c r="B33" s="32">
        <f t="shared" si="4"/>
        <v>0</v>
      </c>
      <c r="C33" s="33"/>
      <c r="D33" s="34"/>
      <c r="E33" s="35"/>
      <c r="F33" s="32">
        <f t="shared" si="5"/>
        <v>0</v>
      </c>
      <c r="G33" s="23"/>
      <c r="H33" s="20">
        <v>43563</v>
      </c>
      <c r="I33" s="12">
        <v>-304741.64</v>
      </c>
      <c r="J33" s="61" t="s">
        <v>50</v>
      </c>
      <c r="K33" s="74" t="s">
        <v>51</v>
      </c>
      <c r="L33" s="69"/>
      <c r="M33" s="65"/>
      <c r="N33" s="65"/>
      <c r="O33" s="64"/>
      <c r="P33" s="66">
        <v>3020000</v>
      </c>
    </row>
    <row r="34" s="1" customFormat="1" ht="18" customHeight="1" spans="1:16">
      <c r="A34" s="31">
        <v>43586</v>
      </c>
      <c r="B34" s="32">
        <f t="shared" si="4"/>
        <v>97087.38</v>
      </c>
      <c r="C34" s="33"/>
      <c r="D34" s="34" t="s">
        <v>38</v>
      </c>
      <c r="E34" s="35">
        <v>0.03</v>
      </c>
      <c r="F34" s="32">
        <f t="shared" si="5"/>
        <v>2912.62</v>
      </c>
      <c r="G34" s="23">
        <v>100000</v>
      </c>
      <c r="H34" s="20">
        <v>43669</v>
      </c>
      <c r="I34" s="12">
        <v>100000</v>
      </c>
      <c r="J34" s="61" t="s">
        <v>23</v>
      </c>
      <c r="K34" s="74" t="s">
        <v>39</v>
      </c>
      <c r="L34" s="64" t="s">
        <v>44</v>
      </c>
      <c r="M34" s="65"/>
      <c r="N34" s="65"/>
      <c r="O34" s="64"/>
      <c r="P34" s="66"/>
    </row>
    <row r="35" ht="18" customHeight="1" spans="1:15">
      <c r="A35" s="48">
        <v>43647</v>
      </c>
      <c r="B35" s="12">
        <f t="shared" si="4"/>
        <v>2230973.45</v>
      </c>
      <c r="C35" s="49"/>
      <c r="D35" s="50" t="s">
        <v>38</v>
      </c>
      <c r="E35" s="51">
        <v>0.13</v>
      </c>
      <c r="F35" s="12">
        <f t="shared" si="5"/>
        <v>290026.55</v>
      </c>
      <c r="G35" s="52">
        <f>109600*22+109800</f>
        <v>2521000</v>
      </c>
      <c r="H35" s="20">
        <v>43669</v>
      </c>
      <c r="I35" s="12">
        <f>109600*22+109800</f>
        <v>2521000</v>
      </c>
      <c r="J35" s="61" t="s">
        <v>23</v>
      </c>
      <c r="K35" s="75" t="s">
        <v>62</v>
      </c>
      <c r="L35" s="29" t="s">
        <v>63</v>
      </c>
      <c r="M35" s="61" t="s">
        <v>41</v>
      </c>
      <c r="N35" s="61" t="s">
        <v>41</v>
      </c>
      <c r="O35" s="29"/>
    </row>
    <row r="36" customFormat="1" ht="18" customHeight="1" spans="1:16">
      <c r="A36" s="48">
        <v>43678</v>
      </c>
      <c r="B36" s="12">
        <f t="shared" si="4"/>
        <v>286407.77</v>
      </c>
      <c r="C36" s="49"/>
      <c r="D36" s="50" t="s">
        <v>38</v>
      </c>
      <c r="E36" s="53">
        <v>0.03</v>
      </c>
      <c r="F36" s="12">
        <f t="shared" si="5"/>
        <v>8592.23</v>
      </c>
      <c r="G36" s="52">
        <v>295000</v>
      </c>
      <c r="H36" s="20"/>
      <c r="I36" s="12"/>
      <c r="J36" s="61"/>
      <c r="K36" s="75" t="s">
        <v>39</v>
      </c>
      <c r="L36" s="29" t="s">
        <v>40</v>
      </c>
      <c r="M36" s="61"/>
      <c r="N36" s="61"/>
      <c r="O36" s="29"/>
      <c r="P36" s="76"/>
    </row>
    <row r="37" customFormat="1" ht="18" customHeight="1" spans="1:16">
      <c r="A37" s="48"/>
      <c r="B37" s="12">
        <f t="shared" si="4"/>
        <v>0</v>
      </c>
      <c r="C37" s="49"/>
      <c r="D37" s="50"/>
      <c r="E37" s="51"/>
      <c r="F37" s="12">
        <f t="shared" si="5"/>
        <v>0</v>
      </c>
      <c r="G37" s="52"/>
      <c r="H37" s="20">
        <v>43696</v>
      </c>
      <c r="I37" s="12">
        <v>295000</v>
      </c>
      <c r="J37" s="61" t="s">
        <v>23</v>
      </c>
      <c r="K37" s="75" t="s">
        <v>39</v>
      </c>
      <c r="L37" s="29" t="s">
        <v>40</v>
      </c>
      <c r="M37" s="61"/>
      <c r="N37" s="61"/>
      <c r="O37" s="29"/>
      <c r="P37" s="76"/>
    </row>
    <row r="38" customFormat="1" ht="18" customHeight="1" spans="1:16">
      <c r="A38" s="48">
        <v>43800</v>
      </c>
      <c r="B38" s="12">
        <f t="shared" si="4"/>
        <v>2652690.27</v>
      </c>
      <c r="C38" s="49"/>
      <c r="D38" s="50" t="s">
        <v>38</v>
      </c>
      <c r="E38" s="51">
        <v>0.13</v>
      </c>
      <c r="F38" s="12">
        <f t="shared" si="5"/>
        <v>344849.73</v>
      </c>
      <c r="G38" s="52">
        <v>2997540</v>
      </c>
      <c r="H38" s="20">
        <v>43830</v>
      </c>
      <c r="I38" s="12">
        <v>2820066.65</v>
      </c>
      <c r="J38" s="61" t="s">
        <v>23</v>
      </c>
      <c r="K38" s="75" t="s">
        <v>64</v>
      </c>
      <c r="L38" s="29" t="s">
        <v>65</v>
      </c>
      <c r="M38" s="61" t="s">
        <v>41</v>
      </c>
      <c r="N38" s="61" t="s">
        <v>41</v>
      </c>
      <c r="O38" s="29"/>
      <c r="P38" s="76"/>
    </row>
    <row r="39" customFormat="1" ht="18" customHeight="1" spans="1:16">
      <c r="A39" s="48">
        <v>43891</v>
      </c>
      <c r="B39" s="12">
        <f t="shared" si="4"/>
        <v>2921519.47</v>
      </c>
      <c r="C39" s="49"/>
      <c r="D39" s="50" t="s">
        <v>38</v>
      </c>
      <c r="E39" s="51">
        <v>0.13</v>
      </c>
      <c r="F39" s="12">
        <f t="shared" si="5"/>
        <v>379797.53</v>
      </c>
      <c r="G39" s="133">
        <v>3301317</v>
      </c>
      <c r="H39" s="20"/>
      <c r="I39" s="12"/>
      <c r="J39" s="61"/>
      <c r="K39" s="75" t="s">
        <v>66</v>
      </c>
      <c r="L39" s="29" t="s">
        <v>67</v>
      </c>
      <c r="M39" s="61"/>
      <c r="N39" s="61"/>
      <c r="O39" s="29"/>
      <c r="P39" s="76"/>
    </row>
    <row r="40" customFormat="1" ht="18" customHeight="1" spans="1:16">
      <c r="A40" s="48"/>
      <c r="B40" s="12">
        <f t="shared" si="4"/>
        <v>0</v>
      </c>
      <c r="C40" s="49"/>
      <c r="D40" s="50"/>
      <c r="E40" s="51"/>
      <c r="F40" s="12">
        <f t="shared" si="5"/>
        <v>0</v>
      </c>
      <c r="G40" s="52"/>
      <c r="H40" s="20">
        <v>43921</v>
      </c>
      <c r="I40" s="12">
        <v>3301317</v>
      </c>
      <c r="J40" s="61" t="s">
        <v>23</v>
      </c>
      <c r="K40" s="75" t="s">
        <v>66</v>
      </c>
      <c r="L40" s="29"/>
      <c r="M40" s="61"/>
      <c r="N40" s="61"/>
      <c r="O40" s="29"/>
      <c r="P40" s="76"/>
    </row>
    <row r="41" customFormat="1" ht="18" customHeight="1" spans="1:16">
      <c r="A41" s="48"/>
      <c r="B41" s="12">
        <f t="shared" si="4"/>
        <v>0</v>
      </c>
      <c r="C41" s="49"/>
      <c r="D41" s="50"/>
      <c r="E41" s="51"/>
      <c r="F41" s="12">
        <f t="shared" si="5"/>
        <v>0</v>
      </c>
      <c r="G41" s="52"/>
      <c r="H41" s="20">
        <v>43964</v>
      </c>
      <c r="I41" s="12">
        <v>644091.64</v>
      </c>
      <c r="J41" s="61" t="s">
        <v>50</v>
      </c>
      <c r="K41" s="75" t="s">
        <v>68</v>
      </c>
      <c r="L41" s="29"/>
      <c r="M41" s="61"/>
      <c r="N41" s="61"/>
      <c r="O41" s="29"/>
      <c r="P41" s="76"/>
    </row>
    <row r="42" customFormat="1" ht="18" customHeight="1" spans="1:16">
      <c r="A42" s="48">
        <v>43952</v>
      </c>
      <c r="B42" s="12">
        <v>299520</v>
      </c>
      <c r="C42" s="49">
        <v>3</v>
      </c>
      <c r="D42" s="50" t="s">
        <v>45</v>
      </c>
      <c r="E42" s="51"/>
      <c r="F42" s="12"/>
      <c r="G42" s="52">
        <f t="shared" ref="G42:G45" si="6">99840+99840+99840</f>
        <v>299520</v>
      </c>
      <c r="H42" s="20"/>
      <c r="I42" s="12"/>
      <c r="J42" s="61"/>
      <c r="K42" s="75" t="s">
        <v>124</v>
      </c>
      <c r="L42" s="29" t="s">
        <v>125</v>
      </c>
      <c r="M42" s="70" t="s">
        <v>126</v>
      </c>
      <c r="N42" s="70" t="s">
        <v>126</v>
      </c>
      <c r="O42" s="29"/>
      <c r="P42" s="76"/>
    </row>
    <row r="43" customFormat="1" ht="18" customHeight="1" spans="1:16">
      <c r="A43" s="48">
        <v>43952</v>
      </c>
      <c r="B43" s="12">
        <v>299520</v>
      </c>
      <c r="C43" s="49">
        <v>3</v>
      </c>
      <c r="D43" s="50" t="s">
        <v>45</v>
      </c>
      <c r="E43" s="51"/>
      <c r="F43" s="12"/>
      <c r="G43" s="52">
        <f t="shared" si="6"/>
        <v>299520</v>
      </c>
      <c r="H43" s="20"/>
      <c r="I43" s="12"/>
      <c r="J43" s="61"/>
      <c r="K43" s="75" t="s">
        <v>127</v>
      </c>
      <c r="L43" s="29" t="s">
        <v>125</v>
      </c>
      <c r="M43" s="70" t="s">
        <v>126</v>
      </c>
      <c r="N43" s="70" t="s">
        <v>126</v>
      </c>
      <c r="O43" s="29"/>
      <c r="P43" s="76"/>
    </row>
    <row r="44" customFormat="1" ht="18" customHeight="1" spans="1:16">
      <c r="A44" s="48">
        <v>43952</v>
      </c>
      <c r="B44" s="12">
        <v>299520</v>
      </c>
      <c r="C44" s="49">
        <v>3</v>
      </c>
      <c r="D44" s="50" t="s">
        <v>45</v>
      </c>
      <c r="E44" s="51"/>
      <c r="F44" s="12"/>
      <c r="G44" s="52">
        <f t="shared" si="6"/>
        <v>299520</v>
      </c>
      <c r="H44" s="20"/>
      <c r="I44" s="12"/>
      <c r="J44" s="61"/>
      <c r="K44" s="75" t="s">
        <v>128</v>
      </c>
      <c r="L44" s="29" t="s">
        <v>125</v>
      </c>
      <c r="M44" s="70" t="s">
        <v>126</v>
      </c>
      <c r="N44" s="70" t="s">
        <v>126</v>
      </c>
      <c r="O44" s="29"/>
      <c r="P44" s="76"/>
    </row>
    <row r="45" customFormat="1" ht="18" customHeight="1" spans="1:16">
      <c r="A45" s="48">
        <v>43952</v>
      </c>
      <c r="B45" s="12">
        <v>299520</v>
      </c>
      <c r="C45" s="49">
        <v>3</v>
      </c>
      <c r="D45" s="50" t="s">
        <v>45</v>
      </c>
      <c r="E45" s="51"/>
      <c r="F45" s="12"/>
      <c r="G45" s="52">
        <f t="shared" si="6"/>
        <v>299520</v>
      </c>
      <c r="H45" s="20"/>
      <c r="I45" s="12"/>
      <c r="J45" s="61"/>
      <c r="K45" s="75" t="s">
        <v>129</v>
      </c>
      <c r="L45" s="29" t="s">
        <v>125</v>
      </c>
      <c r="M45" s="70" t="s">
        <v>126</v>
      </c>
      <c r="N45" s="70" t="s">
        <v>126</v>
      </c>
      <c r="O45" s="29"/>
      <c r="P45" s="76"/>
    </row>
    <row r="46" customFormat="1" ht="18" customHeight="1" spans="1:16">
      <c r="A46" s="48">
        <v>43952</v>
      </c>
      <c r="B46" s="12">
        <v>299520</v>
      </c>
      <c r="C46" s="49">
        <v>4</v>
      </c>
      <c r="D46" s="50" t="s">
        <v>45</v>
      </c>
      <c r="E46" s="51"/>
      <c r="F46" s="12"/>
      <c r="G46" s="52">
        <f t="shared" ref="G46:G49" si="7">99840*3+4960</f>
        <v>304480</v>
      </c>
      <c r="H46" s="20"/>
      <c r="I46" s="12"/>
      <c r="J46" s="61"/>
      <c r="K46" s="75" t="s">
        <v>130</v>
      </c>
      <c r="L46" s="29" t="s">
        <v>125</v>
      </c>
      <c r="M46" s="70" t="s">
        <v>126</v>
      </c>
      <c r="N46" s="70" t="s">
        <v>126</v>
      </c>
      <c r="O46" s="29"/>
      <c r="P46" s="76"/>
    </row>
    <row r="47" customFormat="1" ht="18" customHeight="1" spans="1:16">
      <c r="A47" s="48">
        <v>43952</v>
      </c>
      <c r="B47" s="12">
        <v>304480</v>
      </c>
      <c r="C47" s="49">
        <v>4</v>
      </c>
      <c r="D47" s="50" t="s">
        <v>45</v>
      </c>
      <c r="E47" s="51"/>
      <c r="F47" s="12"/>
      <c r="G47" s="52">
        <f t="shared" si="7"/>
        <v>304480</v>
      </c>
      <c r="H47" s="20"/>
      <c r="I47" s="12"/>
      <c r="J47" s="61"/>
      <c r="K47" s="75" t="s">
        <v>131</v>
      </c>
      <c r="L47" s="29" t="s">
        <v>125</v>
      </c>
      <c r="M47" s="70" t="s">
        <v>126</v>
      </c>
      <c r="N47" s="70" t="s">
        <v>126</v>
      </c>
      <c r="O47" s="29"/>
      <c r="P47" s="76"/>
    </row>
    <row r="48" customFormat="1" ht="18" customHeight="1" spans="1:16">
      <c r="A48" s="48">
        <v>43952</v>
      </c>
      <c r="B48" s="12">
        <v>299520</v>
      </c>
      <c r="C48" s="49">
        <v>3</v>
      </c>
      <c r="D48" s="50" t="s">
        <v>45</v>
      </c>
      <c r="E48" s="51"/>
      <c r="F48" s="12"/>
      <c r="G48" s="52">
        <f>99840*3</f>
        <v>299520</v>
      </c>
      <c r="H48" s="20"/>
      <c r="I48" s="12"/>
      <c r="J48" s="61"/>
      <c r="K48" s="75" t="s">
        <v>132</v>
      </c>
      <c r="L48" s="29" t="s">
        <v>125</v>
      </c>
      <c r="M48" s="70" t="s">
        <v>126</v>
      </c>
      <c r="N48" s="70" t="s">
        <v>126</v>
      </c>
      <c r="O48" s="29"/>
      <c r="P48" s="76"/>
    </row>
    <row r="49" customFormat="1" ht="18" customHeight="1" spans="1:16">
      <c r="A49" s="48">
        <v>43952</v>
      </c>
      <c r="B49" s="12">
        <v>304480</v>
      </c>
      <c r="C49" s="49">
        <v>4</v>
      </c>
      <c r="D49" s="50" t="s">
        <v>45</v>
      </c>
      <c r="E49" s="51"/>
      <c r="F49" s="12"/>
      <c r="G49" s="52">
        <f t="shared" si="7"/>
        <v>304480</v>
      </c>
      <c r="H49" s="20"/>
      <c r="I49" s="12"/>
      <c r="J49" s="61"/>
      <c r="K49" s="75" t="s">
        <v>133</v>
      </c>
      <c r="L49" s="29" t="s">
        <v>125</v>
      </c>
      <c r="M49" s="70" t="s">
        <v>126</v>
      </c>
      <c r="N49" s="70" t="s">
        <v>126</v>
      </c>
      <c r="O49" s="29"/>
      <c r="P49" s="76"/>
    </row>
    <row r="50" customFormat="1" ht="18" customHeight="1" spans="1:16">
      <c r="A50" s="48">
        <v>43952</v>
      </c>
      <c r="B50" s="12">
        <v>299520</v>
      </c>
      <c r="C50" s="49">
        <v>3</v>
      </c>
      <c r="D50" s="50" t="s">
        <v>45</v>
      </c>
      <c r="E50" s="51"/>
      <c r="F50" s="12"/>
      <c r="G50" s="52">
        <f>99840+99840+99840</f>
        <v>299520</v>
      </c>
      <c r="H50" s="20"/>
      <c r="I50" s="12"/>
      <c r="J50" s="61"/>
      <c r="K50" s="75" t="s">
        <v>134</v>
      </c>
      <c r="L50" s="29" t="s">
        <v>125</v>
      </c>
      <c r="M50" s="70" t="s">
        <v>126</v>
      </c>
      <c r="N50" s="70" t="s">
        <v>126</v>
      </c>
      <c r="O50" s="29"/>
      <c r="P50" s="76"/>
    </row>
    <row r="51" customFormat="1" ht="18" customHeight="1" spans="1:16">
      <c r="A51" s="48">
        <v>43952</v>
      </c>
      <c r="B51" s="12">
        <v>299520</v>
      </c>
      <c r="C51" s="49">
        <v>3</v>
      </c>
      <c r="D51" s="50" t="s">
        <v>45</v>
      </c>
      <c r="E51" s="51"/>
      <c r="F51" s="12"/>
      <c r="G51" s="52">
        <f>99840+99840+99840</f>
        <v>299520</v>
      </c>
      <c r="H51" s="20"/>
      <c r="I51" s="12"/>
      <c r="J51" s="61"/>
      <c r="K51" s="75" t="s">
        <v>135</v>
      </c>
      <c r="L51" s="29" t="s">
        <v>125</v>
      </c>
      <c r="M51" s="70" t="s">
        <v>126</v>
      </c>
      <c r="N51" s="70" t="s">
        <v>126</v>
      </c>
      <c r="O51" s="29"/>
      <c r="P51" s="76"/>
    </row>
    <row r="52" customFormat="1" ht="18" customHeight="1" spans="1:16">
      <c r="A52" s="48">
        <v>43952</v>
      </c>
      <c r="B52" s="12">
        <f t="shared" ref="B52:B57" si="8">ROUND(G52/(1+E52),2)</f>
        <v>619513.27</v>
      </c>
      <c r="C52" s="49"/>
      <c r="D52" s="50" t="s">
        <v>38</v>
      </c>
      <c r="E52" s="51">
        <v>0.13</v>
      </c>
      <c r="F52" s="12">
        <f t="shared" ref="F52:F57" si="9">ROUND(G52/(1+E52)*E52,2)</f>
        <v>80536.73</v>
      </c>
      <c r="G52" s="52">
        <v>700050</v>
      </c>
      <c r="H52" s="55">
        <v>43985</v>
      </c>
      <c r="I52" s="82">
        <v>700050</v>
      </c>
      <c r="J52" s="83" t="s">
        <v>23</v>
      </c>
      <c r="K52" s="84" t="s">
        <v>69</v>
      </c>
      <c r="L52" s="29" t="s">
        <v>70</v>
      </c>
      <c r="M52" s="61" t="s">
        <v>41</v>
      </c>
      <c r="N52" s="61" t="s">
        <v>41</v>
      </c>
      <c r="O52" s="29"/>
      <c r="P52" s="76"/>
    </row>
    <row r="53" customFormat="1" ht="18" customHeight="1" spans="1:16">
      <c r="A53" s="48">
        <v>44013</v>
      </c>
      <c r="B53" s="12">
        <f t="shared" si="8"/>
        <v>1771646.02</v>
      </c>
      <c r="C53" s="49"/>
      <c r="D53" s="50" t="s">
        <v>38</v>
      </c>
      <c r="E53" s="51">
        <v>0.13</v>
      </c>
      <c r="F53" s="12">
        <f t="shared" si="9"/>
        <v>230313.98</v>
      </c>
      <c r="G53" s="52">
        <f>1005960+996000</f>
        <v>2001960</v>
      </c>
      <c r="H53" s="55">
        <v>44063</v>
      </c>
      <c r="I53" s="82">
        <v>150000</v>
      </c>
      <c r="J53" s="83" t="s">
        <v>23</v>
      </c>
      <c r="K53" s="84" t="s">
        <v>64</v>
      </c>
      <c r="L53" s="29" t="s">
        <v>121</v>
      </c>
      <c r="M53" s="61" t="s">
        <v>41</v>
      </c>
      <c r="N53" s="61" t="s">
        <v>41</v>
      </c>
      <c r="O53" s="29"/>
      <c r="P53" s="76"/>
    </row>
    <row r="54" customFormat="1" ht="18" customHeight="1" spans="1:16">
      <c r="A54" s="48">
        <v>44075</v>
      </c>
      <c r="B54" s="12">
        <f t="shared" si="8"/>
        <v>1456310.68</v>
      </c>
      <c r="C54" s="49"/>
      <c r="D54" s="50" t="s">
        <v>38</v>
      </c>
      <c r="E54" s="53">
        <v>0.03</v>
      </c>
      <c r="F54" s="12">
        <f t="shared" si="9"/>
        <v>43689.32</v>
      </c>
      <c r="G54" s="52">
        <v>1500000</v>
      </c>
      <c r="H54" s="55">
        <v>44082</v>
      </c>
      <c r="I54" s="22">
        <v>1500000</v>
      </c>
      <c r="J54" s="85" t="s">
        <v>23</v>
      </c>
      <c r="K54" s="86" t="s">
        <v>136</v>
      </c>
      <c r="L54" s="29" t="s">
        <v>137</v>
      </c>
      <c r="M54" s="61"/>
      <c r="N54" s="61"/>
      <c r="O54" s="29"/>
      <c r="P54" s="76"/>
    </row>
    <row r="55" customFormat="1" ht="18" customHeight="1" spans="1:16">
      <c r="A55" s="48"/>
      <c r="B55" s="12">
        <f t="shared" si="8"/>
        <v>0</v>
      </c>
      <c r="C55" s="49"/>
      <c r="D55" s="50"/>
      <c r="E55" s="51"/>
      <c r="F55" s="12">
        <f t="shared" si="9"/>
        <v>0</v>
      </c>
      <c r="G55" s="52"/>
      <c r="H55" s="55">
        <v>44084</v>
      </c>
      <c r="I55" s="22">
        <v>490000</v>
      </c>
      <c r="J55" s="85" t="s">
        <v>23</v>
      </c>
      <c r="K55" s="86" t="s">
        <v>64</v>
      </c>
      <c r="L55" s="29"/>
      <c r="M55" s="61"/>
      <c r="N55" s="61"/>
      <c r="O55" s="29"/>
      <c r="P55" s="76"/>
    </row>
    <row r="56" customFormat="1" ht="18" customHeight="1" spans="1:16">
      <c r="A56" s="48"/>
      <c r="B56" s="12">
        <f t="shared" si="8"/>
        <v>0</v>
      </c>
      <c r="C56" s="49"/>
      <c r="D56" s="50"/>
      <c r="E56" s="53">
        <v>0.03</v>
      </c>
      <c r="F56" s="12">
        <f t="shared" si="9"/>
        <v>0</v>
      </c>
      <c r="G56" s="52"/>
      <c r="H56" s="56">
        <v>44103</v>
      </c>
      <c r="I56" s="22">
        <v>720000</v>
      </c>
      <c r="J56" s="85" t="s">
        <v>23</v>
      </c>
      <c r="K56" s="87" t="s">
        <v>69</v>
      </c>
      <c r="L56" s="29"/>
      <c r="M56" s="61"/>
      <c r="N56" s="61"/>
      <c r="O56" s="29"/>
      <c r="P56" s="76"/>
    </row>
    <row r="57" customFormat="1" ht="18" customHeight="1" spans="1:16">
      <c r="A57" s="48">
        <v>44105</v>
      </c>
      <c r="B57" s="12">
        <f t="shared" si="8"/>
        <v>1456310.68</v>
      </c>
      <c r="C57" s="49">
        <v>15</v>
      </c>
      <c r="D57" s="50" t="s">
        <v>38</v>
      </c>
      <c r="E57" s="53">
        <v>0.03</v>
      </c>
      <c r="F57" s="12">
        <f t="shared" si="9"/>
        <v>43689.32</v>
      </c>
      <c r="G57" s="52">
        <v>1500000</v>
      </c>
      <c r="H57" s="134">
        <v>44130</v>
      </c>
      <c r="I57" s="133">
        <v>1500000</v>
      </c>
      <c r="J57" s="135"/>
      <c r="K57" s="136" t="s">
        <v>136</v>
      </c>
      <c r="L57" s="29" t="s">
        <v>137</v>
      </c>
      <c r="M57" s="61"/>
      <c r="N57" s="61"/>
      <c r="O57" s="29"/>
      <c r="P57" s="76"/>
    </row>
    <row r="58" customFormat="1" ht="18" customHeight="1" spans="1:16">
      <c r="A58" s="48"/>
      <c r="B58" s="12"/>
      <c r="C58" s="49"/>
      <c r="D58" s="50"/>
      <c r="E58" s="53"/>
      <c r="F58" s="12"/>
      <c r="G58" s="52"/>
      <c r="H58" s="56"/>
      <c r="I58" s="22"/>
      <c r="J58" s="85"/>
      <c r="K58" s="86"/>
      <c r="L58" s="29"/>
      <c r="M58" s="61"/>
      <c r="N58" s="61"/>
      <c r="O58" s="29"/>
      <c r="P58" s="76"/>
    </row>
    <row r="59" customFormat="1" ht="18" customHeight="1" spans="1:16">
      <c r="A59" s="48"/>
      <c r="B59" s="12"/>
      <c r="C59" s="49"/>
      <c r="D59" s="50"/>
      <c r="E59" s="53"/>
      <c r="F59" s="12"/>
      <c r="G59" s="52"/>
      <c r="H59" s="56"/>
      <c r="I59" s="22"/>
      <c r="J59" s="85"/>
      <c r="K59" s="86"/>
      <c r="L59" s="29"/>
      <c r="M59" s="61"/>
      <c r="N59" s="61"/>
      <c r="O59" s="29"/>
      <c r="P59" s="76"/>
    </row>
    <row r="60" customFormat="1" ht="18" customHeight="1" spans="1:16">
      <c r="A60" s="48"/>
      <c r="B60" s="12"/>
      <c r="C60" s="49"/>
      <c r="D60" s="50"/>
      <c r="E60" s="53"/>
      <c r="F60" s="12"/>
      <c r="G60" s="52"/>
      <c r="H60" s="134">
        <v>44130</v>
      </c>
      <c r="I60" s="133">
        <v>200</v>
      </c>
      <c r="J60" s="135" t="s">
        <v>71</v>
      </c>
      <c r="K60" s="136" t="s">
        <v>72</v>
      </c>
      <c r="L60" s="29"/>
      <c r="M60" s="61"/>
      <c r="N60" s="61"/>
      <c r="O60" s="29"/>
      <c r="P60" s="76"/>
    </row>
    <row r="61" customFormat="1" ht="18" customHeight="1" spans="1:16">
      <c r="A61" s="48"/>
      <c r="B61" s="12"/>
      <c r="C61" s="49"/>
      <c r="D61" s="50"/>
      <c r="E61" s="51"/>
      <c r="F61" s="12"/>
      <c r="G61" s="52"/>
      <c r="H61" s="134">
        <v>44130</v>
      </c>
      <c r="I61" s="133">
        <v>15179</v>
      </c>
      <c r="J61" s="135" t="s">
        <v>71</v>
      </c>
      <c r="K61" s="136" t="s">
        <v>144</v>
      </c>
      <c r="L61" s="29"/>
      <c r="M61" s="61"/>
      <c r="N61" s="61"/>
      <c r="O61" s="29"/>
      <c r="P61" s="76"/>
    </row>
    <row r="62" customFormat="1" ht="18" customHeight="1" spans="1:16">
      <c r="A62" s="48"/>
      <c r="B62" s="12"/>
      <c r="C62" s="49"/>
      <c r="D62" s="50"/>
      <c r="E62" s="51"/>
      <c r="F62" s="12"/>
      <c r="G62" s="52"/>
      <c r="H62" s="134">
        <v>44130</v>
      </c>
      <c r="I62" s="133">
        <v>1393</v>
      </c>
      <c r="J62" s="135" t="s">
        <v>71</v>
      </c>
      <c r="K62" s="136" t="s">
        <v>145</v>
      </c>
      <c r="L62" s="29"/>
      <c r="M62" s="61"/>
      <c r="N62" s="61"/>
      <c r="O62" s="29"/>
      <c r="P62" s="76"/>
    </row>
    <row r="63" customFormat="1" ht="18" customHeight="1" spans="1:16">
      <c r="A63" s="48"/>
      <c r="B63" s="12"/>
      <c r="C63" s="49"/>
      <c r="D63" s="50"/>
      <c r="E63" s="51"/>
      <c r="F63" s="12"/>
      <c r="G63" s="52"/>
      <c r="H63" s="134">
        <v>44130</v>
      </c>
      <c r="I63" s="133">
        <v>7649.335</v>
      </c>
      <c r="J63" s="135" t="s">
        <v>71</v>
      </c>
      <c r="K63" s="136" t="s">
        <v>78</v>
      </c>
      <c r="L63" s="29"/>
      <c r="M63" s="61"/>
      <c r="N63" s="61"/>
      <c r="O63" s="29"/>
      <c r="P63" s="76"/>
    </row>
    <row r="64" customFormat="1" ht="18" customHeight="1" spans="1:16">
      <c r="A64" s="48"/>
      <c r="B64" s="12">
        <f t="shared" ref="B64:B79" si="10">ROUND(G64/(1+E64),2)</f>
        <v>0</v>
      </c>
      <c r="C64" s="49"/>
      <c r="D64" s="50"/>
      <c r="E64" s="51"/>
      <c r="F64" s="12">
        <f t="shared" ref="F64:F79" si="11">ROUND(G64/(1+E64)*E64,2)</f>
        <v>0</v>
      </c>
      <c r="G64" s="52"/>
      <c r="H64" s="56">
        <v>44103</v>
      </c>
      <c r="I64" s="22">
        <v>100</v>
      </c>
      <c r="J64" s="85" t="s">
        <v>71</v>
      </c>
      <c r="K64" s="86" t="s">
        <v>72</v>
      </c>
      <c r="L64" s="29"/>
      <c r="M64" s="61"/>
      <c r="N64" s="61"/>
      <c r="O64" s="29"/>
      <c r="P64" s="76"/>
    </row>
    <row r="65" customFormat="1" ht="18" customHeight="1" spans="1:16">
      <c r="A65" s="48"/>
      <c r="B65" s="12">
        <f t="shared" si="10"/>
        <v>0</v>
      </c>
      <c r="C65" s="49"/>
      <c r="D65" s="50"/>
      <c r="E65" s="51"/>
      <c r="F65" s="12">
        <f t="shared" si="11"/>
        <v>0</v>
      </c>
      <c r="G65" s="52"/>
      <c r="H65" s="56">
        <v>44103</v>
      </c>
      <c r="I65" s="22">
        <v>-717972</v>
      </c>
      <c r="J65" s="85" t="s">
        <v>73</v>
      </c>
      <c r="K65" s="112" t="s">
        <v>141</v>
      </c>
      <c r="L65" s="29"/>
      <c r="M65" s="61"/>
      <c r="N65" s="61"/>
      <c r="O65" s="29"/>
      <c r="P65" s="76"/>
    </row>
    <row r="66" customFormat="1" ht="18" customHeight="1" spans="1:16">
      <c r="A66" s="48"/>
      <c r="B66" s="12">
        <f t="shared" si="10"/>
        <v>0</v>
      </c>
      <c r="C66" s="49"/>
      <c r="D66" s="50"/>
      <c r="E66" s="51"/>
      <c r="F66" s="12">
        <f t="shared" si="11"/>
        <v>0</v>
      </c>
      <c r="G66" s="52"/>
      <c r="H66" s="56" t="s">
        <v>138</v>
      </c>
      <c r="I66" s="22">
        <v>265729</v>
      </c>
      <c r="J66" s="85" t="s">
        <v>80</v>
      </c>
      <c r="K66" s="86" t="s">
        <v>139</v>
      </c>
      <c r="L66" s="29"/>
      <c r="M66" s="61"/>
      <c r="N66" s="61"/>
      <c r="O66" s="29"/>
      <c r="P66" s="76"/>
    </row>
    <row r="67" customFormat="1" ht="18" customHeight="1" spans="1:16">
      <c r="A67" s="48"/>
      <c r="B67" s="12">
        <f t="shared" si="10"/>
        <v>13717.66</v>
      </c>
      <c r="C67" s="49"/>
      <c r="D67" s="50"/>
      <c r="E67" s="51"/>
      <c r="F67" s="12">
        <f t="shared" si="11"/>
        <v>0</v>
      </c>
      <c r="G67" s="52">
        <f>I67</f>
        <v>13717.66</v>
      </c>
      <c r="H67" s="56" t="s">
        <v>140</v>
      </c>
      <c r="I67" s="22">
        <v>13717.66</v>
      </c>
      <c r="J67" s="85" t="s">
        <v>71</v>
      </c>
      <c r="K67" s="86" t="s">
        <v>78</v>
      </c>
      <c r="L67" s="29"/>
      <c r="M67" s="61"/>
      <c r="N67" s="61"/>
      <c r="O67" s="29"/>
      <c r="P67" s="76"/>
    </row>
    <row r="68" customFormat="1" ht="18" customHeight="1" spans="1:16">
      <c r="A68" s="48"/>
      <c r="B68" s="12">
        <f t="shared" si="10"/>
        <v>0</v>
      </c>
      <c r="C68" s="49"/>
      <c r="D68" s="50"/>
      <c r="E68" s="51"/>
      <c r="F68" s="12">
        <f t="shared" si="11"/>
        <v>0</v>
      </c>
      <c r="G68" s="52"/>
      <c r="H68" s="56" t="s">
        <v>140</v>
      </c>
      <c r="I68" s="22">
        <v>200</v>
      </c>
      <c r="J68" s="85" t="s">
        <v>71</v>
      </c>
      <c r="K68" s="86" t="s">
        <v>72</v>
      </c>
      <c r="L68" s="29"/>
      <c r="M68" s="61"/>
      <c r="N68" s="61"/>
      <c r="O68" s="29"/>
      <c r="P68" s="76"/>
    </row>
    <row r="69" customFormat="1" ht="18" customHeight="1" spans="1:16">
      <c r="A69" s="48"/>
      <c r="B69" s="12">
        <f t="shared" si="10"/>
        <v>0</v>
      </c>
      <c r="C69" s="49"/>
      <c r="D69" s="50"/>
      <c r="E69" s="51"/>
      <c r="F69" s="12">
        <f t="shared" si="11"/>
        <v>0</v>
      </c>
      <c r="G69" s="52"/>
      <c r="H69" s="56" t="s">
        <v>140</v>
      </c>
      <c r="I69" s="22">
        <v>16740</v>
      </c>
      <c r="J69" s="85" t="s">
        <v>71</v>
      </c>
      <c r="K69" s="86" t="s">
        <v>9</v>
      </c>
      <c r="L69" s="29"/>
      <c r="M69" s="61"/>
      <c r="N69" s="61"/>
      <c r="O69" s="29"/>
      <c r="P69" s="76"/>
    </row>
    <row r="70" customFormat="1" ht="18" customHeight="1" spans="1:16">
      <c r="A70" s="48"/>
      <c r="B70" s="12">
        <f t="shared" si="10"/>
        <v>0</v>
      </c>
      <c r="C70" s="49"/>
      <c r="D70" s="50"/>
      <c r="E70" s="51"/>
      <c r="F70" s="12">
        <f t="shared" si="11"/>
        <v>0</v>
      </c>
      <c r="G70" s="52"/>
      <c r="H70" s="56" t="s">
        <v>140</v>
      </c>
      <c r="I70" s="22">
        <v>452243</v>
      </c>
      <c r="J70" s="85" t="s">
        <v>80</v>
      </c>
      <c r="K70" s="86" t="s">
        <v>86</v>
      </c>
      <c r="L70" s="29"/>
      <c r="M70" s="61"/>
      <c r="N70" s="61"/>
      <c r="O70" s="29"/>
      <c r="P70" s="76"/>
    </row>
    <row r="71" customFormat="1" ht="18" customHeight="1" spans="1:16">
      <c r="A71" s="48"/>
      <c r="B71" s="12">
        <f t="shared" si="10"/>
        <v>0</v>
      </c>
      <c r="C71" s="49"/>
      <c r="D71" s="50"/>
      <c r="E71" s="51"/>
      <c r="F71" s="12">
        <f t="shared" si="11"/>
        <v>0</v>
      </c>
      <c r="G71" s="52"/>
      <c r="H71" s="56" t="s">
        <v>140</v>
      </c>
      <c r="I71" s="22">
        <v>1536</v>
      </c>
      <c r="J71" s="85" t="s">
        <v>71</v>
      </c>
      <c r="K71" s="86" t="s">
        <v>110</v>
      </c>
      <c r="L71" s="29"/>
      <c r="M71" s="61"/>
      <c r="N71" s="61"/>
      <c r="O71" s="29"/>
      <c r="P71" s="76"/>
    </row>
    <row r="72" customFormat="1" ht="18" customHeight="1" spans="1:16">
      <c r="A72" s="48"/>
      <c r="B72" s="12">
        <f t="shared" si="10"/>
        <v>0</v>
      </c>
      <c r="C72" s="49"/>
      <c r="D72" s="50"/>
      <c r="E72" s="51"/>
      <c r="F72" s="12">
        <f t="shared" si="11"/>
        <v>0</v>
      </c>
      <c r="G72" s="52"/>
      <c r="H72" s="55" t="s">
        <v>122</v>
      </c>
      <c r="I72" s="82">
        <v>200</v>
      </c>
      <c r="J72" s="83" t="s">
        <v>71</v>
      </c>
      <c r="K72" s="84" t="s">
        <v>72</v>
      </c>
      <c r="L72" s="29"/>
      <c r="M72" s="61"/>
      <c r="N72" s="61"/>
      <c r="O72" s="29"/>
      <c r="P72" s="76"/>
    </row>
    <row r="73" customFormat="1" ht="18" customHeight="1" spans="1:16">
      <c r="A73" s="48"/>
      <c r="B73" s="12">
        <f t="shared" si="10"/>
        <v>0</v>
      </c>
      <c r="C73" s="49"/>
      <c r="D73" s="50"/>
      <c r="E73" s="51"/>
      <c r="F73" s="12">
        <f t="shared" si="11"/>
        <v>0</v>
      </c>
      <c r="G73" s="52"/>
      <c r="H73" s="55">
        <v>43985</v>
      </c>
      <c r="I73" s="82">
        <v>100</v>
      </c>
      <c r="J73" s="83" t="s">
        <v>71</v>
      </c>
      <c r="K73" s="84" t="s">
        <v>72</v>
      </c>
      <c r="L73" s="29"/>
      <c r="M73" s="61"/>
      <c r="N73" s="61"/>
      <c r="O73" s="29"/>
      <c r="P73" s="76"/>
    </row>
    <row r="74" customFormat="1" ht="18" customHeight="1" spans="1:16">
      <c r="A74" s="48"/>
      <c r="B74" s="12">
        <f t="shared" si="10"/>
        <v>0</v>
      </c>
      <c r="C74" s="49"/>
      <c r="D74" s="50"/>
      <c r="E74" s="51"/>
      <c r="F74" s="12">
        <f t="shared" si="11"/>
        <v>0</v>
      </c>
      <c r="G74" s="52"/>
      <c r="H74" s="55">
        <v>43985</v>
      </c>
      <c r="I74" s="82">
        <v>-755000</v>
      </c>
      <c r="J74" s="83" t="s">
        <v>73</v>
      </c>
      <c r="K74" s="113" t="s">
        <v>74</v>
      </c>
      <c r="L74" s="29"/>
      <c r="M74" s="61"/>
      <c r="N74" s="61"/>
      <c r="O74" s="29"/>
      <c r="P74" s="76"/>
    </row>
    <row r="75" customFormat="1" ht="18" customHeight="1" spans="1:16">
      <c r="A75" s="48"/>
      <c r="B75" s="12">
        <f t="shared" si="10"/>
        <v>0</v>
      </c>
      <c r="C75" s="49"/>
      <c r="D75" s="50"/>
      <c r="E75" s="51"/>
      <c r="F75" s="12">
        <f t="shared" si="11"/>
        <v>0</v>
      </c>
      <c r="G75" s="52"/>
      <c r="H75" s="20">
        <v>43964</v>
      </c>
      <c r="I75" s="12">
        <v>100</v>
      </c>
      <c r="J75" s="61" t="s">
        <v>71</v>
      </c>
      <c r="K75" s="75" t="s">
        <v>72</v>
      </c>
      <c r="L75" s="29"/>
      <c r="M75" s="61"/>
      <c r="N75" s="61"/>
      <c r="O75" s="29"/>
      <c r="P75" s="76"/>
    </row>
    <row r="76" customFormat="1" ht="18" customHeight="1" spans="1:16">
      <c r="A76" s="48"/>
      <c r="B76" s="12">
        <f t="shared" si="10"/>
        <v>0</v>
      </c>
      <c r="C76" s="49"/>
      <c r="D76" s="50"/>
      <c r="E76" s="51"/>
      <c r="F76" s="12">
        <f t="shared" si="11"/>
        <v>0</v>
      </c>
      <c r="G76" s="52"/>
      <c r="H76" s="20" t="s">
        <v>75</v>
      </c>
      <c r="I76" s="12">
        <v>2252</v>
      </c>
      <c r="J76" s="61" t="s">
        <v>71</v>
      </c>
      <c r="K76" s="69" t="s">
        <v>76</v>
      </c>
      <c r="L76" s="29"/>
      <c r="M76" s="61"/>
      <c r="N76" s="61"/>
      <c r="O76" s="29"/>
      <c r="P76" s="76"/>
    </row>
    <row r="77" customFormat="1" ht="18" customHeight="1" spans="1:16">
      <c r="A77" s="48"/>
      <c r="B77" s="12">
        <f t="shared" si="10"/>
        <v>0</v>
      </c>
      <c r="C77" s="49"/>
      <c r="D77" s="50"/>
      <c r="E77" s="51"/>
      <c r="F77" s="12">
        <f t="shared" si="11"/>
        <v>0</v>
      </c>
      <c r="G77" s="52"/>
      <c r="H77" s="20" t="s">
        <v>75</v>
      </c>
      <c r="I77" s="12">
        <v>24540</v>
      </c>
      <c r="J77" s="61" t="s">
        <v>71</v>
      </c>
      <c r="K77" s="74" t="s">
        <v>77</v>
      </c>
      <c r="L77" s="29"/>
      <c r="M77" s="61"/>
      <c r="N77" s="61"/>
      <c r="O77" s="29"/>
      <c r="P77" s="76"/>
    </row>
    <row r="78" customFormat="1" ht="18" customHeight="1" spans="1:16">
      <c r="A78" s="48"/>
      <c r="B78" s="12">
        <f t="shared" si="10"/>
        <v>20450</v>
      </c>
      <c r="C78" s="49"/>
      <c r="D78" s="50"/>
      <c r="E78" s="51"/>
      <c r="F78" s="12">
        <f t="shared" si="11"/>
        <v>0</v>
      </c>
      <c r="G78" s="52">
        <f>I78</f>
        <v>20450</v>
      </c>
      <c r="H78" s="20" t="s">
        <v>75</v>
      </c>
      <c r="I78" s="12">
        <v>20450</v>
      </c>
      <c r="J78" s="61" t="s">
        <v>71</v>
      </c>
      <c r="K78" s="77" t="s">
        <v>78</v>
      </c>
      <c r="L78" s="29"/>
      <c r="M78" s="61"/>
      <c r="N78" s="61"/>
      <c r="O78" s="29"/>
      <c r="P78" s="76"/>
    </row>
    <row r="79" customFormat="1" ht="18" customHeight="1" spans="1:16">
      <c r="A79" s="48"/>
      <c r="B79" s="12">
        <f t="shared" si="10"/>
        <v>0</v>
      </c>
      <c r="C79" s="49"/>
      <c r="D79" s="50"/>
      <c r="E79" s="51"/>
      <c r="F79" s="12">
        <f t="shared" si="11"/>
        <v>0</v>
      </c>
      <c r="G79" s="52"/>
      <c r="H79" s="20" t="s">
        <v>75</v>
      </c>
      <c r="I79" s="12">
        <v>200</v>
      </c>
      <c r="J79" s="61" t="s">
        <v>71</v>
      </c>
      <c r="K79" s="75" t="s">
        <v>72</v>
      </c>
      <c r="L79" s="29"/>
      <c r="M79" s="61"/>
      <c r="N79" s="61"/>
      <c r="O79" s="29"/>
      <c r="P79" s="76"/>
    </row>
    <row r="80" customFormat="1" ht="18" customHeight="1" spans="1:16">
      <c r="A80" s="48"/>
      <c r="B80" s="12"/>
      <c r="C80" s="49"/>
      <c r="D80" s="50"/>
      <c r="E80" s="51"/>
      <c r="F80" s="12"/>
      <c r="G80" s="52"/>
      <c r="H80" s="20" t="s">
        <v>79</v>
      </c>
      <c r="I80" s="12">
        <v>200</v>
      </c>
      <c r="J80" s="61" t="s">
        <v>71</v>
      </c>
      <c r="K80" s="75" t="s">
        <v>72</v>
      </c>
      <c r="L80" s="29"/>
      <c r="M80" s="61"/>
      <c r="N80" s="61"/>
      <c r="O80" s="29"/>
      <c r="P80" s="76"/>
    </row>
    <row r="81" customFormat="1" ht="18" customHeight="1" spans="1:16">
      <c r="A81" s="48"/>
      <c r="B81" s="12">
        <f t="shared" ref="B81:B98" si="12">ROUND(G81/(1+E81),2)</f>
        <v>0</v>
      </c>
      <c r="C81" s="49"/>
      <c r="D81" s="50"/>
      <c r="E81" s="51"/>
      <c r="F81" s="12">
        <f t="shared" ref="F81:F98" si="13">ROUND(G81/(1+E81)*E81,2)</f>
        <v>0</v>
      </c>
      <c r="G81" s="52"/>
      <c r="H81" s="20" t="s">
        <v>79</v>
      </c>
      <c r="I81" s="12"/>
      <c r="J81" s="61" t="s">
        <v>80</v>
      </c>
      <c r="K81" s="75" t="s">
        <v>81</v>
      </c>
      <c r="L81" s="29"/>
      <c r="M81" s="61"/>
      <c r="N81" s="61"/>
      <c r="O81" s="29"/>
      <c r="P81" s="76"/>
    </row>
    <row r="82" s="1" customFormat="1" ht="18" customHeight="1" spans="1:16">
      <c r="A82" s="31"/>
      <c r="B82" s="12">
        <f t="shared" si="12"/>
        <v>0</v>
      </c>
      <c r="C82" s="33"/>
      <c r="D82" s="34"/>
      <c r="E82" s="35"/>
      <c r="F82" s="12">
        <f t="shared" si="13"/>
        <v>0</v>
      </c>
      <c r="G82" s="23"/>
      <c r="H82" s="20" t="s">
        <v>79</v>
      </c>
      <c r="I82" s="12">
        <v>755000</v>
      </c>
      <c r="J82" s="61" t="s">
        <v>71</v>
      </c>
      <c r="K82" s="74" t="s">
        <v>82</v>
      </c>
      <c r="L82" s="64"/>
      <c r="M82" s="65"/>
      <c r="N82" s="65"/>
      <c r="O82" s="64"/>
      <c r="P82" s="66"/>
    </row>
    <row r="83" s="1" customFormat="1" ht="18" customHeight="1" spans="1:16">
      <c r="A83" s="31"/>
      <c r="B83" s="12">
        <f t="shared" si="12"/>
        <v>0</v>
      </c>
      <c r="C83" s="33"/>
      <c r="D83" s="34"/>
      <c r="E83" s="35"/>
      <c r="F83" s="12">
        <f t="shared" si="13"/>
        <v>0</v>
      </c>
      <c r="G83" s="23"/>
      <c r="H83" s="20" t="s">
        <v>79</v>
      </c>
      <c r="I83" s="12">
        <v>21340</v>
      </c>
      <c r="J83" s="61" t="s">
        <v>71</v>
      </c>
      <c r="K83" s="74" t="s">
        <v>83</v>
      </c>
      <c r="L83" s="64"/>
      <c r="M83" s="65"/>
      <c r="N83" s="61"/>
      <c r="O83" s="64"/>
      <c r="P83" s="66"/>
    </row>
    <row r="84" s="1" customFormat="1" ht="18" customHeight="1" spans="1:16">
      <c r="A84" s="31"/>
      <c r="B84" s="12">
        <f t="shared" si="12"/>
        <v>0</v>
      </c>
      <c r="C84" s="33"/>
      <c r="D84" s="34"/>
      <c r="E84" s="35"/>
      <c r="F84" s="12">
        <f t="shared" si="13"/>
        <v>0</v>
      </c>
      <c r="G84" s="23"/>
      <c r="H84" s="20" t="s">
        <v>79</v>
      </c>
      <c r="I84" s="12">
        <v>1964</v>
      </c>
      <c r="J84" s="61" t="s">
        <v>71</v>
      </c>
      <c r="K84" s="69" t="s">
        <v>84</v>
      </c>
      <c r="L84" s="69"/>
      <c r="M84" s="65"/>
      <c r="N84" s="65"/>
      <c r="O84" s="64"/>
      <c r="P84" s="66"/>
    </row>
    <row r="85" s="1" customFormat="1" ht="18" customHeight="1" spans="1:16">
      <c r="A85" s="31"/>
      <c r="B85" s="12">
        <f t="shared" si="12"/>
        <v>17832.35</v>
      </c>
      <c r="C85" s="33"/>
      <c r="D85" s="34"/>
      <c r="E85" s="35"/>
      <c r="F85" s="12">
        <f t="shared" si="13"/>
        <v>0</v>
      </c>
      <c r="G85" s="23">
        <f>17832.35</f>
        <v>17832.35</v>
      </c>
      <c r="H85" s="20" t="s">
        <v>79</v>
      </c>
      <c r="I85" s="12">
        <f>G85</f>
        <v>17832.35</v>
      </c>
      <c r="J85" s="61" t="s">
        <v>71</v>
      </c>
      <c r="K85" s="77" t="s">
        <v>78</v>
      </c>
      <c r="L85" s="69"/>
      <c r="M85" s="65"/>
      <c r="N85" s="65"/>
      <c r="O85" s="64"/>
      <c r="P85" s="66"/>
    </row>
    <row r="86" s="1" customFormat="1" ht="18" customHeight="1" spans="1:16">
      <c r="A86" s="31"/>
      <c r="B86" s="12">
        <f t="shared" si="12"/>
        <v>0</v>
      </c>
      <c r="C86" s="33"/>
      <c r="D86" s="34"/>
      <c r="E86" s="35"/>
      <c r="F86" s="12">
        <f t="shared" si="13"/>
        <v>0</v>
      </c>
      <c r="G86" s="23"/>
      <c r="H86" s="20"/>
      <c r="I86" s="12">
        <v>16514</v>
      </c>
      <c r="J86" s="61" t="s">
        <v>71</v>
      </c>
      <c r="K86" s="69" t="s">
        <v>142</v>
      </c>
      <c r="L86" s="69"/>
      <c r="M86" s="65"/>
      <c r="N86" s="65"/>
      <c r="O86" s="64"/>
      <c r="P86" s="66"/>
    </row>
    <row r="87" s="1" customFormat="1" ht="18" customHeight="1" spans="1:17">
      <c r="A87" s="31"/>
      <c r="B87" s="12">
        <f t="shared" si="12"/>
        <v>0</v>
      </c>
      <c r="C87" s="33"/>
      <c r="D87" s="34"/>
      <c r="E87" s="35"/>
      <c r="F87" s="12">
        <f t="shared" si="13"/>
        <v>0</v>
      </c>
      <c r="G87" s="23"/>
      <c r="H87" s="20"/>
      <c r="I87" s="12">
        <v>2552</v>
      </c>
      <c r="J87" s="61" t="s">
        <v>71</v>
      </c>
      <c r="K87" s="69" t="s">
        <v>85</v>
      </c>
      <c r="L87" s="69"/>
      <c r="M87" s="65"/>
      <c r="N87" s="65"/>
      <c r="O87" s="64"/>
      <c r="P87" s="66"/>
      <c r="Q87" s="1">
        <f>P33*0.25</f>
        <v>755000</v>
      </c>
    </row>
    <row r="88" s="1" customFormat="1" ht="18" customHeight="1" spans="1:16">
      <c r="A88" s="31"/>
      <c r="B88" s="12">
        <f t="shared" si="12"/>
        <v>0</v>
      </c>
      <c r="C88" s="33"/>
      <c r="D88" s="34"/>
      <c r="E88" s="35"/>
      <c r="F88" s="12">
        <f t="shared" si="13"/>
        <v>0</v>
      </c>
      <c r="G88" s="23"/>
      <c r="H88" s="20"/>
      <c r="I88" s="12">
        <v>-17678</v>
      </c>
      <c r="J88" s="61" t="s">
        <v>73</v>
      </c>
      <c r="K88" s="69" t="s">
        <v>86</v>
      </c>
      <c r="L88" s="69"/>
      <c r="M88" s="65"/>
      <c r="N88" s="65"/>
      <c r="O88" s="64"/>
      <c r="P88" s="66"/>
    </row>
    <row r="89" s="1" customFormat="1" ht="18" customHeight="1" spans="1:16">
      <c r="A89" s="31"/>
      <c r="B89" s="12">
        <f t="shared" si="12"/>
        <v>0</v>
      </c>
      <c r="C89" s="33"/>
      <c r="D89" s="34"/>
      <c r="E89" s="35"/>
      <c r="F89" s="12">
        <f t="shared" si="13"/>
        <v>0</v>
      </c>
      <c r="G89" s="23"/>
      <c r="H89" s="20"/>
      <c r="I89" s="12">
        <v>17678</v>
      </c>
      <c r="J89" s="61" t="s">
        <v>80</v>
      </c>
      <c r="K89" s="69" t="s">
        <v>87</v>
      </c>
      <c r="L89" s="69"/>
      <c r="M89" s="65"/>
      <c r="N89" s="65"/>
      <c r="O89" s="64"/>
      <c r="P89" s="66"/>
    </row>
    <row r="90" s="1" customFormat="1" ht="18" customHeight="1" spans="1:16">
      <c r="A90" s="31"/>
      <c r="B90" s="12">
        <f t="shared" si="12"/>
        <v>0</v>
      </c>
      <c r="C90" s="33"/>
      <c r="D90" s="34"/>
      <c r="E90" s="35"/>
      <c r="F90" s="12">
        <f t="shared" si="13"/>
        <v>0</v>
      </c>
      <c r="G90" s="23"/>
      <c r="H90" s="20"/>
      <c r="I90" s="12">
        <v>57819</v>
      </c>
      <c r="J90" s="61" t="s">
        <v>71</v>
      </c>
      <c r="K90" s="69" t="s">
        <v>9</v>
      </c>
      <c r="L90" s="69"/>
      <c r="M90" s="65"/>
      <c r="N90" s="65"/>
      <c r="O90" s="64"/>
      <c r="P90" s="66"/>
    </row>
    <row r="91" s="1" customFormat="1" ht="18" customHeight="1" spans="1:16">
      <c r="A91" s="31"/>
      <c r="B91" s="12">
        <f t="shared" si="12"/>
        <v>0</v>
      </c>
      <c r="C91" s="33"/>
      <c r="D91" s="34"/>
      <c r="E91" s="35"/>
      <c r="F91" s="12">
        <f t="shared" si="13"/>
        <v>0</v>
      </c>
      <c r="G91" s="23"/>
      <c r="H91" s="20"/>
      <c r="I91" s="12">
        <v>8962</v>
      </c>
      <c r="J91" s="61" t="s">
        <v>71</v>
      </c>
      <c r="K91" s="74" t="s">
        <v>88</v>
      </c>
      <c r="L91" s="64"/>
      <c r="M91" s="65"/>
      <c r="N91" s="65"/>
      <c r="O91" s="64"/>
      <c r="P91" s="66"/>
    </row>
    <row r="92" s="1" customFormat="1" ht="18" customHeight="1" spans="1:16">
      <c r="A92" s="31"/>
      <c r="B92" s="12">
        <f t="shared" si="12"/>
        <v>0</v>
      </c>
      <c r="C92" s="33"/>
      <c r="D92" s="34"/>
      <c r="E92" s="35"/>
      <c r="F92" s="12">
        <f t="shared" si="13"/>
        <v>0</v>
      </c>
      <c r="G92" s="23"/>
      <c r="H92" s="20"/>
      <c r="I92" s="133">
        <v>477502</v>
      </c>
      <c r="J92" s="135" t="s">
        <v>71</v>
      </c>
      <c r="K92" s="146" t="s">
        <v>89</v>
      </c>
      <c r="L92" s="64"/>
      <c r="M92" s="65"/>
      <c r="N92" s="65"/>
      <c r="O92" s="64"/>
      <c r="P92" s="66"/>
    </row>
    <row r="93" s="1" customFormat="1" ht="18" customHeight="1" spans="1:16">
      <c r="A93" s="31"/>
      <c r="B93" s="32">
        <f t="shared" si="12"/>
        <v>0</v>
      </c>
      <c r="C93" s="33"/>
      <c r="D93" s="34"/>
      <c r="E93" s="35"/>
      <c r="F93" s="12">
        <f t="shared" si="13"/>
        <v>0</v>
      </c>
      <c r="G93" s="23"/>
      <c r="H93" s="20"/>
      <c r="I93" s="12">
        <v>-370000</v>
      </c>
      <c r="J93" s="61" t="s">
        <v>73</v>
      </c>
      <c r="K93" s="74" t="s">
        <v>80</v>
      </c>
      <c r="L93" s="64"/>
      <c r="M93" s="65"/>
      <c r="N93" s="65"/>
      <c r="O93" s="64"/>
      <c r="P93" s="66"/>
    </row>
    <row r="94" s="1" customFormat="1" ht="18" customHeight="1" spans="1:16">
      <c r="A94" s="31"/>
      <c r="B94" s="32">
        <f t="shared" si="12"/>
        <v>0</v>
      </c>
      <c r="C94" s="33"/>
      <c r="D94" s="34"/>
      <c r="E94" s="35"/>
      <c r="F94" s="32">
        <f t="shared" si="13"/>
        <v>0</v>
      </c>
      <c r="G94" s="23"/>
      <c r="H94" s="20"/>
      <c r="I94" s="12">
        <v>370000</v>
      </c>
      <c r="J94" s="61" t="s">
        <v>80</v>
      </c>
      <c r="K94" s="74"/>
      <c r="L94" s="64"/>
      <c r="M94" s="65"/>
      <c r="N94" s="65"/>
      <c r="O94" s="64"/>
      <c r="P94" s="66"/>
    </row>
    <row r="95" s="1" customFormat="1" ht="18" customHeight="1" spans="1:16">
      <c r="A95" s="31"/>
      <c r="B95" s="32">
        <f t="shared" si="12"/>
        <v>0</v>
      </c>
      <c r="C95" s="33"/>
      <c r="D95" s="34"/>
      <c r="E95" s="35"/>
      <c r="F95" s="32">
        <f t="shared" si="13"/>
        <v>0</v>
      </c>
      <c r="G95" s="23"/>
      <c r="H95" s="20"/>
      <c r="I95" s="12">
        <v>87273</v>
      </c>
      <c r="J95" s="61" t="s">
        <v>71</v>
      </c>
      <c r="K95" s="74" t="s">
        <v>90</v>
      </c>
      <c r="L95" s="64"/>
      <c r="M95" s="65"/>
      <c r="N95" s="65"/>
      <c r="O95" s="64"/>
      <c r="P95" s="66"/>
    </row>
    <row r="96" s="1" customFormat="1" ht="18" customHeight="1" spans="1:16">
      <c r="A96" s="31"/>
      <c r="B96" s="32">
        <f t="shared" si="12"/>
        <v>0</v>
      </c>
      <c r="C96" s="33"/>
      <c r="D96" s="34"/>
      <c r="E96" s="35"/>
      <c r="F96" s="32">
        <f t="shared" si="13"/>
        <v>0</v>
      </c>
      <c r="G96" s="23"/>
      <c r="H96" s="20"/>
      <c r="I96" s="133">
        <v>80957</v>
      </c>
      <c r="J96" s="135" t="s">
        <v>71</v>
      </c>
      <c r="K96" s="146" t="s">
        <v>91</v>
      </c>
      <c r="L96" s="64"/>
      <c r="M96" s="65"/>
      <c r="N96" s="65"/>
      <c r="O96" s="64"/>
      <c r="P96" s="66"/>
    </row>
    <row r="97" s="1" customFormat="1" ht="18" customHeight="1" spans="1:16">
      <c r="A97" s="31"/>
      <c r="B97" s="32">
        <f t="shared" si="12"/>
        <v>0</v>
      </c>
      <c r="C97" s="33"/>
      <c r="D97" s="34"/>
      <c r="E97" s="35"/>
      <c r="F97" s="32">
        <f t="shared" si="13"/>
        <v>0</v>
      </c>
      <c r="G97" s="23"/>
      <c r="H97" s="20"/>
      <c r="I97" s="12">
        <v>500</v>
      </c>
      <c r="J97" s="61" t="s">
        <v>71</v>
      </c>
      <c r="K97" s="77" t="s">
        <v>92</v>
      </c>
      <c r="L97" s="64"/>
      <c r="M97" s="65"/>
      <c r="N97" s="65"/>
      <c r="O97" s="64"/>
      <c r="P97" s="66"/>
    </row>
    <row r="98" s="1" customFormat="1" ht="18" customHeight="1" spans="1:16">
      <c r="A98" s="31"/>
      <c r="B98" s="32">
        <f t="shared" si="12"/>
        <v>98000</v>
      </c>
      <c r="C98" s="33"/>
      <c r="D98" s="34"/>
      <c r="E98" s="35"/>
      <c r="F98" s="32">
        <f t="shared" si="13"/>
        <v>0</v>
      </c>
      <c r="G98" s="23">
        <f>30000+53000+15000</f>
        <v>98000</v>
      </c>
      <c r="H98" s="20"/>
      <c r="I98" s="12">
        <f>G98</f>
        <v>98000</v>
      </c>
      <c r="J98" s="61" t="s">
        <v>71</v>
      </c>
      <c r="K98" s="77" t="s">
        <v>78</v>
      </c>
      <c r="L98" s="64"/>
      <c r="M98" s="65"/>
      <c r="N98" s="65"/>
      <c r="O98" s="64"/>
      <c r="P98" s="66"/>
    </row>
    <row r="99" ht="18" customHeight="1" spans="1:15">
      <c r="A99" s="27" t="s">
        <v>25</v>
      </c>
      <c r="B99" s="26">
        <f>SUM(B17:B98)</f>
        <v>32830532.45</v>
      </c>
      <c r="C99" s="27"/>
      <c r="D99" s="89"/>
      <c r="E99" s="89"/>
      <c r="F99" s="28">
        <f>SUM(F17:F98)</f>
        <v>2128603.71</v>
      </c>
      <c r="G99" s="27">
        <f>SUM(G17:G98)</f>
        <v>34964096.16</v>
      </c>
      <c r="H99" s="29"/>
      <c r="I99" s="27">
        <f>SUM(I17:I98)</f>
        <v>31521484.635</v>
      </c>
      <c r="J99" s="29"/>
      <c r="K99" s="118"/>
      <c r="L99" s="29"/>
      <c r="M99" s="61"/>
      <c r="N99" s="61"/>
      <c r="O99" s="29"/>
    </row>
    <row r="100" ht="18" customHeight="1" spans="1:14">
      <c r="A100" s="91" t="s">
        <v>93</v>
      </c>
      <c r="B100" s="91">
        <f>B14*0.976</f>
        <v>29034062.2452043</v>
      </c>
      <c r="C100" s="91"/>
      <c r="D100" s="92"/>
      <c r="E100" s="92"/>
      <c r="F100" s="91">
        <f>F14-F99</f>
        <v>104666.402593828</v>
      </c>
      <c r="G100" s="91"/>
      <c r="H100" s="19" t="s">
        <v>94</v>
      </c>
      <c r="I100" s="27">
        <f>I14-I99</f>
        <v>8382.36499999836</v>
      </c>
      <c r="J100" s="7"/>
      <c r="K100" s="119"/>
      <c r="L100" s="7">
        <f>(I78+I85+I98)/I14</f>
        <v>0.00432232555881064</v>
      </c>
      <c r="M100" s="8"/>
      <c r="N100" s="8"/>
    </row>
    <row r="101" ht="18" customHeight="1" spans="1:18">
      <c r="A101" s="91" t="s">
        <v>95</v>
      </c>
      <c r="B101" s="91">
        <f>B100-B99</f>
        <v>-3796470.20479567</v>
      </c>
      <c r="C101" s="91"/>
      <c r="D101" s="92"/>
      <c r="E101" s="92"/>
      <c r="F101" s="91"/>
      <c r="G101" s="91"/>
      <c r="H101" s="94"/>
      <c r="I101" s="91"/>
      <c r="J101" s="7"/>
      <c r="K101" s="119"/>
      <c r="M101" s="8"/>
      <c r="N101" s="8"/>
      <c r="R101" s="7" t="s">
        <v>96</v>
      </c>
    </row>
    <row r="102" ht="18" customHeight="1" spans="1:15">
      <c r="A102" s="3" t="s">
        <v>97</v>
      </c>
      <c r="C102" s="3"/>
      <c r="F102" s="95"/>
      <c r="G102" s="95"/>
      <c r="O102" s="29"/>
    </row>
    <row r="103" ht="18" customHeight="1" spans="1:17">
      <c r="A103" s="19" t="s">
        <v>98</v>
      </c>
      <c r="B103" s="18" t="s">
        <v>99</v>
      </c>
      <c r="C103" s="29"/>
      <c r="D103" s="19" t="s">
        <v>98</v>
      </c>
      <c r="E103" s="18" t="s">
        <v>17</v>
      </c>
      <c r="F103" s="18" t="s">
        <v>99</v>
      </c>
      <c r="G103" s="137" t="s">
        <v>100</v>
      </c>
      <c r="H103" s="137" t="s">
        <v>101</v>
      </c>
      <c r="I103" s="137" t="s">
        <v>102</v>
      </c>
      <c r="K103" s="137" t="s">
        <v>103</v>
      </c>
      <c r="L103" s="137" t="s">
        <v>104</v>
      </c>
      <c r="O103" s="147" t="s">
        <v>123</v>
      </c>
      <c r="P103" s="148" t="s">
        <v>143</v>
      </c>
      <c r="Q103" s="159"/>
    </row>
    <row r="104" ht="18" customHeight="1" spans="1:17">
      <c r="A104" s="29" t="s">
        <v>105</v>
      </c>
      <c r="B104" s="32">
        <f>B101*0.25</f>
        <v>-949117.551198917</v>
      </c>
      <c r="C104" s="29"/>
      <c r="D104" s="138" t="s">
        <v>106</v>
      </c>
      <c r="E104" s="139" t="s">
        <v>107</v>
      </c>
      <c r="F104" s="28">
        <f>F14-F99</f>
        <v>104666.402593828</v>
      </c>
      <c r="G104" s="140">
        <v>68985</v>
      </c>
      <c r="H104" s="140">
        <f>F8-F19-F21-F24-F25-F26</f>
        <v>434092.030909091</v>
      </c>
      <c r="I104" s="149">
        <f>F9-F34</f>
        <v>189747.930458716</v>
      </c>
      <c r="K104" s="140">
        <v>0</v>
      </c>
      <c r="L104" s="149">
        <v>37979.264495414</v>
      </c>
      <c r="O104" s="150"/>
      <c r="P104" s="106" t="s">
        <v>106</v>
      </c>
      <c r="Q104" s="160">
        <f>F12+F13-(F39+F52+F53+F54+F57)</f>
        <v>-436389.889174312</v>
      </c>
    </row>
    <row r="105" ht="18" customHeight="1" spans="1:17">
      <c r="A105" s="29" t="s">
        <v>108</v>
      </c>
      <c r="B105" s="102">
        <f>G14*0.0003</f>
        <v>9772.8735</v>
      </c>
      <c r="C105" s="29"/>
      <c r="D105" s="141" t="s">
        <v>109</v>
      </c>
      <c r="E105" s="14">
        <v>0.05</v>
      </c>
      <c r="F105" s="12">
        <f>F104*E105</f>
        <v>5233.32012969139</v>
      </c>
      <c r="G105" s="67">
        <v>3449.25</v>
      </c>
      <c r="H105" s="67">
        <f>H104*E105</f>
        <v>21704.6015454545</v>
      </c>
      <c r="I105" s="151">
        <f>I104*E105</f>
        <v>9487.39652293578</v>
      </c>
      <c r="K105" s="67">
        <v>0</v>
      </c>
      <c r="L105" s="151">
        <v>1898.9632247707</v>
      </c>
      <c r="O105" s="152">
        <v>0</v>
      </c>
      <c r="P105" s="56" t="s">
        <v>109</v>
      </c>
      <c r="Q105" s="160">
        <v>0</v>
      </c>
    </row>
    <row r="106" ht="18" customHeight="1" spans="1:17">
      <c r="A106" s="29" t="s">
        <v>110</v>
      </c>
      <c r="B106" s="102">
        <f>B14*0.0006</f>
        <v>17848.8087572977</v>
      </c>
      <c r="C106" s="29"/>
      <c r="D106" s="141" t="s">
        <v>111</v>
      </c>
      <c r="E106" s="14">
        <v>0.03</v>
      </c>
      <c r="F106" s="12">
        <f>F104*E106</f>
        <v>3139.99207781483</v>
      </c>
      <c r="G106" s="67">
        <v>2069.55</v>
      </c>
      <c r="H106" s="67">
        <f>H104*E106</f>
        <v>13022.7609272727</v>
      </c>
      <c r="I106" s="151">
        <f>I104*E106</f>
        <v>5692.43791376147</v>
      </c>
      <c r="K106" s="67">
        <v>0</v>
      </c>
      <c r="L106" s="151">
        <v>1139.37793486242</v>
      </c>
      <c r="O106" s="152">
        <v>0</v>
      </c>
      <c r="P106" s="56" t="s">
        <v>111</v>
      </c>
      <c r="Q106" s="160">
        <v>0</v>
      </c>
    </row>
    <row r="107" ht="18" customHeight="1" spans="1:17">
      <c r="A107" s="29"/>
      <c r="B107" s="29"/>
      <c r="C107" s="29"/>
      <c r="D107" s="141" t="s">
        <v>112</v>
      </c>
      <c r="E107" s="14">
        <v>0.02</v>
      </c>
      <c r="F107" s="12">
        <f>F104*E107</f>
        <v>2093.32805187656</v>
      </c>
      <c r="G107" s="67">
        <v>1379.7</v>
      </c>
      <c r="H107" s="67">
        <f>H104*E107</f>
        <v>8681.84061818182</v>
      </c>
      <c r="I107" s="151">
        <f>I104*E107</f>
        <v>3794.95860917431</v>
      </c>
      <c r="K107" s="67">
        <v>0</v>
      </c>
      <c r="L107" s="151">
        <v>759.585289908281</v>
      </c>
      <c r="O107" s="152">
        <v>0</v>
      </c>
      <c r="P107" s="56" t="s">
        <v>112</v>
      </c>
      <c r="Q107" s="160">
        <v>0</v>
      </c>
    </row>
    <row r="108" ht="18" customHeight="1" spans="1:17">
      <c r="A108" s="25" t="s">
        <v>113</v>
      </c>
      <c r="B108" s="26">
        <f t="shared" ref="B108:I108" si="14">SUM(B104:B107)</f>
        <v>-921495.868941619</v>
      </c>
      <c r="C108" s="29"/>
      <c r="D108" s="138" t="s">
        <v>113</v>
      </c>
      <c r="E108" s="138"/>
      <c r="F108" s="28">
        <f t="shared" si="14"/>
        <v>115133.042853211</v>
      </c>
      <c r="G108" s="28">
        <f t="shared" si="14"/>
        <v>75883.5</v>
      </c>
      <c r="H108" s="28">
        <f t="shared" si="14"/>
        <v>477501.234</v>
      </c>
      <c r="I108" s="153">
        <f t="shared" si="14"/>
        <v>208722.723504587</v>
      </c>
      <c r="K108" s="28">
        <v>0</v>
      </c>
      <c r="L108" s="153">
        <v>41777.1909449555</v>
      </c>
      <c r="O108" s="150">
        <v>0</v>
      </c>
      <c r="P108" s="106"/>
      <c r="Q108" s="160"/>
    </row>
    <row r="109" ht="21.95" customHeight="1" spans="3:17">
      <c r="C109" s="3"/>
      <c r="D109" s="29" t="s">
        <v>108</v>
      </c>
      <c r="E109" s="142">
        <v>0.0003</v>
      </c>
      <c r="F109" s="67">
        <f>G14*E109</f>
        <v>9772.8735</v>
      </c>
      <c r="G109" s="143">
        <v>1800</v>
      </c>
      <c r="H109" s="143">
        <f>G8*E109</f>
        <v>3180</v>
      </c>
      <c r="I109" s="143"/>
      <c r="J109" s="154"/>
      <c r="K109" s="143">
        <f>G9*E109</f>
        <v>900</v>
      </c>
      <c r="L109" s="29"/>
      <c r="M109" s="29"/>
      <c r="N109" s="155"/>
      <c r="O109" s="156"/>
      <c r="P109" s="61" t="s">
        <v>108</v>
      </c>
      <c r="Q109" s="160"/>
    </row>
    <row r="110" ht="21.95" customHeight="1" spans="3:17">
      <c r="C110" s="3"/>
      <c r="D110" s="29" t="s">
        <v>110</v>
      </c>
      <c r="E110" s="142">
        <v>0.0006</v>
      </c>
      <c r="F110" s="67">
        <f>B14*E110</f>
        <v>17848.8087572977</v>
      </c>
      <c r="G110" s="67">
        <v>3272.73</v>
      </c>
      <c r="H110" s="67">
        <f>B8*E110</f>
        <v>5781.81818181818</v>
      </c>
      <c r="I110" s="151"/>
      <c r="K110" s="67">
        <f>B9*E110</f>
        <v>1651.37614678899</v>
      </c>
      <c r="L110" s="29"/>
      <c r="M110" s="29">
        <v>1963.19394495413</v>
      </c>
      <c r="N110" s="155">
        <v>2251.37614678899</v>
      </c>
      <c r="O110" s="156">
        <f>B12*E110</f>
        <v>1535.72972477064</v>
      </c>
      <c r="P110" s="61" t="s">
        <v>110</v>
      </c>
      <c r="Q110" s="160">
        <f>E110*B13</f>
        <v>1392.58733944954</v>
      </c>
    </row>
    <row r="111" ht="21.95" customHeight="1" spans="3:17">
      <c r="C111" s="3"/>
      <c r="D111" s="28" t="s">
        <v>113</v>
      </c>
      <c r="E111" s="144"/>
      <c r="F111" s="140">
        <f t="shared" ref="F111:H111" si="15">F109+F110</f>
        <v>27621.6822572977</v>
      </c>
      <c r="G111" s="140">
        <f t="shared" si="15"/>
        <v>5072.73</v>
      </c>
      <c r="H111" s="140">
        <f t="shared" si="15"/>
        <v>8961.81818181818</v>
      </c>
      <c r="I111" s="149"/>
      <c r="K111" s="149">
        <f>K109+K110</f>
        <v>2551.37614678899</v>
      </c>
      <c r="L111" s="29"/>
      <c r="M111" s="29"/>
      <c r="N111" s="155"/>
      <c r="O111" s="156"/>
      <c r="P111" s="61" t="s">
        <v>25</v>
      </c>
      <c r="Q111" s="160">
        <v>0</v>
      </c>
    </row>
    <row r="112" ht="21.95" customHeight="1" spans="3:17">
      <c r="C112" s="3"/>
      <c r="D112" s="28" t="s">
        <v>25</v>
      </c>
      <c r="E112" s="144"/>
      <c r="F112" s="140">
        <f t="shared" ref="F112:H112" si="16">F108+F111</f>
        <v>142754.725110508</v>
      </c>
      <c r="G112" s="140">
        <f t="shared" si="16"/>
        <v>80956.23</v>
      </c>
      <c r="H112" s="140">
        <f t="shared" si="16"/>
        <v>486463.052181818</v>
      </c>
      <c r="I112" s="149"/>
      <c r="K112" s="149">
        <f>K111</f>
        <v>2551.37614678899</v>
      </c>
      <c r="L112" s="29"/>
      <c r="M112" s="29"/>
      <c r="N112" s="155"/>
      <c r="O112" s="156"/>
      <c r="P112" s="61"/>
      <c r="Q112" s="160"/>
    </row>
    <row r="113" ht="21.95" customHeight="1" spans="3:17">
      <c r="C113" s="3"/>
      <c r="D113" s="28" t="s">
        <v>105</v>
      </c>
      <c r="E113" s="144">
        <v>0.016</v>
      </c>
      <c r="F113" s="140">
        <f>B14*E113</f>
        <v>475968.23352794</v>
      </c>
      <c r="G113" s="140">
        <v>87272.73</v>
      </c>
      <c r="H113" s="140"/>
      <c r="I113" s="149"/>
      <c r="K113" s="149"/>
      <c r="L113" s="29"/>
      <c r="M113" s="29"/>
      <c r="N113" s="155"/>
      <c r="O113" s="156"/>
      <c r="P113" s="61"/>
      <c r="Q113" s="160"/>
    </row>
    <row r="114" ht="21.95" customHeight="1" spans="3:17">
      <c r="C114" s="3"/>
      <c r="D114" s="28" t="s">
        <v>105</v>
      </c>
      <c r="E114" s="144">
        <v>0.006</v>
      </c>
      <c r="F114" s="140"/>
      <c r="G114" s="140"/>
      <c r="H114" s="140">
        <f>B8*E114</f>
        <v>57818.1818181818</v>
      </c>
      <c r="I114" s="140"/>
      <c r="J114" s="157"/>
      <c r="K114" s="140">
        <f>B9*E114</f>
        <v>16513.7614678899</v>
      </c>
      <c r="L114" s="29"/>
      <c r="M114" s="29">
        <v>21398.814</v>
      </c>
      <c r="N114" s="155">
        <v>24540</v>
      </c>
      <c r="O114" s="150">
        <f>G12*E114</f>
        <v>16739.454</v>
      </c>
      <c r="P114" s="61" t="s">
        <v>105</v>
      </c>
      <c r="Q114" s="160">
        <f>E114*G13</f>
        <v>15179.202</v>
      </c>
    </row>
    <row r="115" ht="21.95" customHeight="1" spans="3:17">
      <c r="C115" s="3"/>
      <c r="F115" s="95"/>
      <c r="G115" s="95"/>
      <c r="I115" s="128" t="s">
        <v>114</v>
      </c>
      <c r="L115" s="60" t="s">
        <v>115</v>
      </c>
      <c r="Q115" s="132"/>
    </row>
    <row r="116" ht="21.95" customHeight="1" spans="3:12">
      <c r="C116" s="3"/>
      <c r="F116" s="95"/>
      <c r="G116" s="95"/>
      <c r="I116" s="128" t="s">
        <v>116</v>
      </c>
      <c r="L116" s="129" t="s">
        <v>117</v>
      </c>
    </row>
    <row r="117" ht="21.95" customHeight="1" spans="3:13">
      <c r="C117" s="3"/>
      <c r="F117" s="95"/>
      <c r="G117" s="95"/>
      <c r="H117" s="145" t="s">
        <v>118</v>
      </c>
      <c r="I117" s="158">
        <v>208722.72</v>
      </c>
      <c r="L117" s="131" t="s">
        <v>119</v>
      </c>
      <c r="M117" s="131">
        <v>90408.0990550446</v>
      </c>
    </row>
    <row r="118" ht="21.95" customHeight="1" spans="3:7">
      <c r="C118" s="3"/>
      <c r="F118" s="95"/>
      <c r="G118" s="95"/>
    </row>
    <row r="119" ht="21.95" customHeight="1" spans="3:7">
      <c r="C119" s="3"/>
      <c r="F119" s="95"/>
      <c r="G119" s="95"/>
    </row>
    <row r="120" ht="21.95" customHeight="1" spans="3:7">
      <c r="C120" s="3"/>
      <c r="F120" s="95"/>
      <c r="G120" s="95"/>
    </row>
    <row r="121" ht="21.95" customHeight="1" spans="3:7">
      <c r="C121" s="3"/>
      <c r="F121" s="95"/>
      <c r="G121" s="95"/>
    </row>
    <row r="122" ht="21.95" customHeight="1" spans="3:7">
      <c r="C122" s="3"/>
      <c r="F122" s="95"/>
      <c r="G122" s="95"/>
    </row>
    <row r="123" ht="21.95" customHeight="1" spans="3:7">
      <c r="C123" s="3"/>
      <c r="F123" s="95"/>
      <c r="G123" s="95"/>
    </row>
    <row r="124" ht="21.95" customHeight="1" spans="3:7">
      <c r="C124" s="3"/>
      <c r="F124" s="95"/>
      <c r="G124" s="95"/>
    </row>
    <row r="125" ht="21.95" customHeight="1" spans="3:3">
      <c r="C125" s="3"/>
    </row>
    <row r="126" ht="21.95" customHeight="1" spans="3:3">
      <c r="C126" s="3"/>
    </row>
    <row r="127" ht="21.95" customHeight="1" spans="3:3">
      <c r="C127" s="3"/>
    </row>
    <row r="128" ht="21.95" customHeight="1" spans="3:3">
      <c r="C128" s="3"/>
    </row>
    <row r="129" ht="21.95" customHeight="1" spans="3:3">
      <c r="C129" s="3"/>
    </row>
    <row r="130" ht="21.95" customHeight="1" spans="3:3">
      <c r="C130" s="3"/>
    </row>
    <row r="131" spans="3:3">
      <c r="C131" s="3"/>
    </row>
    <row r="132" spans="3:3">
      <c r="C132" s="3"/>
    </row>
  </sheetData>
  <protectedRanges>
    <protectedRange sqref="L33 K26:L32 K84:L84 L85 K86:L90 K76" name="区域1"/>
    <protectedRange sqref="I32" name="区域1_1"/>
  </protectedRanges>
  <autoFilter ref="A16:R117">
    <extLst/>
  </autoFilter>
  <mergeCells count="9">
    <mergeCell ref="A1:J1"/>
    <mergeCell ref="H2:J2"/>
    <mergeCell ref="C5:D5"/>
    <mergeCell ref="E5:F5"/>
    <mergeCell ref="H5:J5"/>
    <mergeCell ref="P103:Q103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9"/>
  <sheetViews>
    <sheetView tabSelected="1" topLeftCell="A13" workbookViewId="0">
      <selection activeCell="K16" sqref="K16"/>
    </sheetView>
  </sheetViews>
  <sheetFormatPr defaultColWidth="9" defaultRowHeight="11.25"/>
  <cols>
    <col min="1" max="1" width="10.75" style="3" customWidth="1"/>
    <col min="2" max="2" width="16.6666666666667" style="4" customWidth="1"/>
    <col min="3" max="3" width="6" style="4" customWidth="1"/>
    <col min="4" max="4" width="13.3833333333333" style="4" customWidth="1"/>
    <col min="5" max="5" width="6" style="5" customWidth="1"/>
    <col min="6" max="6" width="14.8916666666667" style="4" customWidth="1"/>
    <col min="7" max="7" width="16.3333333333333" style="4" customWidth="1"/>
    <col min="8" max="8" width="14.25" style="4" customWidth="1"/>
    <col min="9" max="9" width="17.4416666666667" style="4" customWidth="1"/>
    <col min="10" max="10" width="4.75" style="6" customWidth="1"/>
    <col min="11" max="11" width="30.625" style="7" customWidth="1"/>
    <col min="12" max="12" width="14.25" style="7" customWidth="1"/>
    <col min="13" max="13" width="15.875" style="7" customWidth="1"/>
    <col min="14" max="14" width="15.25" style="7" customWidth="1"/>
    <col min="15" max="15" width="12.1333333333333" style="7" customWidth="1"/>
    <col min="16" max="16" width="5.875" style="8" customWidth="1"/>
    <col min="17" max="17" width="13.25" style="7" customWidth="1"/>
    <col min="18" max="16384" width="9" style="7"/>
  </cols>
  <sheetData>
    <row r="1" ht="38.25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7"/>
      <c r="L1" s="17"/>
    </row>
    <row r="2" ht="18" customHeight="1" spans="1:12">
      <c r="A2" s="10" t="s">
        <v>1</v>
      </c>
      <c r="B2" s="11">
        <v>43116</v>
      </c>
      <c r="C2" s="12" t="s">
        <v>2</v>
      </c>
      <c r="D2" s="13">
        <v>41448872</v>
      </c>
      <c r="E2" s="14" t="s">
        <v>3</v>
      </c>
      <c r="F2" s="12" t="s">
        <v>4</v>
      </c>
      <c r="G2" s="14" t="s">
        <v>5</v>
      </c>
      <c r="H2" s="15" t="s">
        <v>6</v>
      </c>
      <c r="I2" s="58"/>
      <c r="J2" s="59"/>
      <c r="K2" s="17"/>
      <c r="L2" s="17"/>
    </row>
    <row r="3" ht="18" customHeight="1" spans="1:13">
      <c r="A3" s="10" t="s">
        <v>7</v>
      </c>
      <c r="B3" s="16"/>
      <c r="C3" s="12" t="s">
        <v>8</v>
      </c>
      <c r="D3" s="12"/>
      <c r="H3" s="17"/>
      <c r="I3" s="17"/>
      <c r="J3" s="17"/>
      <c r="K3" s="17"/>
      <c r="L3" s="17"/>
      <c r="M3" s="60" t="s">
        <v>9</v>
      </c>
    </row>
    <row r="4" ht="18" customHeight="1" spans="1:12">
      <c r="A4" s="3" t="s">
        <v>10</v>
      </c>
      <c r="H4" s="17"/>
      <c r="I4" s="17"/>
      <c r="J4" s="17"/>
      <c r="K4" s="17"/>
      <c r="L4" s="17"/>
    </row>
    <row r="5" ht="18" customHeight="1" spans="1:10">
      <c r="A5" s="18" t="s">
        <v>11</v>
      </c>
      <c r="B5" s="18" t="s">
        <v>12</v>
      </c>
      <c r="C5" s="18" t="s">
        <v>13</v>
      </c>
      <c r="D5" s="18"/>
      <c r="E5" s="18" t="s">
        <v>14</v>
      </c>
      <c r="F5" s="18"/>
      <c r="G5" s="18" t="s">
        <v>15</v>
      </c>
      <c r="H5" s="19" t="s">
        <v>16</v>
      </c>
      <c r="I5" s="19"/>
      <c r="J5" s="19"/>
    </row>
    <row r="6" ht="18" customHeight="1" spans="1:11">
      <c r="A6" s="18"/>
      <c r="B6" s="18"/>
      <c r="C6" s="18" t="s">
        <v>17</v>
      </c>
      <c r="D6" s="18" t="s">
        <v>18</v>
      </c>
      <c r="E6" s="18" t="s">
        <v>17</v>
      </c>
      <c r="F6" s="18" t="s">
        <v>18</v>
      </c>
      <c r="G6" s="18"/>
      <c r="H6" s="19" t="s">
        <v>19</v>
      </c>
      <c r="I6" s="19" t="s">
        <v>20</v>
      </c>
      <c r="J6" s="19" t="s">
        <v>21</v>
      </c>
      <c r="K6" s="7" t="s">
        <v>22</v>
      </c>
    </row>
    <row r="7" ht="18" customHeight="1" spans="1:11">
      <c r="A7" s="20">
        <v>43287</v>
      </c>
      <c r="B7" s="12">
        <f t="shared" ref="B7:B14" si="0">G7/(1+C7+E7)</f>
        <v>5454545.45454545</v>
      </c>
      <c r="C7" s="21">
        <v>0.02</v>
      </c>
      <c r="D7" s="22">
        <f t="shared" ref="D7:D14" si="1">G7/(1+E7+C7)*C7</f>
        <v>109090.909090909</v>
      </c>
      <c r="E7" s="21">
        <v>0.08</v>
      </c>
      <c r="F7" s="22">
        <f t="shared" ref="F7:F14" si="2">G7/(1+C7+E7)*E7</f>
        <v>436363.636363636</v>
      </c>
      <c r="G7" s="23">
        <v>6000000</v>
      </c>
      <c r="H7" s="20">
        <v>43294</v>
      </c>
      <c r="I7" s="12">
        <v>6000000</v>
      </c>
      <c r="J7" s="61" t="s">
        <v>23</v>
      </c>
      <c r="K7" s="7" t="s">
        <v>24</v>
      </c>
    </row>
    <row r="8" ht="18" customHeight="1" spans="1:10">
      <c r="A8" s="20">
        <v>43473</v>
      </c>
      <c r="B8" s="12">
        <f t="shared" si="0"/>
        <v>9636363.63636363</v>
      </c>
      <c r="C8" s="21">
        <v>0.02</v>
      </c>
      <c r="D8" s="22">
        <f t="shared" si="1"/>
        <v>192727.272727273</v>
      </c>
      <c r="E8" s="21">
        <v>0.08</v>
      </c>
      <c r="F8" s="22">
        <f t="shared" si="2"/>
        <v>770909.090909091</v>
      </c>
      <c r="G8" s="23">
        <v>10600000</v>
      </c>
      <c r="H8" s="20">
        <v>43483</v>
      </c>
      <c r="I8" s="12">
        <v>10600000</v>
      </c>
      <c r="J8" s="61" t="s">
        <v>23</v>
      </c>
    </row>
    <row r="9" ht="18" customHeight="1" spans="1:10">
      <c r="A9" s="20">
        <v>43654</v>
      </c>
      <c r="B9" s="12">
        <f t="shared" si="0"/>
        <v>2752293.57798165</v>
      </c>
      <c r="C9" s="21">
        <v>0.02</v>
      </c>
      <c r="D9" s="22">
        <f t="shared" si="1"/>
        <v>55045.871559633</v>
      </c>
      <c r="E9" s="21">
        <v>0.07</v>
      </c>
      <c r="F9" s="22">
        <f t="shared" si="2"/>
        <v>192660.550458716</v>
      </c>
      <c r="G9" s="23">
        <v>3000000</v>
      </c>
      <c r="H9" s="20">
        <v>43661</v>
      </c>
      <c r="I9" s="12">
        <v>3000000</v>
      </c>
      <c r="J9" s="61" t="s">
        <v>23</v>
      </c>
    </row>
    <row r="10" ht="18" customHeight="1" spans="1:10">
      <c r="A10" s="20">
        <v>43816</v>
      </c>
      <c r="B10" s="12">
        <f t="shared" si="0"/>
        <v>3271989.90825688</v>
      </c>
      <c r="C10" s="21">
        <v>0.02</v>
      </c>
      <c r="D10" s="22">
        <f t="shared" si="1"/>
        <v>65439.7981651376</v>
      </c>
      <c r="E10" s="24">
        <v>0.07</v>
      </c>
      <c r="F10" s="22">
        <f t="shared" si="2"/>
        <v>229039.293577982</v>
      </c>
      <c r="G10" s="23">
        <v>3566469</v>
      </c>
      <c r="H10" s="20">
        <v>43819</v>
      </c>
      <c r="I10" s="12">
        <v>3566469</v>
      </c>
      <c r="J10" s="61" t="s">
        <v>23</v>
      </c>
    </row>
    <row r="11" ht="18" customHeight="1" spans="1:10">
      <c r="A11" s="20">
        <v>43847</v>
      </c>
      <c r="B11" s="12">
        <f t="shared" si="0"/>
        <v>3752293.57798165</v>
      </c>
      <c r="C11" s="21">
        <v>0.02</v>
      </c>
      <c r="D11" s="22">
        <f t="shared" si="1"/>
        <v>75045.871559633</v>
      </c>
      <c r="E11" s="24">
        <v>0.07</v>
      </c>
      <c r="F11" s="22">
        <f t="shared" si="2"/>
        <v>262660.550458716</v>
      </c>
      <c r="G11" s="23">
        <v>4090000</v>
      </c>
      <c r="H11" s="20">
        <v>43916</v>
      </c>
      <c r="I11" s="12">
        <v>4090000</v>
      </c>
      <c r="J11" s="61" t="s">
        <v>23</v>
      </c>
    </row>
    <row r="12" ht="18" customHeight="1" spans="1:10">
      <c r="A12" s="20">
        <v>44034</v>
      </c>
      <c r="B12" s="12">
        <f t="shared" si="0"/>
        <v>2559549.5412844</v>
      </c>
      <c r="C12" s="24">
        <v>0.02</v>
      </c>
      <c r="D12" s="22">
        <f t="shared" si="1"/>
        <v>51190.9908256881</v>
      </c>
      <c r="E12" s="24">
        <v>0.07</v>
      </c>
      <c r="F12" s="22">
        <f t="shared" si="2"/>
        <v>179168.467889908</v>
      </c>
      <c r="G12" s="23">
        <v>2789909</v>
      </c>
      <c r="H12" s="20">
        <v>44075</v>
      </c>
      <c r="I12" s="12">
        <v>2743531</v>
      </c>
      <c r="J12" s="61" t="s">
        <v>23</v>
      </c>
    </row>
    <row r="13" ht="18" customHeight="1" spans="1:11">
      <c r="A13" s="20">
        <v>44116</v>
      </c>
      <c r="B13" s="12">
        <f t="shared" si="0"/>
        <v>2320978.89908257</v>
      </c>
      <c r="C13" s="24">
        <v>0.02</v>
      </c>
      <c r="D13" s="22">
        <f t="shared" si="1"/>
        <v>46419.5779816514</v>
      </c>
      <c r="E13" s="24">
        <v>0.07</v>
      </c>
      <c r="F13" s="22">
        <f t="shared" si="2"/>
        <v>162468.52293578</v>
      </c>
      <c r="G13" s="23">
        <v>2529867</v>
      </c>
      <c r="H13" s="20">
        <v>44126</v>
      </c>
      <c r="I13" s="12">
        <v>1529867</v>
      </c>
      <c r="J13" s="61" t="s">
        <v>23</v>
      </c>
      <c r="K13" s="7">
        <f>F15-F65</f>
        <v>0</v>
      </c>
    </row>
    <row r="14" ht="18" customHeight="1" spans="1:10">
      <c r="A14" s="20">
        <v>44175</v>
      </c>
      <c r="B14" s="12">
        <f t="shared" si="0"/>
        <v>4375262.3853211</v>
      </c>
      <c r="C14" s="24">
        <v>0.02</v>
      </c>
      <c r="D14" s="22">
        <f t="shared" si="1"/>
        <v>87505.247706422</v>
      </c>
      <c r="E14" s="24">
        <v>0.07</v>
      </c>
      <c r="F14" s="22">
        <f t="shared" si="2"/>
        <v>306268.366972477</v>
      </c>
      <c r="G14" s="23">
        <v>4769036</v>
      </c>
      <c r="H14" s="20">
        <v>44160</v>
      </c>
      <c r="I14" s="12">
        <v>300000</v>
      </c>
      <c r="J14" s="61" t="s">
        <v>23</v>
      </c>
    </row>
    <row r="15" ht="18" customHeight="1" spans="1:10">
      <c r="A15" s="20"/>
      <c r="B15" s="12"/>
      <c r="C15" s="24"/>
      <c r="D15" s="22"/>
      <c r="E15" s="24"/>
      <c r="F15" s="22"/>
      <c r="G15" s="23"/>
      <c r="H15" s="20">
        <v>44232</v>
      </c>
      <c r="I15" s="12">
        <v>200000</v>
      </c>
      <c r="J15" s="61"/>
    </row>
    <row r="16" ht="18" customHeight="1" spans="1:10">
      <c r="A16" s="20"/>
      <c r="B16" s="12"/>
      <c r="C16" s="24"/>
      <c r="D16" s="22"/>
      <c r="E16" s="24"/>
      <c r="F16" s="12"/>
      <c r="G16" s="23"/>
      <c r="H16" s="20"/>
      <c r="I16" s="12"/>
      <c r="J16" s="61"/>
    </row>
    <row r="17" ht="18" customHeight="1" spans="1:10">
      <c r="A17" s="20"/>
      <c r="B17" s="12"/>
      <c r="C17" s="24"/>
      <c r="D17" s="22"/>
      <c r="E17" s="24"/>
      <c r="F17" s="12"/>
      <c r="G17" s="23"/>
      <c r="H17" s="12"/>
      <c r="I17" s="12"/>
      <c r="J17" s="61" t="s">
        <v>23</v>
      </c>
    </row>
    <row r="18" ht="24" customHeight="1" spans="1:10">
      <c r="A18" s="25" t="s">
        <v>25</v>
      </c>
      <c r="B18" s="26">
        <f t="shared" ref="B18:G18" si="3">SUM(B7:B13)</f>
        <v>29748014.5954962</v>
      </c>
      <c r="C18" s="27"/>
      <c r="D18" s="27">
        <f t="shared" si="3"/>
        <v>594960.291909925</v>
      </c>
      <c r="E18" s="18"/>
      <c r="F18" s="28">
        <f>SUM(F7:F17)</f>
        <v>2539538.47956631</v>
      </c>
      <c r="G18" s="27">
        <f t="shared" si="3"/>
        <v>32576245</v>
      </c>
      <c r="H18" s="29"/>
      <c r="I18" s="27">
        <f>SUM(I7:I16)</f>
        <v>32029867</v>
      </c>
      <c r="J18" s="29"/>
    </row>
    <row r="19" ht="18" customHeight="1" spans="1:12">
      <c r="A19" s="3" t="s">
        <v>26</v>
      </c>
      <c r="B19" s="7"/>
      <c r="J19" s="4"/>
      <c r="K19" s="4"/>
      <c r="L19" s="6"/>
    </row>
    <row r="20" ht="18" customHeight="1" spans="1:15">
      <c r="A20" s="30" t="s">
        <v>19</v>
      </c>
      <c r="B20" s="18" t="s">
        <v>27</v>
      </c>
      <c r="C20" s="18" t="s">
        <v>28</v>
      </c>
      <c r="D20" s="18" t="s">
        <v>29</v>
      </c>
      <c r="E20" s="18" t="s">
        <v>17</v>
      </c>
      <c r="F20" s="18" t="s">
        <v>30</v>
      </c>
      <c r="G20" s="18" t="s">
        <v>15</v>
      </c>
      <c r="H20" s="18" t="s">
        <v>31</v>
      </c>
      <c r="I20" s="18" t="s">
        <v>32</v>
      </c>
      <c r="J20" s="18" t="s">
        <v>21</v>
      </c>
      <c r="K20" s="62" t="s">
        <v>33</v>
      </c>
      <c r="L20" s="19" t="s">
        <v>34</v>
      </c>
      <c r="M20" s="19" t="s">
        <v>35</v>
      </c>
      <c r="N20" s="19" t="s">
        <v>36</v>
      </c>
      <c r="O20" s="19" t="s">
        <v>37</v>
      </c>
    </row>
    <row r="21" s="1" customFormat="1" ht="18" customHeight="1" spans="1:16">
      <c r="A21" s="31">
        <v>43302</v>
      </c>
      <c r="B21" s="32">
        <f t="shared" ref="B21:B45" si="4">ROUND(G21/(1+E21),2)</f>
        <v>2912621.36</v>
      </c>
      <c r="C21" s="33">
        <v>3</v>
      </c>
      <c r="D21" s="34" t="s">
        <v>38</v>
      </c>
      <c r="E21" s="35">
        <v>0.03</v>
      </c>
      <c r="F21" s="36">
        <f t="shared" ref="F21:F45" si="5">ROUND(G21/(1+E21)*E21,2)</f>
        <v>87378.64</v>
      </c>
      <c r="G21" s="23">
        <f>1000000*3</f>
        <v>3000000</v>
      </c>
      <c r="H21" s="20">
        <v>43300</v>
      </c>
      <c r="I21" s="12">
        <v>3000000</v>
      </c>
      <c r="J21" s="61" t="s">
        <v>23</v>
      </c>
      <c r="K21" s="63" t="s">
        <v>39</v>
      </c>
      <c r="L21" s="64" t="s">
        <v>40</v>
      </c>
      <c r="M21" s="65" t="s">
        <v>41</v>
      </c>
      <c r="N21" s="65"/>
      <c r="O21" s="64"/>
      <c r="P21" s="66"/>
    </row>
    <row r="22" s="1" customFormat="1" ht="18" customHeight="1" spans="1:16">
      <c r="A22" s="31">
        <v>43307</v>
      </c>
      <c r="B22" s="32">
        <f t="shared" si="4"/>
        <v>1750000</v>
      </c>
      <c r="C22" s="33">
        <v>2</v>
      </c>
      <c r="D22" s="34" t="s">
        <v>38</v>
      </c>
      <c r="E22" s="35">
        <v>0.16</v>
      </c>
      <c r="F22" s="36">
        <f t="shared" si="5"/>
        <v>280000</v>
      </c>
      <c r="G22" s="23">
        <f>999900+1030100</f>
        <v>2030000</v>
      </c>
      <c r="H22" s="20">
        <v>43300</v>
      </c>
      <c r="I22" s="12">
        <v>2030000</v>
      </c>
      <c r="J22" s="61" t="s">
        <v>23</v>
      </c>
      <c r="K22" s="63" t="s">
        <v>42</v>
      </c>
      <c r="L22" s="64" t="s">
        <v>43</v>
      </c>
      <c r="M22" s="65" t="s">
        <v>41</v>
      </c>
      <c r="N22" s="65"/>
      <c r="O22" s="64"/>
      <c r="P22" s="66"/>
    </row>
    <row r="23" s="1" customFormat="1" ht="18" customHeight="1" spans="1:16">
      <c r="A23" s="31">
        <v>43330</v>
      </c>
      <c r="B23" s="37">
        <f t="shared" si="4"/>
        <v>582524.27</v>
      </c>
      <c r="C23" s="33">
        <v>1</v>
      </c>
      <c r="D23" s="34" t="s">
        <v>38</v>
      </c>
      <c r="E23" s="35">
        <v>0.03</v>
      </c>
      <c r="F23" s="38">
        <f t="shared" si="5"/>
        <v>17475.73</v>
      </c>
      <c r="G23" s="39">
        <v>600000</v>
      </c>
      <c r="H23" s="20">
        <v>43340</v>
      </c>
      <c r="I23" s="67">
        <v>600000</v>
      </c>
      <c r="J23" s="61" t="s">
        <v>23</v>
      </c>
      <c r="K23" s="63" t="s">
        <v>39</v>
      </c>
      <c r="L23" s="64" t="s">
        <v>44</v>
      </c>
      <c r="M23" s="65" t="s">
        <v>41</v>
      </c>
      <c r="N23" s="65"/>
      <c r="O23" s="64"/>
      <c r="P23" s="66"/>
    </row>
    <row r="24" s="1" customFormat="1" ht="18" customHeight="1" spans="1:16">
      <c r="A24" s="31">
        <v>43374</v>
      </c>
      <c r="B24" s="32">
        <f t="shared" si="4"/>
        <v>258543</v>
      </c>
      <c r="C24" s="33"/>
      <c r="D24" s="34" t="s">
        <v>45</v>
      </c>
      <c r="E24" s="35"/>
      <c r="F24" s="36">
        <f t="shared" si="5"/>
        <v>0</v>
      </c>
      <c r="G24" s="23">
        <v>258543</v>
      </c>
      <c r="H24" s="20"/>
      <c r="I24" s="12"/>
      <c r="J24" s="61"/>
      <c r="K24" s="63" t="s">
        <v>46</v>
      </c>
      <c r="L24" s="64" t="s">
        <v>47</v>
      </c>
      <c r="M24" s="65"/>
      <c r="N24" s="65"/>
      <c r="O24" s="64"/>
      <c r="P24" s="66"/>
    </row>
    <row r="25" s="1" customFormat="1" ht="18" customHeight="1" spans="1:16">
      <c r="A25" s="31">
        <v>43435</v>
      </c>
      <c r="B25" s="32">
        <f t="shared" si="4"/>
        <v>495747.57</v>
      </c>
      <c r="C25" s="33">
        <v>5</v>
      </c>
      <c r="D25" s="34" t="s">
        <v>38</v>
      </c>
      <c r="E25" s="35">
        <v>0.03</v>
      </c>
      <c r="F25" s="36">
        <f t="shared" si="5"/>
        <v>14872.43</v>
      </c>
      <c r="G25" s="23">
        <f>102124*5</f>
        <v>510620</v>
      </c>
      <c r="H25" s="20">
        <v>43434</v>
      </c>
      <c r="I25" s="12">
        <v>171270</v>
      </c>
      <c r="J25" s="61" t="s">
        <v>23</v>
      </c>
      <c r="K25" s="63" t="s">
        <v>48</v>
      </c>
      <c r="L25" s="64" t="s">
        <v>49</v>
      </c>
      <c r="M25" s="65" t="s">
        <v>41</v>
      </c>
      <c r="N25" s="65"/>
      <c r="O25" s="64"/>
      <c r="P25" s="66"/>
    </row>
    <row r="26" s="1" customFormat="1" ht="18" customHeight="1" spans="1:16">
      <c r="A26" s="31"/>
      <c r="B26" s="32">
        <f t="shared" si="4"/>
        <v>0</v>
      </c>
      <c r="C26" s="33"/>
      <c r="D26" s="34"/>
      <c r="E26" s="35"/>
      <c r="F26" s="36">
        <f t="shared" si="5"/>
        <v>0</v>
      </c>
      <c r="G26" s="23"/>
      <c r="H26" s="20">
        <v>43434</v>
      </c>
      <c r="I26" s="12">
        <v>339350</v>
      </c>
      <c r="J26" s="61" t="s">
        <v>23</v>
      </c>
      <c r="K26" s="63" t="s">
        <v>48</v>
      </c>
      <c r="L26" s="64" t="s">
        <v>49</v>
      </c>
      <c r="M26" s="65" t="s">
        <v>41</v>
      </c>
      <c r="N26" s="65"/>
      <c r="O26" s="64"/>
      <c r="P26" s="66"/>
    </row>
    <row r="27" s="1" customFormat="1" ht="18" customHeight="1" spans="1:16">
      <c r="A27" s="31"/>
      <c r="B27" s="32">
        <f t="shared" si="4"/>
        <v>0</v>
      </c>
      <c r="C27" s="33"/>
      <c r="D27" s="34"/>
      <c r="E27" s="35"/>
      <c r="F27" s="36">
        <f t="shared" si="5"/>
        <v>0</v>
      </c>
      <c r="G27" s="23"/>
      <c r="H27" s="20">
        <v>43434</v>
      </c>
      <c r="I27" s="12">
        <v>-339350</v>
      </c>
      <c r="J27" s="61" t="s">
        <v>50</v>
      </c>
      <c r="K27" s="63" t="s">
        <v>51</v>
      </c>
      <c r="L27" s="64"/>
      <c r="M27" s="65"/>
      <c r="N27" s="65"/>
      <c r="O27" s="64"/>
      <c r="P27" s="66"/>
    </row>
    <row r="28" s="1" customFormat="1" ht="18" customHeight="1" spans="1:16">
      <c r="A28" s="31">
        <v>43466</v>
      </c>
      <c r="B28" s="32">
        <f t="shared" si="4"/>
        <v>1922330.1</v>
      </c>
      <c r="C28" s="33"/>
      <c r="D28" s="34" t="s">
        <v>38</v>
      </c>
      <c r="E28" s="35">
        <v>0.03</v>
      </c>
      <c r="F28" s="36">
        <f t="shared" si="5"/>
        <v>57669.9</v>
      </c>
      <c r="G28" s="23">
        <f>1000000+980000</f>
        <v>1980000</v>
      </c>
      <c r="H28" s="20">
        <v>43486</v>
      </c>
      <c r="I28" s="12">
        <f>1000000+980000</f>
        <v>1980000</v>
      </c>
      <c r="J28" s="61" t="s">
        <v>23</v>
      </c>
      <c r="K28" s="63" t="s">
        <v>39</v>
      </c>
      <c r="L28" s="64" t="s">
        <v>44</v>
      </c>
      <c r="M28" s="65" t="s">
        <v>41</v>
      </c>
      <c r="N28" s="65"/>
      <c r="O28" s="64"/>
      <c r="P28" s="66"/>
    </row>
    <row r="29" s="1" customFormat="1" ht="18" customHeight="1" spans="1:16">
      <c r="A29" s="31">
        <v>43466</v>
      </c>
      <c r="B29" s="32">
        <f t="shared" si="4"/>
        <v>2912621.36</v>
      </c>
      <c r="C29" s="33"/>
      <c r="D29" s="34" t="s">
        <v>38</v>
      </c>
      <c r="E29" s="35">
        <v>0.03</v>
      </c>
      <c r="F29" s="36">
        <f t="shared" si="5"/>
        <v>87378.64</v>
      </c>
      <c r="G29" s="23">
        <f>30*100000</f>
        <v>3000000</v>
      </c>
      <c r="H29" s="20">
        <v>43486</v>
      </c>
      <c r="I29" s="12">
        <f>30*100000</f>
        <v>3000000</v>
      </c>
      <c r="J29" s="61" t="s">
        <v>23</v>
      </c>
      <c r="K29" s="63" t="s">
        <v>48</v>
      </c>
      <c r="L29" s="64" t="s">
        <v>49</v>
      </c>
      <c r="M29" s="65" t="s">
        <v>41</v>
      </c>
      <c r="N29" s="65"/>
      <c r="O29" s="64"/>
      <c r="P29" s="66"/>
    </row>
    <row r="30" s="1" customFormat="1" ht="18" customHeight="1" spans="1:16">
      <c r="A30" s="31">
        <v>43466</v>
      </c>
      <c r="B30" s="32">
        <f t="shared" si="4"/>
        <v>996377.24</v>
      </c>
      <c r="C30" s="33"/>
      <c r="D30" s="34" t="s">
        <v>38</v>
      </c>
      <c r="E30" s="35">
        <v>0.16</v>
      </c>
      <c r="F30" s="36">
        <f t="shared" si="5"/>
        <v>159420.36</v>
      </c>
      <c r="G30" s="23">
        <v>1155797.6</v>
      </c>
      <c r="H30" s="20">
        <v>43490</v>
      </c>
      <c r="I30" s="12">
        <v>1100000</v>
      </c>
      <c r="J30" s="61" t="s">
        <v>23</v>
      </c>
      <c r="K30" s="68" t="s">
        <v>52</v>
      </c>
      <c r="L30" s="69" t="s">
        <v>53</v>
      </c>
      <c r="M30" s="65" t="s">
        <v>41</v>
      </c>
      <c r="N30" s="65"/>
      <c r="O30" s="64"/>
      <c r="P30" s="66"/>
    </row>
    <row r="31" s="1" customFormat="1" ht="18" customHeight="1" spans="1:16">
      <c r="A31" s="31"/>
      <c r="B31" s="32">
        <f t="shared" si="4"/>
        <v>0</v>
      </c>
      <c r="C31" s="33"/>
      <c r="D31" s="34"/>
      <c r="E31" s="35"/>
      <c r="F31" s="40">
        <f t="shared" si="5"/>
        <v>0</v>
      </c>
      <c r="G31" s="23"/>
      <c r="H31" s="20">
        <v>43494</v>
      </c>
      <c r="I31" s="12">
        <v>55787.6</v>
      </c>
      <c r="J31" s="61" t="s">
        <v>23</v>
      </c>
      <c r="K31" s="69" t="s">
        <v>52</v>
      </c>
      <c r="L31" s="69" t="s">
        <v>53</v>
      </c>
      <c r="M31" s="65"/>
      <c r="N31" s="65"/>
      <c r="O31" s="64"/>
      <c r="P31" s="66"/>
    </row>
    <row r="32" s="1" customFormat="1" ht="18" customHeight="1" spans="1:16">
      <c r="A32" s="41">
        <v>43497</v>
      </c>
      <c r="B32" s="32">
        <f t="shared" si="4"/>
        <v>1028276.8</v>
      </c>
      <c r="C32" s="42"/>
      <c r="D32" s="43" t="s">
        <v>54</v>
      </c>
      <c r="E32" s="44"/>
      <c r="F32" s="45">
        <f t="shared" si="5"/>
        <v>0</v>
      </c>
      <c r="G32" s="23">
        <v>1028276.8</v>
      </c>
      <c r="H32" s="46">
        <v>43528</v>
      </c>
      <c r="I32" s="32">
        <v>1028276.8</v>
      </c>
      <c r="J32" s="70" t="s">
        <v>23</v>
      </c>
      <c r="K32" s="71" t="s">
        <v>55</v>
      </c>
      <c r="L32" s="71" t="s">
        <v>56</v>
      </c>
      <c r="M32" s="65" t="s">
        <v>41</v>
      </c>
      <c r="N32" s="65"/>
      <c r="O32" s="72" t="s">
        <v>57</v>
      </c>
      <c r="P32" s="66">
        <v>1028276.8</v>
      </c>
    </row>
    <row r="33" s="1" customFormat="1" ht="18" customHeight="1" spans="1:16">
      <c r="A33" s="41">
        <v>43498</v>
      </c>
      <c r="B33" s="32">
        <f t="shared" si="4"/>
        <v>1987611.75</v>
      </c>
      <c r="C33" s="42"/>
      <c r="D33" s="43" t="s">
        <v>54</v>
      </c>
      <c r="E33" s="44"/>
      <c r="F33" s="45">
        <f t="shared" si="5"/>
        <v>0</v>
      </c>
      <c r="G33" s="23">
        <v>1987611.75</v>
      </c>
      <c r="H33" s="46">
        <v>43531</v>
      </c>
      <c r="I33" s="32">
        <v>1987611.75</v>
      </c>
      <c r="J33" s="70" t="s">
        <v>23</v>
      </c>
      <c r="K33" s="71" t="s">
        <v>55</v>
      </c>
      <c r="L33" s="71" t="s">
        <v>58</v>
      </c>
      <c r="M33" s="65" t="s">
        <v>41</v>
      </c>
      <c r="N33" s="65"/>
      <c r="O33" s="72" t="s">
        <v>57</v>
      </c>
      <c r="P33" s="66">
        <v>1021570.15</v>
      </c>
    </row>
    <row r="34" s="1" customFormat="1" ht="18" customHeight="1" spans="1:16">
      <c r="A34" s="41">
        <v>43499</v>
      </c>
      <c r="B34" s="32">
        <f t="shared" si="4"/>
        <v>0</v>
      </c>
      <c r="C34" s="42"/>
      <c r="D34" s="43" t="s">
        <v>54</v>
      </c>
      <c r="E34" s="44"/>
      <c r="F34" s="45">
        <f t="shared" si="5"/>
        <v>0</v>
      </c>
      <c r="G34" s="47"/>
      <c r="H34" s="46"/>
      <c r="I34" s="54"/>
      <c r="J34" s="70"/>
      <c r="K34" s="71" t="s">
        <v>55</v>
      </c>
      <c r="L34" s="71" t="s">
        <v>59</v>
      </c>
      <c r="M34" s="65"/>
      <c r="N34" s="65"/>
      <c r="O34" s="72" t="s">
        <v>57</v>
      </c>
      <c r="P34" s="66">
        <v>966041.6</v>
      </c>
    </row>
    <row r="35" s="1" customFormat="1" ht="18" customHeight="1" spans="1:16">
      <c r="A35" s="31">
        <v>43525</v>
      </c>
      <c r="B35" s="32">
        <f t="shared" si="4"/>
        <v>1336300</v>
      </c>
      <c r="C35" s="33"/>
      <c r="D35" s="34" t="s">
        <v>54</v>
      </c>
      <c r="E35" s="35"/>
      <c r="F35" s="40">
        <f t="shared" si="5"/>
        <v>0</v>
      </c>
      <c r="G35" s="23">
        <v>1336300</v>
      </c>
      <c r="H35" s="20">
        <v>43549</v>
      </c>
      <c r="I35" s="12">
        <v>851040.85</v>
      </c>
      <c r="J35" s="61" t="s">
        <v>23</v>
      </c>
      <c r="K35" s="69" t="s">
        <v>60</v>
      </c>
      <c r="L35" s="69" t="s">
        <v>61</v>
      </c>
      <c r="M35" s="65"/>
      <c r="N35" s="65"/>
      <c r="O35" s="64"/>
      <c r="P35" s="66"/>
    </row>
    <row r="36" s="1" customFormat="1" ht="18" customHeight="1" spans="1:17">
      <c r="A36" s="31"/>
      <c r="B36" s="32">
        <f t="shared" si="4"/>
        <v>0</v>
      </c>
      <c r="C36" s="33"/>
      <c r="D36" s="34"/>
      <c r="E36" s="35"/>
      <c r="F36" s="40">
        <f t="shared" si="5"/>
        <v>0</v>
      </c>
      <c r="G36" s="23"/>
      <c r="H36" s="20">
        <v>43563</v>
      </c>
      <c r="I36" s="73">
        <v>304741.64</v>
      </c>
      <c r="J36" s="61" t="s">
        <v>23</v>
      </c>
      <c r="K36" s="69" t="s">
        <v>60</v>
      </c>
      <c r="L36" s="69" t="s">
        <v>61</v>
      </c>
      <c r="M36" s="65" t="s">
        <v>41</v>
      </c>
      <c r="N36" s="65"/>
      <c r="O36" s="64"/>
      <c r="P36" s="66">
        <f>P32+P33+P34</f>
        <v>3015888.55</v>
      </c>
      <c r="Q36" s="1">
        <f>P36*0.25</f>
        <v>753972.1375</v>
      </c>
    </row>
    <row r="37" s="1" customFormat="1" ht="18" customHeight="1" spans="1:16">
      <c r="A37" s="31"/>
      <c r="B37" s="32">
        <f t="shared" si="4"/>
        <v>0</v>
      </c>
      <c r="C37" s="33"/>
      <c r="D37" s="34"/>
      <c r="E37" s="35"/>
      <c r="F37" s="40">
        <f t="shared" si="5"/>
        <v>0</v>
      </c>
      <c r="G37" s="23"/>
      <c r="H37" s="20">
        <v>43563</v>
      </c>
      <c r="I37" s="12">
        <v>-304741.64</v>
      </c>
      <c r="J37" s="61" t="s">
        <v>50</v>
      </c>
      <c r="K37" s="74" t="s">
        <v>51</v>
      </c>
      <c r="L37" s="69"/>
      <c r="M37" s="65"/>
      <c r="N37" s="65"/>
      <c r="O37" s="64"/>
      <c r="P37" s="66">
        <v>3020000</v>
      </c>
    </row>
    <row r="38" s="1" customFormat="1" ht="18" customHeight="1" spans="1:16">
      <c r="A38" s="31">
        <v>43586</v>
      </c>
      <c r="B38" s="32">
        <f t="shared" si="4"/>
        <v>97087.38</v>
      </c>
      <c r="C38" s="33"/>
      <c r="D38" s="34" t="s">
        <v>38</v>
      </c>
      <c r="E38" s="35">
        <v>0.03</v>
      </c>
      <c r="F38" s="40">
        <f t="shared" si="5"/>
        <v>2912.62</v>
      </c>
      <c r="G38" s="23">
        <v>100000</v>
      </c>
      <c r="H38" s="20">
        <v>43669</v>
      </c>
      <c r="I38" s="12">
        <v>100000</v>
      </c>
      <c r="J38" s="61" t="s">
        <v>23</v>
      </c>
      <c r="K38" s="74" t="s">
        <v>39</v>
      </c>
      <c r="L38" s="64" t="s">
        <v>44</v>
      </c>
      <c r="M38" s="65"/>
      <c r="N38" s="65"/>
      <c r="O38" s="64"/>
      <c r="P38" s="66"/>
    </row>
    <row r="39" ht="18" customHeight="1" spans="1:15">
      <c r="A39" s="48">
        <v>43647</v>
      </c>
      <c r="B39" s="12">
        <f t="shared" si="4"/>
        <v>2230973.45</v>
      </c>
      <c r="C39" s="49"/>
      <c r="D39" s="50" t="s">
        <v>38</v>
      </c>
      <c r="E39" s="51">
        <v>0.13</v>
      </c>
      <c r="F39" s="22">
        <f t="shared" si="5"/>
        <v>290026.55</v>
      </c>
      <c r="G39" s="52">
        <f>109600*22+109800</f>
        <v>2521000</v>
      </c>
      <c r="H39" s="20">
        <v>43669</v>
      </c>
      <c r="I39" s="12">
        <f>109600*22+109800</f>
        <v>2521000</v>
      </c>
      <c r="J39" s="61" t="s">
        <v>23</v>
      </c>
      <c r="K39" s="75" t="s">
        <v>62</v>
      </c>
      <c r="L39" s="29" t="s">
        <v>63</v>
      </c>
      <c r="M39" s="61" t="s">
        <v>41</v>
      </c>
      <c r="N39" s="61" t="s">
        <v>41</v>
      </c>
      <c r="O39" s="29"/>
    </row>
    <row r="40" customFormat="1" ht="18" customHeight="1" spans="1:16">
      <c r="A40" s="48">
        <v>43678</v>
      </c>
      <c r="B40" s="12">
        <f t="shared" si="4"/>
        <v>286407.77</v>
      </c>
      <c r="C40" s="49"/>
      <c r="D40" s="50" t="s">
        <v>38</v>
      </c>
      <c r="E40" s="53">
        <v>0.03</v>
      </c>
      <c r="F40" s="22">
        <f t="shared" si="5"/>
        <v>8592.23</v>
      </c>
      <c r="G40" s="52">
        <v>295000</v>
      </c>
      <c r="H40" s="20"/>
      <c r="I40" s="12"/>
      <c r="J40" s="61"/>
      <c r="K40" s="75" t="s">
        <v>39</v>
      </c>
      <c r="L40" s="29" t="s">
        <v>40</v>
      </c>
      <c r="M40" s="61"/>
      <c r="N40" s="61"/>
      <c r="O40" s="29"/>
      <c r="P40" s="76"/>
    </row>
    <row r="41" customFormat="1" ht="18" customHeight="1" spans="1:16">
      <c r="A41" s="48"/>
      <c r="B41" s="12">
        <f t="shared" si="4"/>
        <v>0</v>
      </c>
      <c r="C41" s="49"/>
      <c r="D41" s="50"/>
      <c r="E41" s="51"/>
      <c r="F41" s="22">
        <f t="shared" si="5"/>
        <v>0</v>
      </c>
      <c r="G41" s="52"/>
      <c r="H41" s="20">
        <v>43696</v>
      </c>
      <c r="I41" s="12">
        <v>295000</v>
      </c>
      <c r="J41" s="61" t="s">
        <v>23</v>
      </c>
      <c r="K41" s="75" t="s">
        <v>39</v>
      </c>
      <c r="L41" s="29" t="s">
        <v>40</v>
      </c>
      <c r="M41" s="61"/>
      <c r="N41" s="61"/>
      <c r="O41" s="29"/>
      <c r="P41" s="76"/>
    </row>
    <row r="42" customFormat="1" ht="18" customHeight="1" spans="1:16">
      <c r="A42" s="48">
        <v>43800</v>
      </c>
      <c r="B42" s="12">
        <f t="shared" si="4"/>
        <v>2652690.27</v>
      </c>
      <c r="C42" s="49"/>
      <c r="D42" s="50" t="s">
        <v>38</v>
      </c>
      <c r="E42" s="51">
        <v>0.13</v>
      </c>
      <c r="F42" s="22">
        <f t="shared" si="5"/>
        <v>344849.73</v>
      </c>
      <c r="G42" s="52">
        <v>2997540</v>
      </c>
      <c r="H42" s="20">
        <v>43830</v>
      </c>
      <c r="I42" s="12">
        <v>2820066.65</v>
      </c>
      <c r="J42" s="61" t="s">
        <v>23</v>
      </c>
      <c r="K42" s="75" t="s">
        <v>64</v>
      </c>
      <c r="L42" s="29" t="s">
        <v>65</v>
      </c>
      <c r="M42" s="61" t="s">
        <v>41</v>
      </c>
      <c r="N42" s="61" t="s">
        <v>41</v>
      </c>
      <c r="O42" s="29"/>
      <c r="P42" s="76"/>
    </row>
    <row r="43" customFormat="1" ht="18" customHeight="1" spans="1:16">
      <c r="A43" s="48">
        <v>43891</v>
      </c>
      <c r="B43" s="12">
        <f t="shared" si="4"/>
        <v>2921519.47</v>
      </c>
      <c r="C43" s="49"/>
      <c r="D43" s="50" t="s">
        <v>38</v>
      </c>
      <c r="E43" s="51">
        <v>0.13</v>
      </c>
      <c r="F43" s="22">
        <f t="shared" si="5"/>
        <v>379797.53</v>
      </c>
      <c r="G43" s="23">
        <v>3301317</v>
      </c>
      <c r="H43" s="20"/>
      <c r="I43" s="12"/>
      <c r="J43" s="61"/>
      <c r="K43" s="75" t="s">
        <v>66</v>
      </c>
      <c r="L43" s="29" t="s">
        <v>67</v>
      </c>
      <c r="M43" s="61"/>
      <c r="N43" s="61"/>
      <c r="O43" s="29"/>
      <c r="P43" s="76"/>
    </row>
    <row r="44" customFormat="1" ht="18" customHeight="1" spans="1:16">
      <c r="A44" s="48"/>
      <c r="B44" s="12">
        <f t="shared" si="4"/>
        <v>0</v>
      </c>
      <c r="C44" s="49"/>
      <c r="D44" s="50"/>
      <c r="E44" s="51"/>
      <c r="F44" s="22">
        <f t="shared" si="5"/>
        <v>0</v>
      </c>
      <c r="G44" s="52"/>
      <c r="H44" s="20">
        <v>43921</v>
      </c>
      <c r="I44" s="12">
        <v>3301317</v>
      </c>
      <c r="J44" s="61" t="s">
        <v>23</v>
      </c>
      <c r="K44" s="75" t="s">
        <v>66</v>
      </c>
      <c r="L44" s="29"/>
      <c r="M44" s="61"/>
      <c r="N44" s="61"/>
      <c r="O44" s="29"/>
      <c r="P44" s="76"/>
    </row>
    <row r="45" customFormat="1" ht="18" customHeight="1" spans="1:16">
      <c r="A45" s="48"/>
      <c r="B45" s="12">
        <f t="shared" si="4"/>
        <v>0</v>
      </c>
      <c r="C45" s="49"/>
      <c r="D45" s="50"/>
      <c r="E45" s="51"/>
      <c r="F45" s="22">
        <f t="shared" si="5"/>
        <v>0</v>
      </c>
      <c r="G45" s="52"/>
      <c r="H45" s="20">
        <v>43964</v>
      </c>
      <c r="I45" s="12">
        <v>644091.64</v>
      </c>
      <c r="J45" s="61" t="s">
        <v>50</v>
      </c>
      <c r="K45" s="75" t="s">
        <v>68</v>
      </c>
      <c r="L45" s="29"/>
      <c r="M45" s="61"/>
      <c r="N45" s="61"/>
      <c r="O45" s="29"/>
      <c r="P45" s="76"/>
    </row>
    <row r="46" s="2" customFormat="1" ht="18" customHeight="1" spans="1:16">
      <c r="A46" s="41">
        <v>43952</v>
      </c>
      <c r="B46" s="54">
        <v>0</v>
      </c>
      <c r="C46" s="42">
        <v>3</v>
      </c>
      <c r="D46" s="43" t="s">
        <v>45</v>
      </c>
      <c r="E46" s="44"/>
      <c r="F46" s="45"/>
      <c r="G46" s="47">
        <f t="shared" ref="G46:G49" si="6">99840+99840+99840</f>
        <v>299520</v>
      </c>
      <c r="H46" s="46"/>
      <c r="I46" s="54"/>
      <c r="J46" s="70"/>
      <c r="K46" s="77" t="s">
        <v>124</v>
      </c>
      <c r="L46" s="72" t="s">
        <v>125</v>
      </c>
      <c r="M46" s="70" t="s">
        <v>126</v>
      </c>
      <c r="N46" s="70" t="s">
        <v>126</v>
      </c>
      <c r="O46" s="78" t="s">
        <v>146</v>
      </c>
      <c r="P46" s="79"/>
    </row>
    <row r="47" s="2" customFormat="1" ht="18" customHeight="1" spans="1:16">
      <c r="A47" s="41">
        <v>43952</v>
      </c>
      <c r="B47" s="54">
        <v>0</v>
      </c>
      <c r="C47" s="42">
        <v>3</v>
      </c>
      <c r="D47" s="43" t="s">
        <v>45</v>
      </c>
      <c r="E47" s="44"/>
      <c r="F47" s="45"/>
      <c r="G47" s="47">
        <f t="shared" si="6"/>
        <v>299520</v>
      </c>
      <c r="H47" s="46"/>
      <c r="I47" s="54"/>
      <c r="J47" s="70"/>
      <c r="K47" s="77" t="s">
        <v>127</v>
      </c>
      <c r="L47" s="72" t="s">
        <v>125</v>
      </c>
      <c r="M47" s="70" t="s">
        <v>126</v>
      </c>
      <c r="N47" s="70" t="s">
        <v>126</v>
      </c>
      <c r="O47" s="80"/>
      <c r="P47" s="79"/>
    </row>
    <row r="48" s="2" customFormat="1" ht="18" customHeight="1" spans="1:16">
      <c r="A48" s="41">
        <v>43952</v>
      </c>
      <c r="B48" s="54">
        <v>0</v>
      </c>
      <c r="C48" s="42">
        <v>3</v>
      </c>
      <c r="D48" s="43" t="s">
        <v>45</v>
      </c>
      <c r="E48" s="44"/>
      <c r="F48" s="45"/>
      <c r="G48" s="47">
        <f t="shared" si="6"/>
        <v>299520</v>
      </c>
      <c r="H48" s="46"/>
      <c r="I48" s="54"/>
      <c r="J48" s="70"/>
      <c r="K48" s="77" t="s">
        <v>128</v>
      </c>
      <c r="L48" s="72" t="s">
        <v>125</v>
      </c>
      <c r="M48" s="70" t="s">
        <v>126</v>
      </c>
      <c r="N48" s="70" t="s">
        <v>126</v>
      </c>
      <c r="O48" s="80"/>
      <c r="P48" s="79"/>
    </row>
    <row r="49" s="2" customFormat="1" ht="18" customHeight="1" spans="1:16">
      <c r="A49" s="41">
        <v>43952</v>
      </c>
      <c r="B49" s="54">
        <v>0</v>
      </c>
      <c r="C49" s="42">
        <v>3</v>
      </c>
      <c r="D49" s="43" t="s">
        <v>45</v>
      </c>
      <c r="E49" s="44"/>
      <c r="F49" s="45"/>
      <c r="G49" s="47">
        <f t="shared" si="6"/>
        <v>299520</v>
      </c>
      <c r="H49" s="46"/>
      <c r="I49" s="54"/>
      <c r="J49" s="70"/>
      <c r="K49" s="77" t="s">
        <v>129</v>
      </c>
      <c r="L49" s="72" t="s">
        <v>125</v>
      </c>
      <c r="M49" s="70" t="s">
        <v>126</v>
      </c>
      <c r="N49" s="70" t="s">
        <v>126</v>
      </c>
      <c r="O49" s="80"/>
      <c r="P49" s="79"/>
    </row>
    <row r="50" s="2" customFormat="1" ht="18" customHeight="1" spans="1:16">
      <c r="A50" s="41">
        <v>43952</v>
      </c>
      <c r="B50" s="54">
        <v>0</v>
      </c>
      <c r="C50" s="42">
        <v>4</v>
      </c>
      <c r="D50" s="43" t="s">
        <v>45</v>
      </c>
      <c r="E50" s="44"/>
      <c r="F50" s="45"/>
      <c r="G50" s="47">
        <f t="shared" ref="G50:G53" si="7">99840*3+4960</f>
        <v>304480</v>
      </c>
      <c r="H50" s="46"/>
      <c r="I50" s="54"/>
      <c r="J50" s="70"/>
      <c r="K50" s="77" t="s">
        <v>130</v>
      </c>
      <c r="L50" s="72" t="s">
        <v>125</v>
      </c>
      <c r="M50" s="70" t="s">
        <v>126</v>
      </c>
      <c r="N50" s="70" t="s">
        <v>126</v>
      </c>
      <c r="O50" s="80"/>
      <c r="P50" s="79"/>
    </row>
    <row r="51" s="2" customFormat="1" ht="18" customHeight="1" spans="1:16">
      <c r="A51" s="41">
        <v>43952</v>
      </c>
      <c r="B51" s="54">
        <v>0</v>
      </c>
      <c r="C51" s="42">
        <v>4</v>
      </c>
      <c r="D51" s="43" t="s">
        <v>45</v>
      </c>
      <c r="E51" s="44"/>
      <c r="F51" s="45"/>
      <c r="G51" s="47">
        <f t="shared" si="7"/>
        <v>304480</v>
      </c>
      <c r="H51" s="46"/>
      <c r="I51" s="54"/>
      <c r="J51" s="70"/>
      <c r="K51" s="77" t="s">
        <v>131</v>
      </c>
      <c r="L51" s="72" t="s">
        <v>125</v>
      </c>
      <c r="M51" s="70" t="s">
        <v>126</v>
      </c>
      <c r="N51" s="70" t="s">
        <v>126</v>
      </c>
      <c r="O51" s="80"/>
      <c r="P51" s="79"/>
    </row>
    <row r="52" s="2" customFormat="1" ht="18" customHeight="1" spans="1:16">
      <c r="A52" s="41">
        <v>43952</v>
      </c>
      <c r="B52" s="54">
        <v>0</v>
      </c>
      <c r="C52" s="42">
        <v>3</v>
      </c>
      <c r="D52" s="43" t="s">
        <v>45</v>
      </c>
      <c r="E52" s="44"/>
      <c r="F52" s="45"/>
      <c r="G52" s="47">
        <f>99840*3</f>
        <v>299520</v>
      </c>
      <c r="H52" s="46"/>
      <c r="I52" s="54"/>
      <c r="J52" s="70"/>
      <c r="K52" s="77" t="s">
        <v>132</v>
      </c>
      <c r="L52" s="72" t="s">
        <v>125</v>
      </c>
      <c r="M52" s="70" t="s">
        <v>126</v>
      </c>
      <c r="N52" s="70" t="s">
        <v>126</v>
      </c>
      <c r="O52" s="80"/>
      <c r="P52" s="79"/>
    </row>
    <row r="53" s="2" customFormat="1" ht="18" customHeight="1" spans="1:16">
      <c r="A53" s="41">
        <v>43952</v>
      </c>
      <c r="B53" s="54">
        <v>0</v>
      </c>
      <c r="C53" s="42">
        <v>4</v>
      </c>
      <c r="D53" s="43" t="s">
        <v>45</v>
      </c>
      <c r="E53" s="44"/>
      <c r="F53" s="45"/>
      <c r="G53" s="47">
        <f t="shared" si="7"/>
        <v>304480</v>
      </c>
      <c r="H53" s="46"/>
      <c r="I53" s="54"/>
      <c r="J53" s="70"/>
      <c r="K53" s="77" t="s">
        <v>133</v>
      </c>
      <c r="L53" s="72" t="s">
        <v>125</v>
      </c>
      <c r="M53" s="70" t="s">
        <v>126</v>
      </c>
      <c r="N53" s="70" t="s">
        <v>126</v>
      </c>
      <c r="O53" s="80"/>
      <c r="P53" s="79"/>
    </row>
    <row r="54" s="2" customFormat="1" ht="18" customHeight="1" spans="1:16">
      <c r="A54" s="41">
        <v>43952</v>
      </c>
      <c r="B54" s="54">
        <v>0</v>
      </c>
      <c r="C54" s="42">
        <v>3</v>
      </c>
      <c r="D54" s="43" t="s">
        <v>45</v>
      </c>
      <c r="E54" s="44"/>
      <c r="F54" s="45"/>
      <c r="G54" s="47">
        <f>99840+99840+99840</f>
        <v>299520</v>
      </c>
      <c r="H54" s="46"/>
      <c r="I54" s="54"/>
      <c r="J54" s="70"/>
      <c r="K54" s="77" t="s">
        <v>134</v>
      </c>
      <c r="L54" s="72" t="s">
        <v>125</v>
      </c>
      <c r="M54" s="70" t="s">
        <v>126</v>
      </c>
      <c r="N54" s="70" t="s">
        <v>126</v>
      </c>
      <c r="O54" s="80"/>
      <c r="P54" s="79"/>
    </row>
    <row r="55" s="2" customFormat="1" ht="18" customHeight="1" spans="1:16">
      <c r="A55" s="41">
        <v>43952</v>
      </c>
      <c r="B55" s="54">
        <v>0</v>
      </c>
      <c r="C55" s="42">
        <v>3</v>
      </c>
      <c r="D55" s="43" t="s">
        <v>45</v>
      </c>
      <c r="E55" s="44"/>
      <c r="F55" s="45"/>
      <c r="G55" s="47">
        <f>99840+99840+99840</f>
        <v>299520</v>
      </c>
      <c r="H55" s="46"/>
      <c r="I55" s="54"/>
      <c r="J55" s="70"/>
      <c r="K55" s="77" t="s">
        <v>135</v>
      </c>
      <c r="L55" s="72" t="s">
        <v>125</v>
      </c>
      <c r="M55" s="70" t="s">
        <v>126</v>
      </c>
      <c r="N55" s="70" t="s">
        <v>126</v>
      </c>
      <c r="O55" s="81"/>
      <c r="P55" s="79"/>
    </row>
    <row r="56" customFormat="1" ht="18" customHeight="1" spans="1:16">
      <c r="A56" s="48">
        <v>43952</v>
      </c>
      <c r="B56" s="12">
        <f t="shared" ref="B56:B64" si="8">ROUND(G56/(1+E56),2)</f>
        <v>619513.27</v>
      </c>
      <c r="C56" s="49"/>
      <c r="D56" s="50" t="s">
        <v>38</v>
      </c>
      <c r="E56" s="51">
        <v>0.13</v>
      </c>
      <c r="F56" s="22">
        <f t="shared" ref="F56:F64" si="9">ROUND(G56/(1+E56)*E56,2)</f>
        <v>80536.73</v>
      </c>
      <c r="G56" s="52">
        <v>700050</v>
      </c>
      <c r="H56" s="55">
        <v>43985</v>
      </c>
      <c r="I56" s="82">
        <v>700050</v>
      </c>
      <c r="J56" s="83" t="s">
        <v>23</v>
      </c>
      <c r="K56" s="84" t="s">
        <v>69</v>
      </c>
      <c r="L56" s="29" t="s">
        <v>70</v>
      </c>
      <c r="M56" s="61" t="s">
        <v>41</v>
      </c>
      <c r="N56" s="61" t="s">
        <v>41</v>
      </c>
      <c r="O56" s="29"/>
      <c r="P56" s="76"/>
    </row>
    <row r="57" customFormat="1" ht="18" customHeight="1" spans="1:16">
      <c r="A57" s="48">
        <v>44013</v>
      </c>
      <c r="B57" s="12">
        <f t="shared" si="8"/>
        <v>1771646.02</v>
      </c>
      <c r="C57" s="49"/>
      <c r="D57" s="50" t="s">
        <v>38</v>
      </c>
      <c r="E57" s="51">
        <v>0.13</v>
      </c>
      <c r="F57" s="22">
        <f t="shared" si="9"/>
        <v>230313.98</v>
      </c>
      <c r="G57" s="52">
        <f>1005960+996000</f>
        <v>2001960</v>
      </c>
      <c r="H57" s="55">
        <v>44063</v>
      </c>
      <c r="I57" s="82">
        <v>150000</v>
      </c>
      <c r="J57" s="83" t="s">
        <v>23</v>
      </c>
      <c r="K57" s="84" t="s">
        <v>64</v>
      </c>
      <c r="L57" s="29" t="s">
        <v>121</v>
      </c>
      <c r="M57" s="61" t="s">
        <v>41</v>
      </c>
      <c r="N57" s="61" t="s">
        <v>41</v>
      </c>
      <c r="O57" s="29"/>
      <c r="P57" s="76"/>
    </row>
    <row r="58" customFormat="1" ht="18" customHeight="1" spans="1:16">
      <c r="A58" s="48">
        <v>44075</v>
      </c>
      <c r="B58" s="12">
        <f t="shared" si="8"/>
        <v>1456310.68</v>
      </c>
      <c r="C58" s="49"/>
      <c r="D58" s="50" t="s">
        <v>38</v>
      </c>
      <c r="E58" s="53">
        <v>0.03</v>
      </c>
      <c r="F58" s="22">
        <f t="shared" si="9"/>
        <v>43689.32</v>
      </c>
      <c r="G58" s="52">
        <v>1500000</v>
      </c>
      <c r="H58" s="55">
        <v>44082</v>
      </c>
      <c r="I58" s="22">
        <v>1500000</v>
      </c>
      <c r="J58" s="85" t="s">
        <v>23</v>
      </c>
      <c r="K58" s="86" t="s">
        <v>136</v>
      </c>
      <c r="L58" s="29" t="s">
        <v>137</v>
      </c>
      <c r="M58" s="61"/>
      <c r="N58" s="61"/>
      <c r="O58" s="29"/>
      <c r="P58" s="76"/>
    </row>
    <row r="59" customFormat="1" ht="18" customHeight="1" spans="1:16">
      <c r="A59" s="48"/>
      <c r="B59" s="12">
        <f t="shared" si="8"/>
        <v>0</v>
      </c>
      <c r="C59" s="49"/>
      <c r="D59" s="50"/>
      <c r="E59" s="51"/>
      <c r="F59" s="22">
        <f t="shared" si="9"/>
        <v>0</v>
      </c>
      <c r="G59" s="52"/>
      <c r="H59" s="55">
        <v>44084</v>
      </c>
      <c r="I59" s="22">
        <v>490000</v>
      </c>
      <c r="J59" s="85" t="s">
        <v>23</v>
      </c>
      <c r="K59" s="86" t="s">
        <v>64</v>
      </c>
      <c r="L59" s="29"/>
      <c r="M59" s="61"/>
      <c r="N59" s="61"/>
      <c r="O59" s="29"/>
      <c r="P59" s="76"/>
    </row>
    <row r="60" customFormat="1" ht="18" customHeight="1" spans="1:16">
      <c r="A60" s="48"/>
      <c r="B60" s="12">
        <f t="shared" si="8"/>
        <v>0</v>
      </c>
      <c r="C60" s="49"/>
      <c r="D60" s="50"/>
      <c r="E60" s="53">
        <v>0.03</v>
      </c>
      <c r="F60" s="22">
        <f t="shared" si="9"/>
        <v>0</v>
      </c>
      <c r="G60" s="52"/>
      <c r="H60" s="56">
        <v>44103</v>
      </c>
      <c r="I60" s="22">
        <v>720000</v>
      </c>
      <c r="J60" s="85" t="s">
        <v>23</v>
      </c>
      <c r="K60" s="87" t="s">
        <v>69</v>
      </c>
      <c r="L60" s="29"/>
      <c r="M60" s="61"/>
      <c r="N60" s="61"/>
      <c r="O60" s="29"/>
      <c r="P60" s="76"/>
    </row>
    <row r="61" customFormat="1" ht="18" customHeight="1" spans="1:16">
      <c r="A61" s="48">
        <v>44105</v>
      </c>
      <c r="B61" s="12">
        <f t="shared" si="8"/>
        <v>1456310.68</v>
      </c>
      <c r="C61" s="49">
        <v>15</v>
      </c>
      <c r="D61" s="50" t="s">
        <v>38</v>
      </c>
      <c r="E61" s="53">
        <v>0.03</v>
      </c>
      <c r="F61" s="22">
        <f t="shared" si="9"/>
        <v>43689.32</v>
      </c>
      <c r="G61" s="52">
        <v>1500000</v>
      </c>
      <c r="H61" s="56">
        <v>44130</v>
      </c>
      <c r="I61" s="22">
        <v>1500000</v>
      </c>
      <c r="J61" s="85"/>
      <c r="K61" s="86" t="s">
        <v>136</v>
      </c>
      <c r="L61" s="29" t="s">
        <v>137</v>
      </c>
      <c r="M61" s="61"/>
      <c r="N61" s="61"/>
      <c r="O61" s="29"/>
      <c r="P61" s="76"/>
    </row>
    <row r="62" customFormat="1" ht="18" customHeight="1" spans="1:16">
      <c r="A62" s="48"/>
      <c r="B62" s="12">
        <f t="shared" si="8"/>
        <v>0</v>
      </c>
      <c r="C62" s="49"/>
      <c r="D62" s="50"/>
      <c r="E62" s="53"/>
      <c r="F62" s="22">
        <f t="shared" si="9"/>
        <v>0</v>
      </c>
      <c r="G62" s="52"/>
      <c r="H62" s="56">
        <v>44162</v>
      </c>
      <c r="I62" s="22">
        <v>300000</v>
      </c>
      <c r="J62" s="85"/>
      <c r="K62" s="87" t="s">
        <v>64</v>
      </c>
      <c r="L62" s="29" t="s">
        <v>147</v>
      </c>
      <c r="M62" s="61"/>
      <c r="N62" s="61"/>
      <c r="O62" s="29"/>
      <c r="P62" s="76"/>
    </row>
    <row r="63" customFormat="1" ht="18" customHeight="1" spans="1:16">
      <c r="A63" s="48">
        <v>44197</v>
      </c>
      <c r="B63" s="12">
        <f t="shared" si="8"/>
        <v>374530</v>
      </c>
      <c r="C63" s="49">
        <v>1</v>
      </c>
      <c r="D63" s="50" t="s">
        <v>38</v>
      </c>
      <c r="E63" s="53">
        <v>0.03</v>
      </c>
      <c r="F63" s="22">
        <f t="shared" si="9"/>
        <v>11235.9</v>
      </c>
      <c r="G63" s="52">
        <v>385765.9</v>
      </c>
      <c r="H63" s="56"/>
      <c r="I63" s="22"/>
      <c r="J63" s="85"/>
      <c r="K63" s="86" t="s">
        <v>48</v>
      </c>
      <c r="L63" s="29" t="s">
        <v>49</v>
      </c>
      <c r="M63" s="61"/>
      <c r="N63" s="61"/>
      <c r="O63" s="29"/>
      <c r="P63" s="76"/>
    </row>
    <row r="64" customFormat="1" ht="18" customHeight="1" spans="1:16">
      <c r="A64" s="48">
        <v>44228</v>
      </c>
      <c r="B64" s="12">
        <f t="shared" si="8"/>
        <v>150442.48</v>
      </c>
      <c r="C64" s="49">
        <v>2</v>
      </c>
      <c r="D64" s="50" t="s">
        <v>38</v>
      </c>
      <c r="E64" s="53">
        <v>0.13</v>
      </c>
      <c r="F64" s="22">
        <f t="shared" si="9"/>
        <v>19557.52</v>
      </c>
      <c r="G64" s="52">
        <v>170000</v>
      </c>
      <c r="H64" s="57">
        <v>44232</v>
      </c>
      <c r="I64" s="88">
        <v>170000</v>
      </c>
      <c r="J64" s="85"/>
      <c r="K64" s="86" t="s">
        <v>148</v>
      </c>
      <c r="L64" s="29" t="s">
        <v>149</v>
      </c>
      <c r="M64" s="70" t="s">
        <v>126</v>
      </c>
      <c r="N64" s="70" t="s">
        <v>150</v>
      </c>
      <c r="O64" s="72"/>
      <c r="P64" s="76"/>
    </row>
    <row r="65" customFormat="1" ht="18" customHeight="1" spans="1:16">
      <c r="A65" s="48"/>
      <c r="B65" s="12"/>
      <c r="C65" s="49"/>
      <c r="D65" s="50"/>
      <c r="E65" s="53"/>
      <c r="F65" s="22"/>
      <c r="G65" s="52"/>
      <c r="H65" s="56"/>
      <c r="I65" s="22"/>
      <c r="J65" s="85"/>
      <c r="K65" s="86"/>
      <c r="L65" s="29"/>
      <c r="M65" s="61"/>
      <c r="N65" s="61"/>
      <c r="O65" s="29"/>
      <c r="P65" s="76"/>
    </row>
    <row r="66" customFormat="1" ht="18" customHeight="1" spans="1:16">
      <c r="A66" s="48"/>
      <c r="B66" s="12"/>
      <c r="C66" s="49"/>
      <c r="D66" s="50"/>
      <c r="E66" s="53"/>
      <c r="F66" s="22"/>
      <c r="G66" s="52"/>
      <c r="H66" s="56"/>
      <c r="I66" s="22"/>
      <c r="J66" s="85"/>
      <c r="K66" s="86"/>
      <c r="L66" s="29"/>
      <c r="M66" s="61"/>
      <c r="N66" s="61"/>
      <c r="O66" s="29"/>
      <c r="P66" s="76"/>
    </row>
    <row r="67" customFormat="1" ht="18" customHeight="1" spans="1:16">
      <c r="A67" s="48"/>
      <c r="B67" s="12"/>
      <c r="C67" s="49"/>
      <c r="D67" s="50"/>
      <c r="E67" s="53"/>
      <c r="F67" s="22"/>
      <c r="G67" s="52"/>
      <c r="H67" s="56"/>
      <c r="I67" s="22"/>
      <c r="J67" s="85"/>
      <c r="K67" s="86"/>
      <c r="L67" s="29"/>
      <c r="M67" s="61"/>
      <c r="N67" s="61"/>
      <c r="O67" s="29"/>
      <c r="P67" s="76"/>
    </row>
    <row r="68" customFormat="1" ht="18" customHeight="1" spans="1:16">
      <c r="A68" s="48"/>
      <c r="B68" s="12"/>
      <c r="C68" s="49"/>
      <c r="D68" s="50"/>
      <c r="E68" s="53"/>
      <c r="F68" s="22"/>
      <c r="G68" s="52"/>
      <c r="H68" s="56"/>
      <c r="I68" s="22"/>
      <c r="J68" s="85"/>
      <c r="K68" s="86"/>
      <c r="L68" s="29"/>
      <c r="M68" s="61"/>
      <c r="N68" s="61"/>
      <c r="O68" s="29"/>
      <c r="P68" s="76"/>
    </row>
    <row r="69" customFormat="1" ht="18" customHeight="1" spans="1:16">
      <c r="A69" s="48"/>
      <c r="B69" s="12"/>
      <c r="C69" s="49"/>
      <c r="D69" s="50"/>
      <c r="E69" s="53"/>
      <c r="F69" s="22"/>
      <c r="G69" s="52"/>
      <c r="H69" s="56"/>
      <c r="I69" s="22">
        <v>753972.13</v>
      </c>
      <c r="J69" s="85" t="s">
        <v>71</v>
      </c>
      <c r="K69" s="86" t="s">
        <v>151</v>
      </c>
      <c r="M69" s="61"/>
      <c r="N69" s="61"/>
      <c r="O69" s="29"/>
      <c r="P69" s="76"/>
    </row>
    <row r="70" customFormat="1" ht="18" customHeight="1" spans="1:16">
      <c r="A70" s="48"/>
      <c r="B70" s="12"/>
      <c r="C70" s="49"/>
      <c r="D70" s="50"/>
      <c r="E70" s="53"/>
      <c r="F70" s="22"/>
      <c r="G70" s="52"/>
      <c r="H70" s="56">
        <v>44232</v>
      </c>
      <c r="I70" s="110">
        <v>100</v>
      </c>
      <c r="J70" s="85" t="s">
        <v>71</v>
      </c>
      <c r="K70" s="86" t="s">
        <v>72</v>
      </c>
      <c r="L70" s="29"/>
      <c r="M70" s="61"/>
      <c r="N70" s="61"/>
      <c r="O70" s="29"/>
      <c r="P70" s="76"/>
    </row>
    <row r="71" customFormat="1" ht="18" customHeight="1" spans="1:16">
      <c r="A71" s="48"/>
      <c r="B71" s="12"/>
      <c r="C71" s="49"/>
      <c r="D71" s="50"/>
      <c r="E71" s="53"/>
      <c r="F71" s="12"/>
      <c r="G71" s="52"/>
      <c r="H71" s="56">
        <v>44232</v>
      </c>
      <c r="I71" s="110">
        <v>1000</v>
      </c>
      <c r="J71" s="85" t="s">
        <v>71</v>
      </c>
      <c r="K71" s="86" t="s">
        <v>78</v>
      </c>
      <c r="L71" s="29"/>
      <c r="M71" s="61"/>
      <c r="N71" s="61"/>
      <c r="O71" s="29"/>
      <c r="P71" s="76"/>
    </row>
    <row r="72" customFormat="1" ht="18" customHeight="1" spans="1:16">
      <c r="A72" s="48"/>
      <c r="B72" s="12"/>
      <c r="C72" s="49"/>
      <c r="D72" s="50"/>
      <c r="E72" s="53"/>
      <c r="F72" s="12"/>
      <c r="G72" s="52"/>
      <c r="H72" s="56">
        <v>44232</v>
      </c>
      <c r="I72" s="110">
        <v>28614</v>
      </c>
      <c r="J72" s="85" t="s">
        <v>71</v>
      </c>
      <c r="K72" s="86" t="s">
        <v>152</v>
      </c>
      <c r="L72" s="29"/>
      <c r="M72" s="61"/>
      <c r="N72" s="61"/>
      <c r="O72" s="29"/>
      <c r="P72" s="76"/>
    </row>
    <row r="73" customFormat="1" ht="18" customHeight="1" spans="1:16">
      <c r="A73" s="48"/>
      <c r="B73" s="12"/>
      <c r="C73" s="49"/>
      <c r="D73" s="50"/>
      <c r="E73" s="53"/>
      <c r="F73" s="12"/>
      <c r="G73" s="52"/>
      <c r="H73" s="56">
        <v>44232</v>
      </c>
      <c r="I73" s="110">
        <v>2625</v>
      </c>
      <c r="J73" s="85" t="s">
        <v>71</v>
      </c>
      <c r="K73" s="86" t="s">
        <v>153</v>
      </c>
      <c r="L73" s="29"/>
      <c r="M73" s="61"/>
      <c r="N73" s="61"/>
      <c r="O73" s="29"/>
      <c r="P73" s="76"/>
    </row>
    <row r="74" customFormat="1" ht="18" customHeight="1" spans="1:16">
      <c r="A74" s="48"/>
      <c r="B74" s="12"/>
      <c r="C74" s="49"/>
      <c r="D74" s="50"/>
      <c r="E74" s="53"/>
      <c r="F74" s="12"/>
      <c r="G74" s="52"/>
      <c r="H74" s="56">
        <v>44162</v>
      </c>
      <c r="I74" s="110">
        <v>100</v>
      </c>
      <c r="J74" s="85" t="s">
        <v>71</v>
      </c>
      <c r="K74" s="86" t="s">
        <v>72</v>
      </c>
      <c r="L74" s="29"/>
      <c r="M74" s="61"/>
      <c r="N74" s="61"/>
      <c r="O74" s="29"/>
      <c r="P74" s="76"/>
    </row>
    <row r="75" customFormat="1" ht="18" customHeight="1" spans="1:16">
      <c r="A75" s="48"/>
      <c r="B75" s="12"/>
      <c r="C75" s="49"/>
      <c r="D75" s="50"/>
      <c r="E75" s="53"/>
      <c r="F75" s="12"/>
      <c r="G75" s="52"/>
      <c r="H75" s="56">
        <v>44162</v>
      </c>
      <c r="I75" s="110">
        <v>1500</v>
      </c>
      <c r="J75" s="85" t="s">
        <v>71</v>
      </c>
      <c r="K75" s="86" t="s">
        <v>78</v>
      </c>
      <c r="L75" s="29"/>
      <c r="M75" s="61"/>
      <c r="N75" s="61"/>
      <c r="O75" s="29"/>
      <c r="P75" s="76"/>
    </row>
    <row r="76" customFormat="1" ht="18" customHeight="1" spans="1:16">
      <c r="A76" s="48"/>
      <c r="B76" s="12"/>
      <c r="C76" s="49"/>
      <c r="D76" s="50"/>
      <c r="E76" s="53"/>
      <c r="F76" s="12"/>
      <c r="G76" s="52"/>
      <c r="H76" s="56">
        <v>44130</v>
      </c>
      <c r="I76" s="110">
        <v>200</v>
      </c>
      <c r="J76" s="85" t="s">
        <v>71</v>
      </c>
      <c r="K76" s="86" t="s">
        <v>72</v>
      </c>
      <c r="L76" s="29"/>
      <c r="M76" s="61"/>
      <c r="N76" s="61"/>
      <c r="O76" s="29"/>
      <c r="P76" s="76"/>
    </row>
    <row r="77" customFormat="1" ht="18" customHeight="1" spans="1:16">
      <c r="A77" s="48"/>
      <c r="B77" s="12"/>
      <c r="C77" s="49"/>
      <c r="D77" s="50"/>
      <c r="E77" s="51"/>
      <c r="F77" s="12"/>
      <c r="G77" s="52"/>
      <c r="H77" s="56">
        <v>44130</v>
      </c>
      <c r="I77" s="111">
        <v>15179</v>
      </c>
      <c r="J77" s="85" t="s">
        <v>71</v>
      </c>
      <c r="K77" s="86" t="s">
        <v>144</v>
      </c>
      <c r="L77" s="29"/>
      <c r="M77" s="61"/>
      <c r="N77" s="61"/>
      <c r="O77" s="29"/>
      <c r="P77" s="76"/>
    </row>
    <row r="78" customFormat="1" ht="18" customHeight="1" spans="1:16">
      <c r="A78" s="48"/>
      <c r="B78" s="12"/>
      <c r="C78" s="49"/>
      <c r="D78" s="50"/>
      <c r="E78" s="51"/>
      <c r="F78" s="12"/>
      <c r="G78" s="52"/>
      <c r="H78" s="56">
        <v>44130</v>
      </c>
      <c r="I78" s="111">
        <v>1393</v>
      </c>
      <c r="J78" s="85" t="s">
        <v>71</v>
      </c>
      <c r="K78" s="86" t="s">
        <v>145</v>
      </c>
      <c r="L78" s="29"/>
      <c r="M78" s="61"/>
      <c r="N78" s="61"/>
      <c r="O78" s="29"/>
      <c r="P78" s="76"/>
    </row>
    <row r="79" customFormat="1" ht="18" customHeight="1" spans="1:16">
      <c r="A79" s="48"/>
      <c r="B79" s="12"/>
      <c r="C79" s="49"/>
      <c r="D79" s="50"/>
      <c r="E79" s="51"/>
      <c r="F79" s="12"/>
      <c r="G79" s="52"/>
      <c r="H79" s="56">
        <v>44130</v>
      </c>
      <c r="I79" s="110">
        <v>7649.335</v>
      </c>
      <c r="J79" s="85" t="s">
        <v>71</v>
      </c>
      <c r="K79" s="86" t="s">
        <v>78</v>
      </c>
      <c r="L79" s="29"/>
      <c r="M79" s="61"/>
      <c r="N79" s="61"/>
      <c r="O79" s="29"/>
      <c r="P79" s="76"/>
    </row>
    <row r="80" customFormat="1" ht="18" customHeight="1" spans="1:16">
      <c r="A80" s="48"/>
      <c r="B80" s="12">
        <f t="shared" ref="B80:B95" si="10">ROUND(G80/(1+E80),2)</f>
        <v>0</v>
      </c>
      <c r="C80" s="49"/>
      <c r="D80" s="50"/>
      <c r="E80" s="51"/>
      <c r="F80" s="12">
        <f t="shared" ref="F80:F95" si="11">ROUND(G80/(1+E80)*E80,2)</f>
        <v>0</v>
      </c>
      <c r="G80" s="52"/>
      <c r="H80" s="56">
        <v>44103</v>
      </c>
      <c r="I80" s="110">
        <v>100</v>
      </c>
      <c r="J80" s="85" t="s">
        <v>71</v>
      </c>
      <c r="K80" s="86" t="s">
        <v>72</v>
      </c>
      <c r="L80" s="29"/>
      <c r="M80" s="61"/>
      <c r="N80" s="61"/>
      <c r="O80" s="29"/>
      <c r="P80" s="76"/>
    </row>
    <row r="81" customFormat="1" ht="18" customHeight="1" spans="1:16">
      <c r="A81" s="48"/>
      <c r="B81" s="12">
        <f t="shared" si="10"/>
        <v>0</v>
      </c>
      <c r="C81" s="49"/>
      <c r="D81" s="50"/>
      <c r="E81" s="51"/>
      <c r="F81" s="12">
        <f t="shared" si="11"/>
        <v>0</v>
      </c>
      <c r="G81" s="52"/>
      <c r="H81" s="56">
        <v>44103</v>
      </c>
      <c r="I81" s="110">
        <v>-717972</v>
      </c>
      <c r="J81" s="85" t="s">
        <v>73</v>
      </c>
      <c r="K81" s="112" t="s">
        <v>141</v>
      </c>
      <c r="L81" s="29"/>
      <c r="M81" s="61"/>
      <c r="N81" s="61"/>
      <c r="O81" s="29"/>
      <c r="P81" s="76"/>
    </row>
    <row r="82" customFormat="1" ht="18" customHeight="1" spans="1:16">
      <c r="A82" s="48"/>
      <c r="B82" s="12">
        <f t="shared" si="10"/>
        <v>0</v>
      </c>
      <c r="C82" s="49"/>
      <c r="D82" s="50"/>
      <c r="E82" s="51"/>
      <c r="F82" s="12">
        <f t="shared" si="11"/>
        <v>0</v>
      </c>
      <c r="G82" s="52"/>
      <c r="H82" s="56">
        <v>44075</v>
      </c>
      <c r="I82" s="110">
        <v>265729</v>
      </c>
      <c r="J82" s="85" t="s">
        <v>80</v>
      </c>
      <c r="K82" s="86" t="s">
        <v>139</v>
      </c>
      <c r="L82" s="29"/>
      <c r="M82" s="61"/>
      <c r="N82" s="61"/>
      <c r="O82" s="29"/>
      <c r="P82" s="76"/>
    </row>
    <row r="83" customFormat="1" ht="18" customHeight="1" spans="1:16">
      <c r="A83" s="48"/>
      <c r="B83" s="12">
        <f t="shared" si="10"/>
        <v>13717.66</v>
      </c>
      <c r="C83" s="49"/>
      <c r="D83" s="50"/>
      <c r="E83" s="51"/>
      <c r="F83" s="12">
        <f t="shared" si="11"/>
        <v>0</v>
      </c>
      <c r="G83" s="52">
        <f>I83</f>
        <v>13717.66</v>
      </c>
      <c r="H83" s="56">
        <v>44075</v>
      </c>
      <c r="I83" s="110">
        <v>13717.66</v>
      </c>
      <c r="J83" s="85" t="s">
        <v>71</v>
      </c>
      <c r="K83" s="86" t="s">
        <v>78</v>
      </c>
      <c r="L83" s="29"/>
      <c r="M83" s="61"/>
      <c r="N83" s="61"/>
      <c r="O83" s="29"/>
      <c r="P83" s="76"/>
    </row>
    <row r="84" customFormat="1" ht="18" customHeight="1" spans="1:16">
      <c r="A84" s="48"/>
      <c r="B84" s="12">
        <f t="shared" si="10"/>
        <v>0</v>
      </c>
      <c r="C84" s="49"/>
      <c r="D84" s="50"/>
      <c r="E84" s="51"/>
      <c r="F84" s="12">
        <f t="shared" si="11"/>
        <v>0</v>
      </c>
      <c r="G84" s="52"/>
      <c r="H84" s="56">
        <v>44075</v>
      </c>
      <c r="I84" s="110">
        <v>200</v>
      </c>
      <c r="J84" s="85" t="s">
        <v>71</v>
      </c>
      <c r="K84" s="86" t="s">
        <v>72</v>
      </c>
      <c r="L84" s="29"/>
      <c r="M84" s="61"/>
      <c r="N84" s="61"/>
      <c r="O84" s="29"/>
      <c r="P84" s="76"/>
    </row>
    <row r="85" customFormat="1" ht="18" customHeight="1" spans="1:16">
      <c r="A85" s="48"/>
      <c r="B85" s="12">
        <f t="shared" si="10"/>
        <v>0</v>
      </c>
      <c r="C85" s="49"/>
      <c r="D85" s="50"/>
      <c r="E85" s="51"/>
      <c r="F85" s="12">
        <f t="shared" si="11"/>
        <v>0</v>
      </c>
      <c r="G85" s="52"/>
      <c r="H85" s="56">
        <v>44075</v>
      </c>
      <c r="I85" s="111">
        <v>16740</v>
      </c>
      <c r="J85" s="85" t="s">
        <v>71</v>
      </c>
      <c r="K85" s="86" t="s">
        <v>9</v>
      </c>
      <c r="L85" s="29"/>
      <c r="M85" s="61"/>
      <c r="N85" s="61"/>
      <c r="O85" s="29"/>
      <c r="P85" s="76"/>
    </row>
    <row r="86" customFormat="1" ht="18" customHeight="1" spans="1:16">
      <c r="A86" s="48"/>
      <c r="B86" s="12">
        <f t="shared" si="10"/>
        <v>0</v>
      </c>
      <c r="C86" s="49"/>
      <c r="D86" s="50"/>
      <c r="E86" s="51"/>
      <c r="F86" s="12">
        <f t="shared" si="11"/>
        <v>0</v>
      </c>
      <c r="G86" s="52"/>
      <c r="H86" s="56">
        <v>44075</v>
      </c>
      <c r="I86" s="110">
        <v>452243</v>
      </c>
      <c r="J86" s="85" t="s">
        <v>80</v>
      </c>
      <c r="K86" s="86" t="s">
        <v>86</v>
      </c>
      <c r="L86" s="29"/>
      <c r="M86" s="61"/>
      <c r="N86" s="61"/>
      <c r="O86" s="29"/>
      <c r="P86" s="76"/>
    </row>
    <row r="87" customFormat="1" ht="18" customHeight="1" spans="1:16">
      <c r="A87" s="48"/>
      <c r="B87" s="12">
        <f t="shared" si="10"/>
        <v>0</v>
      </c>
      <c r="C87" s="49"/>
      <c r="D87" s="50"/>
      <c r="E87" s="51"/>
      <c r="F87" s="12">
        <f t="shared" si="11"/>
        <v>0</v>
      </c>
      <c r="G87" s="52"/>
      <c r="H87" s="56">
        <v>44075</v>
      </c>
      <c r="I87" s="111">
        <v>1536</v>
      </c>
      <c r="J87" s="85" t="s">
        <v>71</v>
      </c>
      <c r="K87" s="86" t="s">
        <v>110</v>
      </c>
      <c r="L87" s="29"/>
      <c r="M87" s="61"/>
      <c r="N87" s="61"/>
      <c r="O87" s="29"/>
      <c r="P87" s="76"/>
    </row>
    <row r="88" customFormat="1" ht="18" customHeight="1" spans="1:16">
      <c r="A88" s="48"/>
      <c r="B88" s="12">
        <f t="shared" si="10"/>
        <v>0</v>
      </c>
      <c r="C88" s="49"/>
      <c r="D88" s="50"/>
      <c r="E88" s="51"/>
      <c r="F88" s="12">
        <f t="shared" si="11"/>
        <v>0</v>
      </c>
      <c r="G88" s="52"/>
      <c r="H88" s="56">
        <v>44075</v>
      </c>
      <c r="I88" s="111">
        <v>200</v>
      </c>
      <c r="J88" s="83" t="s">
        <v>71</v>
      </c>
      <c r="K88" s="84" t="s">
        <v>72</v>
      </c>
      <c r="L88" s="29"/>
      <c r="M88" s="61"/>
      <c r="N88" s="61"/>
      <c r="O88" s="29"/>
      <c r="P88" s="76"/>
    </row>
    <row r="89" customFormat="1" ht="18" customHeight="1" spans="1:16">
      <c r="A89" s="48"/>
      <c r="B89" s="12">
        <f t="shared" si="10"/>
        <v>0</v>
      </c>
      <c r="C89" s="49"/>
      <c r="D89" s="50"/>
      <c r="E89" s="51"/>
      <c r="F89" s="12">
        <f t="shared" si="11"/>
        <v>0</v>
      </c>
      <c r="G89" s="52"/>
      <c r="H89" s="55">
        <v>43985</v>
      </c>
      <c r="I89" s="111">
        <v>100</v>
      </c>
      <c r="J89" s="83" t="s">
        <v>71</v>
      </c>
      <c r="K89" s="84" t="s">
        <v>72</v>
      </c>
      <c r="L89" s="29"/>
      <c r="M89" s="61"/>
      <c r="N89" s="61"/>
      <c r="O89" s="29"/>
      <c r="P89" s="76"/>
    </row>
    <row r="90" customFormat="1" ht="18" customHeight="1" spans="1:16">
      <c r="A90" s="48"/>
      <c r="B90" s="12">
        <f t="shared" si="10"/>
        <v>0</v>
      </c>
      <c r="C90" s="49"/>
      <c r="D90" s="50"/>
      <c r="E90" s="51"/>
      <c r="F90" s="12">
        <f t="shared" si="11"/>
        <v>0</v>
      </c>
      <c r="G90" s="52"/>
      <c r="H90" s="55">
        <v>43985</v>
      </c>
      <c r="I90" s="111">
        <v>-755000</v>
      </c>
      <c r="J90" s="83" t="s">
        <v>73</v>
      </c>
      <c r="K90" s="113" t="s">
        <v>74</v>
      </c>
      <c r="L90" s="29"/>
      <c r="M90" s="61"/>
      <c r="N90" s="61"/>
      <c r="O90" s="29"/>
      <c r="P90" s="76"/>
    </row>
    <row r="91" customFormat="1" ht="18" customHeight="1" spans="1:16">
      <c r="A91" s="48"/>
      <c r="B91" s="12">
        <f t="shared" si="10"/>
        <v>0</v>
      </c>
      <c r="C91" s="49"/>
      <c r="D91" s="50"/>
      <c r="E91" s="51"/>
      <c r="F91" s="12">
        <f t="shared" si="11"/>
        <v>0</v>
      </c>
      <c r="G91" s="52"/>
      <c r="H91" s="20">
        <v>43964</v>
      </c>
      <c r="I91" s="110">
        <v>100</v>
      </c>
      <c r="J91" s="61" t="s">
        <v>71</v>
      </c>
      <c r="K91" s="75" t="s">
        <v>72</v>
      </c>
      <c r="L91" s="29"/>
      <c r="M91" s="61"/>
      <c r="N91" s="61"/>
      <c r="O91" s="29"/>
      <c r="P91" s="76"/>
    </row>
    <row r="92" customFormat="1" ht="18" customHeight="1" spans="1:16">
      <c r="A92" s="48"/>
      <c r="B92" s="12">
        <f t="shared" si="10"/>
        <v>0</v>
      </c>
      <c r="C92" s="49"/>
      <c r="D92" s="50"/>
      <c r="E92" s="51"/>
      <c r="F92" s="12">
        <f t="shared" si="11"/>
        <v>0</v>
      </c>
      <c r="G92" s="52"/>
      <c r="H92" s="20">
        <v>43916</v>
      </c>
      <c r="I92" s="111">
        <v>2252</v>
      </c>
      <c r="J92" s="61" t="s">
        <v>71</v>
      </c>
      <c r="K92" s="69" t="s">
        <v>76</v>
      </c>
      <c r="L92" s="29"/>
      <c r="M92" s="61"/>
      <c r="N92" s="61"/>
      <c r="O92" s="29"/>
      <c r="P92" s="76"/>
    </row>
    <row r="93" customFormat="1" ht="18" customHeight="1" spans="1:16">
      <c r="A93" s="48"/>
      <c r="B93" s="12">
        <f t="shared" si="10"/>
        <v>0</v>
      </c>
      <c r="C93" s="49"/>
      <c r="D93" s="50"/>
      <c r="E93" s="51"/>
      <c r="F93" s="12">
        <f t="shared" si="11"/>
        <v>0</v>
      </c>
      <c r="G93" s="52"/>
      <c r="H93" s="20">
        <v>43916</v>
      </c>
      <c r="I93" s="111">
        <v>24540</v>
      </c>
      <c r="J93" s="61" t="s">
        <v>71</v>
      </c>
      <c r="K93" s="74" t="s">
        <v>77</v>
      </c>
      <c r="L93" s="29"/>
      <c r="M93" s="61"/>
      <c r="N93" s="61"/>
      <c r="O93" s="29"/>
      <c r="P93" s="76"/>
    </row>
    <row r="94" customFormat="1" ht="18" customHeight="1" spans="1:16">
      <c r="A94" s="48"/>
      <c r="B94" s="12">
        <f t="shared" si="10"/>
        <v>20450</v>
      </c>
      <c r="C94" s="49"/>
      <c r="D94" s="50"/>
      <c r="E94" s="51"/>
      <c r="F94" s="12">
        <f t="shared" si="11"/>
        <v>0</v>
      </c>
      <c r="G94" s="52">
        <f>I94</f>
        <v>20450</v>
      </c>
      <c r="H94" s="20">
        <v>43916</v>
      </c>
      <c r="I94" s="110">
        <v>20450</v>
      </c>
      <c r="J94" s="61" t="s">
        <v>71</v>
      </c>
      <c r="K94" s="74" t="s">
        <v>78</v>
      </c>
      <c r="L94" s="29"/>
      <c r="M94" s="61"/>
      <c r="N94" s="61"/>
      <c r="O94" s="29"/>
      <c r="P94" s="76"/>
    </row>
    <row r="95" customFormat="1" ht="18" customHeight="1" spans="1:16">
      <c r="A95" s="48"/>
      <c r="B95" s="12">
        <f t="shared" si="10"/>
        <v>0</v>
      </c>
      <c r="C95" s="49"/>
      <c r="D95" s="50"/>
      <c r="E95" s="51"/>
      <c r="F95" s="12">
        <f t="shared" si="11"/>
        <v>0</v>
      </c>
      <c r="G95" s="52"/>
      <c r="H95" s="20">
        <v>43819</v>
      </c>
      <c r="I95" s="110">
        <v>200</v>
      </c>
      <c r="J95" s="61" t="s">
        <v>71</v>
      </c>
      <c r="K95" s="74" t="s">
        <v>72</v>
      </c>
      <c r="L95" s="29"/>
      <c r="M95" s="61"/>
      <c r="N95" s="61"/>
      <c r="O95" s="29"/>
      <c r="P95" s="76"/>
    </row>
    <row r="96" customFormat="1" ht="18" customHeight="1" spans="1:16">
      <c r="A96" s="48"/>
      <c r="B96" s="12"/>
      <c r="C96" s="49"/>
      <c r="D96" s="50"/>
      <c r="E96" s="51"/>
      <c r="F96" s="12"/>
      <c r="G96" s="52"/>
      <c r="H96" s="20">
        <v>43819</v>
      </c>
      <c r="I96" s="110">
        <v>200</v>
      </c>
      <c r="J96" s="61" t="s">
        <v>71</v>
      </c>
      <c r="K96" s="74" t="s">
        <v>72</v>
      </c>
      <c r="L96" s="29"/>
      <c r="M96" s="61"/>
      <c r="N96" s="61"/>
      <c r="O96" s="29"/>
      <c r="P96" s="76"/>
    </row>
    <row r="97" s="1" customFormat="1" ht="18" customHeight="1" spans="1:16">
      <c r="A97" s="31"/>
      <c r="B97" s="12">
        <f t="shared" ref="B97:B102" si="12">ROUND(G97/(1+E97),2)</f>
        <v>0</v>
      </c>
      <c r="C97" s="33"/>
      <c r="D97" s="34"/>
      <c r="E97" s="35"/>
      <c r="F97" s="12">
        <f t="shared" ref="F97:F102" si="13">ROUND(G97/(1+E97)*E97,2)</f>
        <v>0</v>
      </c>
      <c r="G97" s="23"/>
      <c r="H97" s="20">
        <v>43819</v>
      </c>
      <c r="I97" s="110">
        <v>755000</v>
      </c>
      <c r="J97" s="61" t="s">
        <v>71</v>
      </c>
      <c r="K97" s="74" t="s">
        <v>82</v>
      </c>
      <c r="L97" s="64"/>
      <c r="M97" s="65"/>
      <c r="N97" s="65"/>
      <c r="O97" s="64"/>
      <c r="P97" s="66"/>
    </row>
    <row r="98" s="1" customFormat="1" ht="18" customHeight="1" spans="1:16">
      <c r="A98" s="31"/>
      <c r="B98" s="12">
        <f t="shared" si="12"/>
        <v>0</v>
      </c>
      <c r="C98" s="33"/>
      <c r="D98" s="34"/>
      <c r="E98" s="35"/>
      <c r="F98" s="12">
        <f t="shared" si="13"/>
        <v>0</v>
      </c>
      <c r="G98" s="23"/>
      <c r="H98" s="20">
        <v>43819</v>
      </c>
      <c r="I98" s="111">
        <v>21340</v>
      </c>
      <c r="J98" s="61" t="s">
        <v>71</v>
      </c>
      <c r="K98" s="74" t="s">
        <v>83</v>
      </c>
      <c r="L98" s="64"/>
      <c r="M98" s="65"/>
      <c r="N98" s="61"/>
      <c r="O98" s="64"/>
      <c r="P98" s="66"/>
    </row>
    <row r="99" s="1" customFormat="1" ht="18" customHeight="1" spans="1:16">
      <c r="A99" s="31"/>
      <c r="B99" s="12">
        <f t="shared" si="12"/>
        <v>0</v>
      </c>
      <c r="C99" s="33"/>
      <c r="D99" s="34"/>
      <c r="E99" s="35"/>
      <c r="F99" s="12">
        <f t="shared" si="13"/>
        <v>0</v>
      </c>
      <c r="G99" s="23"/>
      <c r="H99" s="20">
        <v>43661</v>
      </c>
      <c r="I99" s="111">
        <v>1964</v>
      </c>
      <c r="J99" s="61" t="s">
        <v>71</v>
      </c>
      <c r="K99" s="114" t="s">
        <v>84</v>
      </c>
      <c r="L99" s="69"/>
      <c r="M99" s="65"/>
      <c r="N99" s="65"/>
      <c r="O99" s="64"/>
      <c r="P99" s="66"/>
    </row>
    <row r="100" s="1" customFormat="1" ht="18" customHeight="1" spans="1:16">
      <c r="A100" s="31"/>
      <c r="B100" s="12">
        <f t="shared" si="12"/>
        <v>17832.35</v>
      </c>
      <c r="C100" s="33"/>
      <c r="D100" s="34"/>
      <c r="E100" s="35"/>
      <c r="F100" s="12">
        <f t="shared" si="13"/>
        <v>0</v>
      </c>
      <c r="G100" s="23">
        <f>17832.35</f>
        <v>17832.35</v>
      </c>
      <c r="H100" s="20">
        <v>43661</v>
      </c>
      <c r="I100" s="110">
        <f>G100</f>
        <v>17832.35</v>
      </c>
      <c r="J100" s="61" t="s">
        <v>71</v>
      </c>
      <c r="K100" s="74" t="s">
        <v>78</v>
      </c>
      <c r="L100" s="69"/>
      <c r="M100" s="65"/>
      <c r="N100" s="65"/>
      <c r="O100" s="64"/>
      <c r="P100" s="66"/>
    </row>
    <row r="101" s="1" customFormat="1" ht="18" customHeight="1" spans="1:16">
      <c r="A101" s="31"/>
      <c r="B101" s="12">
        <f t="shared" si="12"/>
        <v>0</v>
      </c>
      <c r="C101" s="33"/>
      <c r="D101" s="34"/>
      <c r="E101" s="35"/>
      <c r="F101" s="12">
        <f t="shared" si="13"/>
        <v>0</v>
      </c>
      <c r="G101" s="23"/>
      <c r="H101" s="20">
        <v>43661</v>
      </c>
      <c r="I101" s="111">
        <v>16514</v>
      </c>
      <c r="J101" s="61" t="s">
        <v>71</v>
      </c>
      <c r="K101" s="114" t="s">
        <v>142</v>
      </c>
      <c r="L101" s="69"/>
      <c r="M101" s="65"/>
      <c r="N101" s="65"/>
      <c r="O101" s="64"/>
      <c r="P101" s="66"/>
    </row>
    <row r="102" s="1" customFormat="1" ht="18" customHeight="1" spans="1:17">
      <c r="A102" s="31"/>
      <c r="B102" s="12">
        <f t="shared" si="12"/>
        <v>0</v>
      </c>
      <c r="C102" s="33"/>
      <c r="D102" s="34"/>
      <c r="E102" s="35"/>
      <c r="F102" s="12">
        <f t="shared" si="13"/>
        <v>0</v>
      </c>
      <c r="G102" s="23"/>
      <c r="H102" s="20">
        <v>43661</v>
      </c>
      <c r="I102" s="111">
        <v>2552</v>
      </c>
      <c r="J102" s="61" t="s">
        <v>71</v>
      </c>
      <c r="K102" s="69" t="s">
        <v>85</v>
      </c>
      <c r="L102" s="69"/>
      <c r="M102" s="65"/>
      <c r="N102" s="65"/>
      <c r="O102" s="64"/>
      <c r="P102" s="66"/>
      <c r="Q102" s="1">
        <f>P37*0.25</f>
        <v>755000</v>
      </c>
    </row>
    <row r="103" s="1" customFormat="1" ht="18" customHeight="1" spans="1:16">
      <c r="A103" s="31"/>
      <c r="B103" s="12"/>
      <c r="C103" s="33"/>
      <c r="D103" s="34"/>
      <c r="E103" s="35"/>
      <c r="F103" s="12"/>
      <c r="G103" s="23"/>
      <c r="H103" s="20">
        <v>43664</v>
      </c>
      <c r="I103" s="110">
        <v>-208722.72</v>
      </c>
      <c r="J103" s="61" t="s">
        <v>73</v>
      </c>
      <c r="K103" s="69" t="s">
        <v>154</v>
      </c>
      <c r="L103" s="69"/>
      <c r="M103" s="65"/>
      <c r="N103" s="65"/>
      <c r="O103" s="64"/>
      <c r="P103" s="66"/>
    </row>
    <row r="104" s="1" customFormat="1" ht="18" customHeight="1" spans="1:16">
      <c r="A104" s="31"/>
      <c r="B104" s="12"/>
      <c r="C104" s="33"/>
      <c r="D104" s="34"/>
      <c r="E104" s="35"/>
      <c r="F104" s="12"/>
      <c r="G104" s="23"/>
      <c r="H104" s="20">
        <v>43654</v>
      </c>
      <c r="I104" s="110">
        <v>208722.72</v>
      </c>
      <c r="J104" s="61" t="s">
        <v>155</v>
      </c>
      <c r="K104" s="69" t="s">
        <v>156</v>
      </c>
      <c r="L104" s="69"/>
      <c r="M104" s="65"/>
      <c r="N104" s="65"/>
      <c r="O104" s="64"/>
      <c r="P104" s="66"/>
    </row>
    <row r="105" s="1" customFormat="1" ht="18" customHeight="1" spans="1:16">
      <c r="A105" s="31"/>
      <c r="B105" s="12">
        <f t="shared" ref="B105:B115" si="14">ROUND(G105/(1+E105),2)</f>
        <v>0</v>
      </c>
      <c r="C105" s="33"/>
      <c r="D105" s="34"/>
      <c r="E105" s="35"/>
      <c r="F105" s="12">
        <f t="shared" ref="F105:F115" si="15">ROUND(G105/(1+E105)*E105,2)</f>
        <v>0</v>
      </c>
      <c r="G105" s="23"/>
      <c r="H105" s="20">
        <v>43483</v>
      </c>
      <c r="I105" s="110">
        <v>-17678</v>
      </c>
      <c r="J105" s="61" t="s">
        <v>73</v>
      </c>
      <c r="K105" s="69" t="s">
        <v>86</v>
      </c>
      <c r="L105" s="69"/>
      <c r="M105" s="65"/>
      <c r="N105" s="65"/>
      <c r="O105" s="64"/>
      <c r="P105" s="66"/>
    </row>
    <row r="106" s="1" customFormat="1" ht="18" customHeight="1" spans="1:16">
      <c r="A106" s="31"/>
      <c r="B106" s="12">
        <f t="shared" si="14"/>
        <v>0</v>
      </c>
      <c r="C106" s="33"/>
      <c r="D106" s="34"/>
      <c r="E106" s="35"/>
      <c r="F106" s="12">
        <f t="shared" si="15"/>
        <v>0</v>
      </c>
      <c r="G106" s="23"/>
      <c r="H106" s="20">
        <v>43483</v>
      </c>
      <c r="I106" s="110">
        <v>17678</v>
      </c>
      <c r="J106" s="61" t="s">
        <v>80</v>
      </c>
      <c r="K106" s="69" t="s">
        <v>87</v>
      </c>
      <c r="L106" s="69"/>
      <c r="M106" s="65"/>
      <c r="N106" s="65"/>
      <c r="O106" s="64"/>
      <c r="P106" s="66"/>
    </row>
    <row r="107" s="1" customFormat="1" ht="18" customHeight="1" spans="1:16">
      <c r="A107" s="31"/>
      <c r="B107" s="12">
        <f t="shared" si="14"/>
        <v>0</v>
      </c>
      <c r="C107" s="33"/>
      <c r="D107" s="34"/>
      <c r="E107" s="35"/>
      <c r="F107" s="12">
        <f t="shared" si="15"/>
        <v>0</v>
      </c>
      <c r="G107" s="23"/>
      <c r="H107" s="20">
        <v>43483</v>
      </c>
      <c r="I107" s="111">
        <v>57819</v>
      </c>
      <c r="J107" s="61" t="s">
        <v>71</v>
      </c>
      <c r="K107" s="69" t="s">
        <v>9</v>
      </c>
      <c r="L107" s="69"/>
      <c r="M107" s="65"/>
      <c r="N107" s="65"/>
      <c r="O107" s="64"/>
      <c r="P107" s="66"/>
    </row>
    <row r="108" s="1" customFormat="1" ht="18" customHeight="1" spans="1:16">
      <c r="A108" s="31"/>
      <c r="B108" s="12">
        <f t="shared" si="14"/>
        <v>0</v>
      </c>
      <c r="C108" s="33"/>
      <c r="D108" s="34"/>
      <c r="E108" s="35"/>
      <c r="F108" s="12">
        <f t="shared" si="15"/>
        <v>0</v>
      </c>
      <c r="G108" s="23"/>
      <c r="H108" s="20">
        <v>43483</v>
      </c>
      <c r="I108" s="111">
        <v>8962</v>
      </c>
      <c r="J108" s="61" t="s">
        <v>71</v>
      </c>
      <c r="K108" s="74" t="s">
        <v>88</v>
      </c>
      <c r="L108" s="64"/>
      <c r="M108" s="65"/>
      <c r="N108" s="65"/>
      <c r="O108" s="64"/>
      <c r="P108" s="66"/>
    </row>
    <row r="109" s="1" customFormat="1" ht="18" customHeight="1" spans="1:16">
      <c r="A109" s="31"/>
      <c r="B109" s="12">
        <f t="shared" si="14"/>
        <v>0</v>
      </c>
      <c r="C109" s="33"/>
      <c r="D109" s="34"/>
      <c r="E109" s="35"/>
      <c r="F109" s="12">
        <f t="shared" si="15"/>
        <v>0</v>
      </c>
      <c r="G109" s="23"/>
      <c r="H109" s="20">
        <v>43483</v>
      </c>
      <c r="I109" s="36">
        <v>477502</v>
      </c>
      <c r="J109" s="115" t="s">
        <v>71</v>
      </c>
      <c r="K109" s="116" t="s">
        <v>89</v>
      </c>
      <c r="L109" s="64"/>
      <c r="M109" s="65"/>
      <c r="N109" s="65"/>
      <c r="O109" s="64"/>
      <c r="P109" s="66"/>
    </row>
    <row r="110" s="1" customFormat="1" ht="18" customHeight="1" spans="1:16">
      <c r="A110" s="31"/>
      <c r="B110" s="32">
        <f t="shared" si="14"/>
        <v>0</v>
      </c>
      <c r="C110" s="33"/>
      <c r="D110" s="34"/>
      <c r="E110" s="35"/>
      <c r="F110" s="12">
        <f t="shared" si="15"/>
        <v>0</v>
      </c>
      <c r="G110" s="23"/>
      <c r="H110" s="20">
        <v>43300</v>
      </c>
      <c r="I110" s="117">
        <v>-370000</v>
      </c>
      <c r="J110" s="115" t="s">
        <v>73</v>
      </c>
      <c r="K110" s="116" t="s">
        <v>80</v>
      </c>
      <c r="L110" s="64"/>
      <c r="M110" s="65"/>
      <c r="N110" s="65"/>
      <c r="O110" s="64"/>
      <c r="P110" s="66"/>
    </row>
    <row r="111" s="1" customFormat="1" ht="18" customHeight="1" spans="1:16">
      <c r="A111" s="31"/>
      <c r="B111" s="32">
        <f t="shared" si="14"/>
        <v>0</v>
      </c>
      <c r="C111" s="33"/>
      <c r="D111" s="34"/>
      <c r="E111" s="35"/>
      <c r="F111" s="32">
        <f t="shared" si="15"/>
        <v>0</v>
      </c>
      <c r="G111" s="23"/>
      <c r="H111" s="20">
        <v>43300</v>
      </c>
      <c r="I111" s="117">
        <v>370000</v>
      </c>
      <c r="J111" s="115" t="s">
        <v>80</v>
      </c>
      <c r="K111" s="116"/>
      <c r="L111" s="64"/>
      <c r="M111" s="65"/>
      <c r="N111" s="65"/>
      <c r="O111" s="64"/>
      <c r="P111" s="66"/>
    </row>
    <row r="112" s="1" customFormat="1" ht="18" customHeight="1" spans="1:16">
      <c r="A112" s="31"/>
      <c r="B112" s="32">
        <f t="shared" si="14"/>
        <v>0</v>
      </c>
      <c r="C112" s="33"/>
      <c r="D112" s="34"/>
      <c r="E112" s="35"/>
      <c r="F112" s="32">
        <f t="shared" si="15"/>
        <v>0</v>
      </c>
      <c r="G112" s="23"/>
      <c r="H112" s="20">
        <v>43300</v>
      </c>
      <c r="I112" s="36">
        <v>87273</v>
      </c>
      <c r="J112" s="115" t="s">
        <v>71</v>
      </c>
      <c r="K112" s="116" t="s">
        <v>90</v>
      </c>
      <c r="L112" s="64"/>
      <c r="M112" s="65"/>
      <c r="N112" s="65"/>
      <c r="O112" s="64"/>
      <c r="P112" s="66"/>
    </row>
    <row r="113" s="1" customFormat="1" ht="18" customHeight="1" spans="1:16">
      <c r="A113" s="31"/>
      <c r="B113" s="32">
        <f t="shared" si="14"/>
        <v>0</v>
      </c>
      <c r="C113" s="33"/>
      <c r="D113" s="34"/>
      <c r="E113" s="35"/>
      <c r="F113" s="32">
        <f t="shared" si="15"/>
        <v>0</v>
      </c>
      <c r="G113" s="23"/>
      <c r="H113" s="20">
        <v>43300</v>
      </c>
      <c r="I113" s="36">
        <v>80957</v>
      </c>
      <c r="J113" s="115" t="s">
        <v>71</v>
      </c>
      <c r="K113" s="116" t="s">
        <v>91</v>
      </c>
      <c r="L113" s="64"/>
      <c r="M113" s="65"/>
      <c r="N113" s="65"/>
      <c r="O113" s="64"/>
      <c r="P113" s="66"/>
    </row>
    <row r="114" s="1" customFormat="1" ht="18" customHeight="1" spans="1:16">
      <c r="A114" s="31"/>
      <c r="B114" s="32">
        <f t="shared" si="14"/>
        <v>0</v>
      </c>
      <c r="C114" s="33"/>
      <c r="D114" s="34"/>
      <c r="E114" s="35"/>
      <c r="F114" s="32">
        <f t="shared" si="15"/>
        <v>0</v>
      </c>
      <c r="G114" s="23"/>
      <c r="H114" s="20">
        <v>43300</v>
      </c>
      <c r="I114" s="117">
        <v>500</v>
      </c>
      <c r="J114" s="115" t="s">
        <v>71</v>
      </c>
      <c r="K114" s="116" t="s">
        <v>92</v>
      </c>
      <c r="L114" s="64"/>
      <c r="M114" s="65"/>
      <c r="N114" s="65"/>
      <c r="O114" s="64"/>
      <c r="P114" s="66"/>
    </row>
    <row r="115" s="1" customFormat="1" ht="18" customHeight="1" spans="1:16">
      <c r="A115" s="31"/>
      <c r="B115" s="32">
        <f t="shared" si="14"/>
        <v>98000</v>
      </c>
      <c r="C115" s="33"/>
      <c r="D115" s="34"/>
      <c r="E115" s="35"/>
      <c r="F115" s="32">
        <f t="shared" si="15"/>
        <v>0</v>
      </c>
      <c r="G115" s="23">
        <f>30000+53000+15000</f>
        <v>98000</v>
      </c>
      <c r="H115" s="20">
        <v>43300</v>
      </c>
      <c r="I115" s="40">
        <f>G115</f>
        <v>98000</v>
      </c>
      <c r="J115" s="115" t="s">
        <v>71</v>
      </c>
      <c r="K115" s="116" t="s">
        <v>78</v>
      </c>
      <c r="L115" s="64"/>
      <c r="M115" s="65"/>
      <c r="N115" s="65"/>
      <c r="O115" s="64"/>
      <c r="P115" s="66"/>
    </row>
    <row r="116" ht="18" customHeight="1" spans="1:15">
      <c r="A116" s="27" t="s">
        <v>25</v>
      </c>
      <c r="B116" s="26">
        <f>SUM(B21:B115)</f>
        <v>30350384.93</v>
      </c>
      <c r="C116" s="27"/>
      <c r="D116" s="89"/>
      <c r="E116" s="90"/>
      <c r="F116" s="28">
        <f>SUM(F21:F115)</f>
        <v>2159397.13</v>
      </c>
      <c r="G116" s="27">
        <f>SUM(G21:G115)</f>
        <v>35519862.06</v>
      </c>
      <c r="H116" s="29"/>
      <c r="I116" s="27">
        <f>SUM(I21:I115)</f>
        <v>32779395.765</v>
      </c>
      <c r="J116" s="29"/>
      <c r="K116" s="118"/>
      <c r="L116" s="29"/>
      <c r="M116" s="61"/>
      <c r="N116" s="61"/>
      <c r="O116" s="29"/>
    </row>
    <row r="117" ht="18" customHeight="1" spans="1:14">
      <c r="A117" s="91" t="s">
        <v>93</v>
      </c>
      <c r="B117" s="91">
        <f>B18*0.976</f>
        <v>29034062.2452043</v>
      </c>
      <c r="C117" s="91"/>
      <c r="D117" s="92"/>
      <c r="E117" s="93"/>
      <c r="F117" s="91">
        <f>F18-F116</f>
        <v>380141.34956631</v>
      </c>
      <c r="G117" s="91"/>
      <c r="H117" s="19" t="s">
        <v>94</v>
      </c>
      <c r="I117" s="27">
        <f>I18-I116</f>
        <v>-749528.765000001</v>
      </c>
      <c r="J117" s="7"/>
      <c r="K117" s="119"/>
      <c r="M117" s="8"/>
      <c r="N117" s="8"/>
    </row>
    <row r="118" ht="18" customHeight="1" spans="1:18">
      <c r="A118" s="91" t="s">
        <v>95</v>
      </c>
      <c r="B118" s="91">
        <f>B117-B116</f>
        <v>-1316322.6847957</v>
      </c>
      <c r="C118" s="91"/>
      <c r="D118" s="92"/>
      <c r="E118" s="93"/>
      <c r="F118" s="91"/>
      <c r="G118" s="91"/>
      <c r="H118" s="94"/>
      <c r="I118" s="91"/>
      <c r="J118" s="7"/>
      <c r="K118" s="119"/>
      <c r="M118" s="8"/>
      <c r="N118" s="8"/>
      <c r="R118" s="7" t="s">
        <v>96</v>
      </c>
    </row>
    <row r="119" ht="18" customHeight="1" spans="1:19">
      <c r="A119" s="3" t="s">
        <v>97</v>
      </c>
      <c r="C119" s="3"/>
      <c r="F119" s="95"/>
      <c r="G119" s="95"/>
      <c r="R119" s="126" t="s">
        <v>157</v>
      </c>
      <c r="S119" s="126"/>
    </row>
    <row r="120" ht="18" customHeight="1" spans="1:17">
      <c r="A120" s="19" t="s">
        <v>98</v>
      </c>
      <c r="B120" s="18" t="s">
        <v>99</v>
      </c>
      <c r="C120" s="29"/>
      <c r="D120" s="96" t="s">
        <v>98</v>
      </c>
      <c r="E120" s="97" t="s">
        <v>17</v>
      </c>
      <c r="F120" s="97" t="s">
        <v>99</v>
      </c>
      <c r="G120" s="98" t="s">
        <v>158</v>
      </c>
      <c r="H120" s="98" t="s">
        <v>159</v>
      </c>
      <c r="I120" s="98" t="s">
        <v>160</v>
      </c>
      <c r="J120" s="98"/>
      <c r="K120" s="96" t="s">
        <v>161</v>
      </c>
      <c r="L120" s="96" t="s">
        <v>162</v>
      </c>
      <c r="M120" s="96" t="s">
        <v>163</v>
      </c>
      <c r="N120" s="120" t="s">
        <v>164</v>
      </c>
      <c r="O120" s="121" t="s">
        <v>165</v>
      </c>
      <c r="P120" s="121"/>
      <c r="Q120" s="7" t="s">
        <v>166</v>
      </c>
    </row>
    <row r="121" ht="18" customHeight="1" spans="1:17">
      <c r="A121" s="29" t="s">
        <v>105</v>
      </c>
      <c r="B121" s="32">
        <f>B118*0.25</f>
        <v>-329080.671198925</v>
      </c>
      <c r="C121" s="29"/>
      <c r="D121" s="99" t="s">
        <v>106</v>
      </c>
      <c r="E121" s="96" t="s">
        <v>107</v>
      </c>
      <c r="F121" s="100">
        <f>F18-F116</f>
        <v>380141.34956631</v>
      </c>
      <c r="G121" s="101">
        <f>F7-SUM(F21:F22)</f>
        <v>68984.996363636</v>
      </c>
      <c r="H121" s="101">
        <f>F8-SUM(F23:F30)</f>
        <v>434092.030909091</v>
      </c>
      <c r="I121" s="98">
        <f>F9-SUM(F32:F39)</f>
        <v>-100278.619541284</v>
      </c>
      <c r="J121" s="98"/>
      <c r="K121" s="85">
        <f>F10+I121-SUM(F40:F42)</f>
        <v>-224681.285963302</v>
      </c>
      <c r="L121" s="85">
        <f>F11+K121</f>
        <v>37979.264495414</v>
      </c>
      <c r="M121" s="98">
        <f>F12-SUM(F43:F57)</f>
        <v>-511479.772110092</v>
      </c>
      <c r="N121" s="122">
        <f>F13+M121-SUM(F58:F61)</f>
        <v>-436389.889174312</v>
      </c>
      <c r="O121" s="123">
        <f>F14+N121</f>
        <v>-130121.522201835</v>
      </c>
      <c r="P121" s="123"/>
      <c r="Q121" s="7">
        <f>0-SUM(F63:F64)+O121</f>
        <v>-160914.942201835</v>
      </c>
    </row>
    <row r="122" ht="18" customHeight="1" spans="1:16">
      <c r="A122" s="29" t="s">
        <v>108</v>
      </c>
      <c r="B122" s="102">
        <f>G18*0.0003</f>
        <v>9772.8735</v>
      </c>
      <c r="C122" s="29"/>
      <c r="D122" s="103" t="s">
        <v>109</v>
      </c>
      <c r="E122" s="104">
        <v>0.05</v>
      </c>
      <c r="F122" s="22">
        <f>F121*E122</f>
        <v>19007.0674783155</v>
      </c>
      <c r="G122" s="105">
        <v>3449.25</v>
      </c>
      <c r="H122" s="105">
        <f>H121*E122</f>
        <v>21704.6015454546</v>
      </c>
      <c r="I122" s="98">
        <v>0</v>
      </c>
      <c r="J122" s="98"/>
      <c r="K122" s="85"/>
      <c r="L122" s="85"/>
      <c r="M122" s="124">
        <v>0</v>
      </c>
      <c r="N122" s="122">
        <v>0</v>
      </c>
      <c r="O122" s="123"/>
      <c r="P122" s="123"/>
    </row>
    <row r="123" ht="18" customHeight="1" spans="1:16">
      <c r="A123" s="29" t="s">
        <v>110</v>
      </c>
      <c r="B123" s="102">
        <f>B18*0.0006</f>
        <v>17848.8087572977</v>
      </c>
      <c r="C123" s="29"/>
      <c r="D123" s="103" t="s">
        <v>111</v>
      </c>
      <c r="E123" s="104">
        <v>0.03</v>
      </c>
      <c r="F123" s="22">
        <f>F121*E123</f>
        <v>11404.2404869893</v>
      </c>
      <c r="G123" s="105">
        <v>2069.55</v>
      </c>
      <c r="H123" s="105">
        <f>H121*E123</f>
        <v>13022.7609272727</v>
      </c>
      <c r="I123" s="98">
        <v>0</v>
      </c>
      <c r="J123" s="98"/>
      <c r="K123" s="85"/>
      <c r="L123" s="85"/>
      <c r="M123" s="124">
        <v>0</v>
      </c>
      <c r="N123" s="122">
        <v>0</v>
      </c>
      <c r="O123" s="123"/>
      <c r="P123" s="123"/>
    </row>
    <row r="124" ht="18" customHeight="1" spans="1:16">
      <c r="A124" s="29"/>
      <c r="B124" s="29"/>
      <c r="C124" s="29"/>
      <c r="D124" s="103" t="s">
        <v>112</v>
      </c>
      <c r="E124" s="104">
        <v>0.02</v>
      </c>
      <c r="F124" s="22">
        <f>F121*E124</f>
        <v>7602.8269913262</v>
      </c>
      <c r="G124" s="105">
        <v>1379.7</v>
      </c>
      <c r="H124" s="105">
        <f>H121*E124</f>
        <v>8681.84061818182</v>
      </c>
      <c r="I124" s="98">
        <v>0</v>
      </c>
      <c r="J124" s="98"/>
      <c r="K124" s="85"/>
      <c r="L124" s="85"/>
      <c r="M124" s="124">
        <v>0</v>
      </c>
      <c r="N124" s="122">
        <v>0</v>
      </c>
      <c r="O124" s="123"/>
      <c r="P124" s="123"/>
    </row>
    <row r="125" ht="18" customHeight="1" spans="1:16">
      <c r="A125" s="25" t="s">
        <v>113</v>
      </c>
      <c r="B125" s="26">
        <f>SUM(B121:B124)</f>
        <v>-301458.988941627</v>
      </c>
      <c r="C125" s="29"/>
      <c r="D125" s="99" t="s">
        <v>113</v>
      </c>
      <c r="E125" s="106"/>
      <c r="F125" s="100">
        <f>SUM(F121:F124)</f>
        <v>418155.484522941</v>
      </c>
      <c r="G125" s="100">
        <f>SUM(G121:G124)</f>
        <v>75883.496363636</v>
      </c>
      <c r="H125" s="100">
        <f>SUM(H121:H124)</f>
        <v>477501.234</v>
      </c>
      <c r="I125" s="98">
        <v>0</v>
      </c>
      <c r="J125" s="98"/>
      <c r="K125" s="85"/>
      <c r="L125" s="85"/>
      <c r="M125" s="98">
        <v>0</v>
      </c>
      <c r="N125" s="122"/>
      <c r="O125" s="123"/>
      <c r="P125" s="123"/>
    </row>
    <row r="126" ht="21.95" customHeight="1" spans="3:16">
      <c r="C126" s="3"/>
      <c r="D126" s="107" t="s">
        <v>108</v>
      </c>
      <c r="E126" s="108">
        <v>0.0003</v>
      </c>
      <c r="F126" s="105">
        <f>G18*E126</f>
        <v>9772.8735</v>
      </c>
      <c r="G126" s="105">
        <v>1800</v>
      </c>
      <c r="H126" s="105">
        <f>G8*E126</f>
        <v>3180</v>
      </c>
      <c r="I126" s="98">
        <f>G9*E126</f>
        <v>900</v>
      </c>
      <c r="J126" s="98"/>
      <c r="K126" s="85"/>
      <c r="L126" s="125"/>
      <c r="M126" s="85"/>
      <c r="N126" s="122"/>
      <c r="O126" s="123"/>
      <c r="P126" s="123"/>
    </row>
    <row r="127" ht="21.95" customHeight="1" spans="3:16">
      <c r="C127" s="3"/>
      <c r="D127" s="107" t="s">
        <v>110</v>
      </c>
      <c r="E127" s="108">
        <v>0.0006</v>
      </c>
      <c r="F127" s="105">
        <f>B18*E127</f>
        <v>17848.8087572977</v>
      </c>
      <c r="G127" s="105">
        <v>3272.73</v>
      </c>
      <c r="H127" s="105">
        <f>B8*E127</f>
        <v>5781.81818181818</v>
      </c>
      <c r="I127" s="98">
        <f>B9*E127</f>
        <v>1651.37614678899</v>
      </c>
      <c r="J127" s="98"/>
      <c r="K127" s="85">
        <v>1963.19394495413</v>
      </c>
      <c r="L127" s="125">
        <v>2251.37614678899</v>
      </c>
      <c r="M127" s="85">
        <f>B12*E127</f>
        <v>1535.72972477064</v>
      </c>
      <c r="N127" s="122">
        <f>E127*B13</f>
        <v>1392.58733944954</v>
      </c>
      <c r="O127" s="123">
        <f>E127*B14</f>
        <v>2625.15743119266</v>
      </c>
      <c r="P127" s="123"/>
    </row>
    <row r="128" ht="21.95" customHeight="1" spans="3:16">
      <c r="C128" s="3"/>
      <c r="D128" s="100" t="s">
        <v>113</v>
      </c>
      <c r="E128" s="109"/>
      <c r="F128" s="101">
        <f t="shared" ref="F128:I128" si="16">F126+F127</f>
        <v>27621.6822572977</v>
      </c>
      <c r="G128" s="101">
        <f t="shared" si="16"/>
        <v>5072.73</v>
      </c>
      <c r="H128" s="101">
        <f t="shared" si="16"/>
        <v>8961.81818181818</v>
      </c>
      <c r="I128" s="98">
        <f t="shared" si="16"/>
        <v>2551.37614678899</v>
      </c>
      <c r="J128" s="98"/>
      <c r="K128" s="85"/>
      <c r="L128" s="125"/>
      <c r="M128" s="85"/>
      <c r="N128" s="122">
        <v>0</v>
      </c>
      <c r="O128" s="123"/>
      <c r="P128" s="123"/>
    </row>
    <row r="129" ht="21.95" customHeight="1" spans="3:16">
      <c r="C129" s="3"/>
      <c r="D129" s="100" t="s">
        <v>25</v>
      </c>
      <c r="E129" s="109"/>
      <c r="F129" s="101">
        <f t="shared" ref="F129:H129" si="17">F125+F128</f>
        <v>445777.166780239</v>
      </c>
      <c r="G129" s="101">
        <f t="shared" si="17"/>
        <v>80956.226363636</v>
      </c>
      <c r="H129" s="101">
        <f t="shared" si="17"/>
        <v>486463.052181818</v>
      </c>
      <c r="I129" s="98">
        <f>I128</f>
        <v>2551.37614678899</v>
      </c>
      <c r="J129" s="98"/>
      <c r="K129" s="85"/>
      <c r="L129" s="125"/>
      <c r="M129" s="85"/>
      <c r="N129" s="122"/>
      <c r="O129" s="123"/>
      <c r="P129" s="123"/>
    </row>
    <row r="130" ht="21.95" customHeight="1" spans="3:16">
      <c r="C130" s="3"/>
      <c r="D130" s="100" t="s">
        <v>105</v>
      </c>
      <c r="E130" s="109">
        <v>0.016</v>
      </c>
      <c r="F130" s="101">
        <f>B18*E130</f>
        <v>475968.23352794</v>
      </c>
      <c r="G130" s="101">
        <v>87272.73</v>
      </c>
      <c r="H130" s="101"/>
      <c r="I130" s="98"/>
      <c r="J130" s="98"/>
      <c r="K130" s="85"/>
      <c r="L130" s="125"/>
      <c r="M130" s="85"/>
      <c r="N130" s="122"/>
      <c r="O130" s="123"/>
      <c r="P130" s="123"/>
    </row>
    <row r="131" ht="21.95" customHeight="1" spans="3:16">
      <c r="C131" s="3"/>
      <c r="D131" s="100" t="s">
        <v>105</v>
      </c>
      <c r="E131" s="109">
        <v>0.006</v>
      </c>
      <c r="F131" s="101"/>
      <c r="G131" s="101"/>
      <c r="H131" s="101">
        <f>B8*E131</f>
        <v>57818.1818181818</v>
      </c>
      <c r="I131" s="98">
        <f>B9*E131</f>
        <v>16513.7614678899</v>
      </c>
      <c r="J131" s="98"/>
      <c r="K131" s="85">
        <v>21398.814</v>
      </c>
      <c r="L131" s="125">
        <v>24540</v>
      </c>
      <c r="M131" s="98">
        <f>G12*E131</f>
        <v>16739.454</v>
      </c>
      <c r="N131" s="122">
        <f>E131*G13</f>
        <v>15179.202</v>
      </c>
      <c r="O131" s="123">
        <f>E131*G14</f>
        <v>28614.216</v>
      </c>
      <c r="P131" s="123"/>
    </row>
    <row r="132" ht="21.95" customHeight="1" spans="3:17">
      <c r="C132" s="3"/>
      <c r="F132" s="95"/>
      <c r="G132" s="95"/>
      <c r="I132" s="128"/>
      <c r="L132" s="60" t="s">
        <v>115</v>
      </c>
      <c r="Q132" s="132"/>
    </row>
    <row r="133" ht="21.95" customHeight="1" spans="3:12">
      <c r="C133" s="3"/>
      <c r="F133" s="95"/>
      <c r="G133" s="95"/>
      <c r="I133" s="128"/>
      <c r="L133" s="129" t="s">
        <v>117</v>
      </c>
    </row>
    <row r="134" ht="21.95" customHeight="1" spans="3:13">
      <c r="C134" s="3"/>
      <c r="F134" s="95"/>
      <c r="G134" s="95"/>
      <c r="H134" s="127"/>
      <c r="I134" s="130"/>
      <c r="L134" s="131" t="s">
        <v>119</v>
      </c>
      <c r="M134" s="131">
        <v>90408.0990550446</v>
      </c>
    </row>
    <row r="135" ht="21.95" customHeight="1" spans="3:7">
      <c r="C135" s="3"/>
      <c r="F135" s="95"/>
      <c r="G135" s="95"/>
    </row>
    <row r="136" ht="21.95" customHeight="1" spans="3:7">
      <c r="C136" s="3"/>
      <c r="F136" s="95"/>
      <c r="G136" s="95"/>
    </row>
    <row r="137" ht="21.95" customHeight="1" spans="3:7">
      <c r="C137" s="3"/>
      <c r="F137" s="95"/>
      <c r="G137" s="95"/>
    </row>
    <row r="138" ht="21.95" customHeight="1" spans="3:7">
      <c r="C138" s="3"/>
      <c r="F138" s="95"/>
      <c r="G138" s="95"/>
    </row>
    <row r="139" ht="21.95" customHeight="1" spans="3:7">
      <c r="C139" s="3"/>
      <c r="F139" s="95"/>
      <c r="G139" s="95"/>
    </row>
    <row r="140" ht="21.95" customHeight="1" spans="3:7">
      <c r="C140" s="3"/>
      <c r="F140" s="95"/>
      <c r="G140" s="95"/>
    </row>
    <row r="141" ht="21.95" customHeight="1" spans="3:7">
      <c r="C141" s="3"/>
      <c r="F141" s="95"/>
      <c r="G141" s="95"/>
    </row>
    <row r="142" ht="21.95" customHeight="1" spans="3:3">
      <c r="C142" s="3"/>
    </row>
    <row r="143" ht="21.95" customHeight="1" spans="3:3">
      <c r="C143" s="3"/>
    </row>
    <row r="144" ht="21.95" customHeight="1" spans="3:3">
      <c r="C144" s="3"/>
    </row>
    <row r="145" ht="21.95" customHeight="1" spans="3:3">
      <c r="C145" s="3"/>
    </row>
    <row r="146" ht="21.95" customHeight="1" spans="3:3">
      <c r="C146" s="3"/>
    </row>
    <row r="147" ht="21.95" customHeight="1" spans="3:3">
      <c r="C147" s="3"/>
    </row>
    <row r="148" spans="3:3">
      <c r="C148" s="3"/>
    </row>
    <row r="149" spans="3:3">
      <c r="C149" s="3"/>
    </row>
  </sheetData>
  <protectedRanges>
    <protectedRange sqref="L37 K30:L36 K99:L99 L100 K101:L107 K92" name="区域1"/>
    <protectedRange sqref="I36" name="区域1_1"/>
  </protectedRanges>
  <mergeCells count="33">
    <mergeCell ref="A1:J1"/>
    <mergeCell ref="H2:J2"/>
    <mergeCell ref="C5:D5"/>
    <mergeCell ref="E5:F5"/>
    <mergeCell ref="H5:J5"/>
    <mergeCell ref="I120:J120"/>
    <mergeCell ref="O120:P120"/>
    <mergeCell ref="I121:J121"/>
    <mergeCell ref="O121:P121"/>
    <mergeCell ref="I122:J122"/>
    <mergeCell ref="O122:P122"/>
    <mergeCell ref="I123:J123"/>
    <mergeCell ref="O123:P123"/>
    <mergeCell ref="I124:J124"/>
    <mergeCell ref="O124:P124"/>
    <mergeCell ref="I125:J125"/>
    <mergeCell ref="O125:P125"/>
    <mergeCell ref="I126:J126"/>
    <mergeCell ref="O126:P126"/>
    <mergeCell ref="I127:J127"/>
    <mergeCell ref="O127:P127"/>
    <mergeCell ref="I128:J128"/>
    <mergeCell ref="O128:P128"/>
    <mergeCell ref="I129:J129"/>
    <mergeCell ref="O129:P129"/>
    <mergeCell ref="I130:J130"/>
    <mergeCell ref="O130:P130"/>
    <mergeCell ref="I131:J131"/>
    <mergeCell ref="O131:P131"/>
    <mergeCell ref="A5:A6"/>
    <mergeCell ref="B5:B6"/>
    <mergeCell ref="G5:G6"/>
    <mergeCell ref="O46:O55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Sheet2</vt:lpstr>
      <vt:lpstr>7-22</vt:lpstr>
      <vt:lpstr>5.1</vt:lpstr>
      <vt:lpstr>5.2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cw015</cp:lastModifiedBy>
  <dcterms:created xsi:type="dcterms:W3CDTF">2016-07-12T06:03:00Z</dcterms:created>
  <cp:lastPrinted>2016-11-23T10:22:00Z</cp:lastPrinted>
  <dcterms:modified xsi:type="dcterms:W3CDTF">2021-12-10T07:17:47Z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