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新" sheetId="2" r:id="rId1"/>
    <sheet name="旧" sheetId="1" r:id="rId2"/>
  </sheets>
  <definedNames>
    <definedName name="_xlnm._FilterDatabase" localSheetId="0" hidden="1">新!$A$14:$O$57</definedName>
  </definedNames>
  <calcPr calcId="144525"/>
</workbook>
</file>

<file path=xl/comments1.xml><?xml version="1.0" encoding="utf-8"?>
<comments xmlns="http://schemas.openxmlformats.org/spreadsheetml/2006/main">
  <authors>
    <author>cw05</author>
  </authors>
  <commentList>
    <comment ref="G8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填写开票数字</t>
        </r>
      </text>
    </comment>
    <comment ref="E15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填写专票税率</t>
        </r>
      </text>
    </comment>
    <comment ref="G15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填写成本发票含税金额</t>
        </r>
      </text>
    </comment>
    <comment ref="A50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当地未缴，本地代扣代缴，含税价*0.0003。</t>
        </r>
      </text>
    </comment>
    <comment ref="A51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当地未缴，本地代扣代缴，不含税销售额*0.0006</t>
        </r>
      </text>
    </comment>
    <comment ref="D54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当地未缴，本地代扣代缴，含税价*0.0003。</t>
        </r>
      </text>
    </comment>
    <comment ref="D55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当地未缴，本地代扣代缴，不含税销售额*0.0006</t>
        </r>
      </text>
    </comment>
  </commentList>
</comments>
</file>

<file path=xl/comments2.xml><?xml version="1.0" encoding="utf-8"?>
<comments xmlns="http://schemas.openxmlformats.org/spreadsheetml/2006/main">
  <authors>
    <author>cw05</author>
  </authors>
  <commentList>
    <comment ref="G8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填写开票数字</t>
        </r>
      </text>
    </comment>
    <comment ref="E15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填写专票税率</t>
        </r>
      </text>
    </comment>
    <comment ref="G15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填写成本发票含税金额</t>
        </r>
      </text>
    </comment>
    <comment ref="A35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当地未缴，本地代扣代缴，含税价*0.0003。</t>
        </r>
      </text>
    </comment>
    <comment ref="A36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当地未缴，本地代扣代缴，不含税销售额*0.0006</t>
        </r>
      </text>
    </comment>
  </commentList>
</comments>
</file>

<file path=xl/sharedStrings.xml><?xml version="1.0" encoding="utf-8"?>
<sst xmlns="http://schemas.openxmlformats.org/spreadsheetml/2006/main" count="240" uniqueCount="93">
  <si>
    <t>C8963   新站高区蚌埠路（泗水路-东方大道）精品路交通工程</t>
  </si>
  <si>
    <t>中标日期</t>
  </si>
  <si>
    <t>2017.12.29</t>
  </si>
  <si>
    <t>中标价</t>
  </si>
  <si>
    <t>负责人</t>
  </si>
  <si>
    <t>孙容</t>
  </si>
  <si>
    <t>建设单位</t>
  </si>
  <si>
    <t>合肥鑫城国有资产经营限公司9134 0100 7408 59347C （专)</t>
  </si>
  <si>
    <t>安徽省合肥市新站区工业物流园A组团E区15号综合楼0551-65777289</t>
  </si>
  <si>
    <t>决算日期</t>
  </si>
  <si>
    <t>决算价</t>
  </si>
  <si>
    <t>农发行合肥金寨路支行2033 4140 0101 0000 0002 271</t>
  </si>
  <si>
    <t>销售开票：</t>
  </si>
  <si>
    <t>开票日期</t>
  </si>
  <si>
    <t>收入金额</t>
  </si>
  <si>
    <t>工程地缴税</t>
  </si>
  <si>
    <t>企业本地缴税</t>
  </si>
  <si>
    <t>价税合计</t>
  </si>
  <si>
    <t>到款情况</t>
  </si>
  <si>
    <t>税率</t>
  </si>
  <si>
    <t>增值税额</t>
  </si>
  <si>
    <t>日期</t>
  </si>
  <si>
    <t>银行</t>
  </si>
  <si>
    <t>18.10.24</t>
  </si>
  <si>
    <t>中</t>
  </si>
  <si>
    <t>18.12.10</t>
  </si>
  <si>
    <t>18.12.14</t>
  </si>
  <si>
    <t>合计</t>
  </si>
  <si>
    <t>材料发票：</t>
  </si>
  <si>
    <t>收票日期</t>
  </si>
  <si>
    <t>成本金额</t>
  </si>
  <si>
    <t>份数</t>
  </si>
  <si>
    <t>类型</t>
  </si>
  <si>
    <t>进项税额</t>
  </si>
  <si>
    <t>付款日期</t>
  </si>
  <si>
    <t>销货单位</t>
  </si>
  <si>
    <t>货物</t>
  </si>
  <si>
    <t>合同</t>
  </si>
  <si>
    <t>发货单</t>
  </si>
  <si>
    <t>备注</t>
  </si>
  <si>
    <t>2018.11.10</t>
  </si>
  <si>
    <t>专</t>
  </si>
  <si>
    <t>安徽诚信项目管理有限公司</t>
  </si>
  <si>
    <t>中标服务费</t>
  </si>
  <si>
    <t>杭州海康威视科技有限公司</t>
  </si>
  <si>
    <t>电子设备</t>
  </si>
  <si>
    <t>普</t>
  </si>
  <si>
    <t>电镐  扳手</t>
  </si>
  <si>
    <t>18.12.28</t>
  </si>
  <si>
    <t>合肥宝畅交通设施工程有限公司</t>
  </si>
  <si>
    <t>标线涂料</t>
  </si>
  <si>
    <t>安徽铸辉新型电缆有限公司</t>
  </si>
  <si>
    <t>电缆</t>
  </si>
  <si>
    <t>安徽潜山县三元塑业有限公司</t>
  </si>
  <si>
    <t>PE管</t>
  </si>
  <si>
    <t>合肥捷瑞交通科技有限公司</t>
  </si>
  <si>
    <t>标牌</t>
  </si>
  <si>
    <t>安徽中基信通科技有限公司</t>
  </si>
  <si>
    <t>合肥峥勇建筑劳务有限公司</t>
  </si>
  <si>
    <t>劳务</t>
  </si>
  <si>
    <t>19.1.3</t>
  </si>
  <si>
    <t>通行费</t>
  </si>
  <si>
    <t>19.1.8</t>
  </si>
  <si>
    <t>税务局代开</t>
  </si>
  <si>
    <t>线缆等材料</t>
  </si>
  <si>
    <t>19.3.25</t>
  </si>
  <si>
    <t>安徽同济建设集团有限责任公司</t>
  </si>
  <si>
    <t>施工费</t>
  </si>
  <si>
    <t>付</t>
  </si>
  <si>
    <t xml:space="preserve">安徽融畅智能科技有限公司
</t>
  </si>
  <si>
    <t>工程服务</t>
  </si>
  <si>
    <t>8963-2022-001#（2022-206号）-2151600</t>
  </si>
  <si>
    <t>扣</t>
  </si>
  <si>
    <t>2022年3月本地2%增值税及附加、水利基金、印花税</t>
  </si>
  <si>
    <t>可支付金额：</t>
  </si>
  <si>
    <t>公司代缴税金：</t>
  </si>
  <si>
    <t>税种</t>
  </si>
  <si>
    <t>税额</t>
  </si>
  <si>
    <t>1-2次本地2%</t>
  </si>
  <si>
    <t>2022年3月本地2%</t>
  </si>
  <si>
    <t>企业所得税</t>
  </si>
  <si>
    <t>增值税</t>
  </si>
  <si>
    <t>差额</t>
  </si>
  <si>
    <t>印花税</t>
  </si>
  <si>
    <t>城市维护建设税</t>
  </si>
  <si>
    <t>水利基金</t>
  </si>
  <si>
    <t>教育费附加</t>
  </si>
  <si>
    <t>地方教育费附加</t>
  </si>
  <si>
    <t>小计</t>
  </si>
  <si>
    <t>新站高区蚌埠路（泗水路-东方大道）精品路交通工程8963</t>
  </si>
  <si>
    <t>合肥鑫城国有资产经营限公司</t>
  </si>
  <si>
    <t>材料</t>
  </si>
  <si>
    <t>11月税费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</si>
</sst>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yy/m/d;@"/>
    <numFmt numFmtId="178" formatCode="#,##0.00_);[Red]\(#,##0.00\)"/>
    <numFmt numFmtId="179" formatCode="#,##0_ "/>
    <numFmt numFmtId="180" formatCode="yyyy&quot;年&quot;m&quot;月&quot;;@"/>
  </numFmts>
  <fonts count="34">
    <font>
      <sz val="11"/>
      <color theme="1"/>
      <name val="等线"/>
      <charset val="134"/>
      <scheme val="minor"/>
    </font>
    <font>
      <sz val="9"/>
      <name val="等线"/>
      <charset val="134"/>
      <scheme val="minor"/>
    </font>
    <font>
      <sz val="9"/>
      <color theme="1"/>
      <name val="等线"/>
      <charset val="134"/>
      <scheme val="minor"/>
    </font>
    <font>
      <b/>
      <sz val="11"/>
      <color rgb="FF333333"/>
      <name val="宋体"/>
      <charset val="134"/>
    </font>
    <font>
      <b/>
      <sz val="11"/>
      <color rgb="FF333333"/>
      <name val="ˎ̥"/>
      <charset val="134"/>
    </font>
    <font>
      <b/>
      <sz val="11"/>
      <color theme="1"/>
      <name val="等线"/>
      <charset val="134"/>
      <scheme val="minor"/>
    </font>
    <font>
      <b/>
      <sz val="9"/>
      <color theme="1"/>
      <name val="等线"/>
      <charset val="134"/>
      <scheme val="minor"/>
    </font>
    <font>
      <sz val="9"/>
      <color theme="1"/>
      <name val="宋体"/>
      <charset val="134"/>
    </font>
    <font>
      <sz val="9"/>
      <name val="宋体"/>
      <charset val="134"/>
    </font>
    <font>
      <b/>
      <sz val="11"/>
      <color theme="1"/>
      <name val="宋体"/>
      <charset val="134"/>
    </font>
    <font>
      <b/>
      <sz val="9"/>
      <color theme="1"/>
      <name val="宋体"/>
      <charset val="134"/>
    </font>
    <font>
      <sz val="9"/>
      <color rgb="FFFF0000"/>
      <name val="宋体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indexed="8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8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2" borderId="7" applyNumberFormat="0" applyFont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4" fillId="16" borderId="10" applyNumberFormat="0" applyAlignment="0" applyProtection="0">
      <alignment vertical="center"/>
    </xf>
    <xf numFmtId="0" fontId="25" fillId="16" borderId="6" applyNumberFormat="0" applyAlignment="0" applyProtection="0">
      <alignment vertical="center"/>
    </xf>
    <xf numFmtId="0" fontId="26" fillId="17" borderId="11" applyNumberFormat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31" fillId="0" borderId="0">
      <protection locked="0"/>
    </xf>
  </cellStyleXfs>
  <cellXfs count="115">
    <xf numFmtId="0" fontId="0" fillId="0" borderId="0" xfId="0"/>
    <xf numFmtId="0" fontId="1" fillId="0" borderId="0" xfId="0" applyFont="1" applyAlignment="1">
      <alignment vertical="center"/>
    </xf>
    <xf numFmtId="177" fontId="2" fillId="0" borderId="0" xfId="0" applyNumberFormat="1" applyFont="1" applyAlignment="1">
      <alignment vertical="center"/>
    </xf>
    <xf numFmtId="176" fontId="2" fillId="0" borderId="0" xfId="0" applyNumberFormat="1" applyFont="1" applyAlignment="1">
      <alignment vertical="center"/>
    </xf>
    <xf numFmtId="178" fontId="2" fillId="0" borderId="0" xfId="0" applyNumberFormat="1" applyFont="1" applyAlignment="1">
      <alignment vertical="center"/>
    </xf>
    <xf numFmtId="10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7" fontId="2" fillId="0" borderId="2" xfId="0" applyNumberFormat="1" applyFont="1" applyBorder="1" applyAlignment="1">
      <alignment vertical="center"/>
    </xf>
    <xf numFmtId="177" fontId="1" fillId="0" borderId="2" xfId="0" applyNumberFormat="1" applyFont="1" applyBorder="1" applyAlignment="1">
      <alignment horizontal="center" vertical="center"/>
    </xf>
    <xf numFmtId="176" fontId="2" fillId="0" borderId="2" xfId="0" applyNumberFormat="1" applyFont="1" applyBorder="1" applyAlignment="1">
      <alignment vertical="center"/>
    </xf>
    <xf numFmtId="176" fontId="2" fillId="0" borderId="2" xfId="0" applyNumberFormat="1" applyFont="1" applyBorder="1" applyAlignment="1">
      <alignment horizontal="center" vertical="center"/>
    </xf>
    <xf numFmtId="177" fontId="2" fillId="0" borderId="3" xfId="0" applyNumberFormat="1" applyFont="1" applyBorder="1" applyAlignment="1">
      <alignment horizontal="left" vertical="center"/>
    </xf>
    <xf numFmtId="177" fontId="1" fillId="0" borderId="2" xfId="0" applyNumberFormat="1" applyFont="1" applyBorder="1" applyAlignment="1">
      <alignment vertical="center"/>
    </xf>
    <xf numFmtId="177" fontId="5" fillId="0" borderId="0" xfId="0" applyNumberFormat="1" applyFont="1" applyAlignment="1">
      <alignment horizontal="center" vertical="center"/>
    </xf>
    <xf numFmtId="176" fontId="6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177" fontId="2" fillId="0" borderId="2" xfId="0" applyNumberFormat="1" applyFont="1" applyBorder="1" applyAlignment="1">
      <alignment horizontal="center" vertical="center"/>
    </xf>
    <xf numFmtId="9" fontId="2" fillId="0" borderId="2" xfId="11" applyFont="1" applyBorder="1" applyAlignment="1">
      <alignment horizontal="center" vertical="center"/>
    </xf>
    <xf numFmtId="176" fontId="1" fillId="2" borderId="2" xfId="0" applyNumberFormat="1" applyFont="1" applyFill="1" applyBorder="1" applyAlignment="1">
      <alignment vertical="center"/>
    </xf>
    <xf numFmtId="177" fontId="6" fillId="0" borderId="2" xfId="0" applyNumberFormat="1" applyFont="1" applyBorder="1" applyAlignment="1">
      <alignment vertical="center"/>
    </xf>
    <xf numFmtId="176" fontId="6" fillId="3" borderId="2" xfId="0" applyNumberFormat="1" applyFont="1" applyFill="1" applyBorder="1" applyAlignment="1">
      <alignment vertical="center"/>
    </xf>
    <xf numFmtId="176" fontId="6" fillId="0" borderId="2" xfId="0" applyNumberFormat="1" applyFont="1" applyBorder="1" applyAlignment="1">
      <alignment vertical="center"/>
    </xf>
    <xf numFmtId="176" fontId="6" fillId="4" borderId="2" xfId="0" applyNumberFormat="1" applyFont="1" applyFill="1" applyBorder="1" applyAlignment="1">
      <alignment vertical="center"/>
    </xf>
    <xf numFmtId="0" fontId="2" fillId="0" borderId="2" xfId="0" applyFont="1" applyBorder="1" applyAlignment="1">
      <alignment vertical="center"/>
    </xf>
    <xf numFmtId="177" fontId="6" fillId="0" borderId="2" xfId="0" applyNumberFormat="1" applyFont="1" applyBorder="1" applyAlignment="1">
      <alignment horizontal="center" vertical="center"/>
    </xf>
    <xf numFmtId="176" fontId="1" fillId="0" borderId="2" xfId="0" applyNumberFormat="1" applyFont="1" applyBorder="1" applyAlignment="1">
      <alignment vertical="center"/>
    </xf>
    <xf numFmtId="179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9" fontId="1" fillId="5" borderId="2" xfId="11" applyFont="1" applyFill="1" applyBorder="1" applyAlignment="1">
      <alignment horizontal="center" vertical="center"/>
    </xf>
    <xf numFmtId="177" fontId="2" fillId="3" borderId="2" xfId="0" applyNumberFormat="1" applyFont="1" applyFill="1" applyBorder="1" applyAlignment="1">
      <alignment horizontal="center" vertical="center"/>
    </xf>
    <xf numFmtId="0" fontId="6" fillId="0" borderId="2" xfId="0" applyFont="1" applyBorder="1" applyAlignment="1">
      <alignment vertical="center"/>
    </xf>
    <xf numFmtId="176" fontId="6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2" fillId="0" borderId="2" xfId="0" applyFont="1" applyBorder="1" applyAlignment="1">
      <alignment horizontal="center" vertical="center"/>
    </xf>
    <xf numFmtId="176" fontId="2" fillId="4" borderId="2" xfId="0" applyNumberFormat="1" applyFont="1" applyFill="1" applyBorder="1" applyAlignment="1">
      <alignment vertical="center"/>
    </xf>
    <xf numFmtId="177" fontId="2" fillId="0" borderId="2" xfId="0" applyNumberFormat="1" applyFont="1" applyBorder="1" applyAlignment="1">
      <alignment horizontal="right" vertical="center"/>
    </xf>
    <xf numFmtId="177" fontId="2" fillId="0" borderId="4" xfId="0" applyNumberFormat="1" applyFont="1" applyBorder="1" applyAlignment="1">
      <alignment horizontal="left" vertical="center"/>
    </xf>
    <xf numFmtId="177" fontId="2" fillId="0" borderId="5" xfId="0" applyNumberFormat="1" applyFont="1" applyBorder="1" applyAlignment="1">
      <alignment horizontal="left" vertical="center"/>
    </xf>
    <xf numFmtId="178" fontId="5" fillId="0" borderId="0" xfId="0" applyNumberFormat="1" applyFont="1" applyAlignment="1">
      <alignment horizontal="center" vertical="center"/>
    </xf>
    <xf numFmtId="178" fontId="6" fillId="0" borderId="2" xfId="0" applyNumberFormat="1" applyFont="1" applyBorder="1" applyAlignment="1">
      <alignment horizontal="center" vertical="center"/>
    </xf>
    <xf numFmtId="178" fontId="2" fillId="0" borderId="2" xfId="0" applyNumberFormat="1" applyFont="1" applyBorder="1" applyAlignment="1">
      <alignment horizontal="center" vertical="center"/>
    </xf>
    <xf numFmtId="10" fontId="6" fillId="0" borderId="2" xfId="0" applyNumberFormat="1" applyFont="1" applyBorder="1" applyAlignment="1">
      <alignment horizontal="center" vertical="center"/>
    </xf>
    <xf numFmtId="10" fontId="1" fillId="0" borderId="2" xfId="0" applyNumberFormat="1" applyFont="1" applyBorder="1" applyAlignment="1">
      <alignment vertical="center"/>
    </xf>
    <xf numFmtId="0" fontId="1" fillId="0" borderId="2" xfId="0" applyFont="1" applyBorder="1" applyAlignment="1">
      <alignment vertical="center"/>
    </xf>
    <xf numFmtId="178" fontId="2" fillId="3" borderId="2" xfId="0" applyNumberFormat="1" applyFont="1" applyFill="1" applyBorder="1" applyAlignment="1">
      <alignment horizontal="center" vertical="center"/>
    </xf>
    <xf numFmtId="10" fontId="6" fillId="0" borderId="2" xfId="0" applyNumberFormat="1" applyFont="1" applyBorder="1" applyAlignment="1">
      <alignment vertical="center"/>
    </xf>
    <xf numFmtId="178" fontId="2" fillId="0" borderId="2" xfId="0" applyNumberFormat="1" applyFont="1" applyBorder="1" applyAlignment="1">
      <alignment vertical="center"/>
    </xf>
    <xf numFmtId="10" fontId="6" fillId="0" borderId="0" xfId="0" applyNumberFormat="1" applyFont="1" applyAlignment="1">
      <alignment vertical="center"/>
    </xf>
    <xf numFmtId="0" fontId="2" fillId="0" borderId="0" xfId="0" applyFont="1" applyAlignment="1">
      <alignment horizontal="center" vertical="center"/>
    </xf>
    <xf numFmtId="177" fontId="7" fillId="0" borderId="2" xfId="0" applyNumberFormat="1" applyFont="1" applyBorder="1" applyAlignment="1">
      <alignment vertical="center"/>
    </xf>
    <xf numFmtId="177" fontId="8" fillId="0" borderId="2" xfId="0" applyNumberFormat="1" applyFont="1" applyBorder="1" applyAlignment="1">
      <alignment horizontal="center" vertical="center"/>
    </xf>
    <xf numFmtId="176" fontId="7" fillId="0" borderId="2" xfId="0" applyNumberFormat="1" applyFont="1" applyBorder="1" applyAlignment="1">
      <alignment vertical="center"/>
    </xf>
    <xf numFmtId="176" fontId="7" fillId="0" borderId="2" xfId="0" applyNumberFormat="1" applyFont="1" applyBorder="1" applyAlignment="1">
      <alignment horizontal="center" vertical="center"/>
    </xf>
    <xf numFmtId="177" fontId="7" fillId="0" borderId="3" xfId="0" applyNumberFormat="1" applyFont="1" applyBorder="1" applyAlignment="1">
      <alignment horizontal="left" vertical="center" wrapText="1"/>
    </xf>
    <xf numFmtId="177" fontId="8" fillId="0" borderId="2" xfId="0" applyNumberFormat="1" applyFont="1" applyBorder="1" applyAlignment="1">
      <alignment vertical="center"/>
    </xf>
    <xf numFmtId="176" fontId="7" fillId="0" borderId="0" xfId="0" applyNumberFormat="1" applyFont="1" applyAlignment="1">
      <alignment vertical="center"/>
    </xf>
    <xf numFmtId="177" fontId="9" fillId="0" borderId="0" xfId="0" applyNumberFormat="1" applyFont="1" applyAlignment="1">
      <alignment horizontal="center" vertical="center"/>
    </xf>
    <xf numFmtId="177" fontId="7" fillId="0" borderId="0" xfId="0" applyNumberFormat="1" applyFont="1" applyAlignment="1">
      <alignment vertical="center"/>
    </xf>
    <xf numFmtId="176" fontId="10" fillId="0" borderId="2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177" fontId="7" fillId="0" borderId="2" xfId="0" applyNumberFormat="1" applyFont="1" applyBorder="1" applyAlignment="1">
      <alignment horizontal="center" vertical="center"/>
    </xf>
    <xf numFmtId="9" fontId="7" fillId="0" borderId="2" xfId="11" applyFont="1" applyBorder="1" applyAlignment="1">
      <alignment horizontal="center" vertical="center"/>
    </xf>
    <xf numFmtId="176" fontId="8" fillId="2" borderId="2" xfId="0" applyNumberFormat="1" applyFont="1" applyFill="1" applyBorder="1" applyAlignment="1">
      <alignment vertical="center"/>
    </xf>
    <xf numFmtId="177" fontId="10" fillId="0" borderId="2" xfId="0" applyNumberFormat="1" applyFont="1" applyBorder="1" applyAlignment="1">
      <alignment vertical="center"/>
    </xf>
    <xf numFmtId="176" fontId="10" fillId="3" borderId="2" xfId="0" applyNumberFormat="1" applyFont="1" applyFill="1" applyBorder="1" applyAlignment="1">
      <alignment vertical="center"/>
    </xf>
    <xf numFmtId="176" fontId="10" fillId="0" borderId="2" xfId="0" applyNumberFormat="1" applyFont="1" applyBorder="1" applyAlignment="1">
      <alignment vertical="center"/>
    </xf>
    <xf numFmtId="176" fontId="10" fillId="4" borderId="2" xfId="0" applyNumberFormat="1" applyFont="1" applyFill="1" applyBorder="1" applyAlignment="1">
      <alignment vertical="center"/>
    </xf>
    <xf numFmtId="0" fontId="7" fillId="0" borderId="2" xfId="0" applyFont="1" applyBorder="1" applyAlignment="1">
      <alignment vertical="center"/>
    </xf>
    <xf numFmtId="0" fontId="7" fillId="0" borderId="0" xfId="0" applyFont="1" applyAlignment="1">
      <alignment vertical="center"/>
    </xf>
    <xf numFmtId="177" fontId="10" fillId="0" borderId="2" xfId="0" applyNumberFormat="1" applyFont="1" applyBorder="1" applyAlignment="1">
      <alignment horizontal="center" vertical="center"/>
    </xf>
    <xf numFmtId="176" fontId="8" fillId="0" borderId="2" xfId="0" applyNumberFormat="1" applyFont="1" applyBorder="1" applyAlignment="1">
      <alignment vertical="center"/>
    </xf>
    <xf numFmtId="179" fontId="8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9" fontId="8" fillId="5" borderId="2" xfId="11" applyFont="1" applyFill="1" applyBorder="1" applyAlignment="1">
      <alignment horizontal="center" vertical="center"/>
    </xf>
    <xf numFmtId="177" fontId="7" fillId="6" borderId="2" xfId="0" applyNumberFormat="1" applyFont="1" applyFill="1" applyBorder="1" applyAlignment="1">
      <alignment horizontal="center" vertical="center"/>
    </xf>
    <xf numFmtId="180" fontId="8" fillId="0" borderId="2" xfId="0" applyNumberFormat="1" applyFont="1" applyBorder="1" applyAlignment="1">
      <alignment horizontal="center" vertical="center"/>
    </xf>
    <xf numFmtId="9" fontId="8" fillId="5" borderId="2" xfId="11" applyNumberFormat="1" applyFont="1" applyFill="1" applyBorder="1" applyAlignment="1">
      <alignment horizontal="center" vertical="center"/>
    </xf>
    <xf numFmtId="0" fontId="10" fillId="0" borderId="2" xfId="0" applyFont="1" applyBorder="1" applyAlignment="1">
      <alignment vertical="center"/>
    </xf>
    <xf numFmtId="176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7" fillId="0" borderId="2" xfId="0" applyFont="1" applyBorder="1" applyAlignment="1">
      <alignment horizontal="center" vertical="center"/>
    </xf>
    <xf numFmtId="177" fontId="7" fillId="0" borderId="2" xfId="0" applyNumberFormat="1" applyFont="1" applyBorder="1" applyAlignment="1">
      <alignment horizontal="right" vertical="center"/>
    </xf>
    <xf numFmtId="49" fontId="7" fillId="0" borderId="2" xfId="0" applyNumberFormat="1" applyFont="1" applyBorder="1" applyAlignment="1">
      <alignment horizontal="center" vertical="center"/>
    </xf>
    <xf numFmtId="49" fontId="10" fillId="0" borderId="2" xfId="0" applyNumberFormat="1" applyFont="1" applyBorder="1" applyAlignment="1">
      <alignment vertical="center"/>
    </xf>
    <xf numFmtId="49" fontId="7" fillId="0" borderId="2" xfId="0" applyNumberFormat="1" applyFont="1" applyBorder="1" applyAlignment="1">
      <alignment vertical="center"/>
    </xf>
    <xf numFmtId="177" fontId="7" fillId="0" borderId="4" xfId="0" applyNumberFormat="1" applyFont="1" applyBorder="1" applyAlignment="1">
      <alignment horizontal="left" vertical="center" wrapText="1"/>
    </xf>
    <xf numFmtId="177" fontId="7" fillId="0" borderId="5" xfId="0" applyNumberFormat="1" applyFont="1" applyBorder="1" applyAlignment="1">
      <alignment horizontal="left" vertical="center" wrapText="1"/>
    </xf>
    <xf numFmtId="177" fontId="7" fillId="0" borderId="0" xfId="0" applyNumberFormat="1" applyFont="1" applyAlignment="1">
      <alignment horizontal="center" vertical="center" wrapText="1"/>
    </xf>
    <xf numFmtId="178" fontId="9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178" fontId="10" fillId="0" borderId="2" xfId="0" applyNumberFormat="1" applyFont="1" applyBorder="1" applyAlignment="1">
      <alignment horizontal="center" vertical="center"/>
    </xf>
    <xf numFmtId="178" fontId="7" fillId="0" borderId="2" xfId="0" applyNumberFormat="1" applyFont="1" applyBorder="1" applyAlignment="1">
      <alignment horizontal="center" vertical="center"/>
    </xf>
    <xf numFmtId="10" fontId="7" fillId="0" borderId="0" xfId="0" applyNumberFormat="1" applyFont="1" applyAlignment="1">
      <alignment horizontal="center" vertical="center"/>
    </xf>
    <xf numFmtId="178" fontId="7" fillId="0" borderId="0" xfId="0" applyNumberFormat="1" applyFont="1" applyAlignment="1">
      <alignment vertical="center"/>
    </xf>
    <xf numFmtId="10" fontId="10" fillId="0" borderId="0" xfId="0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10" fontId="10" fillId="0" borderId="2" xfId="0" applyNumberFormat="1" applyFont="1" applyBorder="1" applyAlignment="1">
      <alignment horizontal="center" vertical="center"/>
    </xf>
    <xf numFmtId="10" fontId="8" fillId="0" borderId="2" xfId="0" applyNumberFormat="1" applyFont="1" applyBorder="1" applyAlignment="1">
      <alignment vertical="center"/>
    </xf>
    <xf numFmtId="178" fontId="7" fillId="6" borderId="2" xfId="0" applyNumberFormat="1" applyFont="1" applyFill="1" applyBorder="1" applyAlignment="1">
      <alignment horizontal="center" vertical="center"/>
    </xf>
    <xf numFmtId="10" fontId="8" fillId="0" borderId="2" xfId="0" applyNumberFormat="1" applyFont="1" applyBorder="1" applyAlignment="1">
      <alignment horizontal="center" vertical="center"/>
    </xf>
    <xf numFmtId="177" fontId="7" fillId="0" borderId="2" xfId="0" applyNumberFormat="1" applyFont="1" applyBorder="1" applyAlignment="1">
      <alignment horizontal="left" vertical="center"/>
    </xf>
    <xf numFmtId="10" fontId="7" fillId="0" borderId="2" xfId="0" applyNumberFormat="1" applyFont="1" applyBorder="1" applyAlignment="1">
      <alignment vertical="center"/>
    </xf>
    <xf numFmtId="10" fontId="10" fillId="0" borderId="2" xfId="0" applyNumberFormat="1" applyFont="1" applyBorder="1" applyAlignment="1">
      <alignment vertical="center"/>
    </xf>
    <xf numFmtId="10" fontId="7" fillId="0" borderId="2" xfId="0" applyNumberFormat="1" applyFont="1" applyBorder="1" applyAlignment="1">
      <alignment vertical="center" wrapText="1"/>
    </xf>
    <xf numFmtId="178" fontId="11" fillId="0" borderId="2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10" fontId="11" fillId="0" borderId="2" xfId="0" applyNumberFormat="1" applyFont="1" applyBorder="1" applyAlignment="1">
      <alignment vertical="center"/>
    </xf>
    <xf numFmtId="10" fontId="10" fillId="0" borderId="0" xfId="0" applyNumberFormat="1" applyFont="1" applyAlignment="1">
      <alignment vertical="center"/>
    </xf>
    <xf numFmtId="10" fontId="7" fillId="0" borderId="0" xfId="0" applyNumberFormat="1" applyFont="1" applyAlignment="1">
      <alignment vertical="center"/>
    </xf>
    <xf numFmtId="178" fontId="7" fillId="0" borderId="2" xfId="0" applyNumberFormat="1" applyFont="1" applyBorder="1" applyAlignment="1">
      <alignment vertical="center"/>
    </xf>
    <xf numFmtId="178" fontId="10" fillId="4" borderId="2" xfId="0" applyNumberFormat="1" applyFont="1" applyFill="1" applyBorder="1" applyAlignment="1">
      <alignment vertical="center"/>
    </xf>
    <xf numFmtId="178" fontId="10" fillId="0" borderId="2" xfId="0" applyNumberFormat="1" applyFont="1" applyBorder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FF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77"/>
  <sheetViews>
    <sheetView tabSelected="1" topLeftCell="A25" workbookViewId="0">
      <selection activeCell="K54" sqref="K54"/>
    </sheetView>
  </sheetViews>
  <sheetFormatPr defaultColWidth="9" defaultRowHeight="12"/>
  <cols>
    <col min="1" max="1" width="10.75" style="2" customWidth="1"/>
    <col min="2" max="2" width="12.25" style="3" customWidth="1"/>
    <col min="3" max="3" width="6" style="3" customWidth="1"/>
    <col min="4" max="4" width="13.375" style="3" customWidth="1"/>
    <col min="5" max="5" width="6" style="3" customWidth="1"/>
    <col min="6" max="6" width="11.625" style="3" customWidth="1"/>
    <col min="7" max="7" width="14.125" style="3" customWidth="1"/>
    <col min="8" max="8" width="9.625" style="3" customWidth="1"/>
    <col min="9" max="9" width="15.375" style="4" customWidth="1"/>
    <col min="10" max="10" width="7.125" style="5" customWidth="1"/>
    <col min="11" max="11" width="36.625" style="6" customWidth="1"/>
    <col min="12" max="12" width="15.5" style="50" customWidth="1"/>
    <col min="13" max="13" width="30.375" style="6" customWidth="1"/>
    <col min="14" max="14" width="7.5" style="6" customWidth="1"/>
    <col min="15" max="15" width="25" style="6" customWidth="1"/>
    <col min="16" max="16384" width="9" style="6"/>
  </cols>
  <sheetData>
    <row r="1" ht="21.95" customHeight="1" spans="1:13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58"/>
      <c r="L1" s="58"/>
      <c r="M1" s="70"/>
    </row>
    <row r="2" ht="30" customHeight="1" spans="1:13">
      <c r="A2" s="51" t="s">
        <v>1</v>
      </c>
      <c r="B2" s="52" t="s">
        <v>2</v>
      </c>
      <c r="C2" s="53" t="s">
        <v>3</v>
      </c>
      <c r="D2" s="53">
        <v>5497264</v>
      </c>
      <c r="E2" s="54" t="s">
        <v>4</v>
      </c>
      <c r="F2" s="53" t="s">
        <v>5</v>
      </c>
      <c r="G2" s="54" t="s">
        <v>6</v>
      </c>
      <c r="H2" s="55" t="s">
        <v>7</v>
      </c>
      <c r="I2" s="87"/>
      <c r="J2" s="88"/>
      <c r="K2" s="89" t="s">
        <v>8</v>
      </c>
      <c r="L2" s="58"/>
      <c r="M2" s="70"/>
    </row>
    <row r="3" ht="23.1" customHeight="1" spans="1:13">
      <c r="A3" s="51" t="s">
        <v>9</v>
      </c>
      <c r="B3" s="56"/>
      <c r="C3" s="53" t="s">
        <v>10</v>
      </c>
      <c r="D3" s="53">
        <v>4909842.41</v>
      </c>
      <c r="E3" s="57"/>
      <c r="F3" s="57"/>
      <c r="G3" s="57"/>
      <c r="H3" s="58"/>
      <c r="I3" s="90"/>
      <c r="J3" s="58"/>
      <c r="K3" s="89" t="s">
        <v>11</v>
      </c>
      <c r="L3" s="58"/>
      <c r="M3" s="70"/>
    </row>
    <row r="4" ht="18" customHeight="1" spans="1:13">
      <c r="A4" s="59" t="s">
        <v>12</v>
      </c>
      <c r="B4" s="57"/>
      <c r="C4" s="57"/>
      <c r="D4" s="57"/>
      <c r="E4" s="57"/>
      <c r="F4" s="57"/>
      <c r="G4" s="57"/>
      <c r="H4" s="58"/>
      <c r="I4" s="90"/>
      <c r="J4" s="58"/>
      <c r="K4" s="58"/>
      <c r="L4" s="58"/>
      <c r="M4" s="70"/>
    </row>
    <row r="5" ht="18" customHeight="1" spans="1:13">
      <c r="A5" s="60" t="s">
        <v>13</v>
      </c>
      <c r="B5" s="60" t="s">
        <v>14</v>
      </c>
      <c r="C5" s="60" t="s">
        <v>15</v>
      </c>
      <c r="D5" s="60"/>
      <c r="E5" s="60" t="s">
        <v>16</v>
      </c>
      <c r="F5" s="60"/>
      <c r="G5" s="60" t="s">
        <v>17</v>
      </c>
      <c r="H5" s="61" t="s">
        <v>18</v>
      </c>
      <c r="I5" s="61"/>
      <c r="J5" s="61"/>
      <c r="K5" s="70"/>
      <c r="L5" s="91"/>
      <c r="M5" s="70"/>
    </row>
    <row r="6" ht="18" customHeight="1" spans="1:13">
      <c r="A6" s="60"/>
      <c r="B6" s="60"/>
      <c r="C6" s="60" t="s">
        <v>19</v>
      </c>
      <c r="D6" s="60" t="s">
        <v>20</v>
      </c>
      <c r="E6" s="60" t="s">
        <v>19</v>
      </c>
      <c r="F6" s="60" t="s">
        <v>20</v>
      </c>
      <c r="G6" s="60"/>
      <c r="H6" s="61" t="s">
        <v>21</v>
      </c>
      <c r="I6" s="92"/>
      <c r="J6" s="61" t="s">
        <v>22</v>
      </c>
      <c r="K6" s="70"/>
      <c r="L6" s="91"/>
      <c r="M6" s="70"/>
    </row>
    <row r="7" ht="18" customHeight="1" spans="1:13">
      <c r="A7" s="62"/>
      <c r="B7" s="53">
        <f t="shared" ref="B7:B11" si="0">G7/(1+C7+E7)</f>
        <v>454545.454545455</v>
      </c>
      <c r="C7" s="63">
        <v>0.02</v>
      </c>
      <c r="D7" s="53">
        <f t="shared" ref="D7:D11" si="1">G7/(1+E7+C7)*C7</f>
        <v>9090.90909090909</v>
      </c>
      <c r="E7" s="63">
        <v>0.08</v>
      </c>
      <c r="F7" s="53">
        <f t="shared" ref="F7:F11" si="2">G7/(1+C7+E7)*E7</f>
        <v>36363.6363636364</v>
      </c>
      <c r="G7" s="64">
        <v>500000</v>
      </c>
      <c r="H7" s="62" t="s">
        <v>23</v>
      </c>
      <c r="I7" s="93">
        <v>500000</v>
      </c>
      <c r="J7" s="82" t="s">
        <v>24</v>
      </c>
      <c r="K7" s="70"/>
      <c r="L7" s="91"/>
      <c r="M7" s="70"/>
    </row>
    <row r="8" ht="18" customHeight="1" spans="1:13">
      <c r="A8" s="62" t="s">
        <v>25</v>
      </c>
      <c r="B8" s="53">
        <f t="shared" si="0"/>
        <v>1945454.54545455</v>
      </c>
      <c r="C8" s="63">
        <v>0.02</v>
      </c>
      <c r="D8" s="53">
        <f t="shared" si="1"/>
        <v>38909.0909090909</v>
      </c>
      <c r="E8" s="63">
        <v>0.08</v>
      </c>
      <c r="F8" s="53">
        <f t="shared" si="2"/>
        <v>155636.363636364</v>
      </c>
      <c r="G8" s="64">
        <v>2140000</v>
      </c>
      <c r="H8" s="62" t="s">
        <v>26</v>
      </c>
      <c r="I8" s="93">
        <v>2140000</v>
      </c>
      <c r="J8" s="82" t="s">
        <v>24</v>
      </c>
      <c r="K8" s="70"/>
      <c r="L8" s="91"/>
      <c r="M8" s="70"/>
    </row>
    <row r="9" ht="18" customHeight="1" spans="1:13">
      <c r="A9" s="62">
        <v>44621</v>
      </c>
      <c r="B9" s="53">
        <f t="shared" si="0"/>
        <v>2082424.2293578</v>
      </c>
      <c r="C9" s="63">
        <v>0.02</v>
      </c>
      <c r="D9" s="53">
        <f t="shared" si="1"/>
        <v>41648.484587156</v>
      </c>
      <c r="E9" s="63">
        <v>0.07</v>
      </c>
      <c r="F9" s="53">
        <f t="shared" si="2"/>
        <v>145769.696055046</v>
      </c>
      <c r="G9" s="64">
        <v>2269842.41</v>
      </c>
      <c r="H9" s="62">
        <v>44832</v>
      </c>
      <c r="I9" s="93">
        <v>2122547.14</v>
      </c>
      <c r="J9" s="82" t="s">
        <v>24</v>
      </c>
      <c r="K9" s="70"/>
      <c r="L9" s="91"/>
      <c r="M9" s="70"/>
    </row>
    <row r="10" ht="18" customHeight="1" spans="1:13">
      <c r="A10" s="62"/>
      <c r="B10" s="53">
        <f t="shared" si="0"/>
        <v>0</v>
      </c>
      <c r="C10" s="63"/>
      <c r="D10" s="53">
        <f t="shared" si="1"/>
        <v>0</v>
      </c>
      <c r="E10" s="63">
        <v>0.08</v>
      </c>
      <c r="F10" s="53">
        <f t="shared" si="2"/>
        <v>0</v>
      </c>
      <c r="G10" s="64"/>
      <c r="H10" s="62"/>
      <c r="I10" s="93"/>
      <c r="J10" s="82"/>
      <c r="K10" s="70"/>
      <c r="L10" s="91"/>
      <c r="M10" s="70"/>
    </row>
    <row r="11" ht="18" customHeight="1" spans="1:13">
      <c r="A11" s="62"/>
      <c r="B11" s="53">
        <f t="shared" si="0"/>
        <v>0</v>
      </c>
      <c r="C11" s="63"/>
      <c r="D11" s="53">
        <f t="shared" si="1"/>
        <v>0</v>
      </c>
      <c r="E11" s="63">
        <v>0.08</v>
      </c>
      <c r="F11" s="53">
        <f t="shared" si="2"/>
        <v>0</v>
      </c>
      <c r="G11" s="64"/>
      <c r="H11" s="62"/>
      <c r="I11" s="93"/>
      <c r="J11" s="82"/>
      <c r="K11" s="70"/>
      <c r="L11" s="91"/>
      <c r="M11" s="70"/>
    </row>
    <row r="12" ht="18" customHeight="1" spans="1:13">
      <c r="A12" s="65" t="s">
        <v>27</v>
      </c>
      <c r="B12" s="66">
        <f t="shared" ref="B12:G12" si="3">SUM(B7:B11)</f>
        <v>4482424.2293578</v>
      </c>
      <c r="C12" s="67"/>
      <c r="D12" s="67">
        <f t="shared" si="3"/>
        <v>89648.484587156</v>
      </c>
      <c r="E12" s="67"/>
      <c r="F12" s="68">
        <f t="shared" si="3"/>
        <v>337769.696055046</v>
      </c>
      <c r="G12" s="67">
        <f t="shared" si="3"/>
        <v>4909842.41</v>
      </c>
      <c r="H12" s="69"/>
      <c r="I12" s="67">
        <f>SUM(I7:I11)</f>
        <v>4762547.14</v>
      </c>
      <c r="J12" s="69"/>
      <c r="K12" s="57"/>
      <c r="L12" s="94"/>
      <c r="M12" s="70"/>
    </row>
    <row r="13" ht="18" customHeight="1" spans="1:15">
      <c r="A13" s="59" t="s">
        <v>28</v>
      </c>
      <c r="B13" s="70"/>
      <c r="C13" s="57"/>
      <c r="D13" s="57"/>
      <c r="E13" s="57"/>
      <c r="F13" s="57"/>
      <c r="G13" s="57"/>
      <c r="H13" s="57"/>
      <c r="I13" s="95"/>
      <c r="J13" s="57"/>
      <c r="K13" s="96"/>
      <c r="L13" s="97"/>
      <c r="M13" s="97"/>
      <c r="N13" s="98"/>
      <c r="O13" s="98"/>
    </row>
    <row r="14" s="1" customFormat="1" ht="18" customHeight="1" spans="1:15">
      <c r="A14" s="71" t="s">
        <v>29</v>
      </c>
      <c r="B14" s="60" t="s">
        <v>30</v>
      </c>
      <c r="C14" s="60" t="s">
        <v>31</v>
      </c>
      <c r="D14" s="60" t="s">
        <v>32</v>
      </c>
      <c r="E14" s="60" t="s">
        <v>19</v>
      </c>
      <c r="F14" s="60" t="s">
        <v>33</v>
      </c>
      <c r="G14" s="60" t="s">
        <v>17</v>
      </c>
      <c r="H14" s="60" t="s">
        <v>34</v>
      </c>
      <c r="I14" s="92"/>
      <c r="J14" s="60" t="s">
        <v>22</v>
      </c>
      <c r="K14" s="99" t="s">
        <v>35</v>
      </c>
      <c r="L14" s="61" t="s">
        <v>36</v>
      </c>
      <c r="M14" s="61" t="s">
        <v>37</v>
      </c>
      <c r="N14" s="17" t="s">
        <v>38</v>
      </c>
      <c r="O14" s="17" t="s">
        <v>39</v>
      </c>
    </row>
    <row r="15" s="1" customFormat="1" ht="18" customHeight="1" spans="1:15">
      <c r="A15" s="52" t="s">
        <v>40</v>
      </c>
      <c r="B15" s="72">
        <f t="shared" ref="B15:B26" si="4">ROUND(G15/(1+E15),2)</f>
        <v>66220.75</v>
      </c>
      <c r="C15" s="73">
        <v>1</v>
      </c>
      <c r="D15" s="74" t="s">
        <v>41</v>
      </c>
      <c r="E15" s="75">
        <v>0.06</v>
      </c>
      <c r="F15" s="72">
        <f t="shared" ref="F15:F26" si="5">ROUND(G15/(1+E15)*E15,2)</f>
        <v>3973.25</v>
      </c>
      <c r="G15" s="64">
        <v>70194</v>
      </c>
      <c r="H15" s="62"/>
      <c r="I15" s="93"/>
      <c r="J15" s="82"/>
      <c r="K15" s="100" t="s">
        <v>42</v>
      </c>
      <c r="L15" s="82" t="s">
        <v>43</v>
      </c>
      <c r="M15" s="74"/>
      <c r="N15" s="29"/>
      <c r="O15" s="45"/>
    </row>
    <row r="16" s="1" customFormat="1" ht="18" customHeight="1" spans="1:15">
      <c r="A16" s="52" t="s">
        <v>40</v>
      </c>
      <c r="B16" s="72">
        <f t="shared" si="4"/>
        <v>346310.34</v>
      </c>
      <c r="C16" s="73">
        <v>1</v>
      </c>
      <c r="D16" s="74" t="s">
        <v>41</v>
      </c>
      <c r="E16" s="75">
        <v>0.16</v>
      </c>
      <c r="F16" s="72">
        <f t="shared" si="5"/>
        <v>55409.66</v>
      </c>
      <c r="G16" s="64">
        <v>401720</v>
      </c>
      <c r="H16" s="76"/>
      <c r="I16" s="101"/>
      <c r="J16" s="82"/>
      <c r="K16" s="100" t="s">
        <v>44</v>
      </c>
      <c r="L16" s="82" t="s">
        <v>45</v>
      </c>
      <c r="M16" s="74"/>
      <c r="N16" s="29"/>
      <c r="O16" s="45"/>
    </row>
    <row r="17" s="1" customFormat="1" ht="18" customHeight="1" spans="1:15">
      <c r="A17" s="52" t="s">
        <v>40</v>
      </c>
      <c r="B17" s="72">
        <f t="shared" si="4"/>
        <v>43600</v>
      </c>
      <c r="C17" s="73">
        <v>1</v>
      </c>
      <c r="D17" s="74" t="s">
        <v>46</v>
      </c>
      <c r="E17" s="75">
        <v>0</v>
      </c>
      <c r="F17" s="72">
        <f t="shared" si="5"/>
        <v>0</v>
      </c>
      <c r="G17" s="64">
        <f>9600+9250+7750+8500+8500</f>
        <v>43600</v>
      </c>
      <c r="H17" s="62"/>
      <c r="I17" s="93"/>
      <c r="J17" s="82"/>
      <c r="K17" s="100"/>
      <c r="L17" s="102" t="s">
        <v>47</v>
      </c>
      <c r="M17" s="74"/>
      <c r="N17" s="29"/>
      <c r="O17" s="45"/>
    </row>
    <row r="18" s="1" customFormat="1" ht="18" customHeight="1" spans="1:15">
      <c r="A18" s="52" t="s">
        <v>48</v>
      </c>
      <c r="B18" s="72">
        <f t="shared" si="4"/>
        <v>224137.93</v>
      </c>
      <c r="C18" s="73">
        <v>3</v>
      </c>
      <c r="D18" s="74" t="s">
        <v>41</v>
      </c>
      <c r="E18" s="75">
        <v>0.16</v>
      </c>
      <c r="F18" s="72">
        <f t="shared" si="5"/>
        <v>35862.07</v>
      </c>
      <c r="G18" s="64">
        <v>260000</v>
      </c>
      <c r="H18" s="62"/>
      <c r="I18" s="93"/>
      <c r="J18" s="82"/>
      <c r="K18" s="100" t="s">
        <v>49</v>
      </c>
      <c r="L18" s="82" t="s">
        <v>50</v>
      </c>
      <c r="M18" s="74"/>
      <c r="N18" s="29"/>
      <c r="O18" s="45"/>
    </row>
    <row r="19" s="1" customFormat="1" ht="18" customHeight="1" spans="1:15">
      <c r="A19" s="77" t="s">
        <v>48</v>
      </c>
      <c r="B19" s="72">
        <f t="shared" si="4"/>
        <v>154988.02</v>
      </c>
      <c r="C19" s="73">
        <v>3</v>
      </c>
      <c r="D19" s="74" t="s">
        <v>41</v>
      </c>
      <c r="E19" s="75">
        <v>0.16</v>
      </c>
      <c r="F19" s="72">
        <f t="shared" si="5"/>
        <v>24798.08</v>
      </c>
      <c r="G19" s="64">
        <f>65900+65900+47986.1</f>
        <v>179786.1</v>
      </c>
      <c r="H19" s="62"/>
      <c r="I19" s="93"/>
      <c r="J19" s="82"/>
      <c r="K19" s="100" t="s">
        <v>51</v>
      </c>
      <c r="L19" s="82" t="s">
        <v>52</v>
      </c>
      <c r="M19" s="74"/>
      <c r="N19" s="29"/>
      <c r="O19" s="45"/>
    </row>
    <row r="20" s="1" customFormat="1" ht="18" customHeight="1" spans="1:15">
      <c r="A20" s="77" t="s">
        <v>48</v>
      </c>
      <c r="B20" s="72">
        <f t="shared" si="4"/>
        <v>209617.54</v>
      </c>
      <c r="C20" s="73">
        <v>3</v>
      </c>
      <c r="D20" s="74" t="s">
        <v>41</v>
      </c>
      <c r="E20" s="75">
        <v>0.16</v>
      </c>
      <c r="F20" s="72">
        <f t="shared" si="5"/>
        <v>33538.81</v>
      </c>
      <c r="G20" s="64">
        <f>43156.21+114957+85043.14</f>
        <v>243156.35</v>
      </c>
      <c r="H20" s="62"/>
      <c r="I20" s="93"/>
      <c r="J20" s="82"/>
      <c r="K20" s="100" t="s">
        <v>53</v>
      </c>
      <c r="L20" s="82" t="s">
        <v>54</v>
      </c>
      <c r="M20" s="74"/>
      <c r="N20" s="29"/>
      <c r="O20" s="45"/>
    </row>
    <row r="21" s="1" customFormat="1" ht="18" customHeight="1" spans="1:15">
      <c r="A21" s="77" t="s">
        <v>48</v>
      </c>
      <c r="B21" s="72">
        <f t="shared" si="4"/>
        <v>128229.62</v>
      </c>
      <c r="C21" s="73">
        <v>2</v>
      </c>
      <c r="D21" s="74" t="s">
        <v>41</v>
      </c>
      <c r="E21" s="75">
        <v>0.16</v>
      </c>
      <c r="F21" s="72">
        <f t="shared" si="5"/>
        <v>20516.74</v>
      </c>
      <c r="G21" s="64">
        <f>80000+68746.36</f>
        <v>148746.36</v>
      </c>
      <c r="H21" s="62"/>
      <c r="I21" s="93"/>
      <c r="J21" s="82"/>
      <c r="K21" s="100" t="s">
        <v>55</v>
      </c>
      <c r="L21" s="82" t="s">
        <v>56</v>
      </c>
      <c r="M21" s="74"/>
      <c r="N21" s="29"/>
      <c r="O21" s="45"/>
    </row>
    <row r="22" s="1" customFormat="1" ht="18" customHeight="1" spans="1:15">
      <c r="A22" s="77" t="s">
        <v>48</v>
      </c>
      <c r="B22" s="72">
        <f t="shared" si="4"/>
        <v>63106.8</v>
      </c>
      <c r="C22" s="73">
        <v>1</v>
      </c>
      <c r="D22" s="74" t="s">
        <v>41</v>
      </c>
      <c r="E22" s="75">
        <v>0.03</v>
      </c>
      <c r="F22" s="72">
        <f t="shared" si="5"/>
        <v>1893.2</v>
      </c>
      <c r="G22" s="64">
        <v>65000</v>
      </c>
      <c r="H22" s="62"/>
      <c r="I22" s="93"/>
      <c r="J22" s="82"/>
      <c r="K22" s="100" t="s">
        <v>57</v>
      </c>
      <c r="L22" s="74"/>
      <c r="M22" s="74"/>
      <c r="N22" s="29"/>
      <c r="O22" s="45"/>
    </row>
    <row r="23" s="1" customFormat="1" ht="18" customHeight="1" spans="1:15">
      <c r="A23" s="77" t="s">
        <v>48</v>
      </c>
      <c r="B23" s="72">
        <f t="shared" si="4"/>
        <v>800000</v>
      </c>
      <c r="C23" s="73">
        <v>1</v>
      </c>
      <c r="D23" s="74" t="s">
        <v>46</v>
      </c>
      <c r="E23" s="75">
        <v>0</v>
      </c>
      <c r="F23" s="72">
        <f t="shared" si="5"/>
        <v>0</v>
      </c>
      <c r="G23" s="64">
        <v>800000</v>
      </c>
      <c r="H23" s="62"/>
      <c r="I23" s="93"/>
      <c r="J23" s="82"/>
      <c r="K23" s="100" t="s">
        <v>58</v>
      </c>
      <c r="L23" s="82" t="s">
        <v>59</v>
      </c>
      <c r="M23" s="74"/>
      <c r="N23" s="29"/>
      <c r="O23" s="45"/>
    </row>
    <row r="24" s="1" customFormat="1" ht="18" customHeight="1" spans="1:15">
      <c r="A24" s="77" t="s">
        <v>60</v>
      </c>
      <c r="B24" s="72">
        <f t="shared" si="4"/>
        <v>5460.11</v>
      </c>
      <c r="C24" s="73">
        <v>38</v>
      </c>
      <c r="D24" s="74" t="s">
        <v>41</v>
      </c>
      <c r="E24" s="75"/>
      <c r="F24" s="72">
        <f t="shared" si="5"/>
        <v>0</v>
      </c>
      <c r="G24" s="64">
        <v>5460.11</v>
      </c>
      <c r="H24" s="62"/>
      <c r="I24" s="93"/>
      <c r="J24" s="82"/>
      <c r="K24" s="100"/>
      <c r="L24" s="62" t="s">
        <v>61</v>
      </c>
      <c r="M24" s="74"/>
      <c r="N24" s="29"/>
      <c r="O24" s="45"/>
    </row>
    <row r="25" s="1" customFormat="1" ht="18" customHeight="1" spans="1:15">
      <c r="A25" s="77" t="s">
        <v>62</v>
      </c>
      <c r="B25" s="72">
        <f t="shared" si="4"/>
        <v>300000</v>
      </c>
      <c r="C25" s="73">
        <v>3</v>
      </c>
      <c r="D25" s="74" t="s">
        <v>46</v>
      </c>
      <c r="E25" s="75">
        <v>0</v>
      </c>
      <c r="F25" s="72">
        <f t="shared" si="5"/>
        <v>0</v>
      </c>
      <c r="G25" s="64">
        <v>300000</v>
      </c>
      <c r="H25" s="62"/>
      <c r="I25" s="93"/>
      <c r="J25" s="82"/>
      <c r="K25" s="103" t="s">
        <v>63</v>
      </c>
      <c r="L25" s="82" t="s">
        <v>64</v>
      </c>
      <c r="M25" s="74"/>
      <c r="N25" s="29"/>
      <c r="O25" s="45"/>
    </row>
    <row r="26" ht="18" customHeight="1" spans="1:15">
      <c r="A26" s="77" t="s">
        <v>65</v>
      </c>
      <c r="B26" s="72">
        <f t="shared" si="4"/>
        <v>242774.93</v>
      </c>
      <c r="C26" s="73">
        <v>1</v>
      </c>
      <c r="D26" s="74" t="s">
        <v>41</v>
      </c>
      <c r="E26" s="75">
        <v>0.03</v>
      </c>
      <c r="F26" s="72">
        <f t="shared" si="5"/>
        <v>7283.25</v>
      </c>
      <c r="G26" s="64">
        <v>250058.18</v>
      </c>
      <c r="H26" s="62"/>
      <c r="I26" s="93"/>
      <c r="J26" s="82"/>
      <c r="K26" s="104" t="s">
        <v>66</v>
      </c>
      <c r="L26" s="82" t="s">
        <v>67</v>
      </c>
      <c r="M26" s="82"/>
      <c r="N26" s="35"/>
      <c r="O26" s="25"/>
    </row>
    <row r="27" ht="18" customHeight="1" spans="1:15">
      <c r="A27" s="77"/>
      <c r="B27" s="72">
        <f t="shared" ref="B27:B44" si="6">ROUND(G27/(1+E27),2)</f>
        <v>0</v>
      </c>
      <c r="C27" s="73"/>
      <c r="D27" s="74"/>
      <c r="E27" s="75"/>
      <c r="F27" s="72">
        <f t="shared" ref="F27:F44" si="7">ROUND(G27/(1+E27)*E27,2)</f>
        <v>0</v>
      </c>
      <c r="G27" s="64"/>
      <c r="H27" s="62" t="s">
        <v>23</v>
      </c>
      <c r="I27" s="93">
        <v>489577.272727273</v>
      </c>
      <c r="J27" s="91" t="s">
        <v>68</v>
      </c>
      <c r="K27" s="105"/>
      <c r="L27" s="82"/>
      <c r="M27" s="82"/>
      <c r="N27" s="35"/>
      <c r="O27" s="25"/>
    </row>
    <row r="28" ht="18" customHeight="1" spans="1:15">
      <c r="A28" s="77"/>
      <c r="B28" s="72">
        <f t="shared" si="6"/>
        <v>0</v>
      </c>
      <c r="C28" s="73"/>
      <c r="D28" s="74"/>
      <c r="E28" s="75"/>
      <c r="F28" s="72">
        <f t="shared" si="7"/>
        <v>0</v>
      </c>
      <c r="G28" s="64"/>
      <c r="H28" s="62" t="s">
        <v>26</v>
      </c>
      <c r="I28" s="93">
        <v>2095390.72727273</v>
      </c>
      <c r="J28" s="91" t="s">
        <v>68</v>
      </c>
      <c r="K28" s="105"/>
      <c r="L28" s="82"/>
      <c r="M28" s="82"/>
      <c r="N28" s="35"/>
      <c r="O28" s="25"/>
    </row>
    <row r="29" ht="18" customHeight="1" spans="1:15">
      <c r="A29" s="77">
        <v>44621</v>
      </c>
      <c r="B29" s="72">
        <f t="shared" si="6"/>
        <v>1724770.64</v>
      </c>
      <c r="C29" s="73">
        <v>18</v>
      </c>
      <c r="D29" s="74" t="s">
        <v>41</v>
      </c>
      <c r="E29" s="78">
        <v>0.09</v>
      </c>
      <c r="F29" s="72">
        <f t="shared" si="7"/>
        <v>155229.36</v>
      </c>
      <c r="G29" s="64">
        <f>105000*17+95000</f>
        <v>1880000</v>
      </c>
      <c r="H29" s="62"/>
      <c r="I29" s="93"/>
      <c r="J29" s="91"/>
      <c r="K29" s="106" t="s">
        <v>69</v>
      </c>
      <c r="L29" s="82" t="s">
        <v>70</v>
      </c>
      <c r="M29" s="82" t="s">
        <v>71</v>
      </c>
      <c r="N29" s="35"/>
      <c r="O29" s="25"/>
    </row>
    <row r="30" ht="18" customHeight="1" spans="1:15">
      <c r="A30" s="77"/>
      <c r="B30" s="72">
        <f t="shared" si="6"/>
        <v>0</v>
      </c>
      <c r="C30" s="73"/>
      <c r="D30" s="74"/>
      <c r="E30" s="75"/>
      <c r="F30" s="72">
        <f t="shared" si="7"/>
        <v>0</v>
      </c>
      <c r="G30" s="64"/>
      <c r="H30" s="62"/>
      <c r="I30" s="93"/>
      <c r="J30" s="91"/>
      <c r="K30" s="105"/>
      <c r="L30" s="82"/>
      <c r="M30" s="82"/>
      <c r="N30" s="35"/>
      <c r="O30" s="25"/>
    </row>
    <row r="31" ht="18" customHeight="1" spans="1:15">
      <c r="A31" s="77"/>
      <c r="B31" s="72">
        <f t="shared" si="6"/>
        <v>0</v>
      </c>
      <c r="C31" s="73"/>
      <c r="D31" s="74"/>
      <c r="E31" s="75"/>
      <c r="F31" s="72">
        <f t="shared" si="7"/>
        <v>0</v>
      </c>
      <c r="G31" s="64"/>
      <c r="H31" s="62"/>
      <c r="I31" s="93"/>
      <c r="J31" s="91"/>
      <c r="K31" s="105"/>
      <c r="L31" s="82"/>
      <c r="M31" s="82"/>
      <c r="N31" s="35"/>
      <c r="O31" s="25"/>
    </row>
    <row r="32" ht="18" customHeight="1" spans="1:15">
      <c r="A32" s="77"/>
      <c r="B32" s="72">
        <f t="shared" si="6"/>
        <v>0</v>
      </c>
      <c r="C32" s="73"/>
      <c r="D32" s="74"/>
      <c r="E32" s="75"/>
      <c r="F32" s="72">
        <f t="shared" si="7"/>
        <v>0</v>
      </c>
      <c r="G32" s="64"/>
      <c r="H32" s="62"/>
      <c r="I32" s="93"/>
      <c r="J32" s="91"/>
      <c r="K32" s="105"/>
      <c r="L32" s="82"/>
      <c r="M32" s="82"/>
      <c r="N32" s="35"/>
      <c r="O32" s="25"/>
    </row>
    <row r="33" ht="18" customHeight="1" spans="1:15">
      <c r="A33" s="77"/>
      <c r="B33" s="72">
        <f t="shared" si="6"/>
        <v>0</v>
      </c>
      <c r="C33" s="73"/>
      <c r="D33" s="74"/>
      <c r="E33" s="75"/>
      <c r="F33" s="72">
        <f t="shared" si="7"/>
        <v>0</v>
      </c>
      <c r="G33" s="64"/>
      <c r="H33" s="62"/>
      <c r="I33" s="93"/>
      <c r="J33" s="91"/>
      <c r="K33" s="105"/>
      <c r="L33" s="82"/>
      <c r="M33" s="82"/>
      <c r="N33" s="35"/>
      <c r="O33" s="25"/>
    </row>
    <row r="34" ht="18" customHeight="1" spans="1:15">
      <c r="A34" s="77"/>
      <c r="B34" s="72">
        <f t="shared" si="6"/>
        <v>0</v>
      </c>
      <c r="C34" s="73"/>
      <c r="D34" s="74"/>
      <c r="E34" s="75"/>
      <c r="F34" s="72">
        <f t="shared" si="7"/>
        <v>0</v>
      </c>
      <c r="G34" s="64"/>
      <c r="H34" s="62"/>
      <c r="I34" s="93"/>
      <c r="J34" s="91"/>
      <c r="K34" s="105"/>
      <c r="L34" s="82"/>
      <c r="M34" s="82"/>
      <c r="N34" s="35"/>
      <c r="O34" s="25"/>
    </row>
    <row r="35" ht="18" customHeight="1" spans="1:15">
      <c r="A35" s="77"/>
      <c r="B35" s="72">
        <f t="shared" si="6"/>
        <v>0</v>
      </c>
      <c r="C35" s="73"/>
      <c r="D35" s="74"/>
      <c r="E35" s="75"/>
      <c r="F35" s="72">
        <f t="shared" si="7"/>
        <v>0</v>
      </c>
      <c r="G35" s="64"/>
      <c r="H35" s="62"/>
      <c r="I35" s="93"/>
      <c r="J35" s="91"/>
      <c r="K35" s="105"/>
      <c r="L35" s="82"/>
      <c r="M35" s="82"/>
      <c r="N35" s="35"/>
      <c r="O35" s="25"/>
    </row>
    <row r="36" ht="18" customHeight="1" spans="1:15">
      <c r="A36" s="77"/>
      <c r="B36" s="72">
        <f t="shared" si="6"/>
        <v>0</v>
      </c>
      <c r="C36" s="73"/>
      <c r="D36" s="74"/>
      <c r="E36" s="75"/>
      <c r="F36" s="72">
        <f t="shared" si="7"/>
        <v>0</v>
      </c>
      <c r="G36" s="64"/>
      <c r="H36" s="62"/>
      <c r="I36" s="93"/>
      <c r="J36" s="91"/>
      <c r="K36" s="105"/>
      <c r="L36" s="82"/>
      <c r="M36" s="82"/>
      <c r="N36" s="35"/>
      <c r="O36" s="25"/>
    </row>
    <row r="37" ht="18" customHeight="1" spans="1:15">
      <c r="A37" s="77"/>
      <c r="B37" s="72">
        <f t="shared" si="6"/>
        <v>0</v>
      </c>
      <c r="C37" s="73"/>
      <c r="D37" s="74"/>
      <c r="E37" s="75"/>
      <c r="F37" s="72">
        <f t="shared" si="7"/>
        <v>0</v>
      </c>
      <c r="G37" s="64"/>
      <c r="H37" s="62"/>
      <c r="I37" s="93"/>
      <c r="J37" s="91"/>
      <c r="K37" s="105"/>
      <c r="L37" s="82"/>
      <c r="M37" s="82"/>
      <c r="N37" s="35"/>
      <c r="O37" s="25"/>
    </row>
    <row r="38" ht="18" customHeight="1" spans="1:15">
      <c r="A38" s="77"/>
      <c r="B38" s="72">
        <f t="shared" si="6"/>
        <v>0</v>
      </c>
      <c r="C38" s="73"/>
      <c r="D38" s="74"/>
      <c r="E38" s="75"/>
      <c r="F38" s="72">
        <f t="shared" si="7"/>
        <v>0</v>
      </c>
      <c r="G38" s="64"/>
      <c r="H38" s="62"/>
      <c r="I38" s="93"/>
      <c r="J38" s="91"/>
      <c r="K38" s="105"/>
      <c r="L38" s="82"/>
      <c r="M38" s="82"/>
      <c r="N38" s="35"/>
      <c r="O38" s="25"/>
    </row>
    <row r="39" ht="18" customHeight="1" spans="1:15">
      <c r="A39" s="77"/>
      <c r="B39" s="72">
        <f t="shared" si="6"/>
        <v>0</v>
      </c>
      <c r="C39" s="73"/>
      <c r="D39" s="74"/>
      <c r="E39" s="75"/>
      <c r="F39" s="72">
        <f t="shared" si="7"/>
        <v>0</v>
      </c>
      <c r="G39" s="64"/>
      <c r="H39" s="62"/>
      <c r="I39" s="93"/>
      <c r="J39" s="91"/>
      <c r="K39" s="105"/>
      <c r="L39" s="82"/>
      <c r="M39" s="82"/>
      <c r="N39" s="35"/>
      <c r="O39" s="25"/>
    </row>
    <row r="40" ht="18" customHeight="1" spans="1:15">
      <c r="A40" s="77"/>
      <c r="B40" s="72">
        <f t="shared" si="6"/>
        <v>0</v>
      </c>
      <c r="C40" s="73"/>
      <c r="D40" s="74"/>
      <c r="E40" s="75"/>
      <c r="F40" s="72">
        <f t="shared" si="7"/>
        <v>0</v>
      </c>
      <c r="G40" s="64"/>
      <c r="H40" s="62"/>
      <c r="I40" s="93"/>
      <c r="J40" s="91"/>
      <c r="K40" s="105"/>
      <c r="L40" s="82"/>
      <c r="M40" s="82"/>
      <c r="N40" s="35"/>
      <c r="O40" s="25"/>
    </row>
    <row r="41" ht="18" customHeight="1" spans="1:15">
      <c r="A41" s="77"/>
      <c r="B41" s="72">
        <f t="shared" si="6"/>
        <v>0</v>
      </c>
      <c r="C41" s="73"/>
      <c r="D41" s="74"/>
      <c r="E41" s="75"/>
      <c r="F41" s="72">
        <f t="shared" si="7"/>
        <v>0</v>
      </c>
      <c r="G41" s="64"/>
      <c r="H41" s="62"/>
      <c r="I41" s="93"/>
      <c r="J41" s="91"/>
      <c r="K41" s="105"/>
      <c r="L41" s="82"/>
      <c r="M41" s="82"/>
      <c r="N41" s="35"/>
      <c r="O41" s="25"/>
    </row>
    <row r="42" ht="18" customHeight="1" spans="1:15">
      <c r="A42" s="77"/>
      <c r="B42" s="72">
        <f t="shared" si="6"/>
        <v>0</v>
      </c>
      <c r="C42" s="73"/>
      <c r="D42" s="74"/>
      <c r="E42" s="75"/>
      <c r="F42" s="72">
        <f t="shared" si="7"/>
        <v>0</v>
      </c>
      <c r="G42" s="64"/>
      <c r="H42" s="62"/>
      <c r="I42" s="107">
        <v>48576.7</v>
      </c>
      <c r="J42" s="108" t="s">
        <v>72</v>
      </c>
      <c r="K42" s="109" t="s">
        <v>73</v>
      </c>
      <c r="L42" s="82"/>
      <c r="M42" s="82"/>
      <c r="N42" s="35"/>
      <c r="O42" s="25"/>
    </row>
    <row r="43" ht="18" customHeight="1" spans="1:15">
      <c r="A43" s="77"/>
      <c r="B43" s="72">
        <f t="shared" si="6"/>
        <v>0</v>
      </c>
      <c r="C43" s="73"/>
      <c r="D43" s="74"/>
      <c r="E43" s="75"/>
      <c r="F43" s="72">
        <f t="shared" si="7"/>
        <v>0</v>
      </c>
      <c r="G43" s="64"/>
      <c r="H43" s="62" t="s">
        <v>23</v>
      </c>
      <c r="I43" s="93">
        <v>10422.7272727273</v>
      </c>
      <c r="J43" s="82" t="s">
        <v>72</v>
      </c>
      <c r="K43" s="105"/>
      <c r="L43" s="82"/>
      <c r="M43" s="82"/>
      <c r="N43" s="35"/>
      <c r="O43" s="25"/>
    </row>
    <row r="44" ht="18" customHeight="1" spans="1:15">
      <c r="A44" s="77"/>
      <c r="B44" s="72">
        <f t="shared" si="6"/>
        <v>0</v>
      </c>
      <c r="C44" s="73"/>
      <c r="D44" s="74" t="s">
        <v>41</v>
      </c>
      <c r="E44" s="75">
        <v>0.09</v>
      </c>
      <c r="F44" s="72">
        <f t="shared" si="7"/>
        <v>0</v>
      </c>
      <c r="G44" s="64"/>
      <c r="H44" s="62" t="s">
        <v>26</v>
      </c>
      <c r="I44" s="93">
        <v>44609.2727272727</v>
      </c>
      <c r="J44" s="82" t="s">
        <v>72</v>
      </c>
      <c r="K44" s="105"/>
      <c r="L44" s="82"/>
      <c r="M44" s="82"/>
      <c r="N44" s="35"/>
      <c r="O44" s="25"/>
    </row>
    <row r="45" ht="18" customHeight="1" spans="1:14">
      <c r="A45" s="67" t="s">
        <v>27</v>
      </c>
      <c r="B45" s="66">
        <f>SUM(B15:B44)</f>
        <v>4309216.68</v>
      </c>
      <c r="C45" s="67"/>
      <c r="D45" s="79"/>
      <c r="E45" s="79"/>
      <c r="F45" s="68">
        <f>SUM(F15:F44)</f>
        <v>338504.42</v>
      </c>
      <c r="G45" s="67">
        <f>SUM(G15:G44)</f>
        <v>4647721.1</v>
      </c>
      <c r="H45" s="69"/>
      <c r="I45" s="67">
        <f>SUM(I15:I44)</f>
        <v>2688576.7</v>
      </c>
      <c r="J45" s="69"/>
      <c r="K45" s="110"/>
      <c r="L45" s="91"/>
      <c r="M45" s="91"/>
      <c r="N45" s="50"/>
    </row>
    <row r="46" ht="18" customHeight="1" spans="1:13">
      <c r="A46" s="80"/>
      <c r="B46" s="80">
        <f>B12-B45</f>
        <v>173207.5493578</v>
      </c>
      <c r="C46" s="80"/>
      <c r="D46" s="81"/>
      <c r="E46" s="81"/>
      <c r="F46" s="80">
        <f>F12-F45</f>
        <v>-734.723944953992</v>
      </c>
      <c r="G46" s="80"/>
      <c r="H46" s="79" t="s">
        <v>74</v>
      </c>
      <c r="I46" s="67">
        <f>I12-I45</f>
        <v>2073970.44</v>
      </c>
      <c r="J46" s="70"/>
      <c r="K46" s="70"/>
      <c r="L46" s="91"/>
      <c r="M46" s="70"/>
    </row>
    <row r="47" ht="18" customHeight="1" spans="1:13">
      <c r="A47" s="59" t="s">
        <v>75</v>
      </c>
      <c r="B47" s="57"/>
      <c r="C47" s="59"/>
      <c r="D47" s="57"/>
      <c r="E47" s="57"/>
      <c r="F47" s="70"/>
      <c r="G47" s="70"/>
      <c r="H47" s="57"/>
      <c r="I47" s="95"/>
      <c r="J47" s="111"/>
      <c r="K47" s="70"/>
      <c r="L47" s="91"/>
      <c r="M47" s="70"/>
    </row>
    <row r="48" ht="18" customHeight="1" spans="1:13">
      <c r="A48" s="61" t="s">
        <v>76</v>
      </c>
      <c r="B48" s="60" t="s">
        <v>77</v>
      </c>
      <c r="C48" s="69"/>
      <c r="D48" s="61" t="s">
        <v>76</v>
      </c>
      <c r="E48" s="60" t="s">
        <v>19</v>
      </c>
      <c r="F48" s="60" t="s">
        <v>77</v>
      </c>
      <c r="G48" s="54" t="s">
        <v>78</v>
      </c>
      <c r="H48" s="57"/>
      <c r="I48" s="112" t="s">
        <v>79</v>
      </c>
      <c r="J48" s="111"/>
      <c r="K48" s="70"/>
      <c r="L48" s="91"/>
      <c r="M48" s="70"/>
    </row>
    <row r="49" ht="18" customHeight="1" spans="1:13">
      <c r="A49" s="69" t="s">
        <v>80</v>
      </c>
      <c r="B49" s="72">
        <f>(B12-B45)*0.25</f>
        <v>43301.88733945</v>
      </c>
      <c r="C49" s="69"/>
      <c r="D49" s="51" t="s">
        <v>81</v>
      </c>
      <c r="E49" s="82" t="s">
        <v>82</v>
      </c>
      <c r="F49" s="68">
        <f>F12-F45</f>
        <v>-734.723944953992</v>
      </c>
      <c r="G49" s="68">
        <f>D7+D8</f>
        <v>48000</v>
      </c>
      <c r="H49" s="57"/>
      <c r="I49" s="113">
        <f>D9</f>
        <v>41648.484587156</v>
      </c>
      <c r="J49" s="111"/>
      <c r="K49" s="70"/>
      <c r="L49" s="91"/>
      <c r="M49" s="70"/>
    </row>
    <row r="50" ht="18" customHeight="1" spans="1:13">
      <c r="A50" s="69" t="s">
        <v>83</v>
      </c>
      <c r="B50" s="53">
        <f>G12*0.0003</f>
        <v>1472.952723</v>
      </c>
      <c r="C50" s="69"/>
      <c r="D50" s="83" t="s">
        <v>84</v>
      </c>
      <c r="E50" s="84">
        <v>0.07</v>
      </c>
      <c r="F50" s="53">
        <f>F49*E50</f>
        <v>-51.4306761467794</v>
      </c>
      <c r="G50" s="53">
        <f>G49*0.07</f>
        <v>3360</v>
      </c>
      <c r="H50" s="57"/>
      <c r="I50" s="112">
        <f>I49*0.07</f>
        <v>2915.39392110092</v>
      </c>
      <c r="J50" s="111"/>
      <c r="K50" s="70"/>
      <c r="L50" s="91"/>
      <c r="M50" s="70"/>
    </row>
    <row r="51" ht="18" customHeight="1" spans="1:13">
      <c r="A51" s="69" t="s">
        <v>85</v>
      </c>
      <c r="B51" s="53">
        <f>B12*0.0006</f>
        <v>2689.45453761468</v>
      </c>
      <c r="C51" s="69"/>
      <c r="D51" s="83" t="s">
        <v>86</v>
      </c>
      <c r="E51" s="84">
        <v>0.03</v>
      </c>
      <c r="F51" s="53">
        <f>F49*E51</f>
        <v>-22.0417183486198</v>
      </c>
      <c r="G51" s="53">
        <f>G49*0.03</f>
        <v>1440</v>
      </c>
      <c r="H51" s="57"/>
      <c r="I51" s="112">
        <f>I49*0.03</f>
        <v>1249.45453761468</v>
      </c>
      <c r="J51" s="111"/>
      <c r="K51" s="70"/>
      <c r="L51" s="91"/>
      <c r="M51" s="70"/>
    </row>
    <row r="52" ht="18" customHeight="1" spans="1:13">
      <c r="A52" s="69"/>
      <c r="B52" s="69"/>
      <c r="C52" s="69"/>
      <c r="D52" s="83" t="s">
        <v>87</v>
      </c>
      <c r="E52" s="84">
        <v>0.02</v>
      </c>
      <c r="F52" s="53">
        <f>F49*E52</f>
        <v>-14.6944788990798</v>
      </c>
      <c r="G52" s="53">
        <f>G49*0.02</f>
        <v>960</v>
      </c>
      <c r="H52" s="57"/>
      <c r="I52" s="112">
        <f>I49*0.02</f>
        <v>832.969691743119</v>
      </c>
      <c r="J52" s="111"/>
      <c r="K52" s="70"/>
      <c r="L52" s="91"/>
      <c r="M52" s="70"/>
    </row>
    <row r="53" ht="15.95" customHeight="1" spans="1:13">
      <c r="A53" s="65" t="s">
        <v>88</v>
      </c>
      <c r="B53" s="66">
        <f>SUM(B49:B52)</f>
        <v>47464.2946000646</v>
      </c>
      <c r="C53" s="69"/>
      <c r="D53" s="65" t="s">
        <v>88</v>
      </c>
      <c r="E53" s="85"/>
      <c r="F53" s="68">
        <f>SUM(F49:F52)</f>
        <v>-822.890818348471</v>
      </c>
      <c r="G53" s="68">
        <f>SUM(G49:G52)</f>
        <v>53760</v>
      </c>
      <c r="H53" s="57"/>
      <c r="I53" s="113">
        <f>SUM(I49:I52)</f>
        <v>46646.3027376147</v>
      </c>
      <c r="J53" s="111"/>
      <c r="K53" s="70"/>
      <c r="L53" s="91"/>
      <c r="M53" s="70"/>
    </row>
    <row r="54" ht="18" customHeight="1" spans="1:9">
      <c r="A54" s="59"/>
      <c r="B54" s="57"/>
      <c r="C54" s="59"/>
      <c r="D54" s="69" t="s">
        <v>83</v>
      </c>
      <c r="E54" s="86">
        <v>0.0003</v>
      </c>
      <c r="F54" s="53">
        <f>G12*0.0003</f>
        <v>1472.952723</v>
      </c>
      <c r="G54" s="53">
        <f>(G7+G8)*0.0003</f>
        <v>792</v>
      </c>
      <c r="H54" s="57"/>
      <c r="I54" s="112">
        <f>G9*0.0003</f>
        <v>680.952723</v>
      </c>
    </row>
    <row r="55" ht="18" customHeight="1" spans="1:9">
      <c r="A55" s="59"/>
      <c r="B55" s="57"/>
      <c r="C55" s="59"/>
      <c r="D55" s="69" t="s">
        <v>85</v>
      </c>
      <c r="E55" s="86">
        <v>0.0006</v>
      </c>
      <c r="F55" s="53">
        <f>B12*0.0006</f>
        <v>2689.45453761468</v>
      </c>
      <c r="G55" s="53">
        <f>(B7+B8)*0.0006</f>
        <v>1440</v>
      </c>
      <c r="H55" s="57"/>
      <c r="I55" s="112">
        <f>B9*0.0006</f>
        <v>1249.45453761468</v>
      </c>
    </row>
    <row r="56" ht="18" customHeight="1" spans="1:9">
      <c r="A56" s="59"/>
      <c r="B56" s="57"/>
      <c r="C56" s="59"/>
      <c r="D56" s="53" t="s">
        <v>88</v>
      </c>
      <c r="E56" s="53"/>
      <c r="F56" s="67">
        <f>SUM(F54:F55)</f>
        <v>4162.40726061468</v>
      </c>
      <c r="G56" s="67">
        <f>SUM(G54:G55)</f>
        <v>2232</v>
      </c>
      <c r="H56" s="80"/>
      <c r="I56" s="114">
        <f>SUM(I54:I55)</f>
        <v>1930.40726061468</v>
      </c>
    </row>
    <row r="57" ht="21" customHeight="1" spans="3:9">
      <c r="C57" s="2"/>
      <c r="F57" s="6"/>
      <c r="G57" s="57">
        <f>G53+G56</f>
        <v>55992</v>
      </c>
      <c r="I57" s="4">
        <f>I53+I56</f>
        <v>48576.7099982294</v>
      </c>
    </row>
    <row r="58" spans="3:7">
      <c r="C58" s="2"/>
      <c r="F58" s="6"/>
      <c r="G58" s="6"/>
    </row>
    <row r="59" spans="3:7">
      <c r="C59" s="2"/>
      <c r="F59" s="6"/>
      <c r="G59" s="6"/>
    </row>
    <row r="60" spans="3:7">
      <c r="C60" s="2"/>
      <c r="F60" s="6"/>
      <c r="G60" s="6"/>
    </row>
    <row r="61" spans="3:7">
      <c r="C61" s="2"/>
      <c r="F61" s="6"/>
      <c r="G61" s="6"/>
    </row>
    <row r="62" spans="3:7">
      <c r="C62" s="2"/>
      <c r="F62" s="6"/>
      <c r="G62" s="6"/>
    </row>
    <row r="63" spans="3:7">
      <c r="C63" s="2"/>
      <c r="F63" s="6"/>
      <c r="G63" s="6"/>
    </row>
    <row r="64" spans="3:7">
      <c r="C64" s="2"/>
      <c r="F64" s="6"/>
      <c r="G64" s="6"/>
    </row>
    <row r="65" spans="3:7">
      <c r="C65" s="2"/>
      <c r="F65" s="6"/>
      <c r="G65" s="6"/>
    </row>
    <row r="66" spans="3:7">
      <c r="C66" s="2"/>
      <c r="F66" s="6"/>
      <c r="G66" s="6"/>
    </row>
    <row r="67" spans="3:7">
      <c r="C67" s="2"/>
      <c r="F67" s="6"/>
      <c r="G67" s="6"/>
    </row>
    <row r="68" spans="3:7">
      <c r="C68" s="2"/>
      <c r="F68" s="6"/>
      <c r="G68" s="6"/>
    </row>
    <row r="69" spans="3:7">
      <c r="C69" s="2"/>
      <c r="F69" s="6"/>
      <c r="G69" s="6"/>
    </row>
    <row r="70" spans="3:3">
      <c r="C70" s="2"/>
    </row>
    <row r="71" spans="3:3">
      <c r="C71" s="2"/>
    </row>
    <row r="72" spans="3:3">
      <c r="C72" s="2"/>
    </row>
    <row r="73" spans="3:3">
      <c r="C73" s="2"/>
    </row>
    <row r="74" spans="3:3">
      <c r="C74" s="2"/>
    </row>
    <row r="75" spans="3:3">
      <c r="C75" s="2"/>
    </row>
    <row r="76" spans="3:3">
      <c r="C76" s="2"/>
    </row>
    <row r="77" spans="3:3">
      <c r="C77" s="2"/>
    </row>
  </sheetData>
  <autoFilter ref="A14:O57">
    <extLst/>
  </autoFilter>
  <mergeCells count="8">
    <mergeCell ref="A1:J1"/>
    <mergeCell ref="H2:J2"/>
    <mergeCell ref="C5:D5"/>
    <mergeCell ref="E5:F5"/>
    <mergeCell ref="H5:J5"/>
    <mergeCell ref="A5:A6"/>
    <mergeCell ref="B5:B6"/>
    <mergeCell ref="G5:G6"/>
  </mergeCells>
  <pageMargins left="0.708661417322835" right="0.708661417322835" top="0.354330708661417" bottom="0.354330708661417" header="0.31496062992126" footer="0.31496062992126"/>
  <pageSetup paperSize="9" orientation="landscape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62"/>
  <sheetViews>
    <sheetView topLeftCell="A10" workbookViewId="0">
      <selection activeCell="G10" sqref="G10"/>
    </sheetView>
  </sheetViews>
  <sheetFormatPr defaultColWidth="9" defaultRowHeight="12"/>
  <cols>
    <col min="1" max="1" width="10.75" style="2" customWidth="1"/>
    <col min="2" max="2" width="12.25" style="3" customWidth="1"/>
    <col min="3" max="3" width="6" style="3" customWidth="1"/>
    <col min="4" max="4" width="13.375" style="3" customWidth="1"/>
    <col min="5" max="5" width="6" style="3" customWidth="1"/>
    <col min="6" max="6" width="11.625" style="3" customWidth="1"/>
    <col min="7" max="7" width="14.125" style="3" customWidth="1"/>
    <col min="8" max="8" width="9.625" style="3" customWidth="1"/>
    <col min="9" max="9" width="15.375" style="4" customWidth="1"/>
    <col min="10" max="10" width="10.375" style="5" customWidth="1"/>
    <col min="11" max="11" width="31.5" style="6" customWidth="1"/>
    <col min="12" max="12" width="17.25" style="6" customWidth="1"/>
    <col min="13" max="13" width="6" style="6" customWidth="1"/>
    <col min="14" max="14" width="5.625" style="6" customWidth="1"/>
    <col min="15" max="16384" width="9" style="6"/>
  </cols>
  <sheetData>
    <row r="1" ht="21.95" customHeight="1" spans="1:12">
      <c r="A1" s="7" t="s">
        <v>89</v>
      </c>
      <c r="B1" s="8"/>
      <c r="C1" s="8"/>
      <c r="D1" s="8"/>
      <c r="E1" s="8"/>
      <c r="F1" s="8"/>
      <c r="G1" s="8"/>
      <c r="H1" s="8"/>
      <c r="I1" s="8"/>
      <c r="J1" s="8"/>
      <c r="K1" s="15"/>
      <c r="L1" s="15"/>
    </row>
    <row r="2" ht="18" customHeight="1" spans="1:12">
      <c r="A2" s="9" t="s">
        <v>1</v>
      </c>
      <c r="B2" s="10" t="s">
        <v>2</v>
      </c>
      <c r="C2" s="11" t="s">
        <v>3</v>
      </c>
      <c r="D2" s="11">
        <v>5497264</v>
      </c>
      <c r="E2" s="12" t="s">
        <v>4</v>
      </c>
      <c r="F2" s="11" t="s">
        <v>5</v>
      </c>
      <c r="G2" s="12" t="s">
        <v>6</v>
      </c>
      <c r="H2" s="13" t="s">
        <v>90</v>
      </c>
      <c r="I2" s="38"/>
      <c r="J2" s="39"/>
      <c r="K2" s="15"/>
      <c r="L2" s="15"/>
    </row>
    <row r="3" ht="18" customHeight="1" spans="1:12">
      <c r="A3" s="9" t="s">
        <v>9</v>
      </c>
      <c r="B3" s="14"/>
      <c r="C3" s="11" t="s">
        <v>10</v>
      </c>
      <c r="D3" s="11">
        <v>4909842.41</v>
      </c>
      <c r="H3" s="15"/>
      <c r="I3" s="40"/>
      <c r="J3" s="15"/>
      <c r="K3" s="15"/>
      <c r="L3" s="15"/>
    </row>
    <row r="4" ht="18" customHeight="1" spans="1:12">
      <c r="A4" s="2" t="s">
        <v>12</v>
      </c>
      <c r="H4" s="15"/>
      <c r="I4" s="40"/>
      <c r="J4" s="15"/>
      <c r="K4" s="15"/>
      <c r="L4" s="15"/>
    </row>
    <row r="5" ht="18" customHeight="1" spans="1:10">
      <c r="A5" s="16" t="s">
        <v>13</v>
      </c>
      <c r="B5" s="16" t="s">
        <v>14</v>
      </c>
      <c r="C5" s="16" t="s">
        <v>15</v>
      </c>
      <c r="D5" s="16"/>
      <c r="E5" s="16" t="s">
        <v>16</v>
      </c>
      <c r="F5" s="16"/>
      <c r="G5" s="16" t="s">
        <v>17</v>
      </c>
      <c r="H5" s="17" t="s">
        <v>18</v>
      </c>
      <c r="I5" s="17"/>
      <c r="J5" s="17"/>
    </row>
    <row r="6" ht="18" customHeight="1" spans="1:10">
      <c r="A6" s="16"/>
      <c r="B6" s="16"/>
      <c r="C6" s="16" t="s">
        <v>19</v>
      </c>
      <c r="D6" s="16" t="s">
        <v>20</v>
      </c>
      <c r="E6" s="16" t="s">
        <v>19</v>
      </c>
      <c r="F6" s="16" t="s">
        <v>20</v>
      </c>
      <c r="G6" s="16"/>
      <c r="H6" s="17" t="s">
        <v>21</v>
      </c>
      <c r="I6" s="41"/>
      <c r="J6" s="17" t="s">
        <v>22</v>
      </c>
    </row>
    <row r="7" ht="18" customHeight="1" spans="1:10">
      <c r="A7" s="18"/>
      <c r="B7" s="11">
        <f t="shared" ref="B7:B8" si="0">G7/(1+C7+E7)</f>
        <v>454545.454545455</v>
      </c>
      <c r="C7" s="19">
        <v>0.02</v>
      </c>
      <c r="D7" s="11">
        <f t="shared" ref="D7:D8" si="1">G7/(1+E7+C7)*C7</f>
        <v>9090.90909090909</v>
      </c>
      <c r="E7" s="19">
        <v>0.08</v>
      </c>
      <c r="F7" s="11">
        <f t="shared" ref="F7:F8" si="2">G7/(1+C7+E7)*E7</f>
        <v>36363.6363636364</v>
      </c>
      <c r="G7" s="20">
        <v>500000</v>
      </c>
      <c r="H7" s="18" t="s">
        <v>23</v>
      </c>
      <c r="I7" s="42">
        <v>500000</v>
      </c>
      <c r="J7" s="35" t="s">
        <v>24</v>
      </c>
    </row>
    <row r="8" ht="18" customHeight="1" spans="1:10">
      <c r="A8" s="18" t="s">
        <v>25</v>
      </c>
      <c r="B8" s="11">
        <f t="shared" si="0"/>
        <v>1945454.54545455</v>
      </c>
      <c r="C8" s="19">
        <v>0.02</v>
      </c>
      <c r="D8" s="11">
        <f t="shared" si="1"/>
        <v>38909.0909090909</v>
      </c>
      <c r="E8" s="19">
        <v>0.08</v>
      </c>
      <c r="F8" s="11">
        <f t="shared" si="2"/>
        <v>155636.363636364</v>
      </c>
      <c r="G8" s="20">
        <v>2140000</v>
      </c>
      <c r="H8" s="18" t="s">
        <v>26</v>
      </c>
      <c r="I8" s="42">
        <v>2140000</v>
      </c>
      <c r="J8" s="35"/>
    </row>
    <row r="9" ht="18" customHeight="1" spans="1:10">
      <c r="A9" s="18">
        <v>44615</v>
      </c>
      <c r="B9" s="11">
        <f t="shared" ref="B9:B11" si="3">G9/(1+C9+E9)</f>
        <v>0</v>
      </c>
      <c r="C9" s="19">
        <v>0.02</v>
      </c>
      <c r="D9" s="11">
        <f t="shared" ref="D9:D11" si="4">G9/(1+E9+C9)*C9</f>
        <v>0</v>
      </c>
      <c r="E9" s="19">
        <v>0.07</v>
      </c>
      <c r="F9" s="11">
        <f t="shared" ref="F9:F11" si="5">G9/(1+C9+E9)*E9</f>
        <v>0</v>
      </c>
      <c r="G9" s="20"/>
      <c r="H9" s="18"/>
      <c r="I9" s="42"/>
      <c r="J9" s="35"/>
    </row>
    <row r="10" ht="18" customHeight="1" spans="1:10">
      <c r="A10" s="18"/>
      <c r="B10" s="11">
        <f t="shared" si="3"/>
        <v>0</v>
      </c>
      <c r="C10" s="19"/>
      <c r="D10" s="11">
        <f t="shared" si="4"/>
        <v>0</v>
      </c>
      <c r="E10" s="19">
        <v>0.08</v>
      </c>
      <c r="F10" s="11">
        <f t="shared" si="5"/>
        <v>0</v>
      </c>
      <c r="G10" s="20"/>
      <c r="H10" s="18"/>
      <c r="I10" s="42"/>
      <c r="J10" s="35"/>
    </row>
    <row r="11" ht="18" customHeight="1" spans="1:10">
      <c r="A11" s="18"/>
      <c r="B11" s="11">
        <f t="shared" si="3"/>
        <v>0</v>
      </c>
      <c r="C11" s="19"/>
      <c r="D11" s="11">
        <f t="shared" si="4"/>
        <v>0</v>
      </c>
      <c r="E11" s="19">
        <v>0.08</v>
      </c>
      <c r="F11" s="11">
        <f t="shared" si="5"/>
        <v>0</v>
      </c>
      <c r="G11" s="20"/>
      <c r="H11" s="18"/>
      <c r="I11" s="42"/>
      <c r="J11" s="35"/>
    </row>
    <row r="12" ht="18" customHeight="1" spans="1:12">
      <c r="A12" s="21" t="s">
        <v>27</v>
      </c>
      <c r="B12" s="22">
        <f>SUM(B7:B11)</f>
        <v>2400000</v>
      </c>
      <c r="C12" s="23"/>
      <c r="D12" s="23">
        <f>SUM(D7:D11)</f>
        <v>48000</v>
      </c>
      <c r="E12" s="23"/>
      <c r="F12" s="24">
        <f>SUM(F7:F11)</f>
        <v>192000</v>
      </c>
      <c r="G12" s="23">
        <f>SUM(G7:G11)</f>
        <v>2640000</v>
      </c>
      <c r="H12" s="25"/>
      <c r="I12" s="23">
        <f>SUM(I7:I11)</f>
        <v>2640000</v>
      </c>
      <c r="J12" s="25"/>
      <c r="K12" s="3"/>
      <c r="L12" s="5"/>
    </row>
    <row r="13" ht="18" customHeight="1" spans="1:15">
      <c r="A13" s="2" t="s">
        <v>28</v>
      </c>
      <c r="B13" s="6"/>
      <c r="J13" s="3"/>
      <c r="K13" s="43" t="s">
        <v>35</v>
      </c>
      <c r="L13" s="17" t="s">
        <v>36</v>
      </c>
      <c r="M13" s="17" t="s">
        <v>37</v>
      </c>
      <c r="N13" s="17" t="s">
        <v>38</v>
      </c>
      <c r="O13" s="17" t="s">
        <v>39</v>
      </c>
    </row>
    <row r="14" s="1" customFormat="1" ht="18" customHeight="1" spans="1:15">
      <c r="A14" s="26" t="s">
        <v>29</v>
      </c>
      <c r="B14" s="16" t="s">
        <v>30</v>
      </c>
      <c r="C14" s="16" t="s">
        <v>31</v>
      </c>
      <c r="D14" s="16" t="s">
        <v>32</v>
      </c>
      <c r="E14" s="16" t="s">
        <v>19</v>
      </c>
      <c r="F14" s="16" t="s">
        <v>33</v>
      </c>
      <c r="G14" s="16" t="s">
        <v>17</v>
      </c>
      <c r="H14" s="16" t="s">
        <v>34</v>
      </c>
      <c r="I14" s="41"/>
      <c r="J14" s="16" t="s">
        <v>22</v>
      </c>
      <c r="K14" s="44"/>
      <c r="L14" s="45"/>
      <c r="M14" s="29"/>
      <c r="N14" s="29"/>
      <c r="O14" s="45"/>
    </row>
    <row r="15" s="1" customFormat="1" ht="18" customHeight="1" spans="1:15">
      <c r="A15" s="10" t="s">
        <v>40</v>
      </c>
      <c r="B15" s="27">
        <f>ROUND(G15/(1+E15),2)</f>
        <v>66220.75</v>
      </c>
      <c r="C15" s="28">
        <v>1</v>
      </c>
      <c r="D15" s="29" t="s">
        <v>41</v>
      </c>
      <c r="E15" s="30">
        <v>0.06</v>
      </c>
      <c r="F15" s="27">
        <f>ROUND(G15/(1+E15)*E15,2)</f>
        <v>3973.25</v>
      </c>
      <c r="G15" s="20">
        <v>70194</v>
      </c>
      <c r="H15" s="18"/>
      <c r="I15" s="42"/>
      <c r="J15" s="35" t="s">
        <v>43</v>
      </c>
      <c r="K15" s="44" t="s">
        <v>42</v>
      </c>
      <c r="L15" s="45"/>
      <c r="M15" s="29"/>
      <c r="N15" s="29"/>
      <c r="O15" s="45"/>
    </row>
    <row r="16" s="1" customFormat="1" ht="18" customHeight="1" spans="1:15">
      <c r="A16" s="10" t="s">
        <v>40</v>
      </c>
      <c r="B16" s="27">
        <f t="shared" ref="B16:B29" si="6">ROUND(G16/(1+E16),2)</f>
        <v>346310.34</v>
      </c>
      <c r="C16" s="28">
        <v>1</v>
      </c>
      <c r="D16" s="29" t="s">
        <v>41</v>
      </c>
      <c r="E16" s="30">
        <v>0.16</v>
      </c>
      <c r="F16" s="27">
        <f t="shared" ref="F16:F29" si="7">ROUND(G16/(1+E16)*E16,2)</f>
        <v>55409.66</v>
      </c>
      <c r="G16" s="20">
        <v>401720</v>
      </c>
      <c r="H16" s="31"/>
      <c r="I16" s="46"/>
      <c r="J16" s="35" t="s">
        <v>45</v>
      </c>
      <c r="K16" s="44" t="s">
        <v>44</v>
      </c>
      <c r="L16" s="45"/>
      <c r="M16" s="29"/>
      <c r="N16" s="29"/>
      <c r="O16" s="45"/>
    </row>
    <row r="17" s="1" customFormat="1" ht="18" customHeight="1" spans="1:15">
      <c r="A17" s="10" t="s">
        <v>40</v>
      </c>
      <c r="B17" s="27">
        <f t="shared" si="6"/>
        <v>43600</v>
      </c>
      <c r="C17" s="28">
        <v>1</v>
      </c>
      <c r="D17" s="29" t="s">
        <v>46</v>
      </c>
      <c r="E17" s="30">
        <v>0</v>
      </c>
      <c r="F17" s="27">
        <f t="shared" si="7"/>
        <v>0</v>
      </c>
      <c r="G17" s="20">
        <f>9600+9250+7750+8500+8500</f>
        <v>43600</v>
      </c>
      <c r="H17" s="18"/>
      <c r="I17" s="42"/>
      <c r="J17" s="35"/>
      <c r="K17" s="44" t="s">
        <v>47</v>
      </c>
      <c r="L17" s="45"/>
      <c r="M17" s="29"/>
      <c r="N17" s="29"/>
      <c r="O17" s="45"/>
    </row>
    <row r="18" s="1" customFormat="1" ht="18" customHeight="1" spans="1:15">
      <c r="A18" s="10" t="s">
        <v>48</v>
      </c>
      <c r="B18" s="27">
        <f t="shared" si="6"/>
        <v>224137.93</v>
      </c>
      <c r="C18" s="28">
        <v>3</v>
      </c>
      <c r="D18" s="29" t="s">
        <v>41</v>
      </c>
      <c r="E18" s="30">
        <v>0.16</v>
      </c>
      <c r="F18" s="27">
        <f t="shared" si="7"/>
        <v>35862.07</v>
      </c>
      <c r="G18" s="20">
        <v>260000</v>
      </c>
      <c r="H18" s="18"/>
      <c r="I18" s="42"/>
      <c r="J18" s="35" t="s">
        <v>50</v>
      </c>
      <c r="K18" s="44" t="s">
        <v>49</v>
      </c>
      <c r="L18" s="45"/>
      <c r="M18" s="29"/>
      <c r="N18" s="29"/>
      <c r="O18" s="45"/>
    </row>
    <row r="19" s="1" customFormat="1" ht="18" customHeight="1" spans="1:15">
      <c r="A19" s="10" t="s">
        <v>48</v>
      </c>
      <c r="B19" s="27">
        <f t="shared" si="6"/>
        <v>154988.02</v>
      </c>
      <c r="C19" s="28">
        <v>3</v>
      </c>
      <c r="D19" s="29" t="s">
        <v>41</v>
      </c>
      <c r="E19" s="30">
        <v>0.16</v>
      </c>
      <c r="F19" s="27">
        <f t="shared" si="7"/>
        <v>24798.08</v>
      </c>
      <c r="G19" s="20">
        <f>65900+65900+47986.1</f>
        <v>179786.1</v>
      </c>
      <c r="H19" s="18"/>
      <c r="I19" s="42"/>
      <c r="J19" s="35" t="s">
        <v>52</v>
      </c>
      <c r="K19" s="44" t="s">
        <v>51</v>
      </c>
      <c r="L19" s="45"/>
      <c r="M19" s="29"/>
      <c r="N19" s="29"/>
      <c r="O19" s="45"/>
    </row>
    <row r="20" s="1" customFormat="1" ht="18" customHeight="1" spans="1:15">
      <c r="A20" s="10" t="s">
        <v>48</v>
      </c>
      <c r="B20" s="27">
        <f t="shared" si="6"/>
        <v>209617.54</v>
      </c>
      <c r="C20" s="28">
        <v>3</v>
      </c>
      <c r="D20" s="29" t="s">
        <v>41</v>
      </c>
      <c r="E20" s="30">
        <v>0.16</v>
      </c>
      <c r="F20" s="27">
        <f t="shared" si="7"/>
        <v>33538.81</v>
      </c>
      <c r="G20" s="20">
        <f>43156.21+114957+85043.14</f>
        <v>243156.35</v>
      </c>
      <c r="H20" s="18"/>
      <c r="I20" s="42"/>
      <c r="J20" s="35" t="s">
        <v>54</v>
      </c>
      <c r="K20" s="44" t="s">
        <v>53</v>
      </c>
      <c r="L20" s="45"/>
      <c r="M20" s="29"/>
      <c r="N20" s="29"/>
      <c r="O20" s="45"/>
    </row>
    <row r="21" s="1" customFormat="1" ht="18" customHeight="1" spans="1:15">
      <c r="A21" s="10" t="s">
        <v>48</v>
      </c>
      <c r="B21" s="27">
        <f t="shared" si="6"/>
        <v>128229.62</v>
      </c>
      <c r="C21" s="28">
        <v>2</v>
      </c>
      <c r="D21" s="29" t="s">
        <v>41</v>
      </c>
      <c r="E21" s="30">
        <v>0.16</v>
      </c>
      <c r="F21" s="27">
        <f t="shared" si="7"/>
        <v>20516.74</v>
      </c>
      <c r="G21" s="20">
        <f>80000+68746.36</f>
        <v>148746.36</v>
      </c>
      <c r="H21" s="18"/>
      <c r="I21" s="42"/>
      <c r="J21" s="35" t="s">
        <v>56</v>
      </c>
      <c r="K21" s="44" t="s">
        <v>55</v>
      </c>
      <c r="L21" s="45"/>
      <c r="M21" s="29"/>
      <c r="N21" s="29"/>
      <c r="O21" s="45"/>
    </row>
    <row r="22" s="1" customFormat="1" ht="18" customHeight="1" spans="1:15">
      <c r="A22" s="10" t="s">
        <v>48</v>
      </c>
      <c r="B22" s="27">
        <f t="shared" si="6"/>
        <v>63106.8</v>
      </c>
      <c r="C22" s="28">
        <v>1</v>
      </c>
      <c r="D22" s="29" t="s">
        <v>41</v>
      </c>
      <c r="E22" s="30">
        <v>0.03</v>
      </c>
      <c r="F22" s="27">
        <f t="shared" si="7"/>
        <v>1893.2</v>
      </c>
      <c r="G22" s="20">
        <v>65000</v>
      </c>
      <c r="H22" s="18"/>
      <c r="I22" s="42"/>
      <c r="J22" s="35"/>
      <c r="K22" s="44" t="s">
        <v>57</v>
      </c>
      <c r="L22" s="45"/>
      <c r="M22" s="29"/>
      <c r="N22" s="29"/>
      <c r="O22" s="45"/>
    </row>
    <row r="23" s="1" customFormat="1" ht="18" customHeight="1" spans="1:15">
      <c r="A23" s="10" t="s">
        <v>48</v>
      </c>
      <c r="B23" s="27">
        <f t="shared" si="6"/>
        <v>800000</v>
      </c>
      <c r="C23" s="28">
        <v>1</v>
      </c>
      <c r="D23" s="29" t="s">
        <v>46</v>
      </c>
      <c r="E23" s="30">
        <v>0</v>
      </c>
      <c r="F23" s="27">
        <f t="shared" si="7"/>
        <v>0</v>
      </c>
      <c r="G23" s="20">
        <v>800000</v>
      </c>
      <c r="H23" s="18"/>
      <c r="I23" s="42"/>
      <c r="J23" s="35" t="s">
        <v>59</v>
      </c>
      <c r="K23" s="44" t="s">
        <v>58</v>
      </c>
      <c r="L23" s="45"/>
      <c r="M23" s="29"/>
      <c r="N23" s="29"/>
      <c r="O23" s="45"/>
    </row>
    <row r="24" s="1" customFormat="1" ht="18" customHeight="1" spans="1:15">
      <c r="A24" s="10" t="s">
        <v>60</v>
      </c>
      <c r="B24" s="27">
        <f t="shared" si="6"/>
        <v>5460.11</v>
      </c>
      <c r="C24" s="28">
        <v>38</v>
      </c>
      <c r="D24" s="29" t="s">
        <v>41</v>
      </c>
      <c r="E24" s="30"/>
      <c r="F24" s="27">
        <f t="shared" si="7"/>
        <v>0</v>
      </c>
      <c r="G24" s="20">
        <v>5460.11</v>
      </c>
      <c r="H24" s="18" t="s">
        <v>61</v>
      </c>
      <c r="I24" s="42"/>
      <c r="J24" s="35"/>
      <c r="K24" s="44"/>
      <c r="L24" s="45"/>
      <c r="M24" s="29"/>
      <c r="N24" s="29"/>
      <c r="O24" s="45"/>
    </row>
    <row r="25" s="1" customFormat="1" ht="18" customHeight="1" spans="1:15">
      <c r="A25" s="10" t="s">
        <v>62</v>
      </c>
      <c r="B25" s="27">
        <f t="shared" si="6"/>
        <v>300000</v>
      </c>
      <c r="C25" s="28">
        <v>3</v>
      </c>
      <c r="D25" s="29" t="s">
        <v>46</v>
      </c>
      <c r="E25" s="30">
        <v>0</v>
      </c>
      <c r="F25" s="27">
        <f t="shared" si="7"/>
        <v>0</v>
      </c>
      <c r="G25" s="20">
        <v>300000</v>
      </c>
      <c r="H25" s="18" t="s">
        <v>63</v>
      </c>
      <c r="I25" s="42"/>
      <c r="J25" s="35" t="s">
        <v>64</v>
      </c>
      <c r="K25" s="44" t="s">
        <v>91</v>
      </c>
      <c r="L25" s="45"/>
      <c r="M25" s="29"/>
      <c r="N25" s="29"/>
      <c r="O25" s="45"/>
    </row>
    <row r="26" ht="18" customHeight="1" spans="1:15">
      <c r="A26" s="10" t="s">
        <v>65</v>
      </c>
      <c r="B26" s="27">
        <f t="shared" si="6"/>
        <v>242774.93</v>
      </c>
      <c r="C26" s="28">
        <v>1</v>
      </c>
      <c r="D26" s="29" t="s">
        <v>41</v>
      </c>
      <c r="E26" s="30">
        <v>0.03</v>
      </c>
      <c r="F26" s="27">
        <f t="shared" si="7"/>
        <v>7283.25</v>
      </c>
      <c r="G26" s="20">
        <v>250058.18</v>
      </c>
      <c r="H26" s="18" t="s">
        <v>67</v>
      </c>
      <c r="I26" s="42"/>
      <c r="J26" s="35"/>
      <c r="K26" s="47" t="s">
        <v>66</v>
      </c>
      <c r="L26" s="25"/>
      <c r="M26" s="35"/>
      <c r="N26" s="35"/>
      <c r="O26" s="25"/>
    </row>
    <row r="27" ht="18" customHeight="1" spans="1:15">
      <c r="A27" s="10"/>
      <c r="B27" s="27">
        <f t="shared" si="6"/>
        <v>0</v>
      </c>
      <c r="C27" s="28"/>
      <c r="D27" s="29" t="s">
        <v>41</v>
      </c>
      <c r="E27" s="30">
        <v>0.09</v>
      </c>
      <c r="F27" s="27">
        <f t="shared" si="7"/>
        <v>0</v>
      </c>
      <c r="G27" s="20"/>
      <c r="H27" s="18"/>
      <c r="I27" s="42"/>
      <c r="K27" s="47"/>
      <c r="L27" s="25"/>
      <c r="M27" s="35"/>
      <c r="N27" s="35"/>
      <c r="O27" s="25"/>
    </row>
    <row r="28" ht="18" customHeight="1" spans="1:15">
      <c r="A28" s="10"/>
      <c r="B28" s="27">
        <f t="shared" si="6"/>
        <v>0</v>
      </c>
      <c r="C28" s="28"/>
      <c r="D28" s="29" t="s">
        <v>41</v>
      </c>
      <c r="E28" s="30"/>
      <c r="F28" s="27">
        <f t="shared" si="7"/>
        <v>0</v>
      </c>
      <c r="G28" s="20"/>
      <c r="H28" s="18"/>
      <c r="I28" s="42"/>
      <c r="J28" s="35"/>
      <c r="K28" s="47"/>
      <c r="L28" s="25"/>
      <c r="M28" s="35"/>
      <c r="N28" s="35"/>
      <c r="O28" s="25"/>
    </row>
    <row r="29" ht="18" customHeight="1" spans="1:15">
      <c r="A29" s="10"/>
      <c r="B29" s="27">
        <f t="shared" si="6"/>
        <v>0</v>
      </c>
      <c r="C29" s="28"/>
      <c r="D29" s="29" t="s">
        <v>41</v>
      </c>
      <c r="E29" s="30"/>
      <c r="F29" s="27">
        <f t="shared" si="7"/>
        <v>0</v>
      </c>
      <c r="G29" s="20"/>
      <c r="H29" s="18"/>
      <c r="I29" s="42"/>
      <c r="J29" s="35"/>
      <c r="K29" s="47"/>
      <c r="L29" s="25"/>
      <c r="M29" s="35"/>
      <c r="N29" s="35"/>
      <c r="O29" s="25"/>
    </row>
    <row r="30" ht="18" customHeight="1" spans="1:14">
      <c r="A30" s="23" t="s">
        <v>27</v>
      </c>
      <c r="B30" s="22">
        <f>SUM(B15:B29)</f>
        <v>2584446.04</v>
      </c>
      <c r="C30" s="23"/>
      <c r="D30" s="32"/>
      <c r="E30" s="32"/>
      <c r="F30" s="24">
        <f>SUM(F15:F29)</f>
        <v>183275.06</v>
      </c>
      <c r="G30" s="23">
        <f>SUM(G15:G29)</f>
        <v>2767721.1</v>
      </c>
      <c r="H30" s="25"/>
      <c r="I30" s="48"/>
      <c r="J30" s="25"/>
      <c r="K30" s="49"/>
      <c r="M30" s="50"/>
      <c r="N30" s="50"/>
    </row>
    <row r="31" ht="18" customHeight="1" spans="1:10">
      <c r="A31" s="33"/>
      <c r="B31" s="33">
        <f>B12-B30</f>
        <v>-184446.040000001</v>
      </c>
      <c r="C31" s="33"/>
      <c r="D31" s="34"/>
      <c r="E31" s="34"/>
      <c r="F31" s="33">
        <f>F12-F30</f>
        <v>8724.94</v>
      </c>
      <c r="G31" s="33"/>
      <c r="H31" s="6"/>
      <c r="J31" s="6"/>
    </row>
    <row r="32" ht="18" customHeight="1" spans="1:7">
      <c r="A32" s="2" t="s">
        <v>75</v>
      </c>
      <c r="C32" s="2"/>
      <c r="F32" s="6"/>
      <c r="G32" s="6"/>
    </row>
    <row r="33" ht="18" customHeight="1" spans="1:7">
      <c r="A33" s="17" t="s">
        <v>76</v>
      </c>
      <c r="B33" s="16" t="s">
        <v>77</v>
      </c>
      <c r="C33" s="25"/>
      <c r="D33" s="17" t="s">
        <v>76</v>
      </c>
      <c r="E33" s="16" t="s">
        <v>19</v>
      </c>
      <c r="F33" s="16" t="s">
        <v>77</v>
      </c>
      <c r="G33" s="16" t="s">
        <v>92</v>
      </c>
    </row>
    <row r="34" ht="18" customHeight="1" spans="1:7">
      <c r="A34" s="25" t="s">
        <v>80</v>
      </c>
      <c r="B34" s="27">
        <f>(B12-B30)*0.25</f>
        <v>-46111.5100000001</v>
      </c>
      <c r="C34" s="25"/>
      <c r="D34" s="9" t="s">
        <v>81</v>
      </c>
      <c r="E34" s="35" t="s">
        <v>82</v>
      </c>
      <c r="F34" s="36">
        <f>F12-F30</f>
        <v>8724.94</v>
      </c>
      <c r="G34" s="36"/>
    </row>
    <row r="35" ht="18" customHeight="1" spans="1:7">
      <c r="A35" s="25" t="s">
        <v>83</v>
      </c>
      <c r="B35" s="11">
        <f>G12*0.0003</f>
        <v>792</v>
      </c>
      <c r="C35" s="25"/>
      <c r="D35" s="37" t="s">
        <v>84</v>
      </c>
      <c r="E35" s="12">
        <v>0.05</v>
      </c>
      <c r="F35" s="11">
        <f>F34*E35</f>
        <v>436.247</v>
      </c>
      <c r="G35" s="11"/>
    </row>
    <row r="36" ht="18" customHeight="1" spans="1:7">
      <c r="A36" s="25" t="s">
        <v>85</v>
      </c>
      <c r="B36" s="11">
        <f>B12*0.0006</f>
        <v>1440</v>
      </c>
      <c r="C36" s="25"/>
      <c r="D36" s="37" t="s">
        <v>86</v>
      </c>
      <c r="E36" s="12">
        <v>0.03</v>
      </c>
      <c r="F36" s="11">
        <f>F34*E36</f>
        <v>261.7482</v>
      </c>
      <c r="G36" s="11"/>
    </row>
    <row r="37" ht="18" customHeight="1" spans="1:7">
      <c r="A37" s="25"/>
      <c r="B37" s="25"/>
      <c r="C37" s="25"/>
      <c r="D37" s="37" t="s">
        <v>87</v>
      </c>
      <c r="E37" s="12">
        <v>0.02</v>
      </c>
      <c r="F37" s="11">
        <f>F34*E37</f>
        <v>174.4988</v>
      </c>
      <c r="G37" s="11"/>
    </row>
    <row r="38" spans="1:7">
      <c r="A38" s="21" t="s">
        <v>88</v>
      </c>
      <c r="B38" s="22">
        <f>SUM(B34:B37)</f>
        <v>-43879.5100000001</v>
      </c>
      <c r="C38" s="25"/>
      <c r="D38" s="21" t="s">
        <v>88</v>
      </c>
      <c r="E38" s="21"/>
      <c r="F38" s="24">
        <f>SUM(F34:F37)</f>
        <v>9597.434</v>
      </c>
      <c r="G38" s="24"/>
    </row>
    <row r="39" spans="3:7">
      <c r="C39" s="2"/>
      <c r="F39" s="6"/>
      <c r="G39" s="6"/>
    </row>
    <row r="40" spans="3:7">
      <c r="C40" s="2"/>
      <c r="F40" s="6"/>
      <c r="G40" s="6"/>
    </row>
    <row r="41" spans="3:7">
      <c r="C41" s="2"/>
      <c r="F41" s="6"/>
      <c r="G41" s="6"/>
    </row>
    <row r="42" spans="3:7">
      <c r="C42" s="2"/>
      <c r="F42" s="6"/>
      <c r="G42" s="6"/>
    </row>
    <row r="43" spans="3:7">
      <c r="C43" s="2"/>
      <c r="F43" s="6"/>
      <c r="G43" s="6"/>
    </row>
    <row r="44" spans="3:7">
      <c r="C44" s="2"/>
      <c r="F44" s="6"/>
      <c r="G44" s="6"/>
    </row>
    <row r="45" spans="3:7">
      <c r="C45" s="2"/>
      <c r="F45" s="6"/>
      <c r="G45" s="6"/>
    </row>
    <row r="46" spans="3:7">
      <c r="C46" s="2"/>
      <c r="F46" s="6"/>
      <c r="G46" s="6"/>
    </row>
    <row r="47" spans="3:7">
      <c r="C47" s="2"/>
      <c r="F47" s="6"/>
      <c r="G47" s="6"/>
    </row>
    <row r="48" spans="3:7">
      <c r="C48" s="2"/>
      <c r="F48" s="6"/>
      <c r="G48" s="6"/>
    </row>
    <row r="49" spans="3:7">
      <c r="C49" s="2"/>
      <c r="F49" s="6"/>
      <c r="G49" s="6"/>
    </row>
    <row r="50" spans="3:7">
      <c r="C50" s="2"/>
      <c r="F50" s="6"/>
      <c r="G50" s="6"/>
    </row>
    <row r="51" spans="3:7">
      <c r="C51" s="2"/>
      <c r="F51" s="6"/>
      <c r="G51" s="6"/>
    </row>
    <row r="52" spans="3:7">
      <c r="C52" s="2"/>
      <c r="F52" s="6"/>
      <c r="G52" s="6"/>
    </row>
    <row r="53" spans="3:7">
      <c r="C53" s="2"/>
      <c r="F53" s="6"/>
      <c r="G53" s="6"/>
    </row>
    <row r="54" spans="3:7">
      <c r="C54" s="2"/>
      <c r="F54" s="6"/>
      <c r="G54" s="6"/>
    </row>
    <row r="55" spans="3:3">
      <c r="C55" s="2"/>
    </row>
    <row r="56" spans="3:3">
      <c r="C56" s="2"/>
    </row>
    <row r="57" spans="3:3">
      <c r="C57" s="2"/>
    </row>
    <row r="58" spans="3:3">
      <c r="C58" s="2"/>
    </row>
    <row r="59" spans="3:3">
      <c r="C59" s="2"/>
    </row>
    <row r="60" spans="3:3">
      <c r="C60" s="2"/>
    </row>
    <row r="61" spans="3:3">
      <c r="C61" s="2"/>
    </row>
    <row r="62" spans="3:3">
      <c r="C62" s="2"/>
    </row>
  </sheetData>
  <mergeCells count="8">
    <mergeCell ref="A1:J1"/>
    <mergeCell ref="H2:J2"/>
    <mergeCell ref="C5:D5"/>
    <mergeCell ref="E5:F5"/>
    <mergeCell ref="H5:J5"/>
    <mergeCell ref="A5:A6"/>
    <mergeCell ref="B5:B6"/>
    <mergeCell ref="G5:G6"/>
  </mergeCells>
  <pageMargins left="0.708661417322835" right="0.708661417322835" top="0.354330708661417" bottom="0.354330708661417" header="0.31496062992126" footer="0.31496062992126"/>
  <pageSetup paperSize="9" orientation="landscape"/>
  <headerFooter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2 " > < c o m m e n t   s : r e f = " G 8 "   r g b C l r = " E F 9 9 F 4 " / > < c o m m e n t   s : r e f = " E 1 5 "   r g b C l r = " E F 9 9 F 4 " / > < c o m m e n t   s : r e f = " G 1 5 "   r g b C l r = " E F 9 9 F 4 " / > < c o m m e n t   s : r e f = " A 5 0 "   r g b C l r = " E F 9 9 F 4 " / > < c o m m e n t   s : r e f = " A 5 1 "   r g b C l r = " E F 9 9 F 4 " / > < c o m m e n t   s : r e f = " D 5 4 "   r g b C l r = " E F 9 9 F 4 " / > < c o m m e n t   s : r e f = " D 5 5 "   r g b C l r = " E F 9 9 F 4 " / > < / c o m m e n t L i s t > < c o m m e n t L i s t   s h e e t S t i d = " 1 " /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新</vt:lpstr>
      <vt:lpstr>旧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chenchen</dc:creator>
  <cp:lastModifiedBy>qyr</cp:lastModifiedBy>
  <dcterms:created xsi:type="dcterms:W3CDTF">2022-03-01T06:27:00Z</dcterms:created>
  <dcterms:modified xsi:type="dcterms:W3CDTF">2022-10-09T02:38:28Z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B86ADB3D00EA4570842BFCC8081697C2</vt:lpwstr>
  </property>
  <property fmtid="{D5CDD505-2E9C-101B-9397-08002B2CF9AE}" pid="3" name="KSOProductBuildVer">
    <vt:lpwstr>2052-11.1.0.12358</vt:lpwstr>
  </property>
</Properties>
</file>