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7" activeTab="18"/>
  </bookViews>
  <sheets>
    <sheet name="Sheet1" sheetId="1" r:id="rId1"/>
    <sheet name="10" sheetId="2" r:id="rId2"/>
    <sheet name="11" sheetId="3" r:id="rId3"/>
    <sheet name="11.2" sheetId="4" r:id="rId4"/>
    <sheet name="11.1" sheetId="5" r:id="rId5"/>
    <sheet name="11.2 (2)" sheetId="6" r:id="rId6"/>
    <sheet name="11.3" sheetId="7" r:id="rId7"/>
    <sheet name="11.4" sheetId="8" r:id="rId8"/>
    <sheet name="11.5" sheetId="9" r:id="rId9"/>
    <sheet name="12.2" sheetId="10" r:id="rId10"/>
    <sheet name="7-10" sheetId="11" r:id="rId11"/>
    <sheet name="8-7" sheetId="12" r:id="rId12"/>
    <sheet name="8-7 (2)" sheetId="13" r:id="rId13"/>
    <sheet name="9-3" sheetId="14" r:id="rId14"/>
    <sheet name="9-7" sheetId="15" r:id="rId15"/>
    <sheet name="9-8" sheetId="16" r:id="rId16"/>
    <sheet name="14次" sheetId="17" r:id="rId17"/>
    <sheet name="14.1" sheetId="18" r:id="rId18"/>
    <sheet name="16次" sheetId="19" r:id="rId19"/>
  </sheets>
  <definedNames>
    <definedName name="_xlnm._FilterDatabase" localSheetId="0" hidden="1">Sheet1!$A$21:$O$153</definedName>
    <definedName name="_xlnm._FilterDatabase" localSheetId="2" hidden="1">'11'!$A$23:$Q$105</definedName>
    <definedName name="_xlnm._FilterDatabase" localSheetId="3" hidden="1">'11.2'!$A$23:$Q$107</definedName>
    <definedName name="_xlnm._FilterDatabase" localSheetId="4" hidden="1">'11.1'!$A$23:$Q$110</definedName>
    <definedName name="_xlnm._FilterDatabase" localSheetId="5" hidden="1">'11.2 (2)'!$A$23:$Q$111</definedName>
    <definedName name="_xlnm._FilterDatabase" localSheetId="6" hidden="1">'11.3'!$A$23:$Q$112</definedName>
    <definedName name="_xlnm._FilterDatabase" localSheetId="7" hidden="1">'11.4'!$A$23:$Q$113</definedName>
    <definedName name="_xlnm._FilterDatabase" localSheetId="8" hidden="1">'11.5'!$A$23:$Q$114</definedName>
    <definedName name="_xlnm._FilterDatabase" localSheetId="9" hidden="1">'12.2'!$A$23:$Q$182</definedName>
    <definedName name="_xlnm._FilterDatabase" localSheetId="10" hidden="1">'7-10'!$A$23:$Q$184</definedName>
    <definedName name="_xlnm._FilterDatabase" localSheetId="11" hidden="1">'8-7'!$A$23:$Q$186</definedName>
    <definedName name="_xlnm._FilterDatabase" localSheetId="12" hidden="1">'8-7 (2)'!$A$26:$Q$199</definedName>
    <definedName name="_xlnm._FilterDatabase" localSheetId="13" hidden="1">'9-3'!$A$26:$Q$199</definedName>
    <definedName name="_xlnm._FilterDatabase" localSheetId="14" hidden="1">'9-7'!$A$26:$Q$201</definedName>
    <definedName name="_xlnm._FilterDatabase" localSheetId="15" hidden="1">'9-8'!$A$28:$Q$206</definedName>
    <definedName name="_xlnm._FilterDatabase" localSheetId="16" hidden="1">'14次'!$A$29:$Q$214</definedName>
    <definedName name="_xlnm._FilterDatabase" localSheetId="18" hidden="1">'16次'!$A$31:$W$285</definedName>
    <definedName name="_xlnm._FilterDatabase" localSheetId="1" hidden="1">'10'!$A$21:$Q$103</definedName>
    <definedName name="_xlnm._FilterDatabase" localSheetId="17" hidden="1">'14.1'!$A$30:$W$147</definedName>
    <definedName name="_xlnm.Print_Area" localSheetId="17">'14.1'!$H$30:$M$140</definedName>
    <definedName name="_xlnm.Print_Area" localSheetId="18">'16次'!$H$32:$M$146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2" authorId="0">
      <text>
        <r>
          <rPr>
            <sz val="9"/>
            <rFont val="宋体"/>
            <charset val="134"/>
          </rPr>
          <t>cw05:
填写专票税率</t>
        </r>
      </text>
    </comment>
    <comment ref="G22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4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4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153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10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75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76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182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11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77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78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184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12.xml><?xml version="1.0" encoding="utf-8"?>
<comments xmlns="http://schemas.openxmlformats.org/spreadsheetml/2006/main">
  <authors>
    <author>cw05</author>
    <author>cw09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7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8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R184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</t>
        </r>
      </text>
    </comment>
    <comment ref="E186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13.xml><?xml version="1.0" encoding="utf-8"?>
<comments xmlns="http://schemas.openxmlformats.org/spreadsheetml/2006/main">
  <authors>
    <author>cw05</author>
    <author>cw09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7" authorId="0">
      <text>
        <r>
          <rPr>
            <sz val="9"/>
            <rFont val="宋体"/>
            <charset val="134"/>
          </rPr>
          <t>cw05:
填写专票税率</t>
        </r>
      </text>
    </comment>
    <comment ref="G27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9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9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R197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</t>
        </r>
      </text>
    </comment>
    <comment ref="E199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14.xml><?xml version="1.0" encoding="utf-8"?>
<comments xmlns="http://schemas.openxmlformats.org/spreadsheetml/2006/main">
  <authors>
    <author>cw05</author>
    <author>cw09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7" authorId="0">
      <text>
        <r>
          <rPr>
            <sz val="9"/>
            <rFont val="宋体"/>
            <charset val="134"/>
          </rPr>
          <t>cw05:
填写专票税率</t>
        </r>
      </text>
    </comment>
    <comment ref="G27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9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9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R197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</t>
        </r>
      </text>
    </comment>
    <comment ref="S197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</t>
        </r>
      </text>
    </comment>
    <comment ref="E199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15.xml><?xml version="1.0" encoding="utf-8"?>
<comments xmlns="http://schemas.openxmlformats.org/spreadsheetml/2006/main">
  <authors>
    <author>cw05</author>
    <author>cw09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7" authorId="0">
      <text>
        <r>
          <rPr>
            <sz val="9"/>
            <rFont val="宋体"/>
            <charset val="134"/>
          </rPr>
          <t>cw05:
填写专票税率</t>
        </r>
      </text>
    </comment>
    <comment ref="G27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94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95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R199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</t>
        </r>
      </text>
    </comment>
    <comment ref="S199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</t>
        </r>
      </text>
    </comment>
    <comment ref="E201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16.xml><?xml version="1.0" encoding="utf-8"?>
<comments xmlns="http://schemas.openxmlformats.org/spreadsheetml/2006/main">
  <authors>
    <author>cw05</author>
    <author>cw09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9" authorId="0">
      <text>
        <r>
          <rPr>
            <sz val="9"/>
            <rFont val="宋体"/>
            <charset val="134"/>
          </rPr>
          <t>cw05:
填写专票税率</t>
        </r>
      </text>
    </comment>
    <comment ref="G29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9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20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R204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</t>
        </r>
      </text>
    </comment>
    <comment ref="S204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</t>
        </r>
      </text>
    </comment>
    <comment ref="E206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17.xml><?xml version="1.0" encoding="utf-8"?>
<comments xmlns="http://schemas.openxmlformats.org/spreadsheetml/2006/main">
  <authors>
    <author>cw05</author>
    <author>cw09</author>
    <author>Administrator</author>
  </authors>
  <commentList>
    <comment ref="G8" authorId="0">
      <text>
        <r>
          <rPr>
            <sz val="9"/>
            <rFont val="宋体"/>
            <charset val="134"/>
          </rPr>
          <t>cw05:
填写开票数字</t>
        </r>
      </text>
    </comment>
    <comment ref="G12" authorId="1">
      <text>
        <r>
          <rPr>
            <sz val="9"/>
            <rFont val="宋体"/>
            <charset val="134"/>
          </rPr>
          <t>cw09:
已填写承诺书</t>
        </r>
      </text>
    </comment>
    <comment ref="E30" authorId="0">
      <text>
        <r>
          <rPr>
            <sz val="9"/>
            <rFont val="宋体"/>
            <charset val="134"/>
          </rPr>
          <t>cw05:
填写专票税率</t>
        </r>
      </text>
    </comment>
    <comment ref="G30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207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208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R212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</t>
        </r>
      </text>
    </comment>
    <comment ref="S212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</t>
        </r>
      </text>
    </comment>
    <comment ref="E214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18.xml><?xml version="1.0" encoding="utf-8"?>
<comments xmlns="http://schemas.openxmlformats.org/spreadsheetml/2006/main">
  <authors>
    <author>cw05</author>
    <author>cw09</author>
    <author>cw015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31" authorId="0">
      <text>
        <r>
          <rPr>
            <sz val="9"/>
            <rFont val="宋体"/>
            <charset val="134"/>
          </rPr>
          <t>cw05:
填写专票税率</t>
        </r>
      </text>
    </comment>
    <comment ref="G31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F86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没计算</t>
        </r>
      </text>
    </comment>
    <comment ref="G131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税号错误退回</t>
        </r>
      </text>
    </comment>
    <comment ref="A230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231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K233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9次付款中扣</t>
        </r>
      </text>
    </comment>
    <comment ref="L233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16次中扣除</t>
        </r>
      </text>
    </comment>
    <comment ref="N233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19次中退还</t>
        </r>
      </text>
    </comment>
    <comment ref="P23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10.1中扣除</t>
        </r>
      </text>
    </comment>
    <comment ref="Q23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20.6.12扣除</t>
        </r>
      </text>
    </comment>
    <comment ref="R235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20.8.17扣除</t>
        </r>
      </text>
    </comment>
    <comment ref="S235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水利未交14次扣除</t>
        </r>
      </text>
    </comment>
    <comment ref="E237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  <comment ref="L237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16次中扣</t>
        </r>
      </text>
    </comment>
    <comment ref="P237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10.1次中扣除</t>
        </r>
      </text>
    </comment>
    <comment ref="Q237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20.6.12扣除</t>
        </r>
      </text>
    </comment>
    <comment ref="R237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20.8.17扣除</t>
        </r>
      </text>
    </comment>
    <comment ref="S237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14次扣除</t>
        </r>
      </text>
    </comment>
  </commentList>
</comments>
</file>

<file path=xl/comments19.xml><?xml version="1.0" encoding="utf-8"?>
<comments xmlns="http://schemas.openxmlformats.org/spreadsheetml/2006/main">
  <authors>
    <author>cw05</author>
    <author>cw09</author>
    <author>cw015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37" authorId="0">
      <text>
        <r>
          <rPr>
            <sz val="9"/>
            <rFont val="宋体"/>
            <charset val="134"/>
          </rPr>
          <t>cw05:
填写专票税率</t>
        </r>
      </text>
    </comment>
    <comment ref="G37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278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279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K281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9次付款中扣</t>
        </r>
      </text>
    </comment>
    <comment ref="L281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16次中扣除</t>
        </r>
      </text>
    </comment>
    <comment ref="N281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19次中退还</t>
        </r>
      </text>
    </comment>
    <comment ref="T281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1.26已扣</t>
        </r>
      </text>
    </comment>
    <comment ref="V281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21.2.8已扣</t>
        </r>
      </text>
    </comment>
    <comment ref="P283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10.1中扣除</t>
        </r>
      </text>
    </comment>
    <comment ref="Q283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20.6.12扣除</t>
        </r>
      </text>
    </comment>
    <comment ref="R283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20.8.17扣除</t>
        </r>
      </text>
    </comment>
    <comment ref="S283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水利未交14次扣除</t>
        </r>
      </text>
    </comment>
    <comment ref="T283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1.26已扣</t>
        </r>
      </text>
    </comment>
    <comment ref="V283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2021.2.8已扣</t>
        </r>
      </text>
    </comment>
    <comment ref="E285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  <comment ref="L28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16次中扣</t>
        </r>
      </text>
    </comment>
    <comment ref="P28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10.1次中扣除</t>
        </r>
      </text>
    </comment>
    <comment ref="Q28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20.6.12扣除</t>
        </r>
      </text>
    </comment>
    <comment ref="R28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20.8.17扣除</t>
        </r>
      </text>
    </comment>
    <comment ref="S28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14次扣除</t>
        </r>
      </text>
    </comment>
    <comment ref="T28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1.26已扣</t>
        </r>
      </text>
    </comment>
    <comment ref="V28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2021.2.8已扣</t>
        </r>
      </text>
    </comment>
  </commentList>
</comments>
</file>

<file path=xl/comments2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2" authorId="0">
      <text>
        <r>
          <rPr>
            <sz val="9"/>
            <rFont val="宋体"/>
            <charset val="134"/>
          </rPr>
          <t>cw05:
填写专票税率</t>
        </r>
      </text>
    </comment>
    <comment ref="G22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51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52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158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3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53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54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160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4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61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62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168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5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6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7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176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6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6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7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176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7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75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76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182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8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75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76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182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9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75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76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182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sharedStrings.xml><?xml version="1.0" encoding="utf-8"?>
<sst xmlns="http://schemas.openxmlformats.org/spreadsheetml/2006/main" count="9949" uniqueCount="272">
  <si>
    <t>国道G206线兴宁松陂至丰顺北斗石桥头段改建工程（丰顺段）标段四</t>
  </si>
  <si>
    <t>中标日期</t>
  </si>
  <si>
    <t>中标价</t>
  </si>
  <si>
    <t>负责人</t>
  </si>
  <si>
    <t>建设单位</t>
  </si>
  <si>
    <t>丰顺县公路局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</si>
  <si>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</si>
  <si>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</si>
  <si>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</si>
  <si>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</si>
  <si>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</si>
  <si>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</si>
  <si>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</si>
  <si>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</si>
  <si>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</si>
  <si>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</si>
  <si>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</si>
  <si>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</si>
  <si>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</si>
  <si>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</si>
  <si>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</si>
  <si>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徽行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</si>
  <si>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</si>
  <si>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</si>
  <si>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</si>
  <si>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</si>
  <si>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</si>
  <si>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</si>
  <si>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</si>
  <si>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</si>
  <si>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</si>
  <si>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</si>
  <si>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</si>
  <si>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</si>
  <si>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</si>
  <si>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</si>
  <si>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</si>
  <si>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广东恒泰公路工程有限公司临江饭店</t>
  </si>
  <si>
    <t>住宿费</t>
  </si>
  <si>
    <t>普</t>
  </si>
  <si>
    <t>梅州市公路局公路工程质量监测站</t>
  </si>
  <si>
    <t>试验费</t>
  </si>
  <si>
    <t>触探仪</t>
  </si>
  <si>
    <t>汽油</t>
  </si>
  <si>
    <t>广东恒泰公路工程有限公司金沙湾国际大酒店</t>
  </si>
  <si>
    <t>会议服务</t>
  </si>
  <si>
    <t>油费</t>
  </si>
  <si>
    <t>丰顺县富润投资有限公司</t>
  </si>
  <si>
    <t>混凝土</t>
  </si>
  <si>
    <t>18-6-</t>
  </si>
  <si>
    <t>杨佰恩</t>
  </si>
  <si>
    <t>广东和协建设工程检测有限公司梅州分公司</t>
  </si>
  <si>
    <t>检测费</t>
  </si>
  <si>
    <t>浙江宇恒建筑劳务有限公司</t>
  </si>
  <si>
    <t>劳务费</t>
  </si>
  <si>
    <t>梅州市公路局工程质量检测站</t>
  </si>
  <si>
    <t>揭阳市榕城区东升兴科仪器商行</t>
  </si>
  <si>
    <t>水准仪、塔尺</t>
  </si>
  <si>
    <t>丰顺县金年汽车维修中心</t>
  </si>
  <si>
    <t>机油，行车记录仪等</t>
  </si>
  <si>
    <t>水准仪检测费</t>
  </si>
  <si>
    <t>卷</t>
  </si>
  <si>
    <t>中石化广东分公司</t>
  </si>
  <si>
    <t>车用汽油（卷票）</t>
  </si>
  <si>
    <t>中石化广东分公司、丰顺县农场加油站</t>
  </si>
  <si>
    <t>深圳市正泓融资担保有限公司</t>
  </si>
  <si>
    <t>担保费</t>
  </si>
  <si>
    <t>卷票、电子票、普票</t>
  </si>
  <si>
    <t>加油票</t>
  </si>
  <si>
    <t>中国人民财产保险股份有限公司梅州市分公司</t>
  </si>
  <si>
    <t>保险</t>
  </si>
  <si>
    <t>中国人民财产保险股份有限公司广东省分公司</t>
  </si>
  <si>
    <t>退回</t>
  </si>
  <si>
    <t>普代</t>
  </si>
  <si>
    <t>徐小灵</t>
  </si>
  <si>
    <t>片石7143立方</t>
  </si>
  <si>
    <t>借款</t>
  </si>
  <si>
    <t>片石</t>
  </si>
  <si>
    <t>徐耀华</t>
  </si>
  <si>
    <t>河沙5556立方</t>
  </si>
  <si>
    <t>梅州嘉顺交通养护有限公司</t>
  </si>
  <si>
    <t>水泥</t>
  </si>
  <si>
    <t>梅州市公路局公路工程质量检测站</t>
  </si>
  <si>
    <t>保费</t>
  </si>
  <si>
    <t>水泥1628.96吨</t>
  </si>
  <si>
    <t>水泥913.8吨</t>
  </si>
  <si>
    <t>片石3571.5立方</t>
  </si>
  <si>
    <t>曹济坪</t>
  </si>
  <si>
    <t>碎石2000立方</t>
  </si>
  <si>
    <t>王增华</t>
  </si>
  <si>
    <t>张超</t>
  </si>
  <si>
    <t>河沙1667立方</t>
  </si>
  <si>
    <t>广东泰钢实业有限公司</t>
  </si>
  <si>
    <t>钢筋</t>
  </si>
  <si>
    <t>梅州市昌利装饰工程有限公司</t>
  </si>
  <si>
    <t>机械租赁</t>
  </si>
  <si>
    <t>水泥1088.02吨</t>
  </si>
  <si>
    <t>刘兴</t>
  </si>
  <si>
    <t>河沙1111立方</t>
  </si>
  <si>
    <t>螺纹钢125吨</t>
  </si>
  <si>
    <t>有</t>
  </si>
  <si>
    <t>水泥1690.06吨</t>
  </si>
  <si>
    <t>寄回270万</t>
  </si>
  <si>
    <t>梅州市钦泰建筑工程有限公司</t>
  </si>
  <si>
    <t>碎石4000吨</t>
  </si>
  <si>
    <t>张凌峰</t>
  </si>
  <si>
    <t>扣</t>
  </si>
  <si>
    <t>水利基金（20.4开票）</t>
  </si>
  <si>
    <t>企税2%(20.4开票)</t>
  </si>
  <si>
    <t>20次</t>
  </si>
  <si>
    <t>手续费</t>
  </si>
  <si>
    <t>19次</t>
  </si>
  <si>
    <t>退</t>
  </si>
  <si>
    <t>18次</t>
  </si>
  <si>
    <t>17次</t>
  </si>
  <si>
    <t>智能印章费</t>
  </si>
  <si>
    <t>暂扣企税</t>
  </si>
  <si>
    <t>16次</t>
  </si>
  <si>
    <t>利息</t>
  </si>
  <si>
    <t>本金（300万暂不扣）</t>
  </si>
  <si>
    <t>暂扣</t>
  </si>
  <si>
    <t>企税</t>
  </si>
  <si>
    <t>企税2%(18-19开票合计)</t>
  </si>
  <si>
    <t>水利基金</t>
  </si>
  <si>
    <t>增值税及附加</t>
  </si>
  <si>
    <t>预留</t>
  </si>
  <si>
    <t>损失准备金</t>
  </si>
  <si>
    <t>15次</t>
  </si>
  <si>
    <t>之前暂扣企税</t>
  </si>
  <si>
    <t>9次</t>
  </si>
  <si>
    <t>代办费</t>
  </si>
  <si>
    <t>3次扣</t>
  </si>
  <si>
    <t>水利基金（19年元月份开票）</t>
  </si>
  <si>
    <t>2次扣</t>
  </si>
  <si>
    <t>1次扣</t>
  </si>
  <si>
    <t>管理费</t>
  </si>
  <si>
    <t>可支付金额</t>
  </si>
  <si>
    <t>公司代缴税金：</t>
  </si>
  <si>
    <t>税种</t>
  </si>
  <si>
    <t>税额</t>
  </si>
  <si>
    <r>
      <rPr>
        <b/>
        <sz val="9"/>
        <color theme="1"/>
        <rFont val="宋体"/>
        <charset val="134"/>
      </rPr>
      <t>1</t>
    </r>
    <r>
      <rPr>
        <sz val="9"/>
        <color theme="1"/>
        <rFont val="宋体"/>
        <charset val="134"/>
      </rPr>
      <t>8年5月开票扣税</t>
    </r>
  </si>
  <si>
    <r>
      <rPr>
        <b/>
        <sz val="9"/>
        <color theme="1"/>
        <rFont val="宋体"/>
        <charset val="134"/>
      </rPr>
      <t>1</t>
    </r>
    <r>
      <rPr>
        <sz val="9"/>
        <color theme="1"/>
        <rFont val="宋体"/>
        <charset val="134"/>
      </rPr>
      <t>8年8月开票扣税</t>
    </r>
  </si>
  <si>
    <r>
      <rPr>
        <b/>
        <sz val="9"/>
        <color theme="1"/>
        <rFont val="宋体"/>
        <charset val="134"/>
      </rPr>
      <t>1</t>
    </r>
    <r>
      <rPr>
        <sz val="9"/>
        <color theme="1"/>
        <rFont val="宋体"/>
        <charset val="134"/>
      </rPr>
      <t>9年1月开票扣税</t>
    </r>
  </si>
  <si>
    <t>19.10月开票扣税</t>
  </si>
  <si>
    <t>19.12月开票扣税</t>
  </si>
  <si>
    <t>20.4开票扣税</t>
  </si>
  <si>
    <t>企业所得税</t>
  </si>
  <si>
    <t>增值税</t>
  </si>
  <si>
    <t>差额</t>
  </si>
  <si>
    <t>印花税</t>
  </si>
  <si>
    <t>已交</t>
  </si>
  <si>
    <t>城市维护建设税</t>
  </si>
  <si>
    <t>教育费附加</t>
  </si>
  <si>
    <t>地方教育费附加</t>
  </si>
  <si>
    <t>小计</t>
  </si>
  <si>
    <t>梅州嘉顺交通养护有限公司（水泥）</t>
  </si>
  <si>
    <t>广州华工科技开发有限公司</t>
  </si>
  <si>
    <t>管理费0.5%</t>
  </si>
  <si>
    <t>退16次多收增值税及附加</t>
  </si>
  <si>
    <t>之前暂扣企税（34000元暂不退）</t>
  </si>
  <si>
    <t>水利基金（18年开票）</t>
  </si>
  <si>
    <t>管理费0.5%（18-19开票合计）</t>
  </si>
  <si>
    <t>向公司的借款（周转金）</t>
  </si>
  <si>
    <t>20.6开票扣税</t>
  </si>
  <si>
    <t>工行</t>
  </si>
  <si>
    <t>浙江宇恒建筑劳务有限公司（劳务）</t>
  </si>
  <si>
    <t>广东华东爆破拆迁工程有限公司</t>
  </si>
  <si>
    <t>徐小灵（片石）</t>
  </si>
  <si>
    <t>徐耀华（河沙）</t>
  </si>
  <si>
    <t>水泥2008.2吨</t>
  </si>
  <si>
    <t>补货单</t>
  </si>
  <si>
    <t>税号错误退回</t>
  </si>
  <si>
    <t>水泥总计约11000吨</t>
  </si>
  <si>
    <t>电子代开</t>
  </si>
  <si>
    <t>片石4286吨</t>
  </si>
  <si>
    <t>6.17开02944171</t>
  </si>
  <si>
    <t>河沙3334立方</t>
  </si>
  <si>
    <t>6.17开02944172</t>
  </si>
  <si>
    <t>碎石2000吨</t>
  </si>
  <si>
    <t>6.18开02944204</t>
  </si>
  <si>
    <t>6.18开02944219</t>
  </si>
  <si>
    <t>片石3572吨</t>
  </si>
  <si>
    <t>7.6开02944915</t>
  </si>
  <si>
    <t>片石6466立方</t>
  </si>
  <si>
    <t>4.29开02942024</t>
  </si>
  <si>
    <t>爆破服务</t>
  </si>
  <si>
    <t>水泥3468.7吨</t>
  </si>
  <si>
    <t>20.8开票扣税</t>
  </si>
  <si>
    <t>河沙4865吨</t>
  </si>
  <si>
    <t>片石1391.78吨</t>
  </si>
  <si>
    <t>朱大金、何昌宝6.28日差旅费及出
场费总计5480元。</t>
  </si>
  <si>
    <t>企税2%(20年8月开票)</t>
  </si>
  <si>
    <t>20.9开票扣税</t>
  </si>
  <si>
    <t>梅州嘉顺交通养护有限公司（</t>
  </si>
  <si>
    <t>石粉3750吨</t>
  </si>
  <si>
    <t>14次</t>
  </si>
  <si>
    <t>补13.3次</t>
  </si>
  <si>
    <t>企税2%(9月开票合计)</t>
  </si>
  <si>
    <t>无</t>
  </si>
  <si>
    <t>工商</t>
  </si>
  <si>
    <t>无（19-866）</t>
  </si>
  <si>
    <t>张凌峰（石粉）</t>
  </si>
  <si>
    <t>张齐浩（碎石）</t>
  </si>
  <si>
    <t>曹济坪（碎石）</t>
  </si>
  <si>
    <t>黄美霞（碎石）</t>
  </si>
  <si>
    <t>合作人向公司借款</t>
  </si>
  <si>
    <t>（砂石）</t>
  </si>
  <si>
    <t>林乔栈</t>
  </si>
  <si>
    <t>（钢筋）</t>
  </si>
  <si>
    <t>冠县辰竣交通设施有限公司</t>
  </si>
  <si>
    <t>（钢护栏）</t>
  </si>
  <si>
    <t>张赐钦</t>
  </si>
  <si>
    <t>（交税）</t>
  </si>
  <si>
    <t>杨东海</t>
  </si>
  <si>
    <t>（工班费）</t>
  </si>
  <si>
    <t>刘忠洋</t>
  </si>
  <si>
    <t>20.12开票企税2%</t>
  </si>
  <si>
    <t>20.12开票异地未交水利基金</t>
  </si>
  <si>
    <t>20.12开票增值税及附加</t>
  </si>
  <si>
    <t>20.9开票增值税及附加</t>
  </si>
  <si>
    <t>14.1次</t>
  </si>
  <si>
    <t>20.9开票企税2%</t>
  </si>
  <si>
    <t>20.9开票异地未交水利基金</t>
  </si>
  <si>
    <t>20.9开票管理费</t>
  </si>
  <si>
    <t>20.8开票企税2%</t>
  </si>
  <si>
    <t>20.8开票异地未交水利基金</t>
  </si>
  <si>
    <t>20.8开票管理费(分二笔计算）</t>
  </si>
  <si>
    <t>20.6开票企税2%</t>
  </si>
  <si>
    <t>20.6开票水利基金</t>
  </si>
  <si>
    <t>20.6开票管理费0.5%</t>
  </si>
  <si>
    <t>20.4开票水利基金</t>
  </si>
  <si>
    <t>20.4开票企税2%</t>
  </si>
  <si>
    <t>20.4开票管理费0.5%</t>
  </si>
  <si>
    <t>19.12开票水利基金</t>
  </si>
  <si>
    <t>19.12开票增值税及附加</t>
  </si>
  <si>
    <t>工程款中待扣</t>
  </si>
  <si>
    <t>18年5月开票扣税</t>
  </si>
  <si>
    <t>18年8月开票扣税</t>
  </si>
  <si>
    <t>19年1月开票扣税（没扣）</t>
  </si>
  <si>
    <t>19.1月10月开票扣税</t>
  </si>
  <si>
    <t>19.12退税</t>
  </si>
  <si>
    <t>20.12开票税金</t>
  </si>
  <si>
    <t xml:space="preserve"> </t>
  </si>
  <si>
    <t xml:space="preserve"> 顾用周(桥梁工程)</t>
  </si>
  <si>
    <t>曹济坪(沙石)</t>
  </si>
  <si>
    <t>张超(沙石)</t>
  </si>
  <si>
    <t>杨东海(土方)</t>
  </si>
  <si>
    <t>张建强(车队)</t>
  </si>
  <si>
    <t>缪向阳(项目部)</t>
  </si>
  <si>
    <t>张秋仰(挖 机)</t>
  </si>
  <si>
    <t>冠县辰竣交通设施有限公司（钢护栏）</t>
  </si>
  <si>
    <t>谢慈焕</t>
  </si>
  <si>
    <t>（路沿石材料款）</t>
  </si>
  <si>
    <t>4月15日-4月27日施培庆500/天共16天共计8000元，笪文强400/天13天共计5200元，合计13200元。</t>
  </si>
  <si>
    <t>5月11日-5月28 共18天施培庆500/天共9000，笪文强 18天400/天共7200， 合计16200</t>
  </si>
  <si>
    <t>代垫</t>
  </si>
  <si>
    <t>2021.5.12丰顺-广州施陪庆、笪文强拼车费</t>
  </si>
  <si>
    <t>项目资料打印费</t>
  </si>
  <si>
    <t xml:space="preserve"> 
2021.4.27招待罗志军餐费150；2021.5.16招待罗志军餐费220；</t>
  </si>
  <si>
    <t>2021.4.18-4.27早餐施陪庆、笪文强2人*20*7天=280 2021.4.27-4.29早餐施陪庆20*1人*3天=60 2021.18.24.25施陪庆、笪文强70*2人*3天=420 2021.5.11-5.28施陪庆、笪文强20*2人*17天=680 2021.5.11-5.28周末餐70*2人*5天=700</t>
  </si>
  <si>
    <t xml:space="preserve"> 
2021.4.27笪文强飞机丰顺-合肥466元 2021.4.29施陪庆飞机丰顺-合肥-丰顺754元 2021.5.11施陪庆、笪文强飞机合肥-丰顺1428元 2021.5.28笪文强广州-合肥高铁593 2021.5.26施陪庆火车丰顺-武昌286.5 市内车费187.8，住宿费251，机票快递费20，拼车车费250，去项目上汽车加油378.52</t>
  </si>
  <si>
    <t>2021.4.22因丰顺项目诉讼，丰顺法院约谈项目经理王利学。王利学从山东前往广东丰顺，期间费用为自驾车，发票用加油票代替。费用报销后直接付王利学本人。</t>
  </si>
  <si>
    <t>诉讼案件付给王利学出庭费用</t>
  </si>
  <si>
    <t>3.2-3.3施培庆、朱大金项目扫尾会议差旅费</t>
  </si>
  <si>
    <t>21.2.1开票企税2%</t>
  </si>
  <si>
    <t>21.2.1开票异地未交水利基金</t>
  </si>
  <si>
    <t>21.2.1开票增值税及附加</t>
  </si>
  <si>
    <t>公司派员驻地G206丰顺四标段项目费用结算明细，详见附表</t>
  </si>
  <si>
    <t>公司代缴7人代开发票的税金</t>
  </si>
  <si>
    <t>21.2.1开票税金</t>
  </si>
  <si>
    <t>ERP期初留抵</t>
  </si>
  <si>
    <t>备注：ERP前期补录时，增值税及附加计算模块产生增值税期末末结清582610.44元，实际税款已在工程款中代扣，而且还有期初留抵是23008.85+1598.6=24607.45，所以在系统中调整增值税及附加期初数为24607.45+24607.45*0.12=27560.34元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</si>
</sst>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yy/m/d;@"/>
    <numFmt numFmtId="178" formatCode="0_ "/>
    <numFmt numFmtId="179" formatCode="#,##0.00_ "/>
    <numFmt numFmtId="180" formatCode="yyyy&quot;年&quot;m&quot;月&quot;;@"/>
    <numFmt numFmtId="181" formatCode="#,##0_ "/>
    <numFmt numFmtId="182" formatCode="0.0000_ "/>
  </numFmts>
  <fonts count="3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color rgb="FFFF0000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27" fillId="28" borderId="8" applyNumberFormat="0" applyAlignment="0" applyProtection="0">
      <alignment vertical="center"/>
    </xf>
    <xf numFmtId="0" fontId="29" fillId="29" borderId="10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34" fillId="0" borderId="0">
      <protection locked="0"/>
    </xf>
  </cellStyleXfs>
  <cellXfs count="270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Border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179" fontId="4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3" borderId="2" xfId="11" applyFont="1" applyFill="1" applyBorder="1" applyAlignment="1">
      <alignment horizontal="center" vertical="center"/>
    </xf>
    <xf numFmtId="176" fontId="1" fillId="4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58" fontId="1" fillId="0" borderId="2" xfId="0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horizontal="center" vertical="center"/>
    </xf>
    <xf numFmtId="9" fontId="1" fillId="3" borderId="2" xfId="11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vertical="center"/>
    </xf>
    <xf numFmtId="9" fontId="1" fillId="5" borderId="2" xfId="11" applyNumberFormat="1" applyFont="1" applyFill="1" applyBorder="1" applyAlignment="1">
      <alignment horizontal="center" vertical="center"/>
    </xf>
    <xf numFmtId="176" fontId="1" fillId="5" borderId="2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181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9" fontId="2" fillId="3" borderId="2" xfId="11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9" fontId="2" fillId="4" borderId="2" xfId="1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10" fontId="7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9" fontId="2" fillId="5" borderId="2" xfId="11" applyNumberFormat="1" applyFont="1" applyFill="1" applyBorder="1" applyAlignment="1">
      <alignment horizontal="center" vertical="center"/>
    </xf>
    <xf numFmtId="176" fontId="1" fillId="6" borderId="2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176" fontId="4" fillId="7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9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82" fontId="4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82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vertical="center"/>
    </xf>
    <xf numFmtId="178" fontId="4" fillId="2" borderId="2" xfId="0" applyNumberFormat="1" applyFont="1" applyFill="1" applyBorder="1" applyAlignment="1">
      <alignment horizontal="center" vertical="center"/>
    </xf>
    <xf numFmtId="178" fontId="4" fillId="7" borderId="2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/>
    </xf>
    <xf numFmtId="178" fontId="12" fillId="0" borderId="3" xfId="0" applyNumberFormat="1" applyFont="1" applyBorder="1" applyAlignment="1">
      <alignment horizontal="center" vertical="center"/>
    </xf>
    <xf numFmtId="178" fontId="12" fillId="0" borderId="4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10" fillId="7" borderId="2" xfId="0" applyNumberFormat="1" applyFont="1" applyFill="1" applyBorder="1" applyAlignment="1">
      <alignment horizontal="center" vertical="center"/>
    </xf>
    <xf numFmtId="178" fontId="11" fillId="7" borderId="3" xfId="0" applyNumberFormat="1" applyFont="1" applyFill="1" applyBorder="1" applyAlignment="1">
      <alignment horizontal="center" vertical="center"/>
    </xf>
    <xf numFmtId="178" fontId="11" fillId="7" borderId="4" xfId="0" applyNumberFormat="1" applyFont="1" applyFill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8" fontId="2" fillId="7" borderId="2" xfId="0" applyNumberFormat="1" applyFont="1" applyFill="1" applyBorder="1" applyAlignment="1">
      <alignment horizontal="center" vertical="center"/>
    </xf>
    <xf numFmtId="178" fontId="4" fillId="7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4" fillId="8" borderId="2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178" fontId="2" fillId="8" borderId="2" xfId="0" applyNumberFormat="1" applyFont="1" applyFill="1" applyBorder="1" applyAlignment="1">
      <alignment horizontal="center" vertical="center"/>
    </xf>
    <xf numFmtId="178" fontId="4" fillId="7" borderId="5" xfId="0" applyNumberFormat="1" applyFont="1" applyFill="1" applyBorder="1" applyAlignment="1">
      <alignment horizontal="center" vertical="center"/>
    </xf>
    <xf numFmtId="178" fontId="12" fillId="7" borderId="2" xfId="0" applyNumberFormat="1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/>
    </xf>
    <xf numFmtId="0" fontId="2" fillId="7" borderId="0" xfId="0" applyFont="1" applyFill="1" applyBorder="1" applyAlignment="1">
      <alignment vertical="center"/>
    </xf>
    <xf numFmtId="10" fontId="1" fillId="0" borderId="2" xfId="0" applyNumberFormat="1" applyFont="1" applyBorder="1" applyAlignment="1">
      <alignment vertical="center"/>
    </xf>
    <xf numFmtId="10" fontId="1" fillId="0" borderId="2" xfId="0" applyNumberFormat="1" applyFont="1" applyFill="1" applyBorder="1" applyAlignment="1">
      <alignment vertical="center"/>
    </xf>
    <xf numFmtId="180" fontId="1" fillId="6" borderId="2" xfId="0" applyNumberFormat="1" applyFont="1" applyFill="1" applyBorder="1" applyAlignment="1">
      <alignment horizontal="center" vertical="center"/>
    </xf>
    <xf numFmtId="176" fontId="1" fillId="6" borderId="2" xfId="0" applyNumberFormat="1" applyFont="1" applyFill="1" applyBorder="1" applyAlignment="1">
      <alignment vertical="center"/>
    </xf>
    <xf numFmtId="181" fontId="1" fillId="6" borderId="2" xfId="0" applyNumberFormat="1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horizontal="center" vertical="center"/>
    </xf>
    <xf numFmtId="9" fontId="1" fillId="6" borderId="2" xfId="11" applyNumberFormat="1" applyFont="1" applyFill="1" applyBorder="1" applyAlignment="1">
      <alignment horizontal="center" vertical="center"/>
    </xf>
    <xf numFmtId="177" fontId="1" fillId="6" borderId="2" xfId="0" applyNumberFormat="1" applyFont="1" applyFill="1" applyBorder="1" applyAlignment="1">
      <alignment horizontal="center" vertical="center"/>
    </xf>
    <xf numFmtId="180" fontId="2" fillId="7" borderId="2" xfId="0" applyNumberFormat="1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vertical="center"/>
    </xf>
    <xf numFmtId="181" fontId="2" fillId="7" borderId="2" xfId="0" applyNumberFormat="1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horizontal="center" vertical="center"/>
    </xf>
    <xf numFmtId="9" fontId="1" fillId="7" borderId="2" xfId="11" applyNumberFormat="1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10" fontId="1" fillId="6" borderId="2" xfId="0" applyNumberFormat="1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1" fillId="6" borderId="0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10" fontId="1" fillId="7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vertical="center"/>
    </xf>
    <xf numFmtId="176" fontId="5" fillId="4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0" fontId="8" fillId="2" borderId="2" xfId="0" applyNumberFormat="1" applyFont="1" applyFill="1" applyBorder="1" applyAlignment="1">
      <alignment horizontal="center" vertical="center"/>
    </xf>
    <xf numFmtId="176" fontId="8" fillId="9" borderId="2" xfId="0" applyNumberFormat="1" applyFont="1" applyFill="1" applyBorder="1" applyAlignment="1">
      <alignment horizontal="center" vertical="center"/>
    </xf>
    <xf numFmtId="10" fontId="1" fillId="6" borderId="2" xfId="0" applyNumberFormat="1" applyFont="1" applyFill="1" applyBorder="1" applyAlignment="1">
      <alignment horizontal="center" vertical="center"/>
    </xf>
    <xf numFmtId="176" fontId="1" fillId="4" borderId="3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Alignment="1">
      <alignment vertical="center"/>
    </xf>
    <xf numFmtId="10" fontId="2" fillId="0" borderId="0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horizontal="left" vertical="center"/>
    </xf>
    <xf numFmtId="176" fontId="2" fillId="0" borderId="2" xfId="0" applyNumberFormat="1" applyFont="1" applyFill="1" applyBorder="1" applyAlignment="1">
      <alignment vertical="center"/>
    </xf>
    <xf numFmtId="176" fontId="1" fillId="10" borderId="2" xfId="0" applyNumberFormat="1" applyFont="1" applyFill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6" fontId="2" fillId="10" borderId="2" xfId="0" applyNumberFormat="1" applyFont="1" applyFill="1" applyBorder="1" applyAlignment="1">
      <alignment vertical="center"/>
    </xf>
    <xf numFmtId="177" fontId="2" fillId="8" borderId="2" xfId="0" applyNumberFormat="1" applyFont="1" applyFill="1" applyBorder="1" applyAlignment="1">
      <alignment horizontal="center" vertical="center"/>
    </xf>
    <xf numFmtId="177" fontId="5" fillId="8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0" fontId="5" fillId="2" borderId="2" xfId="0" applyNumberFormat="1" applyFont="1" applyFill="1" applyBorder="1" applyAlignment="1">
      <alignment vertical="center"/>
    </xf>
    <xf numFmtId="10" fontId="1" fillId="2" borderId="2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0" fontId="2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0" fontId="2" fillId="11" borderId="2" xfId="0" applyNumberFormat="1" applyFont="1" applyFill="1" applyBorder="1" applyAlignment="1">
      <alignment vertical="center"/>
    </xf>
    <xf numFmtId="0" fontId="2" fillId="11" borderId="2" xfId="0" applyFont="1" applyFill="1" applyBorder="1" applyAlignment="1">
      <alignment vertical="center"/>
    </xf>
    <xf numFmtId="10" fontId="7" fillId="0" borderId="2" xfId="0" applyNumberFormat="1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vertical="center"/>
    </xf>
    <xf numFmtId="176" fontId="8" fillId="8" borderId="2" xfId="0" applyNumberFormat="1" applyFont="1" applyFill="1" applyBorder="1" applyAlignment="1">
      <alignment vertical="center"/>
    </xf>
    <xf numFmtId="0" fontId="2" fillId="8" borderId="2" xfId="0" applyFont="1" applyFill="1" applyBorder="1" applyAlignment="1">
      <alignment horizontal="center" vertical="center"/>
    </xf>
    <xf numFmtId="10" fontId="7" fillId="8" borderId="2" xfId="0" applyNumberFormat="1" applyFont="1" applyFill="1" applyBorder="1" applyAlignment="1">
      <alignment vertical="center"/>
    </xf>
    <xf numFmtId="176" fontId="6" fillId="8" borderId="2" xfId="0" applyNumberFormat="1" applyFont="1" applyFill="1" applyBorder="1" applyAlignment="1">
      <alignment vertical="center"/>
    </xf>
    <xf numFmtId="0" fontId="5" fillId="8" borderId="2" xfId="0" applyFont="1" applyFill="1" applyBorder="1" applyAlignment="1">
      <alignment horizontal="center" vertical="center"/>
    </xf>
    <xf numFmtId="10" fontId="5" fillId="8" borderId="2" xfId="0" applyNumberFormat="1" applyFont="1" applyFill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10" fontId="6" fillId="8" borderId="2" xfId="0" applyNumberFormat="1" applyFont="1" applyFill="1" applyBorder="1" applyAlignment="1">
      <alignment vertical="center"/>
    </xf>
    <xf numFmtId="176" fontId="13" fillId="8" borderId="2" xfId="0" applyNumberFormat="1" applyFont="1" applyFill="1" applyBorder="1" applyAlignment="1">
      <alignment vertical="center"/>
    </xf>
    <xf numFmtId="10" fontId="13" fillId="8" borderId="2" xfId="0" applyNumberFormat="1" applyFont="1" applyFill="1" applyBorder="1" applyAlignment="1">
      <alignment vertical="center"/>
    </xf>
    <xf numFmtId="10" fontId="8" fillId="8" borderId="2" xfId="0" applyNumberFormat="1" applyFont="1" applyFill="1" applyBorder="1" applyAlignment="1">
      <alignment vertical="center"/>
    </xf>
    <xf numFmtId="176" fontId="13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0" fontId="13" fillId="2" borderId="2" xfId="0" applyNumberFormat="1" applyFont="1" applyFill="1" applyBorder="1" applyAlignment="1">
      <alignment vertical="center"/>
    </xf>
    <xf numFmtId="176" fontId="6" fillId="2" borderId="2" xfId="0" applyNumberFormat="1" applyFont="1" applyFill="1" applyBorder="1" applyAlignment="1">
      <alignment vertical="center"/>
    </xf>
    <xf numFmtId="0" fontId="1" fillId="8" borderId="2" xfId="0" applyFont="1" applyFill="1" applyBorder="1" applyAlignment="1">
      <alignment horizontal="center" vertical="center"/>
    </xf>
    <xf numFmtId="10" fontId="8" fillId="8" borderId="2" xfId="0" applyNumberFormat="1" applyFont="1" applyFill="1" applyBorder="1" applyAlignment="1">
      <alignment vertical="center" wrapText="1"/>
    </xf>
    <xf numFmtId="10" fontId="2" fillId="8" borderId="2" xfId="0" applyNumberFormat="1" applyFont="1" applyFill="1" applyBorder="1" applyAlignment="1">
      <alignment vertical="center"/>
    </xf>
    <xf numFmtId="176" fontId="2" fillId="8" borderId="2" xfId="0" applyNumberFormat="1" applyFont="1" applyFill="1" applyBorder="1" applyAlignment="1">
      <alignment vertical="center"/>
    </xf>
    <xf numFmtId="0" fontId="2" fillId="8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0" fontId="5" fillId="0" borderId="2" xfId="0" applyNumberFormat="1" applyFont="1" applyFill="1" applyBorder="1" applyAlignment="1">
      <alignment vertical="center"/>
    </xf>
    <xf numFmtId="176" fontId="1" fillId="10" borderId="3" xfId="0" applyNumberFormat="1" applyFont="1" applyFill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176" fontId="4" fillId="7" borderId="2" xfId="0" applyNumberFormat="1" applyFont="1" applyFill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176" fontId="2" fillId="7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10" fontId="4" fillId="0" borderId="2" xfId="0" applyNumberFormat="1" applyFont="1" applyBorder="1" applyAlignment="1">
      <alignment vertical="center"/>
    </xf>
    <xf numFmtId="10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8" borderId="2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10" fontId="8" fillId="2" borderId="2" xfId="0" applyNumberFormat="1" applyFont="1" applyFill="1" applyBorder="1" applyAlignment="1">
      <alignment vertical="center"/>
    </xf>
    <xf numFmtId="10" fontId="8" fillId="2" borderId="2" xfId="0" applyNumberFormat="1" applyFont="1" applyFill="1" applyBorder="1" applyAlignment="1">
      <alignment vertical="center" wrapText="1"/>
    </xf>
    <xf numFmtId="176" fontId="8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0" fontId="6" fillId="2" borderId="2" xfId="0" applyNumberFormat="1" applyFont="1" applyFill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0" fontId="7" fillId="2" borderId="2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176" fontId="2" fillId="2" borderId="5" xfId="0" applyNumberFormat="1" applyFont="1" applyFill="1" applyBorder="1" applyAlignment="1">
      <alignment vertical="center"/>
    </xf>
    <xf numFmtId="10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286</xdr:row>
      <xdr:rowOff>0</xdr:rowOff>
    </xdr:from>
    <xdr:to>
      <xdr:col>18</xdr:col>
      <xdr:colOff>1022985</xdr:colOff>
      <xdr:row>318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54880" y="65890775"/>
          <a:ext cx="13249275" cy="4848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.xml"/><Relationship Id="rId1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8"/>
  <sheetViews>
    <sheetView topLeftCell="A97" workbookViewId="0">
      <selection activeCell="N145" sqref="N145:O145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/>
    <col min="16" max="16" width="9.63333333333333" style="14"/>
    <col min="17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/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>G7/(1+C7+E7)</f>
        <v>4636363.63636364</v>
      </c>
      <c r="C7" s="33">
        <v>0.02</v>
      </c>
      <c r="D7" s="188">
        <f>G7/(1+E7+C7)*C7</f>
        <v>92727.2727272727</v>
      </c>
      <c r="E7" s="33">
        <v>0.08</v>
      </c>
      <c r="F7" s="32">
        <f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ref="B8:B18" si="0">G8/(1+C8+E8)</f>
        <v>3745454.54545454</v>
      </c>
      <c r="C8" s="33">
        <v>0.02</v>
      </c>
      <c r="D8" s="188">
        <f t="shared" ref="D8:D18" si="1">G8/(1+E8+C8)*C8</f>
        <v>74909.0909090909</v>
      </c>
      <c r="E8" s="33">
        <v>0.08</v>
      </c>
      <c r="F8" s="32">
        <f t="shared" ref="F8:F18" si="2">G8/(1+C8+E8)*E8</f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/>
      <c r="B13" s="32">
        <f t="shared" si="0"/>
        <v>0</v>
      </c>
      <c r="C13" s="33">
        <v>0.02</v>
      </c>
      <c r="D13" s="188">
        <f t="shared" si="1"/>
        <v>0</v>
      </c>
      <c r="E13" s="33"/>
      <c r="F13" s="32">
        <f t="shared" si="2"/>
        <v>0</v>
      </c>
      <c r="G13" s="189"/>
      <c r="H13" s="31">
        <v>43767</v>
      </c>
      <c r="I13" s="32">
        <v>850000</v>
      </c>
      <c r="J13" s="40" t="s">
        <v>21</v>
      </c>
    </row>
    <row r="14" ht="18" customHeight="1" spans="1:10">
      <c r="A14" s="31"/>
      <c r="B14" s="32">
        <f t="shared" si="0"/>
        <v>0</v>
      </c>
      <c r="C14" s="33"/>
      <c r="D14" s="188">
        <f t="shared" si="1"/>
        <v>0</v>
      </c>
      <c r="E14" s="33"/>
      <c r="F14" s="32">
        <f t="shared" si="2"/>
        <v>0</v>
      </c>
      <c r="G14" s="189"/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195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>
        <f t="shared" si="0"/>
        <v>0</v>
      </c>
      <c r="C18" s="33"/>
      <c r="D18" s="188">
        <f t="shared" si="1"/>
        <v>0</v>
      </c>
      <c r="E18" s="33"/>
      <c r="F18" s="32">
        <f t="shared" si="2"/>
        <v>0</v>
      </c>
      <c r="G18" s="189"/>
      <c r="H18" s="31"/>
      <c r="I18" s="32"/>
      <c r="J18" s="40"/>
    </row>
    <row r="19" ht="18" customHeight="1" spans="1:10">
      <c r="A19" s="37" t="s">
        <v>22</v>
      </c>
      <c r="B19" s="38">
        <f>SUM(B7:B18)</f>
        <v>25684570.4753962</v>
      </c>
      <c r="C19" s="39"/>
      <c r="D19" s="190">
        <f>SUM(D7:D18)</f>
        <v>513691.409507923</v>
      </c>
      <c r="E19" s="39"/>
      <c r="F19" s="190">
        <f>SUM(F7:F18)</f>
        <v>1921738.11509591</v>
      </c>
      <c r="G19" s="190">
        <f>SUM(G7:G18)</f>
        <v>28120000</v>
      </c>
      <c r="H19" s="191"/>
      <c r="I19" s="190">
        <f>SUM(I7:I18)</f>
        <v>28120000</v>
      </c>
      <c r="J19" s="191"/>
    </row>
    <row r="20" ht="18" customHeight="1" spans="1:12">
      <c r="A20" s="6" t="s">
        <v>23</v>
      </c>
      <c r="J20" s="8"/>
      <c r="K20" s="8"/>
      <c r="L20" s="186"/>
    </row>
    <row r="21" ht="18" customHeight="1" spans="1:15">
      <c r="A21" s="41" t="s">
        <v>24</v>
      </c>
      <c r="B21" s="28" t="s">
        <v>25</v>
      </c>
      <c r="C21" s="27" t="s">
        <v>26</v>
      </c>
      <c r="D21" s="27" t="s">
        <v>27</v>
      </c>
      <c r="E21" s="27" t="s">
        <v>15</v>
      </c>
      <c r="F21" s="28" t="s">
        <v>28</v>
      </c>
      <c r="G21" s="28" t="s">
        <v>13</v>
      </c>
      <c r="H21" s="27" t="s">
        <v>29</v>
      </c>
      <c r="I21" s="28" t="s">
        <v>30</v>
      </c>
      <c r="J21" s="27" t="s">
        <v>19</v>
      </c>
      <c r="K21" s="54" t="s">
        <v>31</v>
      </c>
      <c r="L21" s="30" t="s">
        <v>32</v>
      </c>
      <c r="M21" s="30" t="s">
        <v>33</v>
      </c>
      <c r="N21" s="30" t="s">
        <v>34</v>
      </c>
      <c r="O21" s="30" t="s">
        <v>35</v>
      </c>
    </row>
    <row r="22" s="1" customFormat="1" ht="18" customHeight="1" spans="1:15">
      <c r="A22" s="43">
        <v>43070</v>
      </c>
      <c r="B22" s="25">
        <f>ROUND(G22/(1+E22),2)</f>
        <v>2830.19</v>
      </c>
      <c r="C22" s="44"/>
      <c r="D22" s="45" t="s">
        <v>36</v>
      </c>
      <c r="E22" s="46">
        <v>0.06</v>
      </c>
      <c r="F22" s="25">
        <f>ROUND(G22/(1+E22)*E22,2)</f>
        <v>169.81</v>
      </c>
      <c r="G22" s="189">
        <v>3000</v>
      </c>
      <c r="H22" s="31"/>
      <c r="I22" s="32"/>
      <c r="J22" s="40"/>
      <c r="K22" s="147" t="s">
        <v>37</v>
      </c>
      <c r="L22" s="60" t="s">
        <v>38</v>
      </c>
      <c r="M22" s="61"/>
      <c r="N22" s="61"/>
      <c r="O22" s="60"/>
    </row>
    <row r="23" s="1" customFormat="1" ht="18" customHeight="1" spans="1:15">
      <c r="A23" s="43">
        <v>43071</v>
      </c>
      <c r="B23" s="25">
        <f t="shared" ref="B23:B57" si="3">ROUND(G23/(1+E23),2)</f>
        <v>3000</v>
      </c>
      <c r="C23" s="44"/>
      <c r="D23" s="45" t="s">
        <v>39</v>
      </c>
      <c r="E23" s="46"/>
      <c r="F23" s="25">
        <f t="shared" ref="F23:F57" si="4">ROUND(G23/(1+E23)*E23,2)</f>
        <v>0</v>
      </c>
      <c r="G23" s="189">
        <v>3000</v>
      </c>
      <c r="H23" s="31"/>
      <c r="I23" s="32"/>
      <c r="J23" s="40"/>
      <c r="K23" s="147"/>
      <c r="L23" s="60" t="s">
        <v>38</v>
      </c>
      <c r="M23" s="61"/>
      <c r="N23" s="61"/>
      <c r="O23" s="60"/>
    </row>
    <row r="24" s="1" customFormat="1" ht="18" customHeight="1" spans="1:15">
      <c r="A24" s="43">
        <v>43072</v>
      </c>
      <c r="B24" s="25">
        <f t="shared" si="3"/>
        <v>12824.53</v>
      </c>
      <c r="C24" s="44"/>
      <c r="D24" s="45" t="s">
        <v>36</v>
      </c>
      <c r="E24" s="46">
        <v>0.06</v>
      </c>
      <c r="F24" s="25">
        <f t="shared" si="4"/>
        <v>769.47</v>
      </c>
      <c r="G24" s="189">
        <v>13594</v>
      </c>
      <c r="H24" s="31"/>
      <c r="I24" s="32"/>
      <c r="J24" s="40"/>
      <c r="K24" s="147" t="s">
        <v>40</v>
      </c>
      <c r="L24" s="60" t="s">
        <v>41</v>
      </c>
      <c r="M24" s="61"/>
      <c r="N24" s="61"/>
      <c r="O24" s="60"/>
    </row>
    <row r="25" s="1" customFormat="1" ht="18" customHeight="1" spans="1:15">
      <c r="A25" s="43">
        <v>43073</v>
      </c>
      <c r="B25" s="25">
        <f t="shared" si="3"/>
        <v>1206</v>
      </c>
      <c r="C25" s="44"/>
      <c r="D25" s="45" t="s">
        <v>39</v>
      </c>
      <c r="E25" s="46"/>
      <c r="F25" s="25">
        <f t="shared" si="4"/>
        <v>0</v>
      </c>
      <c r="G25" s="189">
        <v>1206</v>
      </c>
      <c r="H25" s="31"/>
      <c r="I25" s="32"/>
      <c r="J25" s="40"/>
      <c r="K25" s="147"/>
      <c r="L25" s="60" t="s">
        <v>42</v>
      </c>
      <c r="M25" s="61"/>
      <c r="N25" s="61"/>
      <c r="O25" s="60"/>
    </row>
    <row r="26" s="1" customFormat="1" ht="18" customHeight="1" spans="1:15">
      <c r="A26" s="43">
        <v>43074</v>
      </c>
      <c r="B26" s="25">
        <f t="shared" si="3"/>
        <v>13191.34</v>
      </c>
      <c r="C26" s="44"/>
      <c r="D26" s="45" t="s">
        <v>39</v>
      </c>
      <c r="E26" s="46"/>
      <c r="F26" s="25">
        <f t="shared" si="4"/>
        <v>0</v>
      </c>
      <c r="G26" s="189">
        <v>13191.34</v>
      </c>
      <c r="H26" s="31"/>
      <c r="I26" s="32"/>
      <c r="J26" s="40"/>
      <c r="K26" s="147"/>
      <c r="L26" s="60" t="s">
        <v>43</v>
      </c>
      <c r="M26" s="61"/>
      <c r="N26" s="61"/>
      <c r="O26" s="60"/>
    </row>
    <row r="27" s="1" customFormat="1" ht="18" customHeight="1" spans="1:15">
      <c r="A27" s="43">
        <v>43149</v>
      </c>
      <c r="B27" s="25">
        <f t="shared" ref="B27" si="5">ROUND(G27/(1+E27),2)</f>
        <v>1924.53</v>
      </c>
      <c r="C27" s="44"/>
      <c r="D27" s="45" t="s">
        <v>36</v>
      </c>
      <c r="E27" s="46">
        <v>0.06</v>
      </c>
      <c r="F27" s="25">
        <f t="shared" si="4"/>
        <v>115.47</v>
      </c>
      <c r="G27" s="189">
        <v>2040</v>
      </c>
      <c r="H27" s="31"/>
      <c r="I27" s="32"/>
      <c r="J27" s="40"/>
      <c r="K27" s="147" t="s">
        <v>40</v>
      </c>
      <c r="L27" s="60" t="s">
        <v>41</v>
      </c>
      <c r="M27" s="61"/>
      <c r="N27" s="61"/>
      <c r="O27" s="60"/>
    </row>
    <row r="28" s="1" customFormat="1" ht="18" customHeight="1" spans="1:15">
      <c r="A28" s="43">
        <v>43177</v>
      </c>
      <c r="B28" s="25">
        <f t="shared" si="3"/>
        <v>2830.19</v>
      </c>
      <c r="C28" s="44"/>
      <c r="D28" s="45" t="s">
        <v>36</v>
      </c>
      <c r="E28" s="46">
        <v>0.06</v>
      </c>
      <c r="F28" s="25">
        <f t="shared" si="4"/>
        <v>169.81</v>
      </c>
      <c r="G28" s="189">
        <v>3000</v>
      </c>
      <c r="H28" s="31"/>
      <c r="I28" s="32"/>
      <c r="J28" s="40"/>
      <c r="K28" s="147" t="s">
        <v>44</v>
      </c>
      <c r="L28" s="60" t="s">
        <v>45</v>
      </c>
      <c r="M28" s="61"/>
      <c r="N28" s="61"/>
      <c r="O28" s="60"/>
    </row>
    <row r="29" s="1" customFormat="1" ht="18" customHeight="1" spans="1:15">
      <c r="A29" s="43">
        <v>43178</v>
      </c>
      <c r="B29" s="25">
        <f t="shared" si="3"/>
        <v>12529.12</v>
      </c>
      <c r="C29" s="44"/>
      <c r="D29" s="45" t="s">
        <v>39</v>
      </c>
      <c r="E29" s="46"/>
      <c r="F29" s="25">
        <f t="shared" si="4"/>
        <v>0</v>
      </c>
      <c r="G29" s="189">
        <v>12529.12</v>
      </c>
      <c r="H29" s="31"/>
      <c r="I29" s="32"/>
      <c r="J29" s="40"/>
      <c r="K29" s="147"/>
      <c r="L29" s="60" t="s">
        <v>46</v>
      </c>
      <c r="M29" s="61"/>
      <c r="N29" s="61"/>
      <c r="O29" s="60"/>
    </row>
    <row r="30" s="1" customFormat="1" ht="18" customHeight="1" spans="1:15">
      <c r="A30" s="43">
        <v>43177</v>
      </c>
      <c r="B30" s="25">
        <f t="shared" si="3"/>
        <v>7575</v>
      </c>
      <c r="C30" s="44"/>
      <c r="D30" s="45" t="s">
        <v>39</v>
      </c>
      <c r="E30" s="46"/>
      <c r="F30" s="25">
        <f t="shared" si="4"/>
        <v>0</v>
      </c>
      <c r="G30" s="189">
        <v>7575</v>
      </c>
      <c r="H30" s="31"/>
      <c r="I30" s="32"/>
      <c r="J30" s="40"/>
      <c r="K30" s="147"/>
      <c r="L30" s="60" t="s">
        <v>46</v>
      </c>
      <c r="M30" s="61"/>
      <c r="N30" s="61"/>
      <c r="O30" s="60"/>
    </row>
    <row r="31" s="1" customFormat="1" ht="18" customHeight="1" spans="1:15">
      <c r="A31" s="43">
        <v>43238</v>
      </c>
      <c r="B31" s="25">
        <f t="shared" si="3"/>
        <v>4396551.72</v>
      </c>
      <c r="C31" s="44"/>
      <c r="D31" s="45" t="s">
        <v>36</v>
      </c>
      <c r="E31" s="46">
        <v>0.16</v>
      </c>
      <c r="F31" s="25">
        <f t="shared" si="4"/>
        <v>703448.28</v>
      </c>
      <c r="G31" s="189">
        <v>5100000</v>
      </c>
      <c r="H31" s="31">
        <v>43251</v>
      </c>
      <c r="I31" s="32">
        <v>2500000</v>
      </c>
      <c r="J31" s="40" t="s">
        <v>20</v>
      </c>
      <c r="K31" s="147" t="s">
        <v>47</v>
      </c>
      <c r="L31" s="60" t="s">
        <v>48</v>
      </c>
      <c r="M31" s="61"/>
      <c r="N31" s="61"/>
      <c r="O31" s="60"/>
    </row>
    <row r="32" s="1" customFormat="1" ht="18" customHeight="1" spans="1:15">
      <c r="A32" s="43"/>
      <c r="B32" s="25">
        <f t="shared" si="3"/>
        <v>0</v>
      </c>
      <c r="C32" s="44"/>
      <c r="D32" s="45"/>
      <c r="E32" s="46"/>
      <c r="F32" s="25">
        <f t="shared" si="4"/>
        <v>0</v>
      </c>
      <c r="G32" s="189"/>
      <c r="H32" s="31" t="s">
        <v>49</v>
      </c>
      <c r="I32" s="32">
        <v>2530768</v>
      </c>
      <c r="J32" s="40" t="s">
        <v>20</v>
      </c>
      <c r="K32" s="147" t="s">
        <v>47</v>
      </c>
      <c r="L32" s="60"/>
      <c r="M32" s="61"/>
      <c r="N32" s="61"/>
      <c r="O32" s="60"/>
    </row>
    <row r="33" s="1" customFormat="1" ht="18" customHeight="1" spans="1:15">
      <c r="A33" s="43"/>
      <c r="B33" s="25">
        <f t="shared" si="3"/>
        <v>0</v>
      </c>
      <c r="C33" s="44"/>
      <c r="D33" s="45"/>
      <c r="E33" s="46"/>
      <c r="F33" s="25">
        <f t="shared" si="4"/>
        <v>0</v>
      </c>
      <c r="G33" s="189"/>
      <c r="H33" s="31" t="s">
        <v>49</v>
      </c>
      <c r="I33" s="32">
        <v>69232</v>
      </c>
      <c r="J33" s="40" t="s">
        <v>20</v>
      </c>
      <c r="K33" s="147" t="s">
        <v>47</v>
      </c>
      <c r="L33" s="60"/>
      <c r="M33" s="61"/>
      <c r="N33" s="61"/>
      <c r="O33" s="60"/>
    </row>
    <row r="34" s="1" customFormat="1" ht="18" customHeight="1" spans="1:15">
      <c r="A34" s="43"/>
      <c r="B34" s="25">
        <f t="shared" si="3"/>
        <v>0</v>
      </c>
      <c r="C34" s="44"/>
      <c r="D34" s="45"/>
      <c r="E34" s="46"/>
      <c r="F34" s="25">
        <f t="shared" si="4"/>
        <v>0</v>
      </c>
      <c r="G34" s="189"/>
      <c r="H34" s="31">
        <v>43252</v>
      </c>
      <c r="I34" s="32">
        <v>-29323</v>
      </c>
      <c r="J34" s="40" t="s">
        <v>21</v>
      </c>
      <c r="K34" s="147" t="s">
        <v>50</v>
      </c>
      <c r="L34" s="60"/>
      <c r="M34" s="61"/>
      <c r="N34" s="61"/>
      <c r="O34" s="60"/>
    </row>
    <row r="35" s="1" customFormat="1" ht="18" customHeight="1" spans="1:15">
      <c r="A35" s="43"/>
      <c r="B35" s="25">
        <f t="shared" si="3"/>
        <v>0</v>
      </c>
      <c r="C35" s="44"/>
      <c r="D35" s="45"/>
      <c r="E35" s="46"/>
      <c r="F35" s="25">
        <f t="shared" si="4"/>
        <v>0</v>
      </c>
      <c r="G35" s="189"/>
      <c r="H35" s="31">
        <v>43255</v>
      </c>
      <c r="I35" s="32">
        <v>-39909</v>
      </c>
      <c r="J35" s="40" t="s">
        <v>21</v>
      </c>
      <c r="K35" s="147" t="s">
        <v>50</v>
      </c>
      <c r="L35" s="60"/>
      <c r="M35" s="61"/>
      <c r="N35" s="61"/>
      <c r="O35" s="60"/>
    </row>
    <row r="36" s="1" customFormat="1" ht="18" customHeight="1" spans="1:15">
      <c r="A36" s="43">
        <v>43269</v>
      </c>
      <c r="B36" s="25">
        <f t="shared" si="3"/>
        <v>5825.24</v>
      </c>
      <c r="C36" s="44"/>
      <c r="D36" s="45" t="s">
        <v>36</v>
      </c>
      <c r="E36" s="46">
        <v>0.03</v>
      </c>
      <c r="F36" s="25">
        <f t="shared" si="4"/>
        <v>174.76</v>
      </c>
      <c r="G36" s="189">
        <v>6000</v>
      </c>
      <c r="H36" s="31">
        <v>43264</v>
      </c>
      <c r="I36" s="32">
        <v>6000</v>
      </c>
      <c r="J36" s="40" t="s">
        <v>20</v>
      </c>
      <c r="K36" s="147" t="s">
        <v>51</v>
      </c>
      <c r="L36" s="60" t="s">
        <v>52</v>
      </c>
      <c r="M36" s="61"/>
      <c r="N36" s="61"/>
      <c r="O36" s="60"/>
    </row>
    <row r="37" s="1" customFormat="1" ht="18" customHeight="1" spans="1:15">
      <c r="A37" s="43"/>
      <c r="B37" s="25">
        <f t="shared" si="3"/>
        <v>0</v>
      </c>
      <c r="C37" s="44"/>
      <c r="D37" s="45"/>
      <c r="E37" s="46"/>
      <c r="F37" s="25">
        <f t="shared" si="4"/>
        <v>0</v>
      </c>
      <c r="G37" s="189"/>
      <c r="H37" s="31">
        <v>43263</v>
      </c>
      <c r="I37" s="32">
        <v>-6000</v>
      </c>
      <c r="J37" s="40" t="s">
        <v>21</v>
      </c>
      <c r="K37" s="147" t="s">
        <v>50</v>
      </c>
      <c r="L37" s="60"/>
      <c r="M37" s="61"/>
      <c r="N37" s="61"/>
      <c r="O37" s="60"/>
    </row>
    <row r="38" s="2" customFormat="1" ht="18" customHeight="1" spans="1:15">
      <c r="A38" s="48">
        <v>43335</v>
      </c>
      <c r="B38" s="25">
        <f t="shared" si="3"/>
        <v>4000000</v>
      </c>
      <c r="C38" s="49"/>
      <c r="D38" s="50" t="s">
        <v>36</v>
      </c>
      <c r="E38" s="46">
        <v>0.03</v>
      </c>
      <c r="F38" s="25">
        <f t="shared" si="4"/>
        <v>120000</v>
      </c>
      <c r="G38" s="189">
        <v>4120000</v>
      </c>
      <c r="H38" s="36">
        <v>43335</v>
      </c>
      <c r="I38" s="188">
        <v>2000000</v>
      </c>
      <c r="J38" s="63" t="s">
        <v>20</v>
      </c>
      <c r="K38" s="148" t="s">
        <v>53</v>
      </c>
      <c r="L38" s="67" t="s">
        <v>54</v>
      </c>
      <c r="M38" s="65"/>
      <c r="N38" s="65"/>
      <c r="O38" s="67"/>
    </row>
    <row r="39" s="2" customFormat="1" ht="18" customHeight="1" spans="1:15">
      <c r="A39" s="48"/>
      <c r="B39" s="25">
        <f t="shared" si="3"/>
        <v>1344.34</v>
      </c>
      <c r="C39" s="49">
        <v>3</v>
      </c>
      <c r="D39" s="50" t="s">
        <v>36</v>
      </c>
      <c r="E39" s="46">
        <v>0.06</v>
      </c>
      <c r="F39" s="25">
        <f t="shared" si="4"/>
        <v>80.66</v>
      </c>
      <c r="G39" s="189">
        <f>285+690+450</f>
        <v>1425</v>
      </c>
      <c r="H39" s="36"/>
      <c r="I39" s="188"/>
      <c r="J39" s="63"/>
      <c r="K39" s="148" t="s">
        <v>55</v>
      </c>
      <c r="L39" s="67" t="s">
        <v>41</v>
      </c>
      <c r="M39" s="65"/>
      <c r="N39" s="65"/>
      <c r="O39" s="68">
        <v>43335</v>
      </c>
    </row>
    <row r="40" s="2" customFormat="1" ht="18" customHeight="1" spans="1:15">
      <c r="A40" s="48"/>
      <c r="B40" s="25">
        <f t="shared" si="3"/>
        <v>6510</v>
      </c>
      <c r="C40" s="49"/>
      <c r="D40" s="50" t="s">
        <v>39</v>
      </c>
      <c r="E40" s="46"/>
      <c r="F40" s="25">
        <f t="shared" si="4"/>
        <v>0</v>
      </c>
      <c r="G40" s="189">
        <v>6510</v>
      </c>
      <c r="H40" s="36"/>
      <c r="I40" s="188"/>
      <c r="J40" s="63"/>
      <c r="K40" s="148" t="s">
        <v>56</v>
      </c>
      <c r="L40" s="67" t="s">
        <v>57</v>
      </c>
      <c r="M40" s="65"/>
      <c r="N40" s="65"/>
      <c r="O40" s="68">
        <v>43335</v>
      </c>
    </row>
    <row r="41" s="2" customFormat="1" ht="18" customHeight="1" spans="1:15">
      <c r="A41" s="48"/>
      <c r="B41" s="25">
        <f t="shared" si="3"/>
        <v>11436.89</v>
      </c>
      <c r="C41" s="49">
        <v>2</v>
      </c>
      <c r="D41" s="50" t="s">
        <v>36</v>
      </c>
      <c r="E41" s="46">
        <v>0.03</v>
      </c>
      <c r="F41" s="25">
        <f t="shared" si="4"/>
        <v>343.11</v>
      </c>
      <c r="G41" s="189">
        <f>7740+4040</f>
        <v>11780</v>
      </c>
      <c r="H41" s="36"/>
      <c r="I41" s="188"/>
      <c r="J41" s="63"/>
      <c r="K41" s="148" t="s">
        <v>58</v>
      </c>
      <c r="L41" s="67" t="s">
        <v>59</v>
      </c>
      <c r="M41" s="65"/>
      <c r="N41" s="65"/>
      <c r="O41" s="68">
        <v>43335</v>
      </c>
    </row>
    <row r="42" s="2" customFormat="1" ht="18" customHeight="1" spans="1:15">
      <c r="A42" s="48"/>
      <c r="B42" s="25">
        <f t="shared" si="3"/>
        <v>1800</v>
      </c>
      <c r="C42" s="49"/>
      <c r="D42" s="50" t="s">
        <v>39</v>
      </c>
      <c r="E42" s="46"/>
      <c r="F42" s="25">
        <f t="shared" si="4"/>
        <v>0</v>
      </c>
      <c r="G42" s="189">
        <v>1800</v>
      </c>
      <c r="H42" s="36"/>
      <c r="I42" s="188"/>
      <c r="J42" s="63"/>
      <c r="K42" s="148" t="s">
        <v>56</v>
      </c>
      <c r="L42" s="67" t="s">
        <v>60</v>
      </c>
      <c r="M42" s="65"/>
      <c r="N42" s="65"/>
      <c r="O42" s="68">
        <v>43335</v>
      </c>
    </row>
    <row r="43" s="2" customFormat="1" ht="18" customHeight="1" spans="1:15">
      <c r="A43" s="48"/>
      <c r="B43" s="25">
        <f t="shared" si="3"/>
        <v>26788.86</v>
      </c>
      <c r="C43" s="49"/>
      <c r="D43" s="50" t="s">
        <v>61</v>
      </c>
      <c r="E43" s="46"/>
      <c r="F43" s="25">
        <f t="shared" si="4"/>
        <v>0</v>
      </c>
      <c r="G43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3" s="36"/>
      <c r="I43" s="188"/>
      <c r="J43" s="63"/>
      <c r="K43" s="148" t="s">
        <v>62</v>
      </c>
      <c r="L43" s="67" t="s">
        <v>63</v>
      </c>
      <c r="M43" s="65"/>
      <c r="N43" s="65"/>
      <c r="O43" s="68">
        <v>43335</v>
      </c>
    </row>
    <row r="44" s="2" customFormat="1" ht="18" customHeight="1" spans="1:15">
      <c r="A44" s="48"/>
      <c r="B44" s="25">
        <f t="shared" si="3"/>
        <v>4285.5</v>
      </c>
      <c r="C44" s="49"/>
      <c r="D44" s="50" t="s">
        <v>61</v>
      </c>
      <c r="E44" s="46"/>
      <c r="F44" s="25">
        <f t="shared" si="4"/>
        <v>0</v>
      </c>
      <c r="G44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4" s="36"/>
      <c r="I44" s="188"/>
      <c r="J44" s="63"/>
      <c r="K44" s="148" t="s">
        <v>62</v>
      </c>
      <c r="L44" s="67" t="s">
        <v>63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3"/>
        <v>9856.03</v>
      </c>
      <c r="C45" s="49"/>
      <c r="D45" s="50" t="s">
        <v>39</v>
      </c>
      <c r="E45" s="46"/>
      <c r="F45" s="25">
        <f t="shared" si="4"/>
        <v>0</v>
      </c>
      <c r="G45" s="189">
        <f>200.03+500+400+286+300+410+910+405+530+300+500+230+280+295+285+400+380+405+200+200+400+425+405+300+310+300+300</f>
        <v>9856.03</v>
      </c>
      <c r="H45" s="36"/>
      <c r="I45" s="188"/>
      <c r="J45" s="63"/>
      <c r="K45" s="148" t="s">
        <v>64</v>
      </c>
      <c r="L45" s="67" t="s">
        <v>43</v>
      </c>
      <c r="M45" s="65"/>
      <c r="N45" s="65"/>
      <c r="O45" s="68">
        <v>43335</v>
      </c>
    </row>
    <row r="46" s="2" customFormat="1" ht="18" customHeight="1" spans="1:15">
      <c r="A46" s="48">
        <v>43435</v>
      </c>
      <c r="B46" s="25">
        <f t="shared" si="3"/>
        <v>53286.79</v>
      </c>
      <c r="C46" s="49"/>
      <c r="D46" s="50" t="s">
        <v>36</v>
      </c>
      <c r="E46" s="46">
        <v>0.06</v>
      </c>
      <c r="F46" s="25">
        <f t="shared" si="4"/>
        <v>3197.21</v>
      </c>
      <c r="G46" s="189">
        <v>56484</v>
      </c>
      <c r="H46" s="36"/>
      <c r="I46" s="188"/>
      <c r="J46" s="63"/>
      <c r="K46" s="148" t="s">
        <v>65</v>
      </c>
      <c r="L46" s="67" t="s">
        <v>66</v>
      </c>
      <c r="M46" s="65"/>
      <c r="N46" s="65"/>
      <c r="O46" s="67"/>
    </row>
    <row r="47" s="2" customFormat="1" ht="18" customHeight="1" spans="1:15">
      <c r="A47" s="48">
        <v>43435</v>
      </c>
      <c r="B47" s="25">
        <f t="shared" si="3"/>
        <v>5825.24</v>
      </c>
      <c r="C47" s="49"/>
      <c r="D47" s="50" t="s">
        <v>36</v>
      </c>
      <c r="E47" s="46">
        <v>0.03</v>
      </c>
      <c r="F47" s="25">
        <f t="shared" si="4"/>
        <v>174.76</v>
      </c>
      <c r="G47" s="189">
        <v>6000</v>
      </c>
      <c r="H47" s="36">
        <v>43369</v>
      </c>
      <c r="I47" s="188">
        <v>6000</v>
      </c>
      <c r="J47" s="63" t="s">
        <v>20</v>
      </c>
      <c r="K47" s="148" t="s">
        <v>51</v>
      </c>
      <c r="L47" s="67" t="s">
        <v>52</v>
      </c>
      <c r="M47" s="65"/>
      <c r="N47" s="65"/>
      <c r="O47" s="67"/>
    </row>
    <row r="48" s="2" customFormat="1" ht="18" customHeight="1" spans="1:15">
      <c r="A48" s="48">
        <v>43313</v>
      </c>
      <c r="B48" s="25">
        <f t="shared" si="3"/>
        <v>4654.31</v>
      </c>
      <c r="C48" s="49"/>
      <c r="D48" s="50" t="s">
        <v>36</v>
      </c>
      <c r="E48" s="46">
        <v>0.16</v>
      </c>
      <c r="F48" s="25">
        <f t="shared" si="4"/>
        <v>744.69</v>
      </c>
      <c r="G48" s="189">
        <v>5399</v>
      </c>
      <c r="H48" s="36">
        <v>43369</v>
      </c>
      <c r="I48" s="188">
        <v>-6000</v>
      </c>
      <c r="J48" s="63" t="s">
        <v>21</v>
      </c>
      <c r="K48" s="148" t="s">
        <v>50</v>
      </c>
      <c r="L48" s="67"/>
      <c r="M48" s="65"/>
      <c r="N48" s="65"/>
      <c r="O48" s="67"/>
    </row>
    <row r="49" s="2" customFormat="1" ht="18" customHeight="1" spans="1:15">
      <c r="A49" s="48">
        <v>43435</v>
      </c>
      <c r="B49" s="25">
        <f t="shared" si="3"/>
        <v>933.96</v>
      </c>
      <c r="C49" s="49"/>
      <c r="D49" s="50" t="s">
        <v>36</v>
      </c>
      <c r="E49" s="46">
        <v>0.06</v>
      </c>
      <c r="F49" s="25">
        <f t="shared" si="4"/>
        <v>56.04</v>
      </c>
      <c r="G49" s="189">
        <f>90+45+855</f>
        <v>990</v>
      </c>
      <c r="H49" s="36"/>
      <c r="I49" s="188"/>
      <c r="J49" s="63"/>
      <c r="K49" s="148" t="s">
        <v>40</v>
      </c>
      <c r="L49" s="67" t="s">
        <v>41</v>
      </c>
      <c r="M49" s="65"/>
      <c r="N49" s="65"/>
      <c r="O49" s="67"/>
    </row>
    <row r="50" s="2" customFormat="1" ht="18" customHeight="1" spans="1:15">
      <c r="A50" s="48">
        <v>43435</v>
      </c>
      <c r="B50" s="25">
        <f t="shared" si="3"/>
        <v>43031</v>
      </c>
      <c r="C50" s="49"/>
      <c r="D50" s="50"/>
      <c r="E50" s="46"/>
      <c r="F50" s="25">
        <f t="shared" si="4"/>
        <v>0</v>
      </c>
      <c r="G50" s="189">
        <v>43031</v>
      </c>
      <c r="H50" s="36"/>
      <c r="I50" s="188"/>
      <c r="J50" s="63"/>
      <c r="K50" s="148" t="s">
        <v>67</v>
      </c>
      <c r="L50" s="67" t="s">
        <v>68</v>
      </c>
      <c r="M50" s="65"/>
      <c r="N50" s="65"/>
      <c r="O50" s="67"/>
    </row>
    <row r="51" s="2" customFormat="1" ht="18" customHeight="1" spans="1:15">
      <c r="A51" s="48">
        <v>43466</v>
      </c>
      <c r="B51" s="25">
        <f t="shared" si="3"/>
        <v>4854368.93</v>
      </c>
      <c r="C51" s="49"/>
      <c r="D51" s="50" t="s">
        <v>36</v>
      </c>
      <c r="E51" s="46">
        <v>0.03</v>
      </c>
      <c r="F51" s="25">
        <f t="shared" si="4"/>
        <v>145631.07</v>
      </c>
      <c r="G51" s="189">
        <f>5*1000000</f>
        <v>5000000</v>
      </c>
      <c r="H51" s="36">
        <v>43339</v>
      </c>
      <c r="I51" s="188">
        <v>2095952</v>
      </c>
      <c r="J51" s="63" t="s">
        <v>20</v>
      </c>
      <c r="K51" s="148" t="s">
        <v>53</v>
      </c>
      <c r="L51" s="67" t="s">
        <v>54</v>
      </c>
      <c r="M51" s="65"/>
      <c r="N51" s="65"/>
      <c r="O51" s="67"/>
    </row>
    <row r="52" s="2" customFormat="1" ht="18" customHeight="1" spans="1:15">
      <c r="A52" s="48"/>
      <c r="B52" s="25">
        <f t="shared" si="3"/>
        <v>0</v>
      </c>
      <c r="C52" s="49"/>
      <c r="D52" s="50"/>
      <c r="E52" s="46"/>
      <c r="F52" s="25">
        <f t="shared" si="4"/>
        <v>0</v>
      </c>
      <c r="G52" s="189"/>
      <c r="H52" s="36">
        <v>43495</v>
      </c>
      <c r="I52" s="188">
        <v>3464800</v>
      </c>
      <c r="J52" s="63" t="s">
        <v>20</v>
      </c>
      <c r="K52" s="148" t="s">
        <v>53</v>
      </c>
      <c r="L52" s="67" t="s">
        <v>54</v>
      </c>
      <c r="M52" s="65"/>
      <c r="N52" s="65"/>
      <c r="O52" s="67"/>
    </row>
    <row r="53" s="2" customFormat="1" ht="18" customHeight="1" spans="1:15">
      <c r="A53" s="48"/>
      <c r="B53" s="25">
        <f t="shared" si="3"/>
        <v>0</v>
      </c>
      <c r="C53" s="49"/>
      <c r="D53" s="50"/>
      <c r="E53" s="46"/>
      <c r="F53" s="25">
        <f t="shared" si="4"/>
        <v>0</v>
      </c>
      <c r="G53" s="189"/>
      <c r="H53" s="36">
        <v>43497</v>
      </c>
      <c r="I53" s="188">
        <v>866800</v>
      </c>
      <c r="J53" s="63" t="s">
        <v>20</v>
      </c>
      <c r="K53" s="148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3"/>
        <v>0</v>
      </c>
      <c r="C54" s="49"/>
      <c r="D54" s="50"/>
      <c r="E54" s="46"/>
      <c r="F54" s="25">
        <f t="shared" si="4"/>
        <v>0</v>
      </c>
      <c r="G54" s="189"/>
      <c r="H54" s="36">
        <v>43629</v>
      </c>
      <c r="I54" s="188">
        <v>84810</v>
      </c>
      <c r="J54" s="63" t="s">
        <v>20</v>
      </c>
      <c r="K54" s="148" t="s">
        <v>69</v>
      </c>
      <c r="L54" s="67" t="s">
        <v>70</v>
      </c>
      <c r="M54" s="65"/>
      <c r="N54" s="65"/>
      <c r="O54" s="67"/>
    </row>
    <row r="55" s="2" customFormat="1" ht="18" customHeight="1" spans="1:15">
      <c r="A55" s="48"/>
      <c r="B55" s="25">
        <f t="shared" si="3"/>
        <v>0</v>
      </c>
      <c r="C55" s="49"/>
      <c r="D55" s="50"/>
      <c r="E55" s="46"/>
      <c r="F55" s="25">
        <f t="shared" si="4"/>
        <v>0</v>
      </c>
      <c r="G55" s="189"/>
      <c r="H55" s="36">
        <v>43629</v>
      </c>
      <c r="I55" s="188">
        <v>-84810</v>
      </c>
      <c r="J55" s="63" t="s">
        <v>21</v>
      </c>
      <c r="K55" s="148" t="s">
        <v>50</v>
      </c>
      <c r="L55" s="67"/>
      <c r="M55" s="65"/>
      <c r="N55" s="65"/>
      <c r="O55" s="67"/>
    </row>
    <row r="56" s="2" customFormat="1" ht="18" customHeight="1" spans="1:15">
      <c r="A56" s="48"/>
      <c r="B56" s="25">
        <f t="shared" si="3"/>
        <v>0</v>
      </c>
      <c r="C56" s="49"/>
      <c r="D56" s="50"/>
      <c r="E56" s="46"/>
      <c r="F56" s="25">
        <f t="shared" si="4"/>
        <v>0</v>
      </c>
      <c r="G56" s="189"/>
      <c r="H56" s="36">
        <v>43657</v>
      </c>
      <c r="I56" s="188">
        <v>66753</v>
      </c>
      <c r="J56" s="63" t="s">
        <v>20</v>
      </c>
      <c r="K56" s="148" t="s">
        <v>69</v>
      </c>
      <c r="L56" s="67" t="s">
        <v>70</v>
      </c>
      <c r="M56" s="65"/>
      <c r="N56" s="65"/>
      <c r="O56" s="67"/>
    </row>
    <row r="57" s="2" customFormat="1" ht="18" customHeight="1" spans="1:15">
      <c r="A57" s="48"/>
      <c r="B57" s="25">
        <f t="shared" si="3"/>
        <v>0</v>
      </c>
      <c r="C57" s="49"/>
      <c r="D57" s="50"/>
      <c r="E57" s="46"/>
      <c r="F57" s="25">
        <f t="shared" si="4"/>
        <v>0</v>
      </c>
      <c r="G57" s="189"/>
      <c r="H57" s="36">
        <v>43657</v>
      </c>
      <c r="I57" s="188">
        <v>-66753</v>
      </c>
      <c r="J57" s="63" t="s">
        <v>21</v>
      </c>
      <c r="K57" s="148" t="s">
        <v>50</v>
      </c>
      <c r="L57" s="67"/>
      <c r="M57" s="65"/>
      <c r="N57" s="65"/>
      <c r="O57" s="67"/>
    </row>
    <row r="58" s="2" customFormat="1" ht="18" customHeight="1" spans="1:15">
      <c r="A58" s="48"/>
      <c r="B58" s="25">
        <f t="shared" ref="B58:B70" si="6">ROUND(G58/(1+E58),2)</f>
        <v>0</v>
      </c>
      <c r="C58" s="49"/>
      <c r="D58" s="50"/>
      <c r="E58" s="46"/>
      <c r="F58" s="25">
        <f t="shared" ref="F58:F70" si="7">ROUND(G58/(1+E58)*E58,2)</f>
        <v>0</v>
      </c>
      <c r="G58" s="189"/>
      <c r="H58" s="36">
        <v>43676</v>
      </c>
      <c r="I58" s="188">
        <v>67731.14</v>
      </c>
      <c r="J58" s="63" t="s">
        <v>20</v>
      </c>
      <c r="K58" s="148" t="s">
        <v>69</v>
      </c>
      <c r="L58" s="67" t="s">
        <v>70</v>
      </c>
      <c r="M58" s="65"/>
      <c r="N58" s="65"/>
      <c r="O58" s="67"/>
    </row>
    <row r="59" s="2" customFormat="1" ht="18" customHeight="1" spans="1:15">
      <c r="A59" s="48"/>
      <c r="B59" s="25">
        <f t="shared" si="6"/>
        <v>0</v>
      </c>
      <c r="C59" s="49"/>
      <c r="D59" s="50"/>
      <c r="E59" s="46"/>
      <c r="F59" s="25">
        <f t="shared" si="7"/>
        <v>0</v>
      </c>
      <c r="G59" s="189"/>
      <c r="H59" s="36">
        <v>43671</v>
      </c>
      <c r="I59" s="188">
        <v>-67731.14</v>
      </c>
      <c r="J59" s="63" t="s">
        <v>20</v>
      </c>
      <c r="K59" s="148" t="s">
        <v>71</v>
      </c>
      <c r="L59" s="67" t="s">
        <v>72</v>
      </c>
      <c r="M59" s="65"/>
      <c r="N59" s="65"/>
      <c r="O59" s="67"/>
    </row>
    <row r="60" s="2" customFormat="1" ht="18" customHeight="1" spans="1:15">
      <c r="A60" s="48">
        <v>43678</v>
      </c>
      <c r="B60" s="25">
        <f t="shared" si="6"/>
        <v>1000020</v>
      </c>
      <c r="C60" s="49"/>
      <c r="D60" s="50" t="s">
        <v>73</v>
      </c>
      <c r="E60" s="46"/>
      <c r="F60" s="25">
        <f t="shared" si="7"/>
        <v>0</v>
      </c>
      <c r="G60" s="189">
        <v>1000020</v>
      </c>
      <c r="H60" s="194">
        <v>43676</v>
      </c>
      <c r="I60" s="196">
        <v>500000</v>
      </c>
      <c r="J60" s="201" t="s">
        <v>21</v>
      </c>
      <c r="K60" s="202" t="s">
        <v>74</v>
      </c>
      <c r="L60" s="203" t="s">
        <v>75</v>
      </c>
      <c r="M60" s="201" t="s">
        <v>76</v>
      </c>
      <c r="N60" s="65"/>
      <c r="O60" s="67"/>
    </row>
    <row r="61" s="2" customFormat="1" ht="18" customHeight="1" spans="1:15">
      <c r="A61" s="48"/>
      <c r="B61" s="25">
        <f t="shared" si="6"/>
        <v>0</v>
      </c>
      <c r="C61" s="49"/>
      <c r="D61" s="50"/>
      <c r="E61" s="46"/>
      <c r="F61" s="25">
        <f t="shared" si="7"/>
        <v>0</v>
      </c>
      <c r="G61" s="189"/>
      <c r="H61" s="194">
        <v>43682</v>
      </c>
      <c r="I61" s="196">
        <v>500000</v>
      </c>
      <c r="J61" s="201" t="s">
        <v>21</v>
      </c>
      <c r="K61" s="202" t="s">
        <v>74</v>
      </c>
      <c r="L61" s="204" t="s">
        <v>77</v>
      </c>
      <c r="M61" s="201" t="s">
        <v>76</v>
      </c>
      <c r="N61" s="65"/>
      <c r="O61" s="67"/>
    </row>
    <row r="62" s="2" customFormat="1" ht="18" customHeight="1" spans="1:15">
      <c r="A62" s="48">
        <v>43678</v>
      </c>
      <c r="B62" s="25">
        <f t="shared" si="6"/>
        <v>1000080</v>
      </c>
      <c r="C62" s="49"/>
      <c r="D62" s="50" t="s">
        <v>73</v>
      </c>
      <c r="E62" s="46"/>
      <c r="F62" s="25">
        <f t="shared" si="7"/>
        <v>0</v>
      </c>
      <c r="G62" s="189">
        <v>1000080</v>
      </c>
      <c r="H62" s="194">
        <v>43691</v>
      </c>
      <c r="I62" s="196">
        <v>1000000</v>
      </c>
      <c r="J62" s="201" t="s">
        <v>21</v>
      </c>
      <c r="K62" s="205" t="s">
        <v>78</v>
      </c>
      <c r="L62" s="206" t="s">
        <v>79</v>
      </c>
      <c r="M62" s="201" t="s">
        <v>76</v>
      </c>
      <c r="N62" s="65"/>
      <c r="O62" s="67"/>
    </row>
    <row r="63" s="2" customFormat="1" ht="18" customHeight="1" spans="1:15">
      <c r="A63" s="48"/>
      <c r="B63" s="25">
        <f t="shared" si="6"/>
        <v>0</v>
      </c>
      <c r="C63" s="49"/>
      <c r="D63" s="50"/>
      <c r="E63" s="46"/>
      <c r="F63" s="25">
        <f t="shared" si="7"/>
        <v>0</v>
      </c>
      <c r="G63" s="189"/>
      <c r="H63" s="36">
        <v>43692</v>
      </c>
      <c r="I63" s="188">
        <v>-100000</v>
      </c>
      <c r="J63" s="63" t="s">
        <v>21</v>
      </c>
      <c r="K63" s="207" t="s">
        <v>50</v>
      </c>
      <c r="L63" s="208"/>
      <c r="M63" s="56"/>
      <c r="N63" s="65"/>
      <c r="O63" s="67"/>
    </row>
    <row r="64" s="2" customFormat="1" ht="18" customHeight="1" spans="1:15">
      <c r="A64" s="48"/>
      <c r="B64" s="25">
        <f t="shared" si="6"/>
        <v>0</v>
      </c>
      <c r="C64" s="49"/>
      <c r="D64" s="50"/>
      <c r="E64" s="46"/>
      <c r="F64" s="25">
        <f t="shared" si="7"/>
        <v>0</v>
      </c>
      <c r="G64" s="189"/>
      <c r="H64" s="36">
        <v>43692</v>
      </c>
      <c r="I64" s="188">
        <v>100000</v>
      </c>
      <c r="J64" s="63" t="s">
        <v>20</v>
      </c>
      <c r="K64" s="207" t="s">
        <v>80</v>
      </c>
      <c r="L64" s="208" t="s">
        <v>81</v>
      </c>
      <c r="M64" s="56"/>
      <c r="N64" s="65"/>
      <c r="O64" s="67"/>
    </row>
    <row r="65" s="2" customFormat="1" ht="18" customHeight="1" spans="1:15">
      <c r="A65" s="48"/>
      <c r="B65" s="25">
        <f t="shared" si="6"/>
        <v>0</v>
      </c>
      <c r="C65" s="49"/>
      <c r="D65" s="50"/>
      <c r="E65" s="46"/>
      <c r="F65" s="25">
        <f t="shared" si="7"/>
        <v>0</v>
      </c>
      <c r="G65" s="189"/>
      <c r="H65" s="36">
        <v>43703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customHeight="1" spans="1:15">
      <c r="A66" s="48"/>
      <c r="B66" s="25">
        <f t="shared" si="6"/>
        <v>0</v>
      </c>
      <c r="C66" s="49"/>
      <c r="D66" s="50"/>
      <c r="E66" s="46"/>
      <c r="F66" s="25">
        <f t="shared" si="7"/>
        <v>0</v>
      </c>
      <c r="G66" s="189"/>
      <c r="H66" s="36">
        <v>43704</v>
      </c>
      <c r="I66" s="188">
        <v>100000</v>
      </c>
      <c r="J66" s="63" t="s">
        <v>20</v>
      </c>
      <c r="K66" s="207" t="s">
        <v>80</v>
      </c>
      <c r="L66" s="67"/>
      <c r="M66" s="65"/>
      <c r="N66" s="65"/>
      <c r="O66" s="67"/>
    </row>
    <row r="67" s="2" customFormat="1" ht="18" customHeight="1" spans="1:15">
      <c r="A67" s="48"/>
      <c r="B67" s="25">
        <f t="shared" si="6"/>
        <v>0</v>
      </c>
      <c r="C67" s="49"/>
      <c r="D67" s="50"/>
      <c r="E67" s="46"/>
      <c r="F67" s="25">
        <f t="shared" si="7"/>
        <v>0</v>
      </c>
      <c r="G67" s="189"/>
      <c r="H67" s="36">
        <v>43717</v>
      </c>
      <c r="I67" s="188">
        <v>-100000</v>
      </c>
      <c r="J67" s="63" t="s">
        <v>21</v>
      </c>
      <c r="K67" s="207" t="s">
        <v>50</v>
      </c>
      <c r="L67" s="67"/>
      <c r="M67" s="65"/>
      <c r="N67" s="65"/>
      <c r="O67" s="67"/>
    </row>
    <row r="68" s="2" customFormat="1" ht="18" customHeight="1" spans="1:15">
      <c r="A68" s="48"/>
      <c r="B68" s="25">
        <f t="shared" si="6"/>
        <v>0</v>
      </c>
      <c r="C68" s="49"/>
      <c r="D68" s="50"/>
      <c r="E68" s="46"/>
      <c r="F68" s="25">
        <f t="shared" si="7"/>
        <v>0</v>
      </c>
      <c r="G68" s="189"/>
      <c r="H68" s="36">
        <v>43718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customHeight="1" spans="1:17">
      <c r="A69" s="48"/>
      <c r="B69" s="25">
        <f t="shared" si="6"/>
        <v>0</v>
      </c>
      <c r="C69" s="49"/>
      <c r="D69" s="50"/>
      <c r="E69" s="46"/>
      <c r="F69" s="25">
        <f t="shared" si="7"/>
        <v>0</v>
      </c>
      <c r="G69" s="189"/>
      <c r="H69" s="194">
        <v>43734</v>
      </c>
      <c r="I69" s="196">
        <v>300000</v>
      </c>
      <c r="J69" s="201" t="s">
        <v>20</v>
      </c>
      <c r="K69" s="202" t="s">
        <v>80</v>
      </c>
      <c r="L69" s="209"/>
      <c r="M69" s="201" t="s">
        <v>76</v>
      </c>
      <c r="N69" s="65"/>
      <c r="O69" s="67"/>
      <c r="Q69" s="2">
        <f>I60+I61+I62+I69+I70</f>
        <v>2800000</v>
      </c>
    </row>
    <row r="70" s="2" customFormat="1" ht="18" customHeight="1" spans="1:17">
      <c r="A70" s="48"/>
      <c r="B70" s="25">
        <f t="shared" si="6"/>
        <v>0</v>
      </c>
      <c r="C70" s="49"/>
      <c r="D70" s="50"/>
      <c r="E70" s="46"/>
      <c r="F70" s="25">
        <f t="shared" si="7"/>
        <v>0</v>
      </c>
      <c r="G70" s="189"/>
      <c r="H70" s="195">
        <v>43749</v>
      </c>
      <c r="I70" s="196">
        <v>500000</v>
      </c>
      <c r="J70" s="201" t="s">
        <v>20</v>
      </c>
      <c r="K70" s="202" t="s">
        <v>80</v>
      </c>
      <c r="L70" s="209"/>
      <c r="M70" s="201" t="s">
        <v>76</v>
      </c>
      <c r="N70" s="65"/>
      <c r="O70" s="67"/>
      <c r="Q70" s="2">
        <f>Q69+I87</f>
        <v>2999980</v>
      </c>
    </row>
    <row r="71" s="2" customFormat="1" ht="18" customHeight="1" spans="1:17">
      <c r="A71" s="48">
        <v>43709</v>
      </c>
      <c r="B71" s="25">
        <f t="shared" ref="B71:B88" si="8">ROUND(G71/(1+E71),2)</f>
        <v>12426.15</v>
      </c>
      <c r="C71" s="49"/>
      <c r="D71" s="50" t="s">
        <v>39</v>
      </c>
      <c r="E71" s="46"/>
      <c r="F71" s="25">
        <f t="shared" ref="F71:F88" si="9">ROUND(G71/(1+E71)*E71,2)</f>
        <v>0</v>
      </c>
      <c r="G71" s="189">
        <v>12426.15</v>
      </c>
      <c r="H71" s="36"/>
      <c r="I71" s="210"/>
      <c r="J71" s="56"/>
      <c r="K71" s="207" t="s">
        <v>68</v>
      </c>
      <c r="L71" s="82"/>
      <c r="M71" s="56"/>
      <c r="N71" s="65"/>
      <c r="O71" s="67"/>
      <c r="Q71" s="2">
        <v>3000000</v>
      </c>
    </row>
    <row r="72" s="2" customFormat="1" ht="18" customHeight="1" spans="1:17">
      <c r="A72" s="48">
        <v>43709</v>
      </c>
      <c r="B72" s="25">
        <f t="shared" si="8"/>
        <v>10316.04</v>
      </c>
      <c r="C72" s="49"/>
      <c r="D72" s="50" t="s">
        <v>36</v>
      </c>
      <c r="E72" s="70">
        <v>0.06</v>
      </c>
      <c r="F72" s="25">
        <f t="shared" si="9"/>
        <v>618.96</v>
      </c>
      <c r="G72" s="189">
        <v>10935</v>
      </c>
      <c r="H72" s="36"/>
      <c r="I72" s="210"/>
      <c r="J72" s="56"/>
      <c r="K72" s="207" t="s">
        <v>82</v>
      </c>
      <c r="L72" s="82" t="s">
        <v>41</v>
      </c>
      <c r="M72" s="56"/>
      <c r="N72" s="65"/>
      <c r="O72" s="67"/>
      <c r="Q72" s="2">
        <f>Q71-Q70</f>
        <v>20</v>
      </c>
    </row>
    <row r="73" s="2" customFormat="1" ht="18" customHeight="1" spans="1:15">
      <c r="A73" s="48">
        <v>43709</v>
      </c>
      <c r="B73" s="25">
        <f t="shared" si="8"/>
        <v>10424.53</v>
      </c>
      <c r="C73" s="49"/>
      <c r="D73" s="50" t="s">
        <v>36</v>
      </c>
      <c r="E73" s="70">
        <v>0.06</v>
      </c>
      <c r="F73" s="25">
        <f t="shared" si="9"/>
        <v>625.47</v>
      </c>
      <c r="G73" s="189">
        <v>11050</v>
      </c>
      <c r="H73" s="36"/>
      <c r="I73" s="210"/>
      <c r="J73" s="56"/>
      <c r="K73" s="207" t="s">
        <v>82</v>
      </c>
      <c r="L73" s="82" t="s">
        <v>52</v>
      </c>
      <c r="M73" s="56"/>
      <c r="N73" s="65"/>
      <c r="O73" s="67"/>
    </row>
    <row r="74" s="2" customFormat="1" ht="18" customHeight="1" spans="1:15">
      <c r="A74" s="48">
        <v>43709</v>
      </c>
      <c r="B74" s="25">
        <f t="shared" si="8"/>
        <v>80009.43</v>
      </c>
      <c r="C74" s="49"/>
      <c r="D74" s="50" t="s">
        <v>36</v>
      </c>
      <c r="E74" s="70">
        <v>0.06</v>
      </c>
      <c r="F74" s="25">
        <f t="shared" si="9"/>
        <v>4800.57</v>
      </c>
      <c r="G74" s="189">
        <v>84810</v>
      </c>
      <c r="H74" s="36"/>
      <c r="I74" s="210"/>
      <c r="J74" s="56"/>
      <c r="K74" s="207" t="s">
        <v>69</v>
      </c>
      <c r="L74" s="82" t="s">
        <v>83</v>
      </c>
      <c r="M74" s="56"/>
      <c r="N74" s="65"/>
      <c r="O74" s="67"/>
    </row>
    <row r="75" s="2" customFormat="1" ht="18" customHeight="1" spans="1:15">
      <c r="A75" s="48">
        <v>43709</v>
      </c>
      <c r="B75" s="25">
        <f t="shared" si="8"/>
        <v>63897.3</v>
      </c>
      <c r="C75" s="49"/>
      <c r="D75" s="50" t="s">
        <v>36</v>
      </c>
      <c r="E75" s="70">
        <v>0.06</v>
      </c>
      <c r="F75" s="25">
        <f t="shared" si="9"/>
        <v>3833.84</v>
      </c>
      <c r="G75" s="189">
        <v>67731.14</v>
      </c>
      <c r="H75" s="36"/>
      <c r="I75" s="210"/>
      <c r="J75" s="56"/>
      <c r="K75" s="207" t="s">
        <v>69</v>
      </c>
      <c r="L75" s="82" t="s">
        <v>83</v>
      </c>
      <c r="M75" s="56"/>
      <c r="N75" s="65"/>
      <c r="O75" s="67"/>
    </row>
    <row r="76" s="2" customFormat="1" ht="18" customHeight="1" spans="1:15">
      <c r="A76" s="48">
        <v>43739</v>
      </c>
      <c r="B76" s="25">
        <f t="shared" si="8"/>
        <v>443071.38</v>
      </c>
      <c r="C76" s="49"/>
      <c r="D76" s="50" t="s">
        <v>36</v>
      </c>
      <c r="E76" s="70">
        <v>0.13</v>
      </c>
      <c r="F76" s="25">
        <f t="shared" si="9"/>
        <v>57599.28</v>
      </c>
      <c r="G76" s="189">
        <v>500670.66</v>
      </c>
      <c r="H76" s="36">
        <v>43769</v>
      </c>
      <c r="I76" s="188">
        <v>200000</v>
      </c>
      <c r="J76" s="63" t="s">
        <v>20</v>
      </c>
      <c r="K76" s="207" t="s">
        <v>80</v>
      </c>
      <c r="L76" s="82" t="s">
        <v>84</v>
      </c>
      <c r="M76" s="56"/>
      <c r="N76" s="65"/>
      <c r="O76" s="67"/>
    </row>
    <row r="77" s="2" customFormat="1" ht="18" customHeight="1" spans="1:15">
      <c r="A77" s="48">
        <v>43739</v>
      </c>
      <c r="B77" s="25">
        <f t="shared" si="8"/>
        <v>257787.35</v>
      </c>
      <c r="C77" s="49"/>
      <c r="D77" s="50" t="s">
        <v>36</v>
      </c>
      <c r="E77" s="70">
        <v>0.13</v>
      </c>
      <c r="F77" s="196">
        <f t="shared" si="9"/>
        <v>33512.35</v>
      </c>
      <c r="G77" s="189">
        <v>291299.7</v>
      </c>
      <c r="H77" s="36"/>
      <c r="I77" s="210"/>
      <c r="J77" s="63" t="s">
        <v>20</v>
      </c>
      <c r="K77" s="207" t="s">
        <v>80</v>
      </c>
      <c r="L77" s="82" t="s">
        <v>85</v>
      </c>
      <c r="M77" s="56"/>
      <c r="N77" s="65"/>
      <c r="O77" s="67"/>
    </row>
    <row r="78" s="2" customFormat="1" ht="18" customHeight="1" spans="1:15">
      <c r="A78" s="48"/>
      <c r="B78" s="25">
        <f t="shared" si="8"/>
        <v>0</v>
      </c>
      <c r="C78" s="49"/>
      <c r="D78" s="50"/>
      <c r="E78" s="70"/>
      <c r="F78" s="25">
        <f t="shared" si="9"/>
        <v>0</v>
      </c>
      <c r="G78" s="189"/>
      <c r="H78" s="36">
        <v>43769</v>
      </c>
      <c r="I78" s="188">
        <v>600000</v>
      </c>
      <c r="J78" s="63" t="s">
        <v>20</v>
      </c>
      <c r="K78" s="148" t="s">
        <v>53</v>
      </c>
      <c r="L78" s="67" t="s">
        <v>54</v>
      </c>
      <c r="M78" s="56"/>
      <c r="N78" s="65"/>
      <c r="O78" s="67"/>
    </row>
    <row r="79" s="2" customFormat="1" ht="18" customHeight="1" spans="1:15">
      <c r="A79" s="48">
        <v>43770</v>
      </c>
      <c r="B79" s="25">
        <f t="shared" si="8"/>
        <v>500010</v>
      </c>
      <c r="C79" s="49"/>
      <c r="D79" s="50" t="s">
        <v>73</v>
      </c>
      <c r="E79" s="70"/>
      <c r="F79" s="25">
        <f t="shared" si="9"/>
        <v>0</v>
      </c>
      <c r="G79" s="189">
        <v>500010</v>
      </c>
      <c r="H79" s="36">
        <v>43773</v>
      </c>
      <c r="I79" s="188">
        <v>500010</v>
      </c>
      <c r="J79" s="63" t="s">
        <v>21</v>
      </c>
      <c r="K79" s="207" t="s">
        <v>74</v>
      </c>
      <c r="L79" s="82" t="s">
        <v>86</v>
      </c>
      <c r="M79" s="56"/>
      <c r="N79" s="65"/>
      <c r="O79" s="67"/>
    </row>
    <row r="80" s="2" customFormat="1" ht="18" customHeight="1" spans="1:15">
      <c r="A80" s="48">
        <v>43770</v>
      </c>
      <c r="B80" s="25">
        <f t="shared" si="8"/>
        <v>300000</v>
      </c>
      <c r="C80" s="49"/>
      <c r="D80" s="50" t="s">
        <v>73</v>
      </c>
      <c r="E80" s="70"/>
      <c r="F80" s="25">
        <f t="shared" si="9"/>
        <v>0</v>
      </c>
      <c r="G80" s="189">
        <v>300000</v>
      </c>
      <c r="H80" s="36">
        <v>43773</v>
      </c>
      <c r="I80" s="188">
        <v>300000</v>
      </c>
      <c r="J80" s="63" t="s">
        <v>21</v>
      </c>
      <c r="K80" s="207" t="s">
        <v>87</v>
      </c>
      <c r="L80" s="82" t="s">
        <v>88</v>
      </c>
      <c r="M80" s="56"/>
      <c r="N80" s="65"/>
      <c r="O80" s="67"/>
    </row>
    <row r="81" s="2" customFormat="1" ht="18" customHeight="1" spans="1:15">
      <c r="A81" s="48">
        <v>43770</v>
      </c>
      <c r="B81" s="25">
        <f t="shared" si="8"/>
        <v>300000</v>
      </c>
      <c r="C81" s="49"/>
      <c r="D81" s="50" t="s">
        <v>73</v>
      </c>
      <c r="E81" s="70"/>
      <c r="F81" s="25">
        <f t="shared" si="9"/>
        <v>0</v>
      </c>
      <c r="G81" s="189">
        <v>300000</v>
      </c>
      <c r="H81" s="36">
        <v>43773</v>
      </c>
      <c r="I81" s="188">
        <v>300000</v>
      </c>
      <c r="J81" s="63" t="s">
        <v>21</v>
      </c>
      <c r="K81" s="207" t="s">
        <v>89</v>
      </c>
      <c r="L81" s="82" t="s">
        <v>88</v>
      </c>
      <c r="M81" s="56"/>
      <c r="N81" s="65"/>
      <c r="O81" s="67"/>
    </row>
    <row r="82" s="2" customFormat="1" ht="18" customHeight="1" spans="1:15">
      <c r="A82" s="48">
        <v>43770</v>
      </c>
      <c r="B82" s="25">
        <f t="shared" si="8"/>
        <v>300060</v>
      </c>
      <c r="C82" s="49"/>
      <c r="D82" s="50" t="s">
        <v>73</v>
      </c>
      <c r="E82" s="70"/>
      <c r="F82" s="25">
        <f t="shared" si="9"/>
        <v>0</v>
      </c>
      <c r="G82" s="189">
        <v>300060</v>
      </c>
      <c r="H82" s="36">
        <v>43773</v>
      </c>
      <c r="I82" s="188">
        <v>300060</v>
      </c>
      <c r="J82" s="63" t="s">
        <v>21</v>
      </c>
      <c r="K82" s="207" t="s">
        <v>90</v>
      </c>
      <c r="L82" s="82" t="s">
        <v>91</v>
      </c>
      <c r="M82" s="56"/>
      <c r="N82" s="65"/>
      <c r="O82" s="67"/>
    </row>
    <row r="83" s="2" customFormat="1" ht="18" customHeight="1" spans="1:15">
      <c r="A83" s="48">
        <v>43770</v>
      </c>
      <c r="B83" s="25">
        <f t="shared" si="8"/>
        <v>0</v>
      </c>
      <c r="C83" s="49"/>
      <c r="D83" s="50"/>
      <c r="E83" s="70"/>
      <c r="F83" s="25">
        <f t="shared" si="9"/>
        <v>0</v>
      </c>
      <c r="G83" s="189"/>
      <c r="H83" s="36">
        <v>43773</v>
      </c>
      <c r="I83" s="188">
        <v>500000</v>
      </c>
      <c r="J83" s="63" t="s">
        <v>20</v>
      </c>
      <c r="K83" s="207" t="s">
        <v>92</v>
      </c>
      <c r="L83" s="82" t="s">
        <v>93</v>
      </c>
      <c r="M83" s="56"/>
      <c r="N83" s="65"/>
      <c r="O83" s="67"/>
    </row>
    <row r="84" s="2" customFormat="1" ht="18" customHeight="1" spans="1:15">
      <c r="A84" s="48"/>
      <c r="B84" s="25">
        <f t="shared" si="8"/>
        <v>0</v>
      </c>
      <c r="C84" s="49"/>
      <c r="D84" s="50"/>
      <c r="E84" s="70"/>
      <c r="F84" s="25">
        <f t="shared" si="9"/>
        <v>0</v>
      </c>
      <c r="G84" s="189"/>
      <c r="H84" s="36">
        <v>43775</v>
      </c>
      <c r="I84" s="188">
        <v>800000</v>
      </c>
      <c r="J84" s="63" t="s">
        <v>20</v>
      </c>
      <c r="K84" s="207" t="s">
        <v>94</v>
      </c>
      <c r="L84" s="82" t="s">
        <v>95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8"/>
        <v>1165048.54</v>
      </c>
      <c r="C85" s="49"/>
      <c r="D85" s="50" t="s">
        <v>36</v>
      </c>
      <c r="E85" s="70">
        <v>0.03</v>
      </c>
      <c r="F85" s="197">
        <f t="shared" si="9"/>
        <v>34951.46</v>
      </c>
      <c r="G85" s="189">
        <f>96000*12+48000</f>
        <v>1200000</v>
      </c>
      <c r="H85" s="36">
        <v>43776</v>
      </c>
      <c r="I85" s="188">
        <v>400000</v>
      </c>
      <c r="J85" s="63" t="s">
        <v>20</v>
      </c>
      <c r="K85" s="207" t="s">
        <v>94</v>
      </c>
      <c r="L85" s="82" t="s">
        <v>95</v>
      </c>
      <c r="M85" s="56"/>
      <c r="N85" s="65"/>
      <c r="O85" s="67"/>
    </row>
    <row r="86" s="2" customFormat="1" ht="18" customHeight="1" spans="1:15">
      <c r="A86" s="48">
        <v>43770</v>
      </c>
      <c r="B86" s="25">
        <f t="shared" si="8"/>
        <v>326256.05</v>
      </c>
      <c r="C86" s="49"/>
      <c r="D86" s="50" t="s">
        <v>36</v>
      </c>
      <c r="E86" s="70">
        <v>0.13</v>
      </c>
      <c r="F86" s="197">
        <f t="shared" si="9"/>
        <v>42413.29</v>
      </c>
      <c r="G86" s="189">
        <v>368669.34</v>
      </c>
      <c r="H86" s="36"/>
      <c r="I86" s="210"/>
      <c r="J86" s="56"/>
      <c r="K86" s="207" t="s">
        <v>80</v>
      </c>
      <c r="L86" s="82" t="s">
        <v>96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8"/>
        <v>199980</v>
      </c>
      <c r="C87" s="49"/>
      <c r="D87" s="50" t="s">
        <v>73</v>
      </c>
      <c r="E87" s="70"/>
      <c r="F87" s="25">
        <f t="shared" si="9"/>
        <v>0</v>
      </c>
      <c r="G87" s="189">
        <v>199980</v>
      </c>
      <c r="H87" s="195">
        <v>43784</v>
      </c>
      <c r="I87" s="196">
        <v>199980</v>
      </c>
      <c r="J87" s="201" t="s">
        <v>21</v>
      </c>
      <c r="K87" s="202" t="s">
        <v>97</v>
      </c>
      <c r="L87" s="204" t="s">
        <v>98</v>
      </c>
      <c r="M87" s="56" t="s">
        <v>76</v>
      </c>
      <c r="N87" s="65"/>
      <c r="O87" s="67"/>
    </row>
    <row r="88" s="3" customFormat="1" ht="18" customHeight="1" spans="1:15">
      <c r="A88" s="74">
        <v>43770</v>
      </c>
      <c r="B88" s="25">
        <f t="shared" si="8"/>
        <v>442477.88</v>
      </c>
      <c r="C88" s="75"/>
      <c r="D88" s="76" t="s">
        <v>36</v>
      </c>
      <c r="E88" s="77">
        <v>0.13</v>
      </c>
      <c r="F88" s="197">
        <f t="shared" si="9"/>
        <v>57522.12</v>
      </c>
      <c r="G88" s="198">
        <v>500000</v>
      </c>
      <c r="H88" s="36"/>
      <c r="I88" s="188"/>
      <c r="J88" s="63"/>
      <c r="K88" s="207" t="s">
        <v>92</v>
      </c>
      <c r="L88" s="82" t="s">
        <v>99</v>
      </c>
      <c r="M88" s="63" t="s">
        <v>100</v>
      </c>
      <c r="N88" s="63"/>
      <c r="O88" s="82"/>
    </row>
    <row r="89" s="3" customFormat="1" ht="18" customHeight="1" spans="1:15">
      <c r="A89" s="74"/>
      <c r="B89" s="25"/>
      <c r="C89" s="75"/>
      <c r="D89" s="76"/>
      <c r="E89" s="77"/>
      <c r="F89" s="25"/>
      <c r="G89" s="198"/>
      <c r="H89" s="36">
        <v>43819</v>
      </c>
      <c r="I89" s="188">
        <v>92448</v>
      </c>
      <c r="J89" s="63" t="s">
        <v>20</v>
      </c>
      <c r="K89" s="148" t="s">
        <v>53</v>
      </c>
      <c r="L89" s="67" t="s">
        <v>54</v>
      </c>
      <c r="M89" s="63"/>
      <c r="N89" s="63"/>
      <c r="O89" s="82"/>
    </row>
    <row r="90" s="3" customFormat="1" ht="18" customHeight="1" spans="1:15">
      <c r="A90" s="74"/>
      <c r="B90" s="25">
        <f t="shared" ref="B90:B97" si="10">ROUND(G90/(1+E90),2)</f>
        <v>0</v>
      </c>
      <c r="C90" s="75"/>
      <c r="D90" s="76"/>
      <c r="E90" s="77"/>
      <c r="F90" s="25">
        <f t="shared" ref="F90:F97" si="11">ROUND(G90/(1+E90)*E90,2)</f>
        <v>0</v>
      </c>
      <c r="G90" s="198"/>
      <c r="H90" s="36">
        <v>43829</v>
      </c>
      <c r="I90" s="188">
        <v>800000</v>
      </c>
      <c r="J90" s="63" t="s">
        <v>20</v>
      </c>
      <c r="K90" s="207" t="s">
        <v>80</v>
      </c>
      <c r="L90" s="82" t="s">
        <v>81</v>
      </c>
      <c r="M90" s="63"/>
      <c r="N90" s="63"/>
      <c r="O90" s="82"/>
    </row>
    <row r="91" s="3" customFormat="1" ht="18" customHeight="1" spans="1:15">
      <c r="A91" s="74">
        <v>43800</v>
      </c>
      <c r="B91" s="25">
        <f t="shared" si="10"/>
        <v>650987.86</v>
      </c>
      <c r="C91" s="75"/>
      <c r="D91" s="76" t="s">
        <v>36</v>
      </c>
      <c r="E91" s="77">
        <v>0.13</v>
      </c>
      <c r="F91" s="25">
        <f t="shared" si="11"/>
        <v>84628.42</v>
      </c>
      <c r="G91" s="198">
        <v>735616.28</v>
      </c>
      <c r="H91" s="36"/>
      <c r="I91" s="188"/>
      <c r="J91" s="63"/>
      <c r="K91" s="207" t="s">
        <v>80</v>
      </c>
      <c r="L91" s="82" t="s">
        <v>101</v>
      </c>
      <c r="M91" s="63" t="s">
        <v>100</v>
      </c>
      <c r="N91" s="63"/>
      <c r="O91" s="82"/>
    </row>
    <row r="92" s="3" customFormat="1" ht="18" customHeight="1" spans="1:15">
      <c r="A92" s="74">
        <v>43800</v>
      </c>
      <c r="B92" s="25">
        <f t="shared" si="10"/>
        <v>5825242.72</v>
      </c>
      <c r="C92" s="75"/>
      <c r="D92" s="50" t="s">
        <v>36</v>
      </c>
      <c r="E92" s="70">
        <v>0.03</v>
      </c>
      <c r="F92" s="25">
        <f t="shared" si="11"/>
        <v>174757.28</v>
      </c>
      <c r="G92" s="198">
        <f>1000000*6</f>
        <v>6000000</v>
      </c>
      <c r="H92" s="36">
        <v>43843</v>
      </c>
      <c r="I92" s="188">
        <v>1000000</v>
      </c>
      <c r="J92" s="63" t="s">
        <v>20</v>
      </c>
      <c r="K92" s="207" t="s">
        <v>53</v>
      </c>
      <c r="L92" s="82" t="s">
        <v>54</v>
      </c>
      <c r="M92" s="63" t="s">
        <v>100</v>
      </c>
      <c r="N92" s="63"/>
      <c r="O92" s="82" t="s">
        <v>102</v>
      </c>
    </row>
    <row r="93" s="3" customFormat="1" ht="18" customHeight="1" spans="1:15">
      <c r="A93" s="74">
        <v>43831</v>
      </c>
      <c r="B93" s="25">
        <f t="shared" si="10"/>
        <v>3623633.45</v>
      </c>
      <c r="C93" s="75"/>
      <c r="D93" s="50" t="s">
        <v>36</v>
      </c>
      <c r="E93" s="77">
        <v>0.09</v>
      </c>
      <c r="F93" s="25">
        <f t="shared" si="11"/>
        <v>326127.01</v>
      </c>
      <c r="G93" s="198">
        <f>1000000*3+949760.46</f>
        <v>3949760.46</v>
      </c>
      <c r="H93" s="36">
        <v>43844</v>
      </c>
      <c r="I93" s="188">
        <v>500000</v>
      </c>
      <c r="J93" s="63" t="s">
        <v>20</v>
      </c>
      <c r="K93" s="207" t="s">
        <v>103</v>
      </c>
      <c r="L93" s="82" t="s">
        <v>54</v>
      </c>
      <c r="M93" s="63" t="s">
        <v>100</v>
      </c>
      <c r="N93" s="63"/>
      <c r="O93" s="82"/>
    </row>
    <row r="94" s="3" customFormat="1" ht="18" customHeight="1" spans="1:15">
      <c r="A94" s="74"/>
      <c r="B94" s="25">
        <f t="shared" si="10"/>
        <v>0</v>
      </c>
      <c r="C94" s="75"/>
      <c r="D94" s="76"/>
      <c r="E94" s="77"/>
      <c r="F94" s="25">
        <f t="shared" si="11"/>
        <v>0</v>
      </c>
      <c r="G94" s="198"/>
      <c r="H94" s="36">
        <v>43845</v>
      </c>
      <c r="I94" s="188">
        <v>2000000</v>
      </c>
      <c r="J94" s="63" t="s">
        <v>20</v>
      </c>
      <c r="K94" s="207" t="s">
        <v>103</v>
      </c>
      <c r="L94" s="82" t="s">
        <v>54</v>
      </c>
      <c r="M94" s="63"/>
      <c r="N94" s="63"/>
      <c r="O94" s="82"/>
    </row>
    <row r="95" s="3" customFormat="1" ht="18" customHeight="1" spans="1:15">
      <c r="A95" s="74"/>
      <c r="B95" s="25">
        <f t="shared" si="10"/>
        <v>0</v>
      </c>
      <c r="C95" s="75"/>
      <c r="D95" s="76"/>
      <c r="E95" s="77"/>
      <c r="F95" s="25">
        <f t="shared" si="11"/>
        <v>0</v>
      </c>
      <c r="G95" s="198"/>
      <c r="H95" s="36">
        <v>43849</v>
      </c>
      <c r="I95" s="188">
        <v>1449760.46</v>
      </c>
      <c r="J95" s="63" t="s">
        <v>20</v>
      </c>
      <c r="K95" s="207" t="s">
        <v>103</v>
      </c>
      <c r="L95" s="82" t="s">
        <v>54</v>
      </c>
      <c r="M95" s="63"/>
      <c r="N95" s="63"/>
      <c r="O95" s="82"/>
    </row>
    <row r="96" s="3" customFormat="1" ht="18" customHeight="1" spans="1:15">
      <c r="A96" s="74">
        <v>43831</v>
      </c>
      <c r="B96" s="25">
        <f t="shared" si="10"/>
        <v>600000</v>
      </c>
      <c r="C96" s="75"/>
      <c r="D96" s="50" t="s">
        <v>73</v>
      </c>
      <c r="E96" s="77"/>
      <c r="F96" s="25">
        <f t="shared" si="11"/>
        <v>0</v>
      </c>
      <c r="G96" s="198">
        <v>600000</v>
      </c>
      <c r="H96" s="36">
        <v>43850</v>
      </c>
      <c r="I96" s="188">
        <v>600000</v>
      </c>
      <c r="J96" s="63" t="s">
        <v>21</v>
      </c>
      <c r="K96" s="207" t="s">
        <v>89</v>
      </c>
      <c r="L96" s="82" t="s">
        <v>104</v>
      </c>
      <c r="M96" s="63"/>
      <c r="N96" s="63"/>
      <c r="O96" s="82"/>
    </row>
    <row r="97" s="3" customFormat="1" ht="18" customHeight="1" spans="1:15">
      <c r="A97" s="74">
        <v>43831</v>
      </c>
      <c r="B97" s="25">
        <f t="shared" si="10"/>
        <v>600000</v>
      </c>
      <c r="C97" s="75"/>
      <c r="D97" s="50" t="s">
        <v>73</v>
      </c>
      <c r="E97" s="77"/>
      <c r="F97" s="25">
        <f t="shared" si="11"/>
        <v>0</v>
      </c>
      <c r="G97" s="198">
        <v>600000</v>
      </c>
      <c r="H97" s="36">
        <v>43850</v>
      </c>
      <c r="I97" s="188">
        <v>600000</v>
      </c>
      <c r="J97" s="63" t="s">
        <v>21</v>
      </c>
      <c r="K97" s="207" t="s">
        <v>87</v>
      </c>
      <c r="L97" s="82" t="s">
        <v>104</v>
      </c>
      <c r="M97" s="63"/>
      <c r="N97" s="63"/>
      <c r="O97" s="82"/>
    </row>
    <row r="98" s="3" customFormat="1" ht="18" customHeight="1" spans="1:15">
      <c r="A98" s="74">
        <v>43891</v>
      </c>
      <c r="B98" s="25">
        <v>530100</v>
      </c>
      <c r="C98" s="75"/>
      <c r="D98" s="50" t="s">
        <v>73</v>
      </c>
      <c r="E98" s="77"/>
      <c r="F98" s="25">
        <f t="shared" ref="F98:F113" si="12">ROUND(G98/(1+E98)*E98,2)</f>
        <v>0</v>
      </c>
      <c r="G98" s="198">
        <v>530100</v>
      </c>
      <c r="H98" s="36">
        <v>43903</v>
      </c>
      <c r="I98" s="188">
        <v>530000</v>
      </c>
      <c r="J98" s="63" t="s">
        <v>21</v>
      </c>
      <c r="K98" s="207" t="s">
        <v>105</v>
      </c>
      <c r="L98" s="82" t="s">
        <v>77</v>
      </c>
      <c r="M98" s="63"/>
      <c r="N98" s="63"/>
      <c r="O98" s="82"/>
    </row>
    <row r="99" s="3" customFormat="1" ht="18" customHeight="1" spans="1:15">
      <c r="A99" s="74"/>
      <c r="B99" s="25"/>
      <c r="C99" s="75"/>
      <c r="D99" s="50"/>
      <c r="E99" s="77"/>
      <c r="F99" s="25">
        <f t="shared" si="12"/>
        <v>0</v>
      </c>
      <c r="G99" s="198"/>
      <c r="H99" s="36">
        <v>43903</v>
      </c>
      <c r="I99" s="188">
        <v>200000</v>
      </c>
      <c r="J99" s="63" t="s">
        <v>20</v>
      </c>
      <c r="K99" s="207" t="s">
        <v>80</v>
      </c>
      <c r="L99" s="82" t="s">
        <v>81</v>
      </c>
      <c r="M99" s="63"/>
      <c r="N99" s="63"/>
      <c r="O99" s="82"/>
    </row>
    <row r="100" s="3" customFormat="1" ht="18" customHeight="1" spans="1:15">
      <c r="A100" s="74"/>
      <c r="B100" s="25"/>
      <c r="C100" s="75"/>
      <c r="D100" s="50"/>
      <c r="E100" s="77"/>
      <c r="F100" s="25">
        <f t="shared" si="12"/>
        <v>0</v>
      </c>
      <c r="G100" s="198"/>
      <c r="H100" s="36"/>
      <c r="I100" s="188"/>
      <c r="J100" s="63"/>
      <c r="K100" s="207"/>
      <c r="L100" s="82"/>
      <c r="M100" s="63"/>
      <c r="N100" s="63"/>
      <c r="O100" s="82"/>
    </row>
    <row r="101" s="3" customFormat="1" ht="18" customHeight="1" spans="1:15">
      <c r="A101" s="74"/>
      <c r="B101" s="25"/>
      <c r="C101" s="75"/>
      <c r="D101" s="50"/>
      <c r="E101" s="77"/>
      <c r="F101" s="25">
        <f t="shared" si="12"/>
        <v>0</v>
      </c>
      <c r="G101" s="198"/>
      <c r="H101" s="36"/>
      <c r="I101" s="188"/>
      <c r="J101" s="63"/>
      <c r="K101" s="207"/>
      <c r="L101" s="82"/>
      <c r="M101" s="63"/>
      <c r="N101" s="63"/>
      <c r="O101" s="82"/>
    </row>
    <row r="102" s="3" customFormat="1" ht="18" customHeight="1" spans="1:15">
      <c r="A102" s="74"/>
      <c r="B102" s="25"/>
      <c r="C102" s="75"/>
      <c r="D102" s="50"/>
      <c r="E102" s="77"/>
      <c r="F102" s="25">
        <f t="shared" si="12"/>
        <v>0</v>
      </c>
      <c r="G102" s="198"/>
      <c r="H102" s="36"/>
      <c r="I102" s="188"/>
      <c r="J102" s="63"/>
      <c r="K102" s="207"/>
      <c r="L102" s="82"/>
      <c r="M102" s="63"/>
      <c r="N102" s="63"/>
      <c r="O102" s="82"/>
    </row>
    <row r="103" s="3" customFormat="1" ht="18" customHeight="1" spans="1:15">
      <c r="A103" s="74"/>
      <c r="B103" s="25"/>
      <c r="C103" s="75"/>
      <c r="D103" s="50"/>
      <c r="E103" s="77"/>
      <c r="F103" s="25">
        <f t="shared" si="12"/>
        <v>0</v>
      </c>
      <c r="G103" s="198"/>
      <c r="H103" s="36"/>
      <c r="I103" s="188"/>
      <c r="J103" s="63"/>
      <c r="K103" s="207"/>
      <c r="L103" s="82"/>
      <c r="M103" s="63"/>
      <c r="N103" s="63"/>
      <c r="O103" s="82"/>
    </row>
    <row r="104" s="3" customFormat="1" ht="18" customHeight="1" spans="1:15">
      <c r="A104" s="74"/>
      <c r="B104" s="25"/>
      <c r="C104" s="75"/>
      <c r="D104" s="50"/>
      <c r="E104" s="77"/>
      <c r="F104" s="25">
        <f t="shared" si="12"/>
        <v>0</v>
      </c>
      <c r="G104" s="198"/>
      <c r="H104" s="36"/>
      <c r="I104" s="188"/>
      <c r="J104" s="63"/>
      <c r="K104" s="207"/>
      <c r="L104" s="82"/>
      <c r="M104" s="63"/>
      <c r="N104" s="63"/>
      <c r="O104" s="82"/>
    </row>
    <row r="105" s="3" customFormat="1" ht="18" customHeight="1" spans="1:15">
      <c r="A105" s="74"/>
      <c r="B105" s="25"/>
      <c r="C105" s="75"/>
      <c r="D105" s="50"/>
      <c r="E105" s="77"/>
      <c r="F105" s="25">
        <f t="shared" si="12"/>
        <v>0</v>
      </c>
      <c r="G105" s="198"/>
      <c r="H105" s="36"/>
      <c r="I105" s="188"/>
      <c r="J105" s="63"/>
      <c r="K105" s="207"/>
      <c r="L105" s="82"/>
      <c r="M105" s="63"/>
      <c r="N105" s="63"/>
      <c r="O105" s="82"/>
    </row>
    <row r="106" s="3" customFormat="1" ht="18" customHeight="1" spans="1:15">
      <c r="A106" s="74"/>
      <c r="B106" s="25"/>
      <c r="C106" s="75"/>
      <c r="D106" s="50"/>
      <c r="E106" s="77"/>
      <c r="F106" s="25">
        <f t="shared" si="12"/>
        <v>0</v>
      </c>
      <c r="G106" s="198"/>
      <c r="H106" s="36"/>
      <c r="I106" s="188"/>
      <c r="J106" s="63"/>
      <c r="K106" s="207"/>
      <c r="L106" s="82"/>
      <c r="M106" s="63"/>
      <c r="N106" s="63"/>
      <c r="O106" s="82"/>
    </row>
    <row r="107" s="3" customFormat="1" ht="18" customHeight="1" spans="1:15">
      <c r="A107" s="74"/>
      <c r="B107" s="25"/>
      <c r="C107" s="75"/>
      <c r="D107" s="50"/>
      <c r="E107" s="77"/>
      <c r="F107" s="25">
        <f t="shared" si="12"/>
        <v>0</v>
      </c>
      <c r="G107" s="198"/>
      <c r="H107" s="36"/>
      <c r="I107" s="237">
        <f>B12*0.0006</f>
        <v>853.211009174312</v>
      </c>
      <c r="J107" s="227" t="s">
        <v>106</v>
      </c>
      <c r="K107" s="205" t="s">
        <v>107</v>
      </c>
      <c r="L107" s="82"/>
      <c r="M107" s="63"/>
      <c r="N107" s="63"/>
      <c r="O107" s="82"/>
    </row>
    <row r="108" s="3" customFormat="1" ht="18" customHeight="1" spans="1:15">
      <c r="A108" s="74"/>
      <c r="B108" s="25"/>
      <c r="C108" s="75"/>
      <c r="D108" s="50"/>
      <c r="E108" s="77"/>
      <c r="F108" s="25">
        <f t="shared" si="12"/>
        <v>0</v>
      </c>
      <c r="G108" s="198"/>
      <c r="H108" s="36"/>
      <c r="I108" s="237">
        <f>B12*0.02</f>
        <v>28440.3669724771</v>
      </c>
      <c r="J108" s="227" t="s">
        <v>106</v>
      </c>
      <c r="K108" s="205" t="s">
        <v>108</v>
      </c>
      <c r="L108" s="82"/>
      <c r="M108" s="63"/>
      <c r="N108" s="63"/>
      <c r="O108" s="82"/>
    </row>
    <row r="109" s="3" customFormat="1" ht="18" customHeight="1" spans="1:15">
      <c r="A109" s="74"/>
      <c r="B109" s="25"/>
      <c r="C109" s="75"/>
      <c r="D109" s="50"/>
      <c r="E109" s="77"/>
      <c r="F109" s="25">
        <f t="shared" si="12"/>
        <v>0</v>
      </c>
      <c r="G109" s="198"/>
      <c r="H109" s="36" t="s">
        <v>109</v>
      </c>
      <c r="I109" s="188">
        <v>200</v>
      </c>
      <c r="J109" s="65" t="s">
        <v>106</v>
      </c>
      <c r="K109" s="207" t="s">
        <v>110</v>
      </c>
      <c r="L109" s="82"/>
      <c r="M109" s="63"/>
      <c r="N109" s="63"/>
      <c r="O109" s="82"/>
    </row>
    <row r="110" s="3" customFormat="1" ht="18" customHeight="1" spans="1:15">
      <c r="A110" s="74"/>
      <c r="B110" s="25">
        <f>ROUND(G110/(1+E110),2)</f>
        <v>0</v>
      </c>
      <c r="C110" s="75"/>
      <c r="D110" s="50"/>
      <c r="E110" s="77"/>
      <c r="F110" s="25">
        <f t="shared" si="12"/>
        <v>0</v>
      </c>
      <c r="G110" s="198"/>
      <c r="H110" s="36" t="s">
        <v>111</v>
      </c>
      <c r="I110" s="188">
        <v>-285325</v>
      </c>
      <c r="J110" s="63" t="s">
        <v>112</v>
      </c>
      <c r="K110" s="207"/>
      <c r="L110" s="82"/>
      <c r="M110" s="63"/>
      <c r="N110" s="63"/>
      <c r="O110" s="82"/>
    </row>
    <row r="111" s="3" customFormat="1" ht="18" customHeight="1" spans="1:15">
      <c r="A111" s="74"/>
      <c r="B111" s="25">
        <f>ROUND(G111/(1+E111),2)</f>
        <v>0</v>
      </c>
      <c r="C111" s="75"/>
      <c r="D111" s="76"/>
      <c r="E111" s="77"/>
      <c r="F111" s="25">
        <f t="shared" si="12"/>
        <v>0</v>
      </c>
      <c r="G111" s="198"/>
      <c r="H111" s="36" t="s">
        <v>111</v>
      </c>
      <c r="I111" s="188">
        <v>200</v>
      </c>
      <c r="J111" s="65" t="s">
        <v>106</v>
      </c>
      <c r="K111" s="207" t="s">
        <v>110</v>
      </c>
      <c r="L111" s="82"/>
      <c r="M111" s="63"/>
      <c r="N111" s="63"/>
      <c r="O111" s="82"/>
    </row>
    <row r="112" s="3" customFormat="1" ht="18" customHeight="1" spans="1:15">
      <c r="A112" s="74"/>
      <c r="B112" s="25">
        <f>ROUND(G112/(1+E112),2)</f>
        <v>0</v>
      </c>
      <c r="C112" s="75"/>
      <c r="D112" s="76"/>
      <c r="E112" s="77"/>
      <c r="F112" s="25">
        <f t="shared" si="12"/>
        <v>0</v>
      </c>
      <c r="G112" s="198"/>
      <c r="H112" s="36" t="s">
        <v>113</v>
      </c>
      <c r="I112" s="188">
        <v>300</v>
      </c>
      <c r="J112" s="65" t="s">
        <v>106</v>
      </c>
      <c r="K112" s="207" t="s">
        <v>110</v>
      </c>
      <c r="L112" s="82"/>
      <c r="M112" s="63"/>
      <c r="N112" s="63"/>
      <c r="O112" s="82"/>
    </row>
    <row r="113" s="3" customFormat="1" ht="18" customHeight="1" spans="1:15">
      <c r="A113" s="74"/>
      <c r="B113" s="25">
        <f t="shared" ref="B113:B120" si="13">ROUND(G113/(1+E113),2)</f>
        <v>0</v>
      </c>
      <c r="C113" s="75"/>
      <c r="D113" s="76"/>
      <c r="E113" s="77"/>
      <c r="F113" s="25">
        <f t="shared" si="12"/>
        <v>0</v>
      </c>
      <c r="G113" s="198"/>
      <c r="H113" s="36" t="s">
        <v>114</v>
      </c>
      <c r="I113" s="188">
        <v>9600</v>
      </c>
      <c r="J113" s="65" t="s">
        <v>106</v>
      </c>
      <c r="K113" s="207" t="s">
        <v>115</v>
      </c>
      <c r="L113" s="82"/>
      <c r="M113" s="63"/>
      <c r="N113" s="63"/>
      <c r="O113" s="82"/>
    </row>
    <row r="114" s="3" customFormat="1" ht="18" customHeight="1" spans="1:15">
      <c r="A114" s="74"/>
      <c r="B114" s="25">
        <f t="shared" si="13"/>
        <v>0</v>
      </c>
      <c r="C114" s="75"/>
      <c r="D114" s="76"/>
      <c r="E114" s="77"/>
      <c r="F114" s="25">
        <f t="shared" ref="F114:F119" si="14">ROUND(G114/(1+E114)*E114,2)</f>
        <v>0</v>
      </c>
      <c r="G114" s="198"/>
      <c r="H114" s="36" t="s">
        <v>114</v>
      </c>
      <c r="I114" s="188">
        <v>200</v>
      </c>
      <c r="J114" s="65" t="s">
        <v>106</v>
      </c>
      <c r="K114" s="207" t="s">
        <v>110</v>
      </c>
      <c r="L114" s="82"/>
      <c r="M114" s="63"/>
      <c r="N114" s="63"/>
      <c r="O114" s="82"/>
    </row>
    <row r="115" s="3" customFormat="1" ht="18" customHeight="1" spans="1:15">
      <c r="A115" s="74"/>
      <c r="B115" s="25">
        <f t="shared" si="13"/>
        <v>0</v>
      </c>
      <c r="C115" s="75"/>
      <c r="D115" s="76"/>
      <c r="E115" s="77"/>
      <c r="F115" s="25">
        <f t="shared" si="14"/>
        <v>0</v>
      </c>
      <c r="G115" s="198"/>
      <c r="H115" s="36" t="s">
        <v>114</v>
      </c>
      <c r="I115" s="188">
        <v>-903045</v>
      </c>
      <c r="J115" s="63" t="s">
        <v>112</v>
      </c>
      <c r="K115" s="207" t="s">
        <v>116</v>
      </c>
      <c r="L115" s="82"/>
      <c r="M115" s="63"/>
      <c r="N115" s="63"/>
      <c r="O115" s="82"/>
    </row>
    <row r="116" s="3" customFormat="1" ht="18" customHeight="1" spans="1:15">
      <c r="A116" s="74"/>
      <c r="B116" s="25">
        <f t="shared" si="13"/>
        <v>0</v>
      </c>
      <c r="C116" s="75"/>
      <c r="D116" s="76"/>
      <c r="E116" s="77"/>
      <c r="F116" s="25">
        <f t="shared" si="14"/>
        <v>0</v>
      </c>
      <c r="G116" s="198"/>
      <c r="H116" s="36" t="s">
        <v>117</v>
      </c>
      <c r="I116" s="188">
        <v>232932.79</v>
      </c>
      <c r="J116" s="63" t="s">
        <v>106</v>
      </c>
      <c r="K116" s="207" t="s">
        <v>118</v>
      </c>
      <c r="L116" s="82"/>
      <c r="M116" s="63"/>
      <c r="N116" s="63"/>
      <c r="O116" s="82"/>
    </row>
    <row r="117" s="3" customFormat="1" ht="18" customHeight="1" spans="1:15">
      <c r="A117" s="74"/>
      <c r="B117" s="25">
        <f t="shared" si="13"/>
        <v>0</v>
      </c>
      <c r="C117" s="75"/>
      <c r="D117" s="76"/>
      <c r="E117" s="77"/>
      <c r="F117" s="25">
        <f t="shared" si="14"/>
        <v>0</v>
      </c>
      <c r="G117" s="198"/>
      <c r="H117" s="36" t="s">
        <v>117</v>
      </c>
      <c r="I117" s="188"/>
      <c r="J117" s="63" t="s">
        <v>106</v>
      </c>
      <c r="K117" s="207" t="s">
        <v>119</v>
      </c>
      <c r="L117" s="82"/>
      <c r="M117" s="63"/>
      <c r="N117" s="63"/>
      <c r="O117" s="82"/>
    </row>
    <row r="118" s="3" customFormat="1" ht="18" customHeight="1" spans="1:15">
      <c r="A118" s="74"/>
      <c r="B118" s="25">
        <f t="shared" si="13"/>
        <v>0</v>
      </c>
      <c r="C118" s="75"/>
      <c r="D118" s="76"/>
      <c r="E118" s="77"/>
      <c r="F118" s="25">
        <f t="shared" si="14"/>
        <v>0</v>
      </c>
      <c r="G118" s="198"/>
      <c r="H118" s="36" t="s">
        <v>117</v>
      </c>
      <c r="I118" s="188">
        <v>903045</v>
      </c>
      <c r="J118" s="63" t="s">
        <v>120</v>
      </c>
      <c r="K118" s="207" t="s">
        <v>121</v>
      </c>
      <c r="L118" s="82"/>
      <c r="M118" s="63"/>
      <c r="N118" s="63"/>
      <c r="O118" s="82"/>
    </row>
    <row r="119" s="3" customFormat="1" ht="18" customHeight="1" spans="1:15">
      <c r="A119" s="74"/>
      <c r="B119" s="25">
        <f t="shared" si="13"/>
        <v>0</v>
      </c>
      <c r="C119" s="75"/>
      <c r="D119" s="76"/>
      <c r="E119" s="77"/>
      <c r="F119" s="25">
        <f t="shared" si="14"/>
        <v>0</v>
      </c>
      <c r="G119" s="198"/>
      <c r="H119" s="36" t="s">
        <v>117</v>
      </c>
      <c r="I119" s="188">
        <v>485252</v>
      </c>
      <c r="J119" s="63" t="s">
        <v>106</v>
      </c>
      <c r="K119" s="207" t="s">
        <v>122</v>
      </c>
      <c r="L119" s="82"/>
      <c r="M119" s="63"/>
      <c r="N119" s="63"/>
      <c r="O119" s="82"/>
    </row>
    <row r="120" s="3" customFormat="1" ht="18" customHeight="1" spans="1:15">
      <c r="A120" s="74"/>
      <c r="B120" s="25">
        <f t="shared" si="13"/>
        <v>0</v>
      </c>
      <c r="C120" s="75"/>
      <c r="D120" s="76"/>
      <c r="E120" s="77"/>
      <c r="F120" s="25">
        <f t="shared" ref="F120:F130" si="15">ROUND(G120/(1+E120)*E120,2)</f>
        <v>0</v>
      </c>
      <c r="G120" s="198"/>
      <c r="H120" s="36" t="s">
        <v>117</v>
      </c>
      <c r="I120" s="188">
        <v>4789</v>
      </c>
      <c r="J120" s="63" t="s">
        <v>106</v>
      </c>
      <c r="K120" s="207" t="s">
        <v>123</v>
      </c>
      <c r="L120" s="82"/>
      <c r="M120" s="63"/>
      <c r="N120" s="63"/>
      <c r="O120" s="82"/>
    </row>
    <row r="121" s="3" customFormat="1" ht="18" customHeight="1" spans="1:15">
      <c r="A121" s="74"/>
      <c r="B121" s="25">
        <f t="shared" ref="B121:B130" si="16">ROUND(G121/(1+E121),2)</f>
        <v>0</v>
      </c>
      <c r="C121" s="75"/>
      <c r="D121" s="76"/>
      <c r="E121" s="77"/>
      <c r="F121" s="25">
        <f t="shared" si="15"/>
        <v>0</v>
      </c>
      <c r="G121" s="198"/>
      <c r="H121" s="36" t="s">
        <v>117</v>
      </c>
      <c r="I121" s="237">
        <v>429349</v>
      </c>
      <c r="J121" s="227" t="s">
        <v>106</v>
      </c>
      <c r="K121" s="205" t="s">
        <v>124</v>
      </c>
      <c r="L121" s="82"/>
      <c r="M121" s="63"/>
      <c r="N121" s="63"/>
      <c r="O121" s="82"/>
    </row>
    <row r="122" s="3" customFormat="1" ht="18" customHeight="1" spans="1:15">
      <c r="A122" s="74"/>
      <c r="B122" s="25">
        <f t="shared" si="16"/>
        <v>0</v>
      </c>
      <c r="C122" s="75"/>
      <c r="D122" s="76"/>
      <c r="E122" s="77"/>
      <c r="F122" s="25">
        <f t="shared" si="15"/>
        <v>0</v>
      </c>
      <c r="G122" s="198"/>
      <c r="H122" s="36" t="s">
        <v>117</v>
      </c>
      <c r="I122" s="188">
        <v>87000</v>
      </c>
      <c r="J122" s="63" t="s">
        <v>125</v>
      </c>
      <c r="K122" s="207" t="s">
        <v>126</v>
      </c>
      <c r="L122" s="82"/>
      <c r="M122" s="63"/>
      <c r="N122" s="63"/>
      <c r="O122" s="82"/>
    </row>
    <row r="123" s="2" customFormat="1" ht="18" customHeight="1" spans="1:15">
      <c r="A123" s="48"/>
      <c r="B123" s="25">
        <f t="shared" si="16"/>
        <v>0</v>
      </c>
      <c r="C123" s="49"/>
      <c r="D123" s="50"/>
      <c r="E123" s="70"/>
      <c r="F123" s="25">
        <f t="shared" si="15"/>
        <v>0</v>
      </c>
      <c r="G123" s="189"/>
      <c r="H123" s="36" t="s">
        <v>117</v>
      </c>
      <c r="I123" s="188">
        <v>100</v>
      </c>
      <c r="J123" s="65" t="s">
        <v>106</v>
      </c>
      <c r="K123" s="207" t="s">
        <v>110</v>
      </c>
      <c r="L123" s="82"/>
      <c r="M123" s="56"/>
      <c r="N123" s="65"/>
      <c r="O123" s="67"/>
    </row>
    <row r="124" s="2" customFormat="1" ht="18" customHeight="1" spans="1:15">
      <c r="A124" s="48"/>
      <c r="B124" s="25">
        <f t="shared" si="16"/>
        <v>0</v>
      </c>
      <c r="C124" s="49"/>
      <c r="D124" s="50"/>
      <c r="E124" s="70"/>
      <c r="F124" s="25">
        <f t="shared" si="15"/>
        <v>0</v>
      </c>
      <c r="G124" s="189"/>
      <c r="H124" s="36" t="s">
        <v>117</v>
      </c>
      <c r="I124" s="188"/>
      <c r="J124" s="63"/>
      <c r="K124" s="207"/>
      <c r="L124" s="82"/>
      <c r="M124" s="56"/>
      <c r="N124" s="65"/>
      <c r="O124" s="67"/>
    </row>
    <row r="125" s="2" customFormat="1" ht="18" customHeight="1" spans="1:15">
      <c r="A125" s="48"/>
      <c r="B125" s="25">
        <f t="shared" si="16"/>
        <v>0</v>
      </c>
      <c r="C125" s="49"/>
      <c r="D125" s="50"/>
      <c r="E125" s="70"/>
      <c r="F125" s="25">
        <f t="shared" si="15"/>
        <v>0</v>
      </c>
      <c r="G125" s="189"/>
      <c r="H125" s="36" t="s">
        <v>127</v>
      </c>
      <c r="I125" s="188">
        <v>-93700</v>
      </c>
      <c r="J125" s="63" t="s">
        <v>125</v>
      </c>
      <c r="K125" s="148" t="s">
        <v>126</v>
      </c>
      <c r="L125" s="82"/>
      <c r="M125" s="56"/>
      <c r="N125" s="65"/>
      <c r="O125" s="67"/>
    </row>
    <row r="126" s="2" customFormat="1" ht="18" customHeight="1" spans="1:15">
      <c r="A126" s="48"/>
      <c r="B126" s="25">
        <f t="shared" si="16"/>
        <v>0</v>
      </c>
      <c r="C126" s="49"/>
      <c r="D126" s="50"/>
      <c r="E126" s="70"/>
      <c r="F126" s="25">
        <f t="shared" si="15"/>
        <v>0</v>
      </c>
      <c r="G126" s="189"/>
      <c r="H126" s="36" t="s">
        <v>127</v>
      </c>
      <c r="I126" s="71">
        <v>50</v>
      </c>
      <c r="J126" s="65" t="s">
        <v>106</v>
      </c>
      <c r="K126" s="148" t="s">
        <v>110</v>
      </c>
      <c r="L126" s="82"/>
      <c r="M126" s="56"/>
      <c r="N126" s="65"/>
      <c r="O126" s="67"/>
    </row>
    <row r="127" s="2" customFormat="1" ht="18" customHeight="1" spans="1:15">
      <c r="A127" s="48"/>
      <c r="B127" s="25">
        <f t="shared" si="16"/>
        <v>0</v>
      </c>
      <c r="C127" s="49"/>
      <c r="D127" s="50"/>
      <c r="E127" s="70"/>
      <c r="F127" s="25">
        <f t="shared" si="15"/>
        <v>0</v>
      </c>
      <c r="G127" s="189"/>
      <c r="H127" s="36" t="s">
        <v>127</v>
      </c>
      <c r="I127" s="210">
        <v>-21725</v>
      </c>
      <c r="J127" s="56" t="s">
        <v>112</v>
      </c>
      <c r="K127" s="238" t="s">
        <v>128</v>
      </c>
      <c r="L127" s="82"/>
      <c r="M127" s="56"/>
      <c r="N127" s="65"/>
      <c r="O127" s="67"/>
    </row>
    <row r="128" s="2" customFormat="1" ht="18" customHeight="1" spans="1:15">
      <c r="A128" s="48"/>
      <c r="B128" s="25">
        <f t="shared" si="16"/>
        <v>0</v>
      </c>
      <c r="C128" s="49"/>
      <c r="D128" s="50"/>
      <c r="E128" s="46"/>
      <c r="F128" s="25">
        <f t="shared" si="15"/>
        <v>0</v>
      </c>
      <c r="G128" s="189"/>
      <c r="H128" s="36" t="s">
        <v>129</v>
      </c>
      <c r="I128" s="237">
        <v>243021</v>
      </c>
      <c r="J128" s="227" t="s">
        <v>106</v>
      </c>
      <c r="K128" s="205" t="s">
        <v>124</v>
      </c>
      <c r="L128" s="67"/>
      <c r="M128" s="65"/>
      <c r="N128" s="65"/>
      <c r="O128" s="67"/>
    </row>
    <row r="129" s="2" customFormat="1" ht="18" customHeight="1" spans="1:15">
      <c r="A129" s="48"/>
      <c r="B129" s="25">
        <f t="shared" si="16"/>
        <v>0</v>
      </c>
      <c r="C129" s="49"/>
      <c r="D129" s="50"/>
      <c r="E129" s="46"/>
      <c r="F129" s="25">
        <f t="shared" si="15"/>
        <v>0</v>
      </c>
      <c r="G129" s="189"/>
      <c r="H129" s="36" t="s">
        <v>129</v>
      </c>
      <c r="I129" s="188">
        <v>2340</v>
      </c>
      <c r="J129" s="63" t="s">
        <v>106</v>
      </c>
      <c r="K129" s="207" t="s">
        <v>123</v>
      </c>
      <c r="L129" s="67"/>
      <c r="M129" s="65"/>
      <c r="N129" s="65"/>
      <c r="O129" s="67"/>
    </row>
    <row r="130" s="2" customFormat="1" ht="18" customHeight="1" spans="1:15">
      <c r="A130" s="48"/>
      <c r="B130" s="25">
        <f t="shared" si="16"/>
        <v>0</v>
      </c>
      <c r="C130" s="49"/>
      <c r="D130" s="50"/>
      <c r="E130" s="46"/>
      <c r="F130" s="25">
        <f t="shared" si="15"/>
        <v>0</v>
      </c>
      <c r="G130" s="189"/>
      <c r="H130" s="36" t="s">
        <v>129</v>
      </c>
      <c r="I130" s="188">
        <v>500</v>
      </c>
      <c r="J130" s="63" t="s">
        <v>106</v>
      </c>
      <c r="K130" s="148" t="s">
        <v>130</v>
      </c>
      <c r="L130" s="67"/>
      <c r="M130" s="65"/>
      <c r="N130" s="65"/>
      <c r="O130" s="67"/>
    </row>
    <row r="131" s="2" customFormat="1" ht="18" customHeight="1" spans="1:15">
      <c r="A131" s="48"/>
      <c r="B131" s="25"/>
      <c r="C131" s="49"/>
      <c r="D131" s="50"/>
      <c r="E131" s="46"/>
      <c r="F131" s="25"/>
      <c r="G131" s="189"/>
      <c r="H131" s="36" t="s">
        <v>129</v>
      </c>
      <c r="I131" s="210">
        <v>55725</v>
      </c>
      <c r="J131" s="56" t="s">
        <v>120</v>
      </c>
      <c r="K131" s="238" t="s">
        <v>121</v>
      </c>
      <c r="L131" s="67"/>
      <c r="M131" s="65"/>
      <c r="N131" s="65"/>
      <c r="O131" s="67"/>
    </row>
    <row r="132" s="2" customFormat="1" ht="18" customHeight="1" spans="1:15">
      <c r="A132" s="48"/>
      <c r="B132" s="25">
        <f t="shared" ref="B132:B137" si="17">ROUND(G132/(1+E132),2)</f>
        <v>0</v>
      </c>
      <c r="C132" s="49"/>
      <c r="D132" s="50"/>
      <c r="E132" s="46"/>
      <c r="F132" s="25">
        <f t="shared" ref="F132:F137" si="18">ROUND(G132/(1+E132)*E132,2)</f>
        <v>0</v>
      </c>
      <c r="G132" s="189"/>
      <c r="H132" s="36" t="s">
        <v>129</v>
      </c>
      <c r="I132" s="188">
        <v>8500</v>
      </c>
      <c r="J132" s="63" t="s">
        <v>125</v>
      </c>
      <c r="K132" s="148" t="s">
        <v>126</v>
      </c>
      <c r="L132" s="67"/>
      <c r="M132" s="65"/>
      <c r="N132" s="65"/>
      <c r="O132" s="67"/>
    </row>
    <row r="133" s="2" customFormat="1" ht="18" customHeight="1" spans="1:15">
      <c r="A133" s="48"/>
      <c r="B133" s="25">
        <f t="shared" si="17"/>
        <v>0</v>
      </c>
      <c r="C133" s="49"/>
      <c r="D133" s="50"/>
      <c r="E133" s="46"/>
      <c r="F133" s="25">
        <f t="shared" si="18"/>
        <v>0</v>
      </c>
      <c r="G133" s="189"/>
      <c r="H133" s="36" t="s">
        <v>131</v>
      </c>
      <c r="I133" s="188">
        <v>8800</v>
      </c>
      <c r="J133" s="63" t="s">
        <v>125</v>
      </c>
      <c r="K133" s="148" t="s">
        <v>126</v>
      </c>
      <c r="L133" s="67"/>
      <c r="M133" s="65"/>
      <c r="N133" s="65"/>
      <c r="O133" s="67"/>
    </row>
    <row r="134" s="2" customFormat="1" ht="18" customHeight="1" spans="1:15">
      <c r="A134" s="48"/>
      <c r="B134" s="25">
        <f t="shared" si="17"/>
        <v>0</v>
      </c>
      <c r="C134" s="49"/>
      <c r="D134" s="50"/>
      <c r="E134" s="46"/>
      <c r="F134" s="25">
        <f t="shared" si="18"/>
        <v>0</v>
      </c>
      <c r="G134" s="189"/>
      <c r="H134" s="36" t="s">
        <v>131</v>
      </c>
      <c r="I134" s="188">
        <v>35200</v>
      </c>
      <c r="J134" s="63" t="s">
        <v>125</v>
      </c>
      <c r="K134" s="148" t="s">
        <v>126</v>
      </c>
      <c r="L134" s="67"/>
      <c r="M134" s="65"/>
      <c r="N134" s="65"/>
      <c r="O134" s="67"/>
    </row>
    <row r="135" s="2" customFormat="1" ht="18" customHeight="1" spans="1:15">
      <c r="A135" s="48"/>
      <c r="B135" s="25">
        <f t="shared" si="17"/>
        <v>0</v>
      </c>
      <c r="C135" s="49"/>
      <c r="D135" s="50"/>
      <c r="E135" s="46"/>
      <c r="F135" s="25">
        <f t="shared" si="18"/>
        <v>0</v>
      </c>
      <c r="G135" s="189"/>
      <c r="H135" s="36" t="s">
        <v>131</v>
      </c>
      <c r="I135" s="188">
        <f>B9*E151</f>
        <v>2400</v>
      </c>
      <c r="J135" s="63" t="s">
        <v>106</v>
      </c>
      <c r="K135" s="148" t="s">
        <v>132</v>
      </c>
      <c r="L135" s="67"/>
      <c r="M135" s="65"/>
      <c r="N135" s="65"/>
      <c r="O135" s="67"/>
    </row>
    <row r="136" s="1" customFormat="1" ht="18" customHeight="1" spans="1:15">
      <c r="A136" s="43"/>
      <c r="B136" s="25">
        <f t="shared" si="17"/>
        <v>0</v>
      </c>
      <c r="C136" s="44"/>
      <c r="D136" s="45"/>
      <c r="E136" s="46"/>
      <c r="F136" s="25">
        <f t="shared" si="18"/>
        <v>0</v>
      </c>
      <c r="G136" s="189"/>
      <c r="H136" s="31" t="s">
        <v>133</v>
      </c>
      <c r="I136" s="188">
        <v>41200</v>
      </c>
      <c r="J136" s="63" t="s">
        <v>120</v>
      </c>
      <c r="K136" s="148" t="s">
        <v>126</v>
      </c>
      <c r="L136" s="60"/>
      <c r="M136" s="61"/>
      <c r="N136" s="61"/>
      <c r="O136" s="60"/>
    </row>
    <row r="137" s="1" customFormat="1" ht="18" customHeight="1" spans="1:15">
      <c r="A137" s="43"/>
      <c r="B137" s="25">
        <f t="shared" si="17"/>
        <v>0</v>
      </c>
      <c r="C137" s="44"/>
      <c r="D137" s="45"/>
      <c r="E137" s="46"/>
      <c r="F137" s="25">
        <f t="shared" si="18"/>
        <v>0</v>
      </c>
      <c r="G137" s="189"/>
      <c r="H137" s="31" t="s">
        <v>133</v>
      </c>
      <c r="I137" s="188">
        <v>2248</v>
      </c>
      <c r="J137" s="63" t="s">
        <v>106</v>
      </c>
      <c r="K137" s="148" t="s">
        <v>123</v>
      </c>
      <c r="L137" s="60"/>
      <c r="M137" s="61"/>
      <c r="N137" s="61"/>
      <c r="O137" s="60"/>
    </row>
    <row r="138" s="1" customFormat="1" ht="18" customHeight="1" spans="1:15">
      <c r="A138" s="43"/>
      <c r="B138" s="25"/>
      <c r="C138" s="44"/>
      <c r="D138" s="45"/>
      <c r="E138" s="46"/>
      <c r="F138" s="25"/>
      <c r="G138" s="189"/>
      <c r="H138" s="36" t="s">
        <v>134</v>
      </c>
      <c r="I138" s="188">
        <v>2782</v>
      </c>
      <c r="J138" s="63" t="s">
        <v>106</v>
      </c>
      <c r="K138" s="148" t="s">
        <v>123</v>
      </c>
      <c r="L138" s="60"/>
      <c r="M138" s="61"/>
      <c r="N138" s="61"/>
      <c r="O138" s="60"/>
    </row>
    <row r="139" s="1" customFormat="1" ht="18" customHeight="1" spans="1:15">
      <c r="A139" s="43"/>
      <c r="B139" s="25">
        <f>ROUND(G139/(1+E139),2)</f>
        <v>0</v>
      </c>
      <c r="C139" s="44"/>
      <c r="D139" s="45"/>
      <c r="E139" s="46"/>
      <c r="F139" s="25">
        <f>ROUND(G139/(1+E139)*E139,2)</f>
        <v>0</v>
      </c>
      <c r="G139" s="189"/>
      <c r="H139" s="36" t="s">
        <v>134</v>
      </c>
      <c r="I139" s="188">
        <v>950</v>
      </c>
      <c r="J139" s="63" t="s">
        <v>106</v>
      </c>
      <c r="K139" s="148" t="s">
        <v>130</v>
      </c>
      <c r="L139" s="60">
        <f>K149-I128</f>
        <v>-0.228201834281208</v>
      </c>
      <c r="M139" s="61"/>
      <c r="N139" s="61"/>
      <c r="O139" s="60"/>
    </row>
    <row r="140" s="1" customFormat="1" ht="18" customHeight="1" spans="1:17">
      <c r="A140" s="43"/>
      <c r="B140" s="25">
        <f>ROUND(G140/(1+E140),2)</f>
        <v>132850</v>
      </c>
      <c r="C140" s="44"/>
      <c r="D140" s="45"/>
      <c r="E140" s="46"/>
      <c r="F140" s="25">
        <f>ROUND(G140/(1+E140)*E140,2)</f>
        <v>0</v>
      </c>
      <c r="G140" s="189">
        <f>46100+17600+4400+17000+4250+34800+8700</f>
        <v>132850</v>
      </c>
      <c r="H140" s="31"/>
      <c r="I140" s="32">
        <f>G140</f>
        <v>132850</v>
      </c>
      <c r="J140" s="63" t="s">
        <v>106</v>
      </c>
      <c r="K140" s="148" t="s">
        <v>135</v>
      </c>
      <c r="L140" s="60"/>
      <c r="M140" s="61"/>
      <c r="N140" s="61"/>
      <c r="O140" s="60"/>
      <c r="Q140" s="1" t="e">
        <f>I118+I127+#REF!</f>
        <v>#REF!</v>
      </c>
    </row>
    <row r="141" ht="18" customHeight="1" spans="1:15">
      <c r="A141" s="39" t="s">
        <v>22</v>
      </c>
      <c r="B141" s="38">
        <f>SUM(B22:B140)</f>
        <v>31859088.39</v>
      </c>
      <c r="C141" s="39"/>
      <c r="D141" s="240"/>
      <c r="E141" s="240"/>
      <c r="F141" s="241">
        <f>SUM(F22:F140)</f>
        <v>1796465.19</v>
      </c>
      <c r="G141" s="242">
        <f>SUM(G22:G140)</f>
        <v>33655553.58</v>
      </c>
      <c r="H141" s="243"/>
      <c r="I141" s="190">
        <f>SUM(I22:I140)</f>
        <v>29545610.8279817</v>
      </c>
      <c r="J141" s="251"/>
      <c r="K141" s="269"/>
      <c r="L141" s="191"/>
      <c r="M141" s="40"/>
      <c r="N141" s="40"/>
      <c r="O141" s="191"/>
    </row>
    <row r="142" ht="18" customHeight="1" spans="1:14">
      <c r="A142" s="99"/>
      <c r="B142" s="100">
        <f>B19-B141</f>
        <v>-6174517.9146038</v>
      </c>
      <c r="C142" s="99"/>
      <c r="D142" s="244"/>
      <c r="E142" s="244"/>
      <c r="F142" s="100">
        <f>F19-F141</f>
        <v>125272.92509591</v>
      </c>
      <c r="G142" s="100"/>
      <c r="H142" s="30" t="s">
        <v>136</v>
      </c>
      <c r="I142" s="190">
        <f>I19-I141</f>
        <v>-1425610.82798165</v>
      </c>
      <c r="J142" s="14"/>
      <c r="K142" s="253"/>
      <c r="M142" s="13"/>
      <c r="N142" s="13"/>
    </row>
    <row r="143" ht="18" customHeight="1" spans="1:3">
      <c r="A143" s="6" t="s">
        <v>137</v>
      </c>
      <c r="C143" s="6"/>
    </row>
    <row r="144" ht="18" customHeight="1" spans="1:15">
      <c r="A144" s="30" t="s">
        <v>138</v>
      </c>
      <c r="B144" s="28" t="s">
        <v>139</v>
      </c>
      <c r="C144" s="191"/>
      <c r="D144" s="30" t="s">
        <v>138</v>
      </c>
      <c r="E144" s="27" t="s">
        <v>15</v>
      </c>
      <c r="F144" s="28" t="s">
        <v>139</v>
      </c>
      <c r="G144" s="28" t="s">
        <v>140</v>
      </c>
      <c r="H144" s="28" t="s">
        <v>141</v>
      </c>
      <c r="I144" s="28" t="s">
        <v>142</v>
      </c>
      <c r="K144" s="28" t="s">
        <v>143</v>
      </c>
      <c r="L144" s="254"/>
      <c r="M144" s="28" t="s">
        <v>144</v>
      </c>
      <c r="N144" s="134" t="s">
        <v>145</v>
      </c>
      <c r="O144" s="255"/>
    </row>
    <row r="145" ht="18" customHeight="1" spans="1:16">
      <c r="A145" s="191" t="s">
        <v>146</v>
      </c>
      <c r="B145" s="25">
        <f>(B19-B141)*0.25</f>
        <v>-1543629.47865095</v>
      </c>
      <c r="C145" s="191"/>
      <c r="D145" s="18" t="s">
        <v>147</v>
      </c>
      <c r="E145" s="40" t="s">
        <v>148</v>
      </c>
      <c r="F145" s="245">
        <f>F19-F141</f>
        <v>125272.92509591</v>
      </c>
      <c r="G145" s="245"/>
      <c r="H145" s="245"/>
      <c r="I145" s="245"/>
      <c r="K145" s="245">
        <f>F7+F8+F9+F10-F22-F24-F27-F28-F31-F38-F36-F39-F41-F46-F47-F48-F49-F51-F72-F73-F74-F75-F76</f>
        <v>220927.974361969</v>
      </c>
      <c r="L145" s="254"/>
      <c r="M145" s="245">
        <f>F11-F85-F86-F88-F91-F92</f>
        <v>164443.026330275</v>
      </c>
      <c r="N145" s="134">
        <f>F12-F93</f>
        <v>-226585.72559633</v>
      </c>
      <c r="O145" s="255"/>
      <c r="P145" s="14">
        <f>'10'!F13+N145</f>
        <v>5891.3386238527</v>
      </c>
    </row>
    <row r="146" ht="18" customHeight="1" spans="1:15">
      <c r="A146" s="191" t="s">
        <v>149</v>
      </c>
      <c r="B146" s="21" t="s">
        <v>150</v>
      </c>
      <c r="C146" s="191"/>
      <c r="D146" s="246" t="s">
        <v>151</v>
      </c>
      <c r="E146" s="22">
        <v>0.05</v>
      </c>
      <c r="F146" s="32">
        <f>F145*E146</f>
        <v>6263.64625479549</v>
      </c>
      <c r="G146" s="32">
        <v>0</v>
      </c>
      <c r="H146" s="32">
        <v>0</v>
      </c>
      <c r="I146" s="32">
        <v>0</v>
      </c>
      <c r="K146" s="32">
        <f>K145*E146</f>
        <v>11046.3987180984</v>
      </c>
      <c r="L146" s="254"/>
      <c r="M146" s="32">
        <f>M145*E146</f>
        <v>8222.15131651375</v>
      </c>
      <c r="N146" s="134"/>
      <c r="O146" s="255"/>
    </row>
    <row r="147" ht="18" customHeight="1" spans="1:15">
      <c r="A147" s="191" t="s">
        <v>123</v>
      </c>
      <c r="B147" s="247">
        <f>B19*0.0006</f>
        <v>15410.7422852377</v>
      </c>
      <c r="C147" s="191"/>
      <c r="D147" s="246" t="s">
        <v>152</v>
      </c>
      <c r="E147" s="22">
        <v>0.03</v>
      </c>
      <c r="F147" s="32">
        <f>F145*E147</f>
        <v>3758.18775287729</v>
      </c>
      <c r="G147" s="32">
        <v>0</v>
      </c>
      <c r="H147" s="32">
        <v>0</v>
      </c>
      <c r="I147" s="32">
        <v>0</v>
      </c>
      <c r="K147" s="32">
        <f>K145*E147</f>
        <v>6627.83923085906</v>
      </c>
      <c r="L147" s="254"/>
      <c r="M147" s="32">
        <f>M145*E147</f>
        <v>4933.29078990825</v>
      </c>
      <c r="N147" s="134"/>
      <c r="O147" s="255"/>
    </row>
    <row r="148" ht="18" customHeight="1" spans="1:15">
      <c r="A148" s="191"/>
      <c r="B148" s="32"/>
      <c r="C148" s="191"/>
      <c r="D148" s="246" t="s">
        <v>153</v>
      </c>
      <c r="E148" s="22">
        <v>0.02</v>
      </c>
      <c r="F148" s="32">
        <f>F145*E148</f>
        <v>2505.45850191819</v>
      </c>
      <c r="G148" s="32">
        <v>0</v>
      </c>
      <c r="H148" s="32">
        <v>0</v>
      </c>
      <c r="I148" s="32">
        <v>0</v>
      </c>
      <c r="K148" s="32">
        <f>K145*E148</f>
        <v>4418.55948723938</v>
      </c>
      <c r="L148" s="254"/>
      <c r="M148" s="32">
        <f>M145*E148</f>
        <v>3288.8605266055</v>
      </c>
      <c r="N148" s="134"/>
      <c r="O148" s="255"/>
    </row>
    <row r="149" ht="18" customHeight="1" spans="1:15">
      <c r="A149" s="37" t="s">
        <v>154</v>
      </c>
      <c r="B149" s="38">
        <f>SUM(B145:B148)</f>
        <v>-1528218.73636571</v>
      </c>
      <c r="C149" s="191"/>
      <c r="D149" s="37" t="s">
        <v>154</v>
      </c>
      <c r="E149" s="37"/>
      <c r="F149" s="241">
        <f>SUM(F145:F148)</f>
        <v>137800.217605501</v>
      </c>
      <c r="G149" s="241">
        <v>0</v>
      </c>
      <c r="H149" s="241">
        <v>0</v>
      </c>
      <c r="I149" s="241">
        <v>0</v>
      </c>
      <c r="K149" s="241">
        <f>SUM(K145:K148)</f>
        <v>243020.771798166</v>
      </c>
      <c r="L149" s="254"/>
      <c r="M149" s="241">
        <f>SUM(M145:M148)</f>
        <v>180887.328963302</v>
      </c>
      <c r="N149" s="134"/>
      <c r="O149" s="255"/>
    </row>
    <row r="150" ht="18" customHeight="1" spans="3:15">
      <c r="C150" s="6"/>
      <c r="D150" s="20" t="s">
        <v>149</v>
      </c>
      <c r="E150" s="248">
        <v>0.0003</v>
      </c>
      <c r="F150" s="32">
        <v>0</v>
      </c>
      <c r="G150" s="32"/>
      <c r="H150" s="32"/>
      <c r="I150" s="32">
        <v>0</v>
      </c>
      <c r="K150" s="32"/>
      <c r="M150" s="32"/>
      <c r="N150" s="134"/>
      <c r="O150" s="255"/>
    </row>
    <row r="151" ht="18" customHeight="1" spans="3:15">
      <c r="C151" s="6"/>
      <c r="D151" s="20" t="s">
        <v>123</v>
      </c>
      <c r="E151" s="248">
        <v>0.0006</v>
      </c>
      <c r="F151" s="32">
        <f>B19*E151</f>
        <v>15410.7422852377</v>
      </c>
      <c r="G151" s="32">
        <f>B7*E151</f>
        <v>2781.81818181818</v>
      </c>
      <c r="H151" s="32">
        <f>B8*E151</f>
        <v>2247.27272727273</v>
      </c>
      <c r="I151" s="32">
        <f>B9*E151</f>
        <v>2400</v>
      </c>
      <c r="K151" s="32">
        <f>B10*E151</f>
        <v>2339.4495412844</v>
      </c>
      <c r="L151" s="254"/>
      <c r="M151" s="32">
        <f>B11*E151</f>
        <v>4788.99082568807</v>
      </c>
      <c r="N151" s="134">
        <f>B12*0.0006</f>
        <v>853.211009174312</v>
      </c>
      <c r="O151" s="255"/>
    </row>
    <row r="152" ht="18" customHeight="1" spans="3:15">
      <c r="C152" s="6"/>
      <c r="D152" s="39" t="s">
        <v>22</v>
      </c>
      <c r="E152" s="39"/>
      <c r="F152" s="190">
        <f>F149+F150+F151</f>
        <v>153210.959890738</v>
      </c>
      <c r="G152" s="190"/>
      <c r="H152" s="190"/>
      <c r="I152" s="190"/>
      <c r="K152" s="190"/>
      <c r="M152" s="191">
        <f>M149+M151</f>
        <v>185676.319788991</v>
      </c>
      <c r="N152" s="134"/>
      <c r="O152" s="255"/>
    </row>
    <row r="153" ht="18" customHeight="1" spans="3:15">
      <c r="C153" s="6"/>
      <c r="D153" s="20" t="s">
        <v>121</v>
      </c>
      <c r="E153" s="248">
        <v>0.02</v>
      </c>
      <c r="F153" s="32">
        <f>B19*E153</f>
        <v>513691.409507923</v>
      </c>
      <c r="G153" s="32"/>
      <c r="H153" s="32"/>
      <c r="I153" s="32"/>
      <c r="K153" s="190"/>
      <c r="M153" s="32">
        <f>(SUM(B7:B11))*E153</f>
        <v>485251.042535446</v>
      </c>
      <c r="N153" s="134"/>
      <c r="O153" s="255"/>
    </row>
    <row r="154" spans="3:3">
      <c r="C154" s="6"/>
    </row>
    <row r="155" spans="3:3">
      <c r="C155" s="6"/>
    </row>
    <row r="156" spans="3:3">
      <c r="C156" s="6"/>
    </row>
    <row r="157" spans="3:3">
      <c r="C157" s="6"/>
    </row>
    <row r="158" spans="3:3">
      <c r="C158" s="6"/>
    </row>
    <row r="159" spans="3:3">
      <c r="C159" s="6"/>
    </row>
    <row r="160" spans="3:3">
      <c r="C160" s="6"/>
    </row>
    <row r="161" spans="3:3">
      <c r="C161" s="6"/>
    </row>
    <row r="162" spans="3:3">
      <c r="C162" s="6"/>
    </row>
    <row r="163" spans="3:3">
      <c r="C163" s="6"/>
    </row>
    <row r="164" spans="3:3">
      <c r="C164" s="6"/>
    </row>
    <row r="165" spans="3:3">
      <c r="C165" s="6"/>
    </row>
    <row r="166" spans="3:3">
      <c r="C166" s="6"/>
    </row>
    <row r="167" spans="3:3">
      <c r="C167" s="6"/>
    </row>
    <row r="168" spans="3:3">
      <c r="C168" s="6"/>
    </row>
  </sheetData>
  <autoFilter ref="A21:O153">
    <extLst/>
  </autoFilter>
  <mergeCells count="18">
    <mergeCell ref="A1:J1"/>
    <mergeCell ref="H2:J2"/>
    <mergeCell ref="C5:D5"/>
    <mergeCell ref="E5:F5"/>
    <mergeCell ref="H5:J5"/>
    <mergeCell ref="N144:O144"/>
    <mergeCell ref="N145:O145"/>
    <mergeCell ref="N146:O146"/>
    <mergeCell ref="N147:O147"/>
    <mergeCell ref="N148:O148"/>
    <mergeCell ref="N149:O149"/>
    <mergeCell ref="N150:O150"/>
    <mergeCell ref="N151:O151"/>
    <mergeCell ref="N152:O152"/>
    <mergeCell ref="N153:O153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1"/>
  <sheetViews>
    <sheetView topLeftCell="A163" workbookViewId="0">
      <selection activeCell="K105" sqref="K105:M105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 t="s">
        <v>172</v>
      </c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/>
      <c r="B14" s="32">
        <f t="shared" si="0"/>
        <v>0</v>
      </c>
      <c r="C14" s="33"/>
      <c r="D14" s="188">
        <f t="shared" si="1"/>
        <v>0</v>
      </c>
      <c r="E14" s="33"/>
      <c r="F14" s="32">
        <f t="shared" si="2"/>
        <v>0</v>
      </c>
      <c r="G14" s="189"/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>
        <f>G20/(1+C20+E20)</f>
        <v>0</v>
      </c>
      <c r="C20" s="33"/>
      <c r="D20" s="188">
        <f>G20/(1+E20+C20)*C20</f>
        <v>0</v>
      </c>
      <c r="E20" s="33"/>
      <c r="F20" s="32">
        <f>G20/(1+C20+E20)*E20</f>
        <v>0</v>
      </c>
      <c r="G20" s="189"/>
      <c r="H20" s="14"/>
      <c r="I20" s="14"/>
      <c r="J20" s="40"/>
    </row>
    <row r="21" ht="18" customHeight="1" spans="1:10">
      <c r="A21" s="37" t="s">
        <v>22</v>
      </c>
      <c r="B21" s="38">
        <f t="shared" ref="B21:G21" si="3">SUM(B7:B20)</f>
        <v>29005671.3928274</v>
      </c>
      <c r="C21" s="39"/>
      <c r="D21" s="190">
        <f t="shared" si="3"/>
        <v>580113.427856547</v>
      </c>
      <c r="E21" s="39"/>
      <c r="F21" s="190">
        <f t="shared" si="3"/>
        <v>2154215.1793161</v>
      </c>
      <c r="G21" s="190">
        <f t="shared" si="3"/>
        <v>31740000</v>
      </c>
      <c r="H21" s="191"/>
      <c r="I21" s="190">
        <f>SUM(I7:I19)</f>
        <v>31740000</v>
      </c>
      <c r="J21" s="191"/>
    </row>
    <row r="22" ht="18" customHeight="1" spans="1:12">
      <c r="A22" s="6" t="s">
        <v>23</v>
      </c>
      <c r="J22" s="8"/>
      <c r="K22" s="8"/>
      <c r="L22" s="186"/>
    </row>
    <row r="23" ht="18" customHeight="1" spans="1:15">
      <c r="A23" s="41" t="s">
        <v>24</v>
      </c>
      <c r="B23" s="28" t="s">
        <v>25</v>
      </c>
      <c r="C23" s="27" t="s">
        <v>26</v>
      </c>
      <c r="D23" s="27" t="s">
        <v>27</v>
      </c>
      <c r="E23" s="27" t="s">
        <v>15</v>
      </c>
      <c r="F23" s="28" t="s">
        <v>28</v>
      </c>
      <c r="G23" s="28" t="s">
        <v>13</v>
      </c>
      <c r="H23" s="27" t="s">
        <v>29</v>
      </c>
      <c r="I23" s="28" t="s">
        <v>30</v>
      </c>
      <c r="J23" s="27" t="s">
        <v>19</v>
      </c>
      <c r="K23" s="54" t="s">
        <v>31</v>
      </c>
      <c r="L23" s="30" t="s">
        <v>32</v>
      </c>
      <c r="M23" s="30" t="s">
        <v>33</v>
      </c>
      <c r="N23" s="30" t="s">
        <v>34</v>
      </c>
      <c r="O23" s="30" t="s">
        <v>35</v>
      </c>
    </row>
    <row r="24" s="1" customFormat="1" ht="18" customHeight="1" spans="1:15">
      <c r="A24" s="43">
        <v>43070</v>
      </c>
      <c r="B24" s="25">
        <f t="shared" ref="B24:B87" si="4">ROUND(G24/(1+E24),2)</f>
        <v>2830.19</v>
      </c>
      <c r="C24" s="44"/>
      <c r="D24" s="45" t="s">
        <v>36</v>
      </c>
      <c r="E24" s="46">
        <v>0.06</v>
      </c>
      <c r="F24" s="25">
        <f t="shared" ref="F24:F87" si="5">ROUND(G24/(1+E24)*E24,2)</f>
        <v>169.81</v>
      </c>
      <c r="G24" s="189">
        <v>3000</v>
      </c>
      <c r="H24" s="31"/>
      <c r="I24" s="32"/>
      <c r="J24" s="40"/>
      <c r="K24" s="147" t="s">
        <v>37</v>
      </c>
      <c r="L24" s="60" t="s">
        <v>38</v>
      </c>
      <c r="M24" s="61"/>
      <c r="N24" s="61"/>
      <c r="O24" s="60"/>
    </row>
    <row r="25" s="1" customFormat="1" ht="18" customHeight="1" spans="1:15">
      <c r="A25" s="43">
        <v>43071</v>
      </c>
      <c r="B25" s="25">
        <f t="shared" si="4"/>
        <v>3000</v>
      </c>
      <c r="C25" s="44"/>
      <c r="D25" s="45" t="s">
        <v>39</v>
      </c>
      <c r="E25" s="46"/>
      <c r="F25" s="25">
        <f t="shared" si="5"/>
        <v>0</v>
      </c>
      <c r="G25" s="189">
        <v>3000</v>
      </c>
      <c r="H25" s="31"/>
      <c r="I25" s="32"/>
      <c r="J25" s="40"/>
      <c r="K25" s="147"/>
      <c r="L25" s="60" t="s">
        <v>38</v>
      </c>
      <c r="M25" s="61"/>
      <c r="N25" s="61"/>
      <c r="O25" s="60"/>
    </row>
    <row r="26" s="1" customFormat="1" ht="18" customHeight="1" spans="1:15">
      <c r="A26" s="43">
        <v>43072</v>
      </c>
      <c r="B26" s="25">
        <f t="shared" si="4"/>
        <v>12824.53</v>
      </c>
      <c r="C26" s="44"/>
      <c r="D26" s="45" t="s">
        <v>36</v>
      </c>
      <c r="E26" s="46">
        <v>0.06</v>
      </c>
      <c r="F26" s="25">
        <f t="shared" si="5"/>
        <v>769.47</v>
      </c>
      <c r="G26" s="189">
        <v>13594</v>
      </c>
      <c r="H26" s="31"/>
      <c r="I26" s="32"/>
      <c r="J26" s="40"/>
      <c r="K26" s="147" t="s">
        <v>40</v>
      </c>
      <c r="L26" s="60" t="s">
        <v>41</v>
      </c>
      <c r="M26" s="61"/>
      <c r="N26" s="61"/>
      <c r="O26" s="60"/>
    </row>
    <row r="27" s="1" customFormat="1" ht="18" customHeight="1" spans="1:15">
      <c r="A27" s="43">
        <v>43073</v>
      </c>
      <c r="B27" s="25">
        <f t="shared" si="4"/>
        <v>1206</v>
      </c>
      <c r="C27" s="44"/>
      <c r="D27" s="45" t="s">
        <v>39</v>
      </c>
      <c r="E27" s="46"/>
      <c r="F27" s="25">
        <f t="shared" si="5"/>
        <v>0</v>
      </c>
      <c r="G27" s="189">
        <v>1206</v>
      </c>
      <c r="H27" s="31"/>
      <c r="I27" s="32"/>
      <c r="J27" s="40"/>
      <c r="K27" s="147"/>
      <c r="L27" s="60" t="s">
        <v>42</v>
      </c>
      <c r="M27" s="61"/>
      <c r="N27" s="61"/>
      <c r="O27" s="60"/>
    </row>
    <row r="28" s="1" customFormat="1" ht="18" customHeight="1" spans="1:15">
      <c r="A28" s="43">
        <v>43074</v>
      </c>
      <c r="B28" s="25">
        <f t="shared" si="4"/>
        <v>13191.34</v>
      </c>
      <c r="C28" s="44"/>
      <c r="D28" s="45" t="s">
        <v>39</v>
      </c>
      <c r="E28" s="46"/>
      <c r="F28" s="25">
        <f t="shared" si="5"/>
        <v>0</v>
      </c>
      <c r="G28" s="189">
        <v>13191.34</v>
      </c>
      <c r="H28" s="31"/>
      <c r="I28" s="32"/>
      <c r="J28" s="40"/>
      <c r="K28" s="147"/>
      <c r="L28" s="60" t="s">
        <v>43</v>
      </c>
      <c r="M28" s="61"/>
      <c r="N28" s="61"/>
      <c r="O28" s="60"/>
    </row>
    <row r="29" s="1" customFormat="1" ht="18" customHeight="1" spans="1:15">
      <c r="A29" s="43">
        <v>43149</v>
      </c>
      <c r="B29" s="25">
        <f t="shared" si="4"/>
        <v>1924.53</v>
      </c>
      <c r="C29" s="44"/>
      <c r="D29" s="45" t="s">
        <v>36</v>
      </c>
      <c r="E29" s="46">
        <v>0.06</v>
      </c>
      <c r="F29" s="25">
        <f t="shared" si="5"/>
        <v>115.47</v>
      </c>
      <c r="G29" s="189">
        <v>2040</v>
      </c>
      <c r="H29" s="31"/>
      <c r="I29" s="32"/>
      <c r="J29" s="40"/>
      <c r="K29" s="147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43177</v>
      </c>
      <c r="B30" s="25">
        <f t="shared" si="4"/>
        <v>2830.19</v>
      </c>
      <c r="C30" s="44"/>
      <c r="D30" s="45" t="s">
        <v>36</v>
      </c>
      <c r="E30" s="46">
        <v>0.06</v>
      </c>
      <c r="F30" s="25">
        <f t="shared" si="5"/>
        <v>169.81</v>
      </c>
      <c r="G30" s="189">
        <v>3000</v>
      </c>
      <c r="H30" s="31"/>
      <c r="I30" s="32"/>
      <c r="J30" s="40"/>
      <c r="K30" s="147" t="s">
        <v>44</v>
      </c>
      <c r="L30" s="60" t="s">
        <v>45</v>
      </c>
      <c r="M30" s="61"/>
      <c r="N30" s="61"/>
      <c r="O30" s="60"/>
    </row>
    <row r="31" s="1" customFormat="1" ht="18" customHeight="1" spans="1:15">
      <c r="A31" s="43">
        <v>43178</v>
      </c>
      <c r="B31" s="25">
        <f t="shared" si="4"/>
        <v>12529.12</v>
      </c>
      <c r="C31" s="44"/>
      <c r="D31" s="45" t="s">
        <v>39</v>
      </c>
      <c r="E31" s="46"/>
      <c r="F31" s="25">
        <f t="shared" si="5"/>
        <v>0</v>
      </c>
      <c r="G31" s="189">
        <v>12529.12</v>
      </c>
      <c r="H31" s="31"/>
      <c r="I31" s="32"/>
      <c r="J31" s="40"/>
      <c r="K31" s="147"/>
      <c r="L31" s="60" t="s">
        <v>46</v>
      </c>
      <c r="M31" s="61"/>
      <c r="N31" s="61"/>
      <c r="O31" s="60"/>
    </row>
    <row r="32" s="1" customFormat="1" ht="18" customHeight="1" spans="1:15">
      <c r="A32" s="43">
        <v>43177</v>
      </c>
      <c r="B32" s="25">
        <f t="shared" si="4"/>
        <v>7575</v>
      </c>
      <c r="C32" s="44"/>
      <c r="D32" s="45" t="s">
        <v>39</v>
      </c>
      <c r="E32" s="46"/>
      <c r="F32" s="25">
        <f t="shared" si="5"/>
        <v>0</v>
      </c>
      <c r="G32" s="189">
        <v>7575</v>
      </c>
      <c r="H32" s="31"/>
      <c r="I32" s="32"/>
      <c r="J32" s="40"/>
      <c r="K32" s="147"/>
      <c r="L32" s="60" t="s">
        <v>46</v>
      </c>
      <c r="M32" s="61"/>
      <c r="N32" s="61"/>
      <c r="O32" s="60"/>
    </row>
    <row r="33" s="1" customFormat="1" ht="18" customHeight="1" spans="1:15">
      <c r="A33" s="43">
        <v>43238</v>
      </c>
      <c r="B33" s="25">
        <f t="shared" si="4"/>
        <v>4396551.72</v>
      </c>
      <c r="C33" s="44"/>
      <c r="D33" s="45" t="s">
        <v>36</v>
      </c>
      <c r="E33" s="46">
        <v>0.16</v>
      </c>
      <c r="F33" s="25">
        <f t="shared" si="5"/>
        <v>703448.28</v>
      </c>
      <c r="G33" s="189">
        <v>5100000</v>
      </c>
      <c r="H33" s="31">
        <v>43251</v>
      </c>
      <c r="I33" s="32">
        <v>2500000</v>
      </c>
      <c r="J33" s="40" t="s">
        <v>20</v>
      </c>
      <c r="K33" s="147" t="s">
        <v>47</v>
      </c>
      <c r="L33" s="60" t="s">
        <v>48</v>
      </c>
      <c r="M33" s="61"/>
      <c r="N33" s="61"/>
      <c r="O33" s="60"/>
    </row>
    <row r="34" s="1" customFormat="1" ht="18" customHeight="1" spans="1:15">
      <c r="A34" s="43"/>
      <c r="B34" s="25">
        <f t="shared" si="4"/>
        <v>0</v>
      </c>
      <c r="C34" s="44"/>
      <c r="D34" s="45"/>
      <c r="E34" s="46"/>
      <c r="F34" s="25">
        <f t="shared" si="5"/>
        <v>0</v>
      </c>
      <c r="G34" s="189"/>
      <c r="H34" s="31" t="s">
        <v>49</v>
      </c>
      <c r="I34" s="32">
        <v>2530768</v>
      </c>
      <c r="J34" s="40" t="s">
        <v>20</v>
      </c>
      <c r="K34" s="147" t="s">
        <v>47</v>
      </c>
      <c r="L34" s="60"/>
      <c r="M34" s="61"/>
      <c r="N34" s="61"/>
      <c r="O34" s="60"/>
    </row>
    <row r="35" s="1" customFormat="1" ht="18" customHeight="1" spans="1:15">
      <c r="A35" s="43"/>
      <c r="B35" s="25">
        <f t="shared" si="4"/>
        <v>0</v>
      </c>
      <c r="C35" s="44"/>
      <c r="D35" s="45"/>
      <c r="E35" s="46"/>
      <c r="F35" s="25">
        <f t="shared" si="5"/>
        <v>0</v>
      </c>
      <c r="G35" s="189"/>
      <c r="H35" s="31" t="s">
        <v>49</v>
      </c>
      <c r="I35" s="32">
        <v>69232</v>
      </c>
      <c r="J35" s="40" t="s">
        <v>20</v>
      </c>
      <c r="K35" s="147" t="s">
        <v>47</v>
      </c>
      <c r="L35" s="60"/>
      <c r="M35" s="61"/>
      <c r="N35" s="61"/>
      <c r="O35" s="60"/>
    </row>
    <row r="36" s="1" customFormat="1" ht="18" customHeight="1" spans="1:15">
      <c r="A36" s="43"/>
      <c r="B36" s="25">
        <f t="shared" si="4"/>
        <v>0</v>
      </c>
      <c r="C36" s="44"/>
      <c r="D36" s="45"/>
      <c r="E36" s="46"/>
      <c r="F36" s="25">
        <f t="shared" si="5"/>
        <v>0</v>
      </c>
      <c r="G36" s="189"/>
      <c r="H36" s="31">
        <v>43252</v>
      </c>
      <c r="I36" s="32">
        <v>-29323</v>
      </c>
      <c r="J36" s="40" t="s">
        <v>21</v>
      </c>
      <c r="K36" s="147" t="s">
        <v>50</v>
      </c>
      <c r="L36" s="60"/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>
        <v>43255</v>
      </c>
      <c r="I37" s="32">
        <v>-39909</v>
      </c>
      <c r="J37" s="40" t="s">
        <v>21</v>
      </c>
      <c r="K37" s="147" t="s">
        <v>50</v>
      </c>
      <c r="L37" s="60"/>
      <c r="M37" s="61"/>
      <c r="N37" s="61"/>
      <c r="O37" s="60"/>
    </row>
    <row r="38" s="1" customFormat="1" ht="18" customHeight="1" spans="1:15">
      <c r="A38" s="43">
        <v>43269</v>
      </c>
      <c r="B38" s="25">
        <f t="shared" si="4"/>
        <v>5825.24</v>
      </c>
      <c r="C38" s="44"/>
      <c r="D38" s="45" t="s">
        <v>36</v>
      </c>
      <c r="E38" s="46">
        <v>0.03</v>
      </c>
      <c r="F38" s="25">
        <f t="shared" si="5"/>
        <v>174.76</v>
      </c>
      <c r="G38" s="189">
        <v>6000</v>
      </c>
      <c r="H38" s="31">
        <v>43264</v>
      </c>
      <c r="I38" s="32">
        <v>6000</v>
      </c>
      <c r="J38" s="40" t="s">
        <v>20</v>
      </c>
      <c r="K38" s="147" t="s">
        <v>51</v>
      </c>
      <c r="L38" s="60" t="s">
        <v>52</v>
      </c>
      <c r="M38" s="61"/>
      <c r="N38" s="61"/>
      <c r="O38" s="60"/>
    </row>
    <row r="39" s="1" customFormat="1" ht="18" customHeight="1" spans="1:15">
      <c r="A39" s="43"/>
      <c r="B39" s="25">
        <f t="shared" si="4"/>
        <v>0</v>
      </c>
      <c r="C39" s="44"/>
      <c r="D39" s="45"/>
      <c r="E39" s="46"/>
      <c r="F39" s="25">
        <f t="shared" si="5"/>
        <v>0</v>
      </c>
      <c r="G39" s="189"/>
      <c r="H39" s="31">
        <v>43263</v>
      </c>
      <c r="I39" s="32">
        <v>-6000</v>
      </c>
      <c r="J39" s="40" t="s">
        <v>21</v>
      </c>
      <c r="K39" s="147" t="s">
        <v>50</v>
      </c>
      <c r="L39" s="60"/>
      <c r="M39" s="61"/>
      <c r="N39" s="61"/>
      <c r="O39" s="60"/>
    </row>
    <row r="40" s="2" customFormat="1" ht="18" customHeight="1" spans="1:15">
      <c r="A40" s="48">
        <v>43335</v>
      </c>
      <c r="B40" s="25">
        <f t="shared" si="4"/>
        <v>4000000</v>
      </c>
      <c r="C40" s="49"/>
      <c r="D40" s="50" t="s">
        <v>36</v>
      </c>
      <c r="E40" s="46">
        <v>0.03</v>
      </c>
      <c r="F40" s="25">
        <f t="shared" si="5"/>
        <v>120000</v>
      </c>
      <c r="G40" s="189">
        <v>4120000</v>
      </c>
      <c r="H40" s="36">
        <v>43335</v>
      </c>
      <c r="I40" s="188">
        <v>2000000</v>
      </c>
      <c r="J40" s="63" t="s">
        <v>20</v>
      </c>
      <c r="K40" s="148" t="s">
        <v>53</v>
      </c>
      <c r="L40" s="67" t="s">
        <v>54</v>
      </c>
      <c r="M40" s="65"/>
      <c r="N40" s="65"/>
      <c r="O40" s="67"/>
    </row>
    <row r="41" s="2" customFormat="1" ht="18" customHeight="1" spans="1:15">
      <c r="A41" s="48"/>
      <c r="B41" s="25">
        <f t="shared" si="4"/>
        <v>1344.34</v>
      </c>
      <c r="C41" s="49">
        <v>3</v>
      </c>
      <c r="D41" s="50" t="s">
        <v>36</v>
      </c>
      <c r="E41" s="46">
        <v>0.06</v>
      </c>
      <c r="F41" s="25">
        <f t="shared" si="5"/>
        <v>80.66</v>
      </c>
      <c r="G41" s="189">
        <f>285+690+450</f>
        <v>1425</v>
      </c>
      <c r="H41" s="36"/>
      <c r="I41" s="188"/>
      <c r="J41" s="63"/>
      <c r="K41" s="148" t="s">
        <v>55</v>
      </c>
      <c r="L41" s="67" t="s">
        <v>41</v>
      </c>
      <c r="M41" s="65"/>
      <c r="N41" s="65"/>
      <c r="O41" s="68">
        <v>43335</v>
      </c>
    </row>
    <row r="42" s="2" customFormat="1" ht="18" customHeight="1" spans="1:15">
      <c r="A42" s="48"/>
      <c r="B42" s="25">
        <f t="shared" si="4"/>
        <v>6510</v>
      </c>
      <c r="C42" s="49"/>
      <c r="D42" s="50" t="s">
        <v>39</v>
      </c>
      <c r="E42" s="46"/>
      <c r="F42" s="25">
        <f t="shared" si="5"/>
        <v>0</v>
      </c>
      <c r="G42" s="189">
        <v>6510</v>
      </c>
      <c r="H42" s="36"/>
      <c r="I42" s="188"/>
      <c r="J42" s="63"/>
      <c r="K42" s="148" t="s">
        <v>56</v>
      </c>
      <c r="L42" s="67" t="s">
        <v>57</v>
      </c>
      <c r="M42" s="65"/>
      <c r="N42" s="65"/>
      <c r="O42" s="68">
        <v>43335</v>
      </c>
    </row>
    <row r="43" s="2" customFormat="1" ht="18" customHeight="1" spans="1:15">
      <c r="A43" s="48"/>
      <c r="B43" s="25">
        <f t="shared" si="4"/>
        <v>11436.89</v>
      </c>
      <c r="C43" s="49">
        <v>2</v>
      </c>
      <c r="D43" s="50" t="s">
        <v>36</v>
      </c>
      <c r="E43" s="46">
        <v>0.03</v>
      </c>
      <c r="F43" s="25">
        <f t="shared" si="5"/>
        <v>343.11</v>
      </c>
      <c r="G43" s="189">
        <f>7740+4040</f>
        <v>11780</v>
      </c>
      <c r="H43" s="36"/>
      <c r="I43" s="188"/>
      <c r="J43" s="63"/>
      <c r="K43" s="148" t="s">
        <v>58</v>
      </c>
      <c r="L43" s="67" t="s">
        <v>59</v>
      </c>
      <c r="M43" s="65"/>
      <c r="N43" s="65"/>
      <c r="O43" s="68">
        <v>43335</v>
      </c>
    </row>
    <row r="44" s="2" customFormat="1" ht="18" customHeight="1" spans="1:15">
      <c r="A44" s="48"/>
      <c r="B44" s="25">
        <f t="shared" si="4"/>
        <v>1800</v>
      </c>
      <c r="C44" s="49"/>
      <c r="D44" s="50" t="s">
        <v>39</v>
      </c>
      <c r="E44" s="46"/>
      <c r="F44" s="25">
        <f t="shared" si="5"/>
        <v>0</v>
      </c>
      <c r="G44" s="189">
        <v>1800</v>
      </c>
      <c r="H44" s="36"/>
      <c r="I44" s="188"/>
      <c r="J44" s="63"/>
      <c r="K44" s="148" t="s">
        <v>56</v>
      </c>
      <c r="L44" s="67" t="s">
        <v>60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26788.86</v>
      </c>
      <c r="C45" s="49"/>
      <c r="D45" s="50" t="s">
        <v>61</v>
      </c>
      <c r="E45" s="46"/>
      <c r="F45" s="25">
        <f t="shared" si="5"/>
        <v>0</v>
      </c>
      <c r="G45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5" s="36"/>
      <c r="I45" s="188"/>
      <c r="J45" s="63"/>
      <c r="K45" s="148" t="s">
        <v>62</v>
      </c>
      <c r="L45" s="67" t="s">
        <v>63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4"/>
        <v>4285.5</v>
      </c>
      <c r="C46" s="49"/>
      <c r="D46" s="50" t="s">
        <v>61</v>
      </c>
      <c r="E46" s="46"/>
      <c r="F46" s="25">
        <f t="shared" si="5"/>
        <v>0</v>
      </c>
      <c r="G46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6" s="36"/>
      <c r="I46" s="188"/>
      <c r="J46" s="63"/>
      <c r="K46" s="148" t="s">
        <v>62</v>
      </c>
      <c r="L46" s="67" t="s">
        <v>63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4"/>
        <v>9856.03</v>
      </c>
      <c r="C47" s="49"/>
      <c r="D47" s="50" t="s">
        <v>39</v>
      </c>
      <c r="E47" s="46"/>
      <c r="F47" s="25">
        <f t="shared" si="5"/>
        <v>0</v>
      </c>
      <c r="G47" s="189">
        <f>200.03+500+400+286+300+410+910+405+530+300+500+230+280+295+285+400+380+405+200+200+400+425+405+300+310+300+300</f>
        <v>9856.03</v>
      </c>
      <c r="H47" s="36"/>
      <c r="I47" s="188"/>
      <c r="J47" s="63"/>
      <c r="K47" s="148" t="s">
        <v>64</v>
      </c>
      <c r="L47" s="67" t="s">
        <v>43</v>
      </c>
      <c r="M47" s="65"/>
      <c r="N47" s="65"/>
      <c r="O47" s="68">
        <v>43335</v>
      </c>
    </row>
    <row r="48" s="2" customFormat="1" ht="18" customHeight="1" spans="1:15">
      <c r="A48" s="48">
        <v>43435</v>
      </c>
      <c r="B48" s="25">
        <f t="shared" si="4"/>
        <v>53286.79</v>
      </c>
      <c r="C48" s="49"/>
      <c r="D48" s="50" t="s">
        <v>36</v>
      </c>
      <c r="E48" s="46">
        <v>0.06</v>
      </c>
      <c r="F48" s="25">
        <f t="shared" si="5"/>
        <v>3197.21</v>
      </c>
      <c r="G48" s="189">
        <v>56484</v>
      </c>
      <c r="H48" s="36"/>
      <c r="I48" s="188"/>
      <c r="J48" s="63"/>
      <c r="K48" s="148" t="s">
        <v>65</v>
      </c>
      <c r="L48" s="67" t="s">
        <v>66</v>
      </c>
      <c r="M48" s="65"/>
      <c r="N48" s="65"/>
      <c r="O48" s="67"/>
    </row>
    <row r="49" s="2" customFormat="1" ht="18" customHeight="1" spans="1:15">
      <c r="A49" s="48">
        <v>43435</v>
      </c>
      <c r="B49" s="25">
        <f t="shared" si="4"/>
        <v>5825.24</v>
      </c>
      <c r="C49" s="49"/>
      <c r="D49" s="50" t="s">
        <v>36</v>
      </c>
      <c r="E49" s="46">
        <v>0.03</v>
      </c>
      <c r="F49" s="25">
        <f t="shared" si="5"/>
        <v>174.76</v>
      </c>
      <c r="G49" s="189">
        <v>6000</v>
      </c>
      <c r="H49" s="36">
        <v>43369</v>
      </c>
      <c r="I49" s="188">
        <v>6000</v>
      </c>
      <c r="J49" s="63" t="s">
        <v>20</v>
      </c>
      <c r="K49" s="148" t="s">
        <v>51</v>
      </c>
      <c r="L49" s="67" t="s">
        <v>52</v>
      </c>
      <c r="M49" s="65"/>
      <c r="N49" s="65"/>
      <c r="O49" s="67"/>
    </row>
    <row r="50" s="2" customFormat="1" ht="18" customHeight="1" spans="1:15">
      <c r="A50" s="48">
        <v>43313</v>
      </c>
      <c r="B50" s="25">
        <f t="shared" si="4"/>
        <v>4654.31</v>
      </c>
      <c r="C50" s="49"/>
      <c r="D50" s="50" t="s">
        <v>36</v>
      </c>
      <c r="E50" s="46">
        <v>0.16</v>
      </c>
      <c r="F50" s="25">
        <f t="shared" si="5"/>
        <v>744.69</v>
      </c>
      <c r="G50" s="189">
        <v>5399</v>
      </c>
      <c r="H50" s="36">
        <v>43369</v>
      </c>
      <c r="I50" s="188">
        <v>-6000</v>
      </c>
      <c r="J50" s="63" t="s">
        <v>21</v>
      </c>
      <c r="K50" s="148" t="s">
        <v>50</v>
      </c>
      <c r="L50" s="67"/>
      <c r="M50" s="65"/>
      <c r="N50" s="65"/>
      <c r="O50" s="67"/>
    </row>
    <row r="51" s="2" customFormat="1" ht="18" customHeight="1" spans="1:15">
      <c r="A51" s="48">
        <v>43435</v>
      </c>
      <c r="B51" s="25">
        <f t="shared" si="4"/>
        <v>933.96</v>
      </c>
      <c r="C51" s="49"/>
      <c r="D51" s="50" t="s">
        <v>36</v>
      </c>
      <c r="E51" s="46">
        <v>0.06</v>
      </c>
      <c r="F51" s="25">
        <f t="shared" si="5"/>
        <v>56.04</v>
      </c>
      <c r="G51" s="189">
        <f>90+45+855</f>
        <v>990</v>
      </c>
      <c r="H51" s="36"/>
      <c r="I51" s="188"/>
      <c r="J51" s="63"/>
      <c r="K51" s="148" t="s">
        <v>40</v>
      </c>
      <c r="L51" s="67" t="s">
        <v>41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4"/>
        <v>43031</v>
      </c>
      <c r="C52" s="49"/>
      <c r="D52" s="50"/>
      <c r="E52" s="46"/>
      <c r="F52" s="25">
        <f t="shared" si="5"/>
        <v>0</v>
      </c>
      <c r="G52" s="189">
        <v>43031</v>
      </c>
      <c r="H52" s="36"/>
      <c r="I52" s="188"/>
      <c r="J52" s="63"/>
      <c r="K52" s="148" t="s">
        <v>67</v>
      </c>
      <c r="L52" s="67" t="s">
        <v>68</v>
      </c>
      <c r="M52" s="65"/>
      <c r="N52" s="65"/>
      <c r="O52" s="67"/>
    </row>
    <row r="53" s="2" customFormat="1" ht="18" customHeight="1" spans="1:15">
      <c r="A53" s="48">
        <v>43466</v>
      </c>
      <c r="B53" s="25">
        <f t="shared" si="4"/>
        <v>4854368.93</v>
      </c>
      <c r="C53" s="49"/>
      <c r="D53" s="50" t="s">
        <v>36</v>
      </c>
      <c r="E53" s="46">
        <v>0.03</v>
      </c>
      <c r="F53" s="25">
        <f t="shared" si="5"/>
        <v>145631.07</v>
      </c>
      <c r="G53" s="189">
        <f>5*1000000</f>
        <v>5000000</v>
      </c>
      <c r="H53" s="36">
        <v>43339</v>
      </c>
      <c r="I53" s="188">
        <v>2095952</v>
      </c>
      <c r="J53" s="63" t="s">
        <v>20</v>
      </c>
      <c r="K53" s="148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4"/>
        <v>0</v>
      </c>
      <c r="C54" s="49"/>
      <c r="D54" s="50"/>
      <c r="E54" s="46"/>
      <c r="F54" s="25">
        <f t="shared" si="5"/>
        <v>0</v>
      </c>
      <c r="G54" s="189"/>
      <c r="H54" s="36">
        <v>43495</v>
      </c>
      <c r="I54" s="188">
        <v>3464800</v>
      </c>
      <c r="J54" s="63" t="s">
        <v>20</v>
      </c>
      <c r="K54" s="148" t="s">
        <v>53</v>
      </c>
      <c r="L54" s="67" t="s">
        <v>54</v>
      </c>
      <c r="M54" s="65"/>
      <c r="N54" s="65"/>
      <c r="O54" s="67"/>
    </row>
    <row r="55" s="2" customFormat="1" ht="18" customHeight="1" spans="1:15">
      <c r="A55" s="48"/>
      <c r="B55" s="25">
        <f t="shared" si="4"/>
        <v>0</v>
      </c>
      <c r="C55" s="49"/>
      <c r="D55" s="50"/>
      <c r="E55" s="46"/>
      <c r="F55" s="25">
        <f t="shared" si="5"/>
        <v>0</v>
      </c>
      <c r="G55" s="189"/>
      <c r="H55" s="36">
        <v>43497</v>
      </c>
      <c r="I55" s="188">
        <v>866800</v>
      </c>
      <c r="J55" s="63" t="s">
        <v>20</v>
      </c>
      <c r="K55" s="148" t="s">
        <v>53</v>
      </c>
      <c r="L55" s="67" t="s">
        <v>54</v>
      </c>
      <c r="M55" s="65"/>
      <c r="N55" s="65"/>
      <c r="O55" s="67"/>
    </row>
    <row r="56" s="2" customFormat="1" ht="18" customHeight="1" spans="1:15">
      <c r="A56" s="48"/>
      <c r="B56" s="25">
        <f t="shared" si="4"/>
        <v>0</v>
      </c>
      <c r="C56" s="49"/>
      <c r="D56" s="50"/>
      <c r="E56" s="46"/>
      <c r="F56" s="25">
        <f t="shared" si="5"/>
        <v>0</v>
      </c>
      <c r="G56" s="189"/>
      <c r="H56" s="36">
        <v>43629</v>
      </c>
      <c r="I56" s="188">
        <v>84810</v>
      </c>
      <c r="J56" s="63" t="s">
        <v>20</v>
      </c>
      <c r="K56" s="148" t="s">
        <v>69</v>
      </c>
      <c r="L56" s="67" t="s">
        <v>70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43629</v>
      </c>
      <c r="I57" s="188">
        <v>-84810</v>
      </c>
      <c r="J57" s="63" t="s">
        <v>21</v>
      </c>
      <c r="K57" s="148" t="s">
        <v>50</v>
      </c>
      <c r="L57" s="67"/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43657</v>
      </c>
      <c r="I58" s="188">
        <v>66753</v>
      </c>
      <c r="J58" s="63" t="s">
        <v>20</v>
      </c>
      <c r="K58" s="148" t="s">
        <v>69</v>
      </c>
      <c r="L58" s="67" t="s">
        <v>70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43657</v>
      </c>
      <c r="I59" s="188">
        <v>-66753</v>
      </c>
      <c r="J59" s="63" t="s">
        <v>21</v>
      </c>
      <c r="K59" s="148" t="s">
        <v>50</v>
      </c>
      <c r="L59" s="67"/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43676</v>
      </c>
      <c r="I60" s="188">
        <v>67731.14</v>
      </c>
      <c r="J60" s="63" t="s">
        <v>20</v>
      </c>
      <c r="K60" s="148" t="s">
        <v>69</v>
      </c>
      <c r="L60" s="67" t="s">
        <v>70</v>
      </c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43671</v>
      </c>
      <c r="I61" s="188">
        <v>-67731.14</v>
      </c>
      <c r="J61" s="63" t="s">
        <v>20</v>
      </c>
      <c r="K61" s="148" t="s">
        <v>71</v>
      </c>
      <c r="L61" s="67" t="s">
        <v>72</v>
      </c>
      <c r="M61" s="65"/>
      <c r="N61" s="65"/>
      <c r="O61" s="67"/>
    </row>
    <row r="62" s="2" customFormat="1" ht="18" customHeight="1" spans="1:15">
      <c r="A62" s="48">
        <v>43678</v>
      </c>
      <c r="B62" s="25">
        <f t="shared" si="4"/>
        <v>1000020</v>
      </c>
      <c r="C62" s="49"/>
      <c r="D62" s="50" t="s">
        <v>73</v>
      </c>
      <c r="E62" s="46"/>
      <c r="F62" s="25">
        <f t="shared" si="5"/>
        <v>0</v>
      </c>
      <c r="G62" s="189">
        <v>1000020</v>
      </c>
      <c r="H62" s="194">
        <v>43676</v>
      </c>
      <c r="I62" s="196">
        <v>500000</v>
      </c>
      <c r="J62" s="201" t="s">
        <v>21</v>
      </c>
      <c r="K62" s="202" t="s">
        <v>74</v>
      </c>
      <c r="L62" s="203" t="s">
        <v>75</v>
      </c>
      <c r="M62" s="201" t="s">
        <v>76</v>
      </c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194">
        <v>43682</v>
      </c>
      <c r="I63" s="196">
        <v>500000</v>
      </c>
      <c r="J63" s="201" t="s">
        <v>21</v>
      </c>
      <c r="K63" s="202" t="s">
        <v>74</v>
      </c>
      <c r="L63" s="204" t="s">
        <v>77</v>
      </c>
      <c r="M63" s="201" t="s">
        <v>76</v>
      </c>
      <c r="N63" s="65"/>
      <c r="O63" s="67"/>
    </row>
    <row r="64" s="2" customFormat="1" ht="18" customHeight="1" spans="1:15">
      <c r="A64" s="48">
        <v>43678</v>
      </c>
      <c r="B64" s="25">
        <f t="shared" si="4"/>
        <v>1000080</v>
      </c>
      <c r="C64" s="49"/>
      <c r="D64" s="50" t="s">
        <v>73</v>
      </c>
      <c r="E64" s="46"/>
      <c r="F64" s="25">
        <f t="shared" si="5"/>
        <v>0</v>
      </c>
      <c r="G64" s="189">
        <v>1000080</v>
      </c>
      <c r="H64" s="194">
        <v>43691</v>
      </c>
      <c r="I64" s="196">
        <v>1000000</v>
      </c>
      <c r="J64" s="201" t="s">
        <v>21</v>
      </c>
      <c r="K64" s="205" t="s">
        <v>78</v>
      </c>
      <c r="L64" s="206" t="s">
        <v>79</v>
      </c>
      <c r="M64" s="201" t="s">
        <v>76</v>
      </c>
      <c r="N64" s="65"/>
      <c r="O64" s="67"/>
    </row>
    <row r="65" s="2" customFormat="1" ht="18" customHeight="1" spans="1:15">
      <c r="A65" s="48"/>
      <c r="B65" s="25">
        <f t="shared" si="4"/>
        <v>0</v>
      </c>
      <c r="C65" s="49"/>
      <c r="D65" s="50"/>
      <c r="E65" s="46"/>
      <c r="F65" s="25">
        <f t="shared" si="5"/>
        <v>0</v>
      </c>
      <c r="G65" s="189"/>
      <c r="H65" s="36">
        <v>43692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36">
        <v>43692</v>
      </c>
      <c r="I66" s="188">
        <v>100000</v>
      </c>
      <c r="J66" s="63" t="s">
        <v>20</v>
      </c>
      <c r="K66" s="207" t="s">
        <v>80</v>
      </c>
      <c r="L66" s="208" t="s">
        <v>81</v>
      </c>
      <c r="M66" s="56"/>
      <c r="N66" s="65"/>
      <c r="O66" s="67"/>
    </row>
    <row r="67" s="2" customFormat="1" ht="18" customHeight="1" spans="1:15">
      <c r="A67" s="48"/>
      <c r="B67" s="25">
        <f t="shared" si="4"/>
        <v>0</v>
      </c>
      <c r="C67" s="49"/>
      <c r="D67" s="50"/>
      <c r="E67" s="46"/>
      <c r="F67" s="25">
        <f t="shared" si="5"/>
        <v>0</v>
      </c>
      <c r="G67" s="189"/>
      <c r="H67" s="36">
        <v>43703</v>
      </c>
      <c r="I67" s="188">
        <v>-100000</v>
      </c>
      <c r="J67" s="63" t="s">
        <v>21</v>
      </c>
      <c r="K67" s="207" t="s">
        <v>50</v>
      </c>
      <c r="L67" s="208"/>
      <c r="M67" s="56"/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43704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36">
        <v>43717</v>
      </c>
      <c r="I69" s="188">
        <v>-100000</v>
      </c>
      <c r="J69" s="63" t="s">
        <v>21</v>
      </c>
      <c r="K69" s="207" t="s">
        <v>50</v>
      </c>
      <c r="L69" s="67"/>
      <c r="M69" s="65"/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36">
        <v>43718</v>
      </c>
      <c r="I70" s="188">
        <v>100000</v>
      </c>
      <c r="J70" s="63" t="s">
        <v>20</v>
      </c>
      <c r="K70" s="207" t="s">
        <v>80</v>
      </c>
      <c r="L70" s="67"/>
      <c r="M70" s="65"/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194">
        <v>43734</v>
      </c>
      <c r="I71" s="196">
        <v>300000</v>
      </c>
      <c r="J71" s="201" t="s">
        <v>20</v>
      </c>
      <c r="K71" s="202" t="s">
        <v>80</v>
      </c>
      <c r="L71" s="209"/>
      <c r="M71" s="201" t="s">
        <v>76</v>
      </c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195">
        <v>43749</v>
      </c>
      <c r="I72" s="196">
        <v>500000</v>
      </c>
      <c r="J72" s="201" t="s">
        <v>20</v>
      </c>
      <c r="K72" s="202" t="s">
        <v>80</v>
      </c>
      <c r="L72" s="209"/>
      <c r="M72" s="201" t="s">
        <v>76</v>
      </c>
      <c r="N72" s="65"/>
      <c r="O72" s="67"/>
    </row>
    <row r="73" s="2" customFormat="1" ht="18" customHeight="1" spans="1:15">
      <c r="A73" s="48">
        <v>43709</v>
      </c>
      <c r="B73" s="25">
        <f t="shared" si="4"/>
        <v>12426.15</v>
      </c>
      <c r="C73" s="49"/>
      <c r="D73" s="50" t="s">
        <v>39</v>
      </c>
      <c r="E73" s="46"/>
      <c r="F73" s="25">
        <f t="shared" si="5"/>
        <v>0</v>
      </c>
      <c r="G73" s="189">
        <v>12426.15</v>
      </c>
      <c r="H73" s="36"/>
      <c r="I73" s="210"/>
      <c r="J73" s="56"/>
      <c r="K73" s="207" t="s">
        <v>68</v>
      </c>
      <c r="L73" s="82"/>
      <c r="M73" s="56"/>
      <c r="N73" s="65"/>
      <c r="O73" s="67"/>
    </row>
    <row r="74" s="2" customFormat="1" ht="18" customHeight="1" spans="1:15">
      <c r="A74" s="48">
        <v>43709</v>
      </c>
      <c r="B74" s="25">
        <f t="shared" si="4"/>
        <v>10316.04</v>
      </c>
      <c r="C74" s="49"/>
      <c r="D74" s="50" t="s">
        <v>36</v>
      </c>
      <c r="E74" s="70">
        <v>0.06</v>
      </c>
      <c r="F74" s="25">
        <f t="shared" si="5"/>
        <v>618.96</v>
      </c>
      <c r="G74" s="189">
        <v>10935</v>
      </c>
      <c r="H74" s="36"/>
      <c r="I74" s="210"/>
      <c r="J74" s="56"/>
      <c r="K74" s="207" t="s">
        <v>82</v>
      </c>
      <c r="L74" s="82" t="s">
        <v>41</v>
      </c>
      <c r="M74" s="56"/>
      <c r="N74" s="65"/>
      <c r="O74" s="67"/>
    </row>
    <row r="75" s="2" customFormat="1" ht="18" customHeight="1" spans="1:15">
      <c r="A75" s="48">
        <v>43709</v>
      </c>
      <c r="B75" s="25">
        <f t="shared" si="4"/>
        <v>10424.53</v>
      </c>
      <c r="C75" s="49"/>
      <c r="D75" s="50" t="s">
        <v>36</v>
      </c>
      <c r="E75" s="70">
        <v>0.06</v>
      </c>
      <c r="F75" s="25">
        <f t="shared" si="5"/>
        <v>625.47</v>
      </c>
      <c r="G75" s="189">
        <v>11050</v>
      </c>
      <c r="H75" s="36"/>
      <c r="I75" s="210"/>
      <c r="J75" s="56"/>
      <c r="K75" s="207" t="s">
        <v>82</v>
      </c>
      <c r="L75" s="82" t="s">
        <v>52</v>
      </c>
      <c r="M75" s="56"/>
      <c r="N75" s="65"/>
      <c r="O75" s="67"/>
    </row>
    <row r="76" s="2" customFormat="1" ht="18" customHeight="1" spans="1:15">
      <c r="A76" s="48">
        <v>43709</v>
      </c>
      <c r="B76" s="25">
        <f t="shared" si="4"/>
        <v>80009.43</v>
      </c>
      <c r="C76" s="49"/>
      <c r="D76" s="50" t="s">
        <v>36</v>
      </c>
      <c r="E76" s="70">
        <v>0.06</v>
      </c>
      <c r="F76" s="25">
        <f t="shared" si="5"/>
        <v>4800.57</v>
      </c>
      <c r="G76" s="189">
        <v>84810</v>
      </c>
      <c r="H76" s="36"/>
      <c r="I76" s="210"/>
      <c r="J76" s="56"/>
      <c r="K76" s="207" t="s">
        <v>69</v>
      </c>
      <c r="L76" s="82" t="s">
        <v>83</v>
      </c>
      <c r="M76" s="56"/>
      <c r="N76" s="65"/>
      <c r="O76" s="67"/>
    </row>
    <row r="77" s="2" customFormat="1" ht="18" customHeight="1" spans="1:15">
      <c r="A77" s="48">
        <v>43709</v>
      </c>
      <c r="B77" s="25">
        <f t="shared" si="4"/>
        <v>63897.3</v>
      </c>
      <c r="C77" s="49"/>
      <c r="D77" s="50" t="s">
        <v>36</v>
      </c>
      <c r="E77" s="70">
        <v>0.06</v>
      </c>
      <c r="F77" s="25">
        <f t="shared" si="5"/>
        <v>3833.84</v>
      </c>
      <c r="G77" s="189">
        <v>67731.14</v>
      </c>
      <c r="H77" s="36"/>
      <c r="I77" s="210"/>
      <c r="J77" s="56"/>
      <c r="K77" s="207" t="s">
        <v>69</v>
      </c>
      <c r="L77" s="82" t="s">
        <v>83</v>
      </c>
      <c r="M77" s="56"/>
      <c r="N77" s="65"/>
      <c r="O77" s="67"/>
    </row>
    <row r="78" s="2" customFormat="1" ht="18" customHeight="1" spans="1:15">
      <c r="A78" s="48">
        <v>43739</v>
      </c>
      <c r="B78" s="25">
        <f t="shared" si="4"/>
        <v>443071.38</v>
      </c>
      <c r="C78" s="49"/>
      <c r="D78" s="50" t="s">
        <v>36</v>
      </c>
      <c r="E78" s="70">
        <v>0.13</v>
      </c>
      <c r="F78" s="25">
        <f t="shared" si="5"/>
        <v>57599.28</v>
      </c>
      <c r="G78" s="189">
        <v>500670.66</v>
      </c>
      <c r="H78" s="36">
        <v>43769</v>
      </c>
      <c r="I78" s="188">
        <v>200000</v>
      </c>
      <c r="J78" s="63" t="s">
        <v>20</v>
      </c>
      <c r="K78" s="207" t="s">
        <v>80</v>
      </c>
      <c r="L78" s="82" t="s">
        <v>84</v>
      </c>
      <c r="M78" s="56"/>
      <c r="N78" s="65"/>
      <c r="O78" s="67"/>
    </row>
    <row r="79" s="2" customFormat="1" ht="18" customHeight="1" spans="1:15">
      <c r="A79" s="48">
        <v>43739</v>
      </c>
      <c r="B79" s="25">
        <f t="shared" si="4"/>
        <v>257787.35</v>
      </c>
      <c r="C79" s="49"/>
      <c r="D79" s="50" t="s">
        <v>36</v>
      </c>
      <c r="E79" s="70">
        <v>0.13</v>
      </c>
      <c r="F79" s="196">
        <f t="shared" si="5"/>
        <v>33512.35</v>
      </c>
      <c r="G79" s="189">
        <v>291299.7</v>
      </c>
      <c r="H79" s="36"/>
      <c r="I79" s="210"/>
      <c r="J79" s="63" t="s">
        <v>20</v>
      </c>
      <c r="K79" s="207" t="s">
        <v>80</v>
      </c>
      <c r="L79" s="82" t="s">
        <v>85</v>
      </c>
      <c r="M79" s="56"/>
      <c r="N79" s="65"/>
      <c r="O79" s="67"/>
    </row>
    <row r="80" s="2" customFormat="1" ht="18" customHeight="1" spans="1:15">
      <c r="A80" s="48"/>
      <c r="B80" s="25">
        <f t="shared" si="4"/>
        <v>0</v>
      </c>
      <c r="C80" s="49"/>
      <c r="D80" s="50"/>
      <c r="E80" s="70"/>
      <c r="F80" s="25">
        <f t="shared" si="5"/>
        <v>0</v>
      </c>
      <c r="G80" s="189"/>
      <c r="H80" s="36">
        <v>43769</v>
      </c>
      <c r="I80" s="188">
        <v>600000</v>
      </c>
      <c r="J80" s="63" t="s">
        <v>20</v>
      </c>
      <c r="K80" s="148" t="s">
        <v>53</v>
      </c>
      <c r="L80" s="67" t="s">
        <v>54</v>
      </c>
      <c r="M80" s="56"/>
      <c r="N80" s="65"/>
      <c r="O80" s="67"/>
    </row>
    <row r="81" s="2" customFormat="1" ht="18" customHeight="1" spans="1:15">
      <c r="A81" s="48">
        <v>43770</v>
      </c>
      <c r="B81" s="25">
        <f t="shared" si="4"/>
        <v>500010</v>
      </c>
      <c r="C81" s="49"/>
      <c r="D81" s="50" t="s">
        <v>73</v>
      </c>
      <c r="E81" s="70"/>
      <c r="F81" s="25">
        <f t="shared" si="5"/>
        <v>0</v>
      </c>
      <c r="G81" s="189">
        <v>500010</v>
      </c>
      <c r="H81" s="36">
        <v>43773</v>
      </c>
      <c r="I81" s="188">
        <v>500010</v>
      </c>
      <c r="J81" s="63" t="s">
        <v>21</v>
      </c>
      <c r="K81" s="207" t="s">
        <v>74</v>
      </c>
      <c r="L81" s="82" t="s">
        <v>86</v>
      </c>
      <c r="M81" s="56"/>
      <c r="N81" s="65"/>
      <c r="O81" s="67"/>
    </row>
    <row r="82" s="2" customFormat="1" ht="18" customHeight="1" spans="1:15">
      <c r="A82" s="48">
        <v>43770</v>
      </c>
      <c r="B82" s="25">
        <f t="shared" si="4"/>
        <v>300000</v>
      </c>
      <c r="C82" s="49"/>
      <c r="D82" s="50" t="s">
        <v>73</v>
      </c>
      <c r="E82" s="70"/>
      <c r="F82" s="25">
        <f t="shared" si="5"/>
        <v>0</v>
      </c>
      <c r="G82" s="189">
        <v>300000</v>
      </c>
      <c r="H82" s="36">
        <v>43773</v>
      </c>
      <c r="I82" s="188">
        <v>300000</v>
      </c>
      <c r="J82" s="63" t="s">
        <v>21</v>
      </c>
      <c r="K82" s="207" t="s">
        <v>87</v>
      </c>
      <c r="L82" s="82" t="s">
        <v>88</v>
      </c>
      <c r="M82" s="56"/>
      <c r="N82" s="65"/>
      <c r="O82" s="67"/>
    </row>
    <row r="83" s="2" customFormat="1" ht="18" customHeight="1" spans="1:15">
      <c r="A83" s="48">
        <v>43770</v>
      </c>
      <c r="B83" s="25">
        <f t="shared" si="4"/>
        <v>300000</v>
      </c>
      <c r="C83" s="49"/>
      <c r="D83" s="50" t="s">
        <v>73</v>
      </c>
      <c r="E83" s="70"/>
      <c r="F83" s="25">
        <f t="shared" si="5"/>
        <v>0</v>
      </c>
      <c r="G83" s="189">
        <v>300000</v>
      </c>
      <c r="H83" s="36">
        <v>43773</v>
      </c>
      <c r="I83" s="188">
        <v>300000</v>
      </c>
      <c r="J83" s="63" t="s">
        <v>21</v>
      </c>
      <c r="K83" s="207" t="s">
        <v>89</v>
      </c>
      <c r="L83" s="82" t="s">
        <v>88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4"/>
        <v>300060</v>
      </c>
      <c r="C84" s="49"/>
      <c r="D84" s="50" t="s">
        <v>73</v>
      </c>
      <c r="E84" s="70"/>
      <c r="F84" s="25">
        <f t="shared" si="5"/>
        <v>0</v>
      </c>
      <c r="G84" s="189">
        <v>300060</v>
      </c>
      <c r="H84" s="36">
        <v>43773</v>
      </c>
      <c r="I84" s="188">
        <v>300060</v>
      </c>
      <c r="J84" s="63" t="s">
        <v>21</v>
      </c>
      <c r="K84" s="207" t="s">
        <v>90</v>
      </c>
      <c r="L84" s="82" t="s">
        <v>91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0</v>
      </c>
      <c r="C85" s="49"/>
      <c r="D85" s="50"/>
      <c r="E85" s="70"/>
      <c r="F85" s="25">
        <f t="shared" si="5"/>
        <v>0</v>
      </c>
      <c r="G85" s="189"/>
      <c r="H85" s="36">
        <v>43773</v>
      </c>
      <c r="I85" s="188">
        <v>500000</v>
      </c>
      <c r="J85" s="63" t="s">
        <v>20</v>
      </c>
      <c r="K85" s="207" t="s">
        <v>92</v>
      </c>
      <c r="L85" s="82" t="s">
        <v>93</v>
      </c>
      <c r="M85" s="56"/>
      <c r="N85" s="65"/>
      <c r="O85" s="67"/>
    </row>
    <row r="86" s="2" customFormat="1" ht="18" customHeight="1" spans="1:15">
      <c r="A86" s="48"/>
      <c r="B86" s="25">
        <f t="shared" si="4"/>
        <v>0</v>
      </c>
      <c r="C86" s="49"/>
      <c r="D86" s="50"/>
      <c r="E86" s="70"/>
      <c r="F86" s="25">
        <f t="shared" si="5"/>
        <v>0</v>
      </c>
      <c r="G86" s="189"/>
      <c r="H86" s="36">
        <v>43775</v>
      </c>
      <c r="I86" s="188">
        <v>800000</v>
      </c>
      <c r="J86" s="63" t="s">
        <v>20</v>
      </c>
      <c r="K86" s="207" t="s">
        <v>94</v>
      </c>
      <c r="L86" s="82" t="s">
        <v>95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1165048.54</v>
      </c>
      <c r="C87" s="49"/>
      <c r="D87" s="50" t="s">
        <v>36</v>
      </c>
      <c r="E87" s="70">
        <v>0.03</v>
      </c>
      <c r="F87" s="197">
        <f t="shared" si="5"/>
        <v>34951.46</v>
      </c>
      <c r="G87" s="189">
        <f>96000*12+48000</f>
        <v>1200000</v>
      </c>
      <c r="H87" s="36">
        <v>43776</v>
      </c>
      <c r="I87" s="188">
        <v>400000</v>
      </c>
      <c r="J87" s="63" t="s">
        <v>20</v>
      </c>
      <c r="K87" s="207" t="s">
        <v>94</v>
      </c>
      <c r="L87" s="82" t="s">
        <v>95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ref="B88:B90" si="6">ROUND(G88/(1+E88),2)</f>
        <v>326256.05</v>
      </c>
      <c r="C88" s="49"/>
      <c r="D88" s="50" t="s">
        <v>36</v>
      </c>
      <c r="E88" s="70">
        <v>0.13</v>
      </c>
      <c r="F88" s="197">
        <f t="shared" ref="F88:F90" si="7">ROUND(G88/(1+E88)*E88,2)</f>
        <v>42413.29</v>
      </c>
      <c r="G88" s="189">
        <v>368669.34</v>
      </c>
      <c r="H88" s="36"/>
      <c r="I88" s="210"/>
      <c r="J88" s="56"/>
      <c r="K88" s="207" t="s">
        <v>80</v>
      </c>
      <c r="L88" s="82" t="s">
        <v>96</v>
      </c>
      <c r="M88" s="56"/>
      <c r="N88" s="65"/>
      <c r="O88" s="67"/>
    </row>
    <row r="89" s="2" customFormat="1" ht="18" customHeight="1" spans="1:15">
      <c r="A89" s="48">
        <v>43770</v>
      </c>
      <c r="B89" s="25">
        <f t="shared" si="6"/>
        <v>199980</v>
      </c>
      <c r="C89" s="49"/>
      <c r="D89" s="50" t="s">
        <v>73</v>
      </c>
      <c r="E89" s="70"/>
      <c r="F89" s="25">
        <f t="shared" si="7"/>
        <v>0</v>
      </c>
      <c r="G89" s="189">
        <v>199980</v>
      </c>
      <c r="H89" s="195">
        <v>43784</v>
      </c>
      <c r="I89" s="196">
        <v>199980</v>
      </c>
      <c r="J89" s="201" t="s">
        <v>21</v>
      </c>
      <c r="K89" s="202" t="s">
        <v>97</v>
      </c>
      <c r="L89" s="204" t="s">
        <v>98</v>
      </c>
      <c r="M89" s="56" t="s">
        <v>76</v>
      </c>
      <c r="N89" s="65"/>
      <c r="O89" s="67"/>
    </row>
    <row r="90" s="3" customFormat="1" ht="18" customHeight="1" spans="1:15">
      <c r="A90" s="74">
        <v>43770</v>
      </c>
      <c r="B90" s="25">
        <f t="shared" si="6"/>
        <v>442477.88</v>
      </c>
      <c r="C90" s="75"/>
      <c r="D90" s="76" t="s">
        <v>36</v>
      </c>
      <c r="E90" s="77">
        <v>0.13</v>
      </c>
      <c r="F90" s="197">
        <f t="shared" si="7"/>
        <v>57522.12</v>
      </c>
      <c r="G90" s="198">
        <v>500000</v>
      </c>
      <c r="H90" s="36"/>
      <c r="I90" s="188"/>
      <c r="J90" s="63"/>
      <c r="K90" s="207" t="s">
        <v>92</v>
      </c>
      <c r="L90" s="82" t="s">
        <v>99</v>
      </c>
      <c r="M90" s="63" t="s">
        <v>100</v>
      </c>
      <c r="N90" s="63"/>
      <c r="O90" s="82"/>
    </row>
    <row r="91" s="3" customFormat="1" ht="18" customHeight="1" spans="1:15">
      <c r="A91" s="74"/>
      <c r="B91" s="25"/>
      <c r="C91" s="75"/>
      <c r="D91" s="76"/>
      <c r="E91" s="77"/>
      <c r="F91" s="25"/>
      <c r="G91" s="198"/>
      <c r="H91" s="36">
        <v>43819</v>
      </c>
      <c r="I91" s="188">
        <v>92448</v>
      </c>
      <c r="J91" s="63" t="s">
        <v>20</v>
      </c>
      <c r="K91" s="148" t="s">
        <v>53</v>
      </c>
      <c r="L91" s="67" t="s">
        <v>54</v>
      </c>
      <c r="M91" s="63"/>
      <c r="N91" s="63"/>
      <c r="O91" s="82"/>
    </row>
    <row r="92" s="3" customFormat="1" ht="18" customHeight="1" spans="1:15">
      <c r="A92" s="74"/>
      <c r="B92" s="25">
        <f t="shared" ref="B92:B100" si="8">ROUND(G92/(1+E92),2)</f>
        <v>0</v>
      </c>
      <c r="C92" s="75"/>
      <c r="D92" s="76"/>
      <c r="E92" s="77"/>
      <c r="F92" s="25">
        <f t="shared" ref="F92:F100" si="9">ROUND(G92/(1+E92)*E92,2)</f>
        <v>0</v>
      </c>
      <c r="G92" s="198"/>
      <c r="H92" s="36">
        <v>43829</v>
      </c>
      <c r="I92" s="188">
        <v>800000</v>
      </c>
      <c r="J92" s="63" t="s">
        <v>20</v>
      </c>
      <c r="K92" s="207" t="s">
        <v>80</v>
      </c>
      <c r="L92" s="82" t="s">
        <v>81</v>
      </c>
      <c r="M92" s="63"/>
      <c r="N92" s="63"/>
      <c r="O92" s="82"/>
    </row>
    <row r="93" s="3" customFormat="1" ht="18" customHeight="1" spans="1:15">
      <c r="A93" s="74">
        <v>43800</v>
      </c>
      <c r="B93" s="25">
        <f t="shared" si="8"/>
        <v>650987.86</v>
      </c>
      <c r="C93" s="75"/>
      <c r="D93" s="76" t="s">
        <v>36</v>
      </c>
      <c r="E93" s="77">
        <v>0.13</v>
      </c>
      <c r="F93" s="25">
        <f t="shared" si="9"/>
        <v>84628.42</v>
      </c>
      <c r="G93" s="198">
        <v>735616.28</v>
      </c>
      <c r="H93" s="36"/>
      <c r="I93" s="188"/>
      <c r="J93" s="63"/>
      <c r="K93" s="207" t="s">
        <v>80</v>
      </c>
      <c r="L93" s="82" t="s">
        <v>101</v>
      </c>
      <c r="M93" s="63" t="s">
        <v>100</v>
      </c>
      <c r="N93" s="63"/>
      <c r="O93" s="82"/>
    </row>
    <row r="94" s="3" customFormat="1" ht="18" customHeight="1" spans="1:15">
      <c r="A94" s="74">
        <v>43800</v>
      </c>
      <c r="B94" s="25">
        <f t="shared" si="8"/>
        <v>5825242.72</v>
      </c>
      <c r="C94" s="75"/>
      <c r="D94" s="50" t="s">
        <v>36</v>
      </c>
      <c r="E94" s="70">
        <v>0.03</v>
      </c>
      <c r="F94" s="25">
        <f t="shared" si="9"/>
        <v>174757.28</v>
      </c>
      <c r="G94" s="198">
        <f>1000000*6</f>
        <v>6000000</v>
      </c>
      <c r="H94" s="36">
        <v>43843</v>
      </c>
      <c r="I94" s="188">
        <v>1000000</v>
      </c>
      <c r="J94" s="63" t="s">
        <v>20</v>
      </c>
      <c r="K94" s="207" t="s">
        <v>53</v>
      </c>
      <c r="L94" s="82" t="s">
        <v>54</v>
      </c>
      <c r="M94" s="63" t="s">
        <v>100</v>
      </c>
      <c r="N94" s="63"/>
      <c r="O94" s="82" t="s">
        <v>102</v>
      </c>
    </row>
    <row r="95" s="3" customFormat="1" ht="18" customHeight="1" spans="1:15">
      <c r="A95" s="74">
        <v>43831</v>
      </c>
      <c r="B95" s="25">
        <f t="shared" si="8"/>
        <v>3623633.45</v>
      </c>
      <c r="C95" s="75"/>
      <c r="D95" s="50" t="s">
        <v>36</v>
      </c>
      <c r="E95" s="77">
        <v>0.09</v>
      </c>
      <c r="F95" s="25">
        <f t="shared" si="9"/>
        <v>326127.01</v>
      </c>
      <c r="G95" s="198">
        <f>1000000*3+949760.46</f>
        <v>3949760.46</v>
      </c>
      <c r="H95" s="36">
        <v>43844</v>
      </c>
      <c r="I95" s="188">
        <v>500000</v>
      </c>
      <c r="J95" s="63" t="s">
        <v>20</v>
      </c>
      <c r="K95" s="207" t="s">
        <v>103</v>
      </c>
      <c r="L95" s="82" t="s">
        <v>54</v>
      </c>
      <c r="M95" s="63" t="s">
        <v>100</v>
      </c>
      <c r="N95" s="63"/>
      <c r="O95" s="82"/>
    </row>
    <row r="96" s="3" customFormat="1" ht="18" customHeight="1" spans="1:15">
      <c r="A96" s="74"/>
      <c r="B96" s="25">
        <f t="shared" si="8"/>
        <v>0</v>
      </c>
      <c r="C96" s="75"/>
      <c r="D96" s="76"/>
      <c r="E96" s="77"/>
      <c r="F96" s="25">
        <f t="shared" si="9"/>
        <v>0</v>
      </c>
      <c r="G96" s="198"/>
      <c r="H96" s="36">
        <v>43845</v>
      </c>
      <c r="I96" s="188">
        <v>2000000</v>
      </c>
      <c r="J96" s="63" t="s">
        <v>20</v>
      </c>
      <c r="K96" s="207" t="s">
        <v>103</v>
      </c>
      <c r="L96" s="82" t="s">
        <v>54</v>
      </c>
      <c r="M96" s="63"/>
      <c r="N96" s="63"/>
      <c r="O96" s="82"/>
    </row>
    <row r="97" s="3" customFormat="1" ht="18" customHeight="1" spans="1:15">
      <c r="A97" s="74"/>
      <c r="B97" s="25">
        <f t="shared" si="8"/>
        <v>0</v>
      </c>
      <c r="C97" s="75"/>
      <c r="D97" s="76"/>
      <c r="E97" s="77"/>
      <c r="F97" s="25">
        <f t="shared" si="9"/>
        <v>0</v>
      </c>
      <c r="G97" s="198"/>
      <c r="H97" s="36">
        <v>43849</v>
      </c>
      <c r="I97" s="188">
        <v>1449760.46</v>
      </c>
      <c r="J97" s="63" t="s">
        <v>20</v>
      </c>
      <c r="K97" s="207" t="s">
        <v>103</v>
      </c>
      <c r="L97" s="82" t="s">
        <v>54</v>
      </c>
      <c r="M97" s="63"/>
      <c r="N97" s="63"/>
      <c r="O97" s="82"/>
    </row>
    <row r="98" s="3" customFormat="1" ht="18" customHeight="1" spans="1:15">
      <c r="A98" s="74">
        <v>43831</v>
      </c>
      <c r="B98" s="25">
        <f t="shared" si="8"/>
        <v>600000</v>
      </c>
      <c r="C98" s="75"/>
      <c r="D98" s="50" t="s">
        <v>73</v>
      </c>
      <c r="E98" s="77"/>
      <c r="F98" s="25">
        <f t="shared" si="9"/>
        <v>0</v>
      </c>
      <c r="G98" s="188">
        <v>600000</v>
      </c>
      <c r="H98" s="36">
        <v>43850</v>
      </c>
      <c r="I98" s="188">
        <v>600000</v>
      </c>
      <c r="J98" s="63" t="s">
        <v>21</v>
      </c>
      <c r="K98" s="207" t="s">
        <v>89</v>
      </c>
      <c r="L98" s="82" t="s">
        <v>104</v>
      </c>
      <c r="M98" s="63"/>
      <c r="N98" s="63"/>
      <c r="O98" s="82"/>
    </row>
    <row r="99" s="3" customFormat="1" ht="18" customHeight="1" spans="1:15">
      <c r="A99" s="74">
        <v>43831</v>
      </c>
      <c r="B99" s="25">
        <f t="shared" si="8"/>
        <v>600000</v>
      </c>
      <c r="C99" s="75"/>
      <c r="D99" s="50" t="s">
        <v>73</v>
      </c>
      <c r="E99" s="77"/>
      <c r="F99" s="25">
        <f t="shared" si="9"/>
        <v>0</v>
      </c>
      <c r="G99" s="188">
        <v>600000</v>
      </c>
      <c r="H99" s="36">
        <v>43850</v>
      </c>
      <c r="I99" s="188">
        <v>600000</v>
      </c>
      <c r="J99" s="63" t="s">
        <v>21</v>
      </c>
      <c r="K99" s="207" t="s">
        <v>87</v>
      </c>
      <c r="L99" s="82" t="s">
        <v>104</v>
      </c>
      <c r="M99" s="63"/>
      <c r="N99" s="63"/>
      <c r="O99" s="82"/>
    </row>
    <row r="100" s="3" customFormat="1" ht="18" customHeight="1" spans="1:15">
      <c r="A100" s="74">
        <v>43891</v>
      </c>
      <c r="B100" s="25">
        <f t="shared" si="8"/>
        <v>530100</v>
      </c>
      <c r="C100" s="75"/>
      <c r="D100" s="50" t="s">
        <v>73</v>
      </c>
      <c r="E100" s="77"/>
      <c r="F100" s="25">
        <f t="shared" si="9"/>
        <v>0</v>
      </c>
      <c r="G100" s="188">
        <v>530100</v>
      </c>
      <c r="H100" s="36">
        <v>43903</v>
      </c>
      <c r="I100" s="188">
        <v>530000</v>
      </c>
      <c r="J100" s="63" t="s">
        <v>21</v>
      </c>
      <c r="K100" s="207" t="s">
        <v>105</v>
      </c>
      <c r="L100" s="82" t="s">
        <v>77</v>
      </c>
      <c r="M100" s="63"/>
      <c r="N100" s="63"/>
      <c r="O100" s="82"/>
    </row>
    <row r="101" s="3" customFormat="1" ht="18" customHeight="1" spans="1:15">
      <c r="A101" s="74">
        <v>43952</v>
      </c>
      <c r="B101" s="25">
        <f>298648.6+188837.04+318653.29</f>
        <v>806138.93</v>
      </c>
      <c r="C101" s="75">
        <v>3</v>
      </c>
      <c r="D101" s="50" t="s">
        <v>36</v>
      </c>
      <c r="E101" s="77">
        <v>0.13</v>
      </c>
      <c r="F101" s="25">
        <f>38824.32+24548.82+41424.93</f>
        <v>104798.07</v>
      </c>
      <c r="G101" s="198">
        <f>337472.92+213385.86+360078.22</f>
        <v>910937</v>
      </c>
      <c r="H101" s="36">
        <v>43903</v>
      </c>
      <c r="I101" s="188">
        <v>200000</v>
      </c>
      <c r="J101" s="63" t="s">
        <v>20</v>
      </c>
      <c r="K101" s="207" t="s">
        <v>80</v>
      </c>
      <c r="L101" s="82" t="s">
        <v>169</v>
      </c>
      <c r="M101" s="63" t="s">
        <v>100</v>
      </c>
      <c r="N101" s="63" t="s">
        <v>170</v>
      </c>
      <c r="O101" s="82"/>
    </row>
    <row r="102" s="3" customFormat="1" ht="18" customHeight="1" spans="1:15">
      <c r="A102" s="74"/>
      <c r="B102" s="25">
        <f t="shared" ref="B102:B104" si="10">ROUND(G102/(1+E102),2)</f>
        <v>0</v>
      </c>
      <c r="C102" s="75"/>
      <c r="D102" s="50"/>
      <c r="E102" s="77"/>
      <c r="F102" s="25">
        <f t="shared" ref="F102:F104" si="11">ROUND(G102/(1+E102)*E102,2)</f>
        <v>0</v>
      </c>
      <c r="G102" s="198"/>
      <c r="H102" s="36">
        <v>43950</v>
      </c>
      <c r="I102" s="188">
        <v>400000</v>
      </c>
      <c r="J102" s="63" t="s">
        <v>20</v>
      </c>
      <c r="K102" s="207" t="s">
        <v>155</v>
      </c>
      <c r="L102" s="82" t="s">
        <v>81</v>
      </c>
      <c r="M102" s="63"/>
      <c r="N102" s="63"/>
      <c r="O102" s="82"/>
    </row>
    <row r="103" s="3" customFormat="1" ht="18" customHeight="1" spans="1:15">
      <c r="A103" s="74"/>
      <c r="B103" s="25">
        <f t="shared" si="10"/>
        <v>0</v>
      </c>
      <c r="C103" s="75"/>
      <c r="D103" s="50"/>
      <c r="E103" s="77"/>
      <c r="F103" s="25">
        <f t="shared" si="11"/>
        <v>0</v>
      </c>
      <c r="G103" s="198"/>
      <c r="H103" s="36">
        <v>43951</v>
      </c>
      <c r="I103" s="188">
        <v>970000</v>
      </c>
      <c r="J103" s="63" t="s">
        <v>21</v>
      </c>
      <c r="K103" s="207" t="s">
        <v>105</v>
      </c>
      <c r="L103" s="82"/>
      <c r="M103" s="63"/>
      <c r="N103" s="63"/>
      <c r="O103" s="82"/>
    </row>
    <row r="104" s="3" customFormat="1" ht="18" customHeight="1" spans="1:15">
      <c r="A104" s="74"/>
      <c r="B104" s="25">
        <f t="shared" si="10"/>
        <v>0</v>
      </c>
      <c r="C104" s="75"/>
      <c r="D104" s="50"/>
      <c r="E104" s="77"/>
      <c r="F104" s="25">
        <f t="shared" si="11"/>
        <v>0</v>
      </c>
      <c r="G104" s="198"/>
      <c r="H104" s="36">
        <v>43966</v>
      </c>
      <c r="I104" s="188">
        <v>150000</v>
      </c>
      <c r="J104" s="63" t="s">
        <v>20</v>
      </c>
      <c r="K104" s="207" t="s">
        <v>155</v>
      </c>
      <c r="L104" s="82" t="s">
        <v>81</v>
      </c>
      <c r="M104" s="63"/>
      <c r="N104" s="63"/>
      <c r="O104" s="82"/>
    </row>
    <row r="105" s="3" customFormat="1" ht="17.1" customHeight="1" spans="1:15">
      <c r="A105" s="74">
        <v>44013</v>
      </c>
      <c r="B105" s="25">
        <f t="shared" ref="B105:B140" si="12">ROUND(G105/(1+E105),2)</f>
        <v>2632.08</v>
      </c>
      <c r="C105" s="75">
        <v>1</v>
      </c>
      <c r="D105" s="50" t="s">
        <v>36</v>
      </c>
      <c r="E105" s="77">
        <v>0.06</v>
      </c>
      <c r="F105" s="25">
        <f t="shared" ref="F105:F133" si="13">ROUND(G105/(1+E105)*E105,2)</f>
        <v>157.92</v>
      </c>
      <c r="G105" s="198">
        <v>2790</v>
      </c>
      <c r="H105" s="36"/>
      <c r="I105" s="188"/>
      <c r="J105" s="63"/>
      <c r="K105" s="211" t="s">
        <v>156</v>
      </c>
      <c r="L105" s="212" t="s">
        <v>52</v>
      </c>
      <c r="M105" s="56" t="s">
        <v>171</v>
      </c>
      <c r="N105" s="63"/>
      <c r="O105" s="82"/>
    </row>
    <row r="106" s="3" customFormat="1" ht="17.1" customHeight="1" spans="1:15">
      <c r="A106" s="74"/>
      <c r="B106" s="25">
        <f t="shared" si="12"/>
        <v>0</v>
      </c>
      <c r="C106" s="75"/>
      <c r="D106" s="50"/>
      <c r="E106" s="77"/>
      <c r="F106" s="25">
        <f t="shared" si="13"/>
        <v>0</v>
      </c>
      <c r="G106" s="198"/>
      <c r="H106" s="36">
        <v>43993</v>
      </c>
      <c r="I106" s="188">
        <v>100000</v>
      </c>
      <c r="J106" s="63"/>
      <c r="K106" s="207" t="s">
        <v>155</v>
      </c>
      <c r="L106" s="82"/>
      <c r="M106" s="63"/>
      <c r="N106" s="63"/>
      <c r="O106" s="82"/>
    </row>
    <row r="107" s="3" customFormat="1" ht="17.1" customHeight="1" spans="1:15">
      <c r="A107" s="74"/>
      <c r="B107" s="25">
        <f t="shared" si="12"/>
        <v>0</v>
      </c>
      <c r="C107" s="75"/>
      <c r="D107" s="50"/>
      <c r="E107" s="77"/>
      <c r="F107" s="25">
        <f t="shared" si="13"/>
        <v>0</v>
      </c>
      <c r="G107" s="198"/>
      <c r="H107" s="36">
        <v>43994</v>
      </c>
      <c r="I107" s="188">
        <v>1000000</v>
      </c>
      <c r="J107" s="63"/>
      <c r="K107" s="213" t="s">
        <v>165</v>
      </c>
      <c r="L107" s="82" t="s">
        <v>54</v>
      </c>
      <c r="M107" s="63"/>
      <c r="N107" s="63"/>
      <c r="O107" s="82"/>
    </row>
    <row r="108" s="3" customFormat="1" ht="17.1" customHeight="1" spans="1:15">
      <c r="A108" s="74"/>
      <c r="B108" s="25">
        <f t="shared" si="12"/>
        <v>0</v>
      </c>
      <c r="C108" s="75"/>
      <c r="D108" s="50"/>
      <c r="E108" s="77"/>
      <c r="F108" s="25">
        <f t="shared" si="13"/>
        <v>0</v>
      </c>
      <c r="G108" s="198"/>
      <c r="H108" s="36">
        <v>44000</v>
      </c>
      <c r="I108" s="214">
        <v>500000</v>
      </c>
      <c r="J108" s="63" t="s">
        <v>20</v>
      </c>
      <c r="K108" s="171" t="s">
        <v>166</v>
      </c>
      <c r="L108" s="82"/>
      <c r="M108" s="63"/>
      <c r="N108" s="63"/>
      <c r="O108" s="82"/>
    </row>
    <row r="109" s="3" customFormat="1" ht="17.1" customHeight="1" spans="1:15">
      <c r="A109" s="74">
        <v>44013</v>
      </c>
      <c r="B109" s="25">
        <f t="shared" si="12"/>
        <v>600040</v>
      </c>
      <c r="C109" s="75"/>
      <c r="D109" s="50" t="s">
        <v>173</v>
      </c>
      <c r="E109" s="77"/>
      <c r="F109" s="25">
        <f t="shared" si="13"/>
        <v>0</v>
      </c>
      <c r="G109" s="198">
        <v>600040</v>
      </c>
      <c r="H109" s="36">
        <v>44000</v>
      </c>
      <c r="I109" s="214">
        <v>600040</v>
      </c>
      <c r="J109" s="63" t="s">
        <v>20</v>
      </c>
      <c r="K109" s="171" t="s">
        <v>74</v>
      </c>
      <c r="L109" s="82" t="s">
        <v>174</v>
      </c>
      <c r="M109" s="63"/>
      <c r="N109" s="63"/>
      <c r="O109" s="82" t="s">
        <v>175</v>
      </c>
    </row>
    <row r="110" s="3" customFormat="1" ht="17.1" customHeight="1" spans="1:15">
      <c r="A110" s="74">
        <v>44013</v>
      </c>
      <c r="B110" s="25">
        <f t="shared" si="12"/>
        <v>600120</v>
      </c>
      <c r="C110" s="75"/>
      <c r="D110" s="50" t="s">
        <v>173</v>
      </c>
      <c r="E110" s="77"/>
      <c r="F110" s="25">
        <f t="shared" si="13"/>
        <v>0</v>
      </c>
      <c r="G110" s="198">
        <v>600120</v>
      </c>
      <c r="H110" s="36">
        <v>44000</v>
      </c>
      <c r="I110" s="214">
        <v>600120</v>
      </c>
      <c r="J110" s="63" t="s">
        <v>20</v>
      </c>
      <c r="K110" s="171" t="s">
        <v>78</v>
      </c>
      <c r="L110" s="82" t="s">
        <v>176</v>
      </c>
      <c r="M110" s="63"/>
      <c r="N110" s="63"/>
      <c r="O110" s="82"/>
    </row>
    <row r="111" s="3" customFormat="1" ht="17.1" customHeight="1" spans="1:15">
      <c r="A111" s="74"/>
      <c r="B111" s="25">
        <f t="shared" si="12"/>
        <v>0</v>
      </c>
      <c r="C111" s="75"/>
      <c r="D111" s="50"/>
      <c r="E111" s="77"/>
      <c r="F111" s="25">
        <f t="shared" si="13"/>
        <v>0</v>
      </c>
      <c r="G111" s="198"/>
      <c r="H111" s="36">
        <v>44000</v>
      </c>
      <c r="I111" s="214">
        <v>300000</v>
      </c>
      <c r="J111" s="63" t="s">
        <v>20</v>
      </c>
      <c r="K111" s="171" t="s">
        <v>89</v>
      </c>
      <c r="L111" s="82"/>
      <c r="M111" s="63"/>
      <c r="N111" s="63"/>
      <c r="O111" s="82"/>
    </row>
    <row r="112" s="3" customFormat="1" ht="17.1" customHeight="1" spans="1:15">
      <c r="A112" s="74"/>
      <c r="B112" s="25">
        <f t="shared" si="12"/>
        <v>0</v>
      </c>
      <c r="C112" s="75"/>
      <c r="D112" s="50"/>
      <c r="E112" s="77"/>
      <c r="F112" s="25">
        <f t="shared" si="13"/>
        <v>0</v>
      </c>
      <c r="G112" s="198"/>
      <c r="H112" s="36">
        <v>44001</v>
      </c>
      <c r="I112" s="214">
        <v>300000</v>
      </c>
      <c r="J112" s="63" t="s">
        <v>20</v>
      </c>
      <c r="K112" s="171" t="s">
        <v>87</v>
      </c>
      <c r="L112" s="82"/>
      <c r="M112" s="63"/>
      <c r="N112" s="63"/>
      <c r="O112" s="82"/>
    </row>
    <row r="113" s="3" customFormat="1" ht="18" customHeight="1" spans="1:15">
      <c r="A113" s="74"/>
      <c r="B113" s="25">
        <f t="shared" si="12"/>
        <v>0</v>
      </c>
      <c r="C113" s="75"/>
      <c r="D113" s="50"/>
      <c r="E113" s="77"/>
      <c r="F113" s="25">
        <f t="shared" si="13"/>
        <v>0</v>
      </c>
      <c r="G113" s="198"/>
      <c r="H113" s="199">
        <v>44005</v>
      </c>
      <c r="I113" s="215">
        <v>170000</v>
      </c>
      <c r="J113" s="216" t="s">
        <v>20</v>
      </c>
      <c r="K113" s="217" t="s">
        <v>155</v>
      </c>
      <c r="L113" s="82"/>
      <c r="M113" s="63"/>
      <c r="N113" s="63"/>
      <c r="O113" s="82"/>
    </row>
    <row r="114" s="3" customFormat="1" ht="18" customHeight="1" spans="1:15">
      <c r="A114" s="74"/>
      <c r="B114" s="25">
        <f t="shared" si="12"/>
        <v>0</v>
      </c>
      <c r="C114" s="75"/>
      <c r="D114" s="50"/>
      <c r="E114" s="77"/>
      <c r="F114" s="25">
        <f t="shared" si="13"/>
        <v>0</v>
      </c>
      <c r="G114" s="198"/>
      <c r="H114" s="200">
        <v>44012</v>
      </c>
      <c r="I114" s="218">
        <v>1000000</v>
      </c>
      <c r="J114" s="219" t="s">
        <v>164</v>
      </c>
      <c r="K114" s="220" t="s">
        <v>80</v>
      </c>
      <c r="L114" s="221" t="s">
        <v>81</v>
      </c>
      <c r="M114" s="219" t="s">
        <v>76</v>
      </c>
      <c r="N114" s="63"/>
      <c r="O114" s="82"/>
    </row>
    <row r="115" s="3" customFormat="1" ht="18" customHeight="1" spans="1:15">
      <c r="A115" s="74"/>
      <c r="B115" s="25">
        <f t="shared" si="12"/>
        <v>0</v>
      </c>
      <c r="C115" s="75"/>
      <c r="D115" s="50"/>
      <c r="E115" s="77"/>
      <c r="F115" s="25">
        <f t="shared" si="13"/>
        <v>0</v>
      </c>
      <c r="G115" s="198"/>
      <c r="H115" s="194">
        <v>44019</v>
      </c>
      <c r="I115" s="229">
        <v>500000</v>
      </c>
      <c r="J115" s="201"/>
      <c r="K115" s="202" t="s">
        <v>80</v>
      </c>
      <c r="L115" s="208"/>
      <c r="M115" s="219" t="s">
        <v>76</v>
      </c>
      <c r="N115" s="63"/>
      <c r="O115" s="82"/>
    </row>
    <row r="116" s="3" customFormat="1" ht="18" customHeight="1" spans="1:15">
      <c r="A116" s="74"/>
      <c r="B116" s="25">
        <f t="shared" si="12"/>
        <v>0</v>
      </c>
      <c r="C116" s="75"/>
      <c r="D116" s="50"/>
      <c r="E116" s="77"/>
      <c r="F116" s="25">
        <f t="shared" si="13"/>
        <v>0</v>
      </c>
      <c r="G116" s="198"/>
      <c r="H116" s="194">
        <v>44019</v>
      </c>
      <c r="I116" s="229">
        <v>500000</v>
      </c>
      <c r="J116" s="201" t="s">
        <v>20</v>
      </c>
      <c r="K116" s="264" t="s">
        <v>167</v>
      </c>
      <c r="L116" s="208"/>
      <c r="M116" s="219" t="s">
        <v>76</v>
      </c>
      <c r="N116" s="63"/>
      <c r="O116" s="82"/>
    </row>
    <row r="117" s="3" customFormat="1" ht="18" customHeight="1" spans="1:15">
      <c r="A117" s="74"/>
      <c r="B117" s="25">
        <f t="shared" si="12"/>
        <v>0</v>
      </c>
      <c r="C117" s="75"/>
      <c r="D117" s="50"/>
      <c r="E117" s="77"/>
      <c r="F117" s="25">
        <f t="shared" si="13"/>
        <v>0</v>
      </c>
      <c r="G117" s="198"/>
      <c r="H117" s="199"/>
      <c r="I117" s="215"/>
      <c r="J117" s="230"/>
      <c r="K117" s="225"/>
      <c r="L117" s="82"/>
      <c r="M117" s="63"/>
      <c r="N117" s="63"/>
      <c r="O117" s="82"/>
    </row>
    <row r="118" s="3" customFormat="1" ht="18" customHeight="1" spans="1:15">
      <c r="A118" s="74"/>
      <c r="B118" s="25">
        <f t="shared" si="12"/>
        <v>0</v>
      </c>
      <c r="C118" s="75"/>
      <c r="D118" s="50"/>
      <c r="E118" s="77"/>
      <c r="F118" s="25">
        <f t="shared" si="13"/>
        <v>0</v>
      </c>
      <c r="G118" s="198"/>
      <c r="H118" s="199"/>
      <c r="I118" s="215"/>
      <c r="J118" s="230"/>
      <c r="K118" s="225"/>
      <c r="L118" s="82"/>
      <c r="M118" s="63"/>
      <c r="N118" s="63"/>
      <c r="O118" s="82"/>
    </row>
    <row r="119" s="3" customFormat="1" ht="18" customHeight="1" spans="1:15">
      <c r="A119" s="74"/>
      <c r="B119" s="25">
        <f t="shared" si="12"/>
        <v>0</v>
      </c>
      <c r="C119" s="75"/>
      <c r="D119" s="50"/>
      <c r="E119" s="77"/>
      <c r="F119" s="25">
        <f t="shared" si="13"/>
        <v>0</v>
      </c>
      <c r="G119" s="198"/>
      <c r="H119" s="195">
        <v>44019</v>
      </c>
      <c r="I119" s="262">
        <v>200</v>
      </c>
      <c r="J119" s="176" t="s">
        <v>106</v>
      </c>
      <c r="K119" s="260" t="s">
        <v>110</v>
      </c>
      <c r="L119" s="82"/>
      <c r="M119" s="63"/>
      <c r="N119" s="63"/>
      <c r="O119" s="82"/>
    </row>
    <row r="120" s="3" customFormat="1" ht="18" customHeight="1" spans="1:15">
      <c r="A120" s="74"/>
      <c r="B120" s="25">
        <f t="shared" si="12"/>
        <v>0</v>
      </c>
      <c r="C120" s="75"/>
      <c r="D120" s="50"/>
      <c r="E120" s="77"/>
      <c r="F120" s="25">
        <f t="shared" si="13"/>
        <v>0</v>
      </c>
      <c r="G120" s="198"/>
      <c r="H120" s="200">
        <v>44012</v>
      </c>
      <c r="I120" s="218">
        <v>-2000000</v>
      </c>
      <c r="J120" s="219"/>
      <c r="K120" s="221" t="s">
        <v>162</v>
      </c>
      <c r="L120" s="82"/>
      <c r="M120" s="63"/>
      <c r="N120" s="63"/>
      <c r="O120" s="82"/>
    </row>
    <row r="121" s="3" customFormat="1" ht="18" customHeight="1" spans="1:15">
      <c r="A121" s="74"/>
      <c r="B121" s="25">
        <f t="shared" si="12"/>
        <v>0</v>
      </c>
      <c r="C121" s="75"/>
      <c r="D121" s="50"/>
      <c r="E121" s="77"/>
      <c r="F121" s="25">
        <f t="shared" si="13"/>
        <v>0</v>
      </c>
      <c r="G121" s="198"/>
      <c r="H121" s="199">
        <v>44012</v>
      </c>
      <c r="I121" s="233">
        <v>100</v>
      </c>
      <c r="J121" s="216" t="s">
        <v>106</v>
      </c>
      <c r="K121" s="234" t="s">
        <v>110</v>
      </c>
      <c r="L121" s="82"/>
      <c r="M121" s="63"/>
      <c r="N121" s="63"/>
      <c r="O121" s="82"/>
    </row>
    <row r="122" s="3" customFormat="1" ht="17.1" customHeight="1" spans="1:15">
      <c r="A122" s="74"/>
      <c r="B122" s="25">
        <f t="shared" si="12"/>
        <v>0</v>
      </c>
      <c r="C122" s="75"/>
      <c r="D122" s="50"/>
      <c r="E122" s="77"/>
      <c r="F122" s="25">
        <f t="shared" si="13"/>
        <v>0</v>
      </c>
      <c r="G122" s="198"/>
      <c r="H122" s="199">
        <v>44005</v>
      </c>
      <c r="I122" s="233">
        <v>100</v>
      </c>
      <c r="J122" s="216" t="s">
        <v>106</v>
      </c>
      <c r="K122" s="234" t="s">
        <v>110</v>
      </c>
      <c r="L122" s="82"/>
      <c r="M122" s="63"/>
      <c r="N122" s="63"/>
      <c r="O122" s="82"/>
    </row>
    <row r="123" s="3" customFormat="1" ht="17.1" customHeight="1" spans="1:15">
      <c r="A123" s="74"/>
      <c r="B123" s="25">
        <f t="shared" si="12"/>
        <v>0</v>
      </c>
      <c r="C123" s="75"/>
      <c r="D123" s="50"/>
      <c r="E123" s="77"/>
      <c r="F123" s="25">
        <f t="shared" si="13"/>
        <v>0</v>
      </c>
      <c r="G123" s="198"/>
      <c r="H123" s="36">
        <v>44001</v>
      </c>
      <c r="I123" s="82">
        <v>100</v>
      </c>
      <c r="J123" s="63" t="s">
        <v>106</v>
      </c>
      <c r="K123" s="82" t="s">
        <v>110</v>
      </c>
      <c r="L123" s="82"/>
      <c r="M123" s="63"/>
      <c r="N123" s="63"/>
      <c r="O123" s="82"/>
    </row>
    <row r="124" s="3" customFormat="1" ht="17.1" customHeight="1" spans="1:15">
      <c r="A124" s="74"/>
      <c r="B124" s="25">
        <f t="shared" si="12"/>
        <v>0</v>
      </c>
      <c r="C124" s="75"/>
      <c r="D124" s="50"/>
      <c r="E124" s="77"/>
      <c r="F124" s="25">
        <f t="shared" si="13"/>
        <v>0</v>
      </c>
      <c r="G124" s="198"/>
      <c r="H124" s="36">
        <v>44000</v>
      </c>
      <c r="I124" s="82">
        <v>100</v>
      </c>
      <c r="J124" s="63" t="s">
        <v>106</v>
      </c>
      <c r="K124" s="82" t="s">
        <v>110</v>
      </c>
      <c r="L124" s="82"/>
      <c r="M124" s="63"/>
      <c r="N124" s="63"/>
      <c r="O124" s="82"/>
    </row>
    <row r="125" s="3" customFormat="1" ht="17.1" customHeight="1" spans="1:15">
      <c r="A125" s="74"/>
      <c r="B125" s="25">
        <f t="shared" si="12"/>
        <v>0</v>
      </c>
      <c r="C125" s="75"/>
      <c r="D125" s="50"/>
      <c r="E125" s="77"/>
      <c r="F125" s="25">
        <f t="shared" si="13"/>
        <v>0</v>
      </c>
      <c r="G125" s="198"/>
      <c r="H125" s="36">
        <v>44000</v>
      </c>
      <c r="I125" s="82">
        <v>300</v>
      </c>
      <c r="J125" s="65" t="s">
        <v>106</v>
      </c>
      <c r="K125" s="207" t="s">
        <v>110</v>
      </c>
      <c r="L125" s="82"/>
      <c r="M125" s="63"/>
      <c r="N125" s="63"/>
      <c r="O125" s="82"/>
    </row>
    <row r="126" s="3" customFormat="1" ht="17.1" customHeight="1" spans="1:15">
      <c r="A126" s="74"/>
      <c r="B126" s="25">
        <f t="shared" si="12"/>
        <v>0</v>
      </c>
      <c r="C126" s="75"/>
      <c r="D126" s="50"/>
      <c r="E126" s="77"/>
      <c r="F126" s="25">
        <f t="shared" si="13"/>
        <v>0</v>
      </c>
      <c r="G126" s="198"/>
      <c r="H126" s="36">
        <v>43994</v>
      </c>
      <c r="I126" s="235">
        <v>100</v>
      </c>
      <c r="J126" s="65" t="s">
        <v>106</v>
      </c>
      <c r="K126" s="207" t="s">
        <v>110</v>
      </c>
      <c r="L126" s="82"/>
      <c r="M126" s="63"/>
      <c r="N126" s="63"/>
      <c r="O126" s="82"/>
    </row>
    <row r="127" s="3" customFormat="1" ht="18" customHeight="1" spans="1:15">
      <c r="A127" s="74"/>
      <c r="B127" s="25">
        <f t="shared" si="12"/>
        <v>0</v>
      </c>
      <c r="C127" s="75"/>
      <c r="D127" s="50"/>
      <c r="E127" s="77"/>
      <c r="F127" s="25">
        <f t="shared" si="13"/>
        <v>0</v>
      </c>
      <c r="G127" s="198"/>
      <c r="H127" s="36">
        <v>43994</v>
      </c>
      <c r="I127" s="236">
        <v>72400</v>
      </c>
      <c r="J127" s="65" t="s">
        <v>106</v>
      </c>
      <c r="K127" s="207" t="s">
        <v>121</v>
      </c>
      <c r="L127" s="82"/>
      <c r="M127" s="63"/>
      <c r="N127" s="63"/>
      <c r="O127" s="82"/>
    </row>
    <row r="128" s="3" customFormat="1" ht="18" customHeight="1" spans="1:15">
      <c r="A128" s="74"/>
      <c r="B128" s="25">
        <f t="shared" si="12"/>
        <v>0</v>
      </c>
      <c r="C128" s="75"/>
      <c r="D128" s="50"/>
      <c r="E128" s="77"/>
      <c r="F128" s="25">
        <f t="shared" si="13"/>
        <v>0</v>
      </c>
      <c r="G128" s="198"/>
      <c r="H128" s="36">
        <v>43994</v>
      </c>
      <c r="I128" s="188">
        <v>1992.66055045872</v>
      </c>
      <c r="J128" s="65" t="s">
        <v>106</v>
      </c>
      <c r="K128" s="207" t="s">
        <v>123</v>
      </c>
      <c r="L128" s="82"/>
      <c r="M128" s="63"/>
      <c r="N128" s="63"/>
      <c r="O128" s="82"/>
    </row>
    <row r="129" s="3" customFormat="1" ht="18" customHeight="1" spans="1:15">
      <c r="A129" s="74"/>
      <c r="B129" s="25">
        <f t="shared" si="12"/>
        <v>0</v>
      </c>
      <c r="C129" s="75"/>
      <c r="D129" s="50"/>
      <c r="E129" s="77"/>
      <c r="F129" s="25">
        <f t="shared" si="13"/>
        <v>0</v>
      </c>
      <c r="G129" s="198"/>
      <c r="H129" s="36">
        <v>43994</v>
      </c>
      <c r="I129" s="188">
        <v>18100</v>
      </c>
      <c r="J129" s="65" t="s">
        <v>106</v>
      </c>
      <c r="K129" s="207" t="s">
        <v>157</v>
      </c>
      <c r="L129" s="82"/>
      <c r="M129" s="63"/>
      <c r="N129" s="63"/>
      <c r="O129" s="82"/>
    </row>
    <row r="130" s="3" customFormat="1" ht="18" customHeight="1" spans="1:15">
      <c r="A130" s="74"/>
      <c r="B130" s="25">
        <f t="shared" si="12"/>
        <v>0</v>
      </c>
      <c r="C130" s="75"/>
      <c r="D130" s="50"/>
      <c r="E130" s="77"/>
      <c r="F130" s="25">
        <f t="shared" si="13"/>
        <v>0</v>
      </c>
      <c r="G130" s="198"/>
      <c r="H130" s="36">
        <v>43993</v>
      </c>
      <c r="I130" s="188">
        <v>100</v>
      </c>
      <c r="J130" s="65" t="s">
        <v>106</v>
      </c>
      <c r="K130" s="207" t="s">
        <v>110</v>
      </c>
      <c r="L130" s="82"/>
      <c r="M130" s="63"/>
      <c r="N130" s="63"/>
      <c r="O130" s="82"/>
    </row>
    <row r="131" s="3" customFormat="1" ht="18" customHeight="1" spans="1:15">
      <c r="A131" s="74"/>
      <c r="B131" s="25">
        <f t="shared" si="12"/>
        <v>0</v>
      </c>
      <c r="C131" s="75"/>
      <c r="D131" s="50"/>
      <c r="E131" s="77"/>
      <c r="F131" s="25">
        <f t="shared" si="13"/>
        <v>0</v>
      </c>
      <c r="G131" s="198"/>
      <c r="H131" s="36">
        <v>43966</v>
      </c>
      <c r="I131" s="188">
        <v>100</v>
      </c>
      <c r="J131" s="65" t="s">
        <v>106</v>
      </c>
      <c r="K131" s="207" t="s">
        <v>110</v>
      </c>
      <c r="L131" s="82"/>
      <c r="M131" s="63"/>
      <c r="N131" s="63"/>
      <c r="O131" s="82"/>
    </row>
    <row r="132" s="3" customFormat="1" ht="18" customHeight="1" spans="1:15">
      <c r="A132" s="74"/>
      <c r="B132" s="25">
        <f t="shared" si="12"/>
        <v>0</v>
      </c>
      <c r="C132" s="75"/>
      <c r="D132" s="50"/>
      <c r="E132" s="77"/>
      <c r="F132" s="25">
        <f t="shared" si="13"/>
        <v>0</v>
      </c>
      <c r="G132" s="198"/>
      <c r="H132" s="76">
        <v>10.2</v>
      </c>
      <c r="I132" s="188">
        <v>100</v>
      </c>
      <c r="J132" s="65" t="s">
        <v>106</v>
      </c>
      <c r="K132" s="207" t="s">
        <v>110</v>
      </c>
      <c r="L132" s="82"/>
      <c r="M132" s="63"/>
      <c r="N132" s="63"/>
      <c r="O132" s="82"/>
    </row>
    <row r="133" s="3" customFormat="1" ht="18" customHeight="1" spans="1:15">
      <c r="A133" s="74"/>
      <c r="B133" s="25">
        <f t="shared" si="12"/>
        <v>0</v>
      </c>
      <c r="C133" s="75"/>
      <c r="D133" s="50"/>
      <c r="E133" s="77"/>
      <c r="F133" s="25">
        <f t="shared" si="13"/>
        <v>0</v>
      </c>
      <c r="G133" s="198"/>
      <c r="H133" s="76">
        <v>10.1</v>
      </c>
      <c r="I133" s="188">
        <v>100</v>
      </c>
      <c r="J133" s="65" t="s">
        <v>106</v>
      </c>
      <c r="K133" s="207" t="s">
        <v>110</v>
      </c>
      <c r="L133" s="82"/>
      <c r="M133" s="63"/>
      <c r="N133" s="63"/>
      <c r="O133" s="82"/>
    </row>
    <row r="134" s="3" customFormat="1" ht="18" customHeight="1" spans="1:15">
      <c r="A134" s="74"/>
      <c r="B134" s="25">
        <f t="shared" si="12"/>
        <v>0</v>
      </c>
      <c r="C134" s="75"/>
      <c r="D134" s="50"/>
      <c r="E134" s="77"/>
      <c r="F134" s="25">
        <f t="shared" ref="F134:F139" si="14">ROUND(G134/(1+E134)*E134,2)</f>
        <v>0</v>
      </c>
      <c r="G134" s="198"/>
      <c r="H134" s="76">
        <v>10.1</v>
      </c>
      <c r="I134" s="188">
        <f>B12*0.0006</f>
        <v>853.211009174312</v>
      </c>
      <c r="J134" s="65" t="s">
        <v>106</v>
      </c>
      <c r="K134" s="207" t="s">
        <v>107</v>
      </c>
      <c r="L134" s="82">
        <f>I134+I135+I138+I143+I146+I147+I148+I149+I156+I157+I163+I165+I166</f>
        <v>916149.577981651</v>
      </c>
      <c r="M134" s="63"/>
      <c r="N134" s="63"/>
      <c r="O134" s="82"/>
    </row>
    <row r="135" s="3" customFormat="1" ht="18" customHeight="1" spans="1:15">
      <c r="A135" s="74"/>
      <c r="B135" s="25">
        <f t="shared" si="12"/>
        <v>0</v>
      </c>
      <c r="C135" s="75"/>
      <c r="D135" s="50"/>
      <c r="E135" s="77"/>
      <c r="F135" s="25">
        <f t="shared" si="14"/>
        <v>0</v>
      </c>
      <c r="G135" s="198"/>
      <c r="H135" s="76">
        <v>10.1</v>
      </c>
      <c r="I135" s="188">
        <f>B12*0.02</f>
        <v>28440.3669724771</v>
      </c>
      <c r="J135" s="65" t="s">
        <v>106</v>
      </c>
      <c r="K135" s="207" t="s">
        <v>108</v>
      </c>
      <c r="L135" s="82"/>
      <c r="M135" s="63"/>
      <c r="N135" s="63"/>
      <c r="O135" s="82"/>
    </row>
    <row r="136" s="3" customFormat="1" ht="18" customHeight="1" spans="1:15">
      <c r="A136" s="74"/>
      <c r="B136" s="25">
        <f t="shared" si="12"/>
        <v>0</v>
      </c>
      <c r="C136" s="75"/>
      <c r="D136" s="50"/>
      <c r="E136" s="77"/>
      <c r="F136" s="25">
        <f t="shared" si="14"/>
        <v>0</v>
      </c>
      <c r="G136" s="198"/>
      <c r="H136" s="76">
        <v>10.1</v>
      </c>
      <c r="I136" s="188">
        <f>G12*0.005</f>
        <v>7750</v>
      </c>
      <c r="J136" s="65" t="s">
        <v>106</v>
      </c>
      <c r="K136" s="207" t="s">
        <v>157</v>
      </c>
      <c r="L136" s="82">
        <f>I136+I168</f>
        <v>140600</v>
      </c>
      <c r="M136" s="63"/>
      <c r="N136" s="63"/>
      <c r="O136" s="82"/>
    </row>
    <row r="137" s="3" customFormat="1" ht="18" customHeight="1" spans="1:15">
      <c r="A137" s="74"/>
      <c r="B137" s="25">
        <f t="shared" si="12"/>
        <v>0</v>
      </c>
      <c r="C137" s="75"/>
      <c r="D137" s="50"/>
      <c r="E137" s="77"/>
      <c r="F137" s="25">
        <f t="shared" si="14"/>
        <v>0</v>
      </c>
      <c r="G137" s="198"/>
      <c r="H137" s="36" t="s">
        <v>109</v>
      </c>
      <c r="I137" s="188">
        <v>200</v>
      </c>
      <c r="J137" s="65" t="s">
        <v>106</v>
      </c>
      <c r="K137" s="207" t="s">
        <v>110</v>
      </c>
      <c r="L137" s="82">
        <f>I137+I139+I140+I141+I142+I144+I151+I154+I158+I167+I133</f>
        <v>245132.79</v>
      </c>
      <c r="M137" s="63"/>
      <c r="N137" s="63"/>
      <c r="O137" s="82"/>
    </row>
    <row r="138" s="3" customFormat="1" ht="18" customHeight="1" spans="1:15">
      <c r="A138" s="74"/>
      <c r="B138" s="25">
        <f t="shared" si="12"/>
        <v>0</v>
      </c>
      <c r="C138" s="75"/>
      <c r="D138" s="50"/>
      <c r="E138" s="77"/>
      <c r="F138" s="25">
        <f t="shared" si="14"/>
        <v>0</v>
      </c>
      <c r="G138" s="198"/>
      <c r="H138" s="36" t="s">
        <v>111</v>
      </c>
      <c r="I138" s="188">
        <v>-285325</v>
      </c>
      <c r="J138" s="63" t="s">
        <v>112</v>
      </c>
      <c r="K138" s="207" t="s">
        <v>158</v>
      </c>
      <c r="L138" s="82"/>
      <c r="M138" s="63"/>
      <c r="N138" s="63"/>
      <c r="O138" s="82"/>
    </row>
    <row r="139" s="3" customFormat="1" ht="18" customHeight="1" spans="1:15">
      <c r="A139" s="74"/>
      <c r="B139" s="25">
        <f t="shared" si="12"/>
        <v>0</v>
      </c>
      <c r="C139" s="75"/>
      <c r="D139" s="76"/>
      <c r="E139" s="77"/>
      <c r="F139" s="25">
        <f t="shared" si="14"/>
        <v>0</v>
      </c>
      <c r="G139" s="198"/>
      <c r="H139" s="36" t="s">
        <v>111</v>
      </c>
      <c r="I139" s="188">
        <v>200</v>
      </c>
      <c r="J139" s="65" t="s">
        <v>106</v>
      </c>
      <c r="K139" s="207" t="s">
        <v>110</v>
      </c>
      <c r="L139" s="82"/>
      <c r="M139" s="63"/>
      <c r="N139" s="63"/>
      <c r="O139" s="82"/>
    </row>
    <row r="140" s="3" customFormat="1" ht="18" customHeight="1" spans="1:15">
      <c r="A140" s="74"/>
      <c r="B140" s="25">
        <f t="shared" si="12"/>
        <v>0</v>
      </c>
      <c r="C140" s="75"/>
      <c r="D140" s="76"/>
      <c r="E140" s="77"/>
      <c r="F140" s="25">
        <f t="shared" ref="F140:F158" si="15">ROUND(G140/(1+E140)*E140,2)</f>
        <v>0</v>
      </c>
      <c r="G140" s="198"/>
      <c r="H140" s="36" t="s">
        <v>113</v>
      </c>
      <c r="I140" s="188">
        <v>300</v>
      </c>
      <c r="J140" s="65" t="s">
        <v>106</v>
      </c>
      <c r="K140" s="207" t="s">
        <v>110</v>
      </c>
      <c r="L140" s="82"/>
      <c r="M140" s="63"/>
      <c r="N140" s="63"/>
      <c r="O140" s="82"/>
    </row>
    <row r="141" s="3" customFormat="1" ht="18" customHeight="1" spans="1:15">
      <c r="A141" s="74"/>
      <c r="B141" s="25">
        <f t="shared" ref="B141:B158" si="16">ROUND(G141/(1+E141),2)</f>
        <v>0</v>
      </c>
      <c r="C141" s="75"/>
      <c r="D141" s="76"/>
      <c r="E141" s="77"/>
      <c r="F141" s="25">
        <f t="shared" si="15"/>
        <v>0</v>
      </c>
      <c r="G141" s="198"/>
      <c r="H141" s="36" t="s">
        <v>114</v>
      </c>
      <c r="I141" s="188">
        <v>9600</v>
      </c>
      <c r="J141" s="65" t="s">
        <v>106</v>
      </c>
      <c r="K141" s="207" t="s">
        <v>115</v>
      </c>
      <c r="L141" s="82"/>
      <c r="M141" s="63"/>
      <c r="N141" s="63"/>
      <c r="O141" s="82"/>
    </row>
    <row r="142" s="3" customFormat="1" ht="18" customHeight="1" spans="1:15">
      <c r="A142" s="74"/>
      <c r="B142" s="25">
        <f t="shared" si="16"/>
        <v>0</v>
      </c>
      <c r="C142" s="75"/>
      <c r="D142" s="76"/>
      <c r="E142" s="77"/>
      <c r="F142" s="25">
        <f t="shared" si="15"/>
        <v>0</v>
      </c>
      <c r="G142" s="198"/>
      <c r="H142" s="36" t="s">
        <v>114</v>
      </c>
      <c r="I142" s="188">
        <v>200</v>
      </c>
      <c r="J142" s="65" t="s">
        <v>106</v>
      </c>
      <c r="K142" s="207" t="s">
        <v>110</v>
      </c>
      <c r="L142" s="82"/>
      <c r="M142" s="63"/>
      <c r="N142" s="63"/>
      <c r="O142" s="82"/>
    </row>
    <row r="143" s="3" customFormat="1" ht="18" customHeight="1" spans="1:15">
      <c r="A143" s="74"/>
      <c r="B143" s="25">
        <f t="shared" si="16"/>
        <v>0</v>
      </c>
      <c r="C143" s="75"/>
      <c r="D143" s="76"/>
      <c r="E143" s="77"/>
      <c r="F143" s="25">
        <f t="shared" si="15"/>
        <v>0</v>
      </c>
      <c r="G143" s="198"/>
      <c r="H143" s="36" t="s">
        <v>114</v>
      </c>
      <c r="I143" s="188">
        <v>-903045</v>
      </c>
      <c r="J143" s="63" t="s">
        <v>112</v>
      </c>
      <c r="K143" s="207" t="s">
        <v>116</v>
      </c>
      <c r="L143" s="82"/>
      <c r="M143" s="63"/>
      <c r="N143" s="63"/>
      <c r="O143" s="82"/>
    </row>
    <row r="144" s="3" customFormat="1" ht="18" customHeight="1" spans="1:15">
      <c r="A144" s="74"/>
      <c r="B144" s="25">
        <f t="shared" si="16"/>
        <v>0</v>
      </c>
      <c r="C144" s="75"/>
      <c r="D144" s="76"/>
      <c r="E144" s="77"/>
      <c r="F144" s="25">
        <f t="shared" si="15"/>
        <v>0</v>
      </c>
      <c r="G144" s="198"/>
      <c r="H144" s="36" t="s">
        <v>117</v>
      </c>
      <c r="I144" s="188">
        <v>232932.79</v>
      </c>
      <c r="J144" s="63" t="s">
        <v>106</v>
      </c>
      <c r="K144" s="207" t="s">
        <v>118</v>
      </c>
      <c r="L144" s="82"/>
      <c r="M144" s="63"/>
      <c r="N144" s="63"/>
      <c r="O144" s="82"/>
    </row>
    <row r="145" s="3" customFormat="1" ht="18" customHeight="1" spans="1:15">
      <c r="A145" s="74"/>
      <c r="B145" s="25">
        <f t="shared" si="16"/>
        <v>0</v>
      </c>
      <c r="C145" s="75"/>
      <c r="D145" s="76"/>
      <c r="E145" s="77"/>
      <c r="F145" s="25">
        <f t="shared" si="15"/>
        <v>0</v>
      </c>
      <c r="G145" s="198"/>
      <c r="H145" s="36" t="s">
        <v>117</v>
      </c>
      <c r="I145" s="188"/>
      <c r="J145" s="63" t="s">
        <v>106</v>
      </c>
      <c r="K145" s="207" t="s">
        <v>119</v>
      </c>
      <c r="L145" s="82"/>
      <c r="M145" s="63"/>
      <c r="N145" s="63"/>
      <c r="O145" s="82"/>
    </row>
    <row r="146" s="3" customFormat="1" ht="18" customHeight="1" spans="1:15">
      <c r="A146" s="74"/>
      <c r="B146" s="25">
        <f t="shared" si="16"/>
        <v>0</v>
      </c>
      <c r="C146" s="75"/>
      <c r="D146" s="76"/>
      <c r="E146" s="77"/>
      <c r="F146" s="25">
        <f t="shared" si="15"/>
        <v>0</v>
      </c>
      <c r="G146" s="198"/>
      <c r="H146" s="36" t="s">
        <v>117</v>
      </c>
      <c r="I146" s="188">
        <v>903045</v>
      </c>
      <c r="J146" s="63" t="s">
        <v>120</v>
      </c>
      <c r="K146" s="207" t="s">
        <v>121</v>
      </c>
      <c r="L146" s="82"/>
      <c r="M146" s="63"/>
      <c r="N146" s="63"/>
      <c r="O146" s="82"/>
    </row>
    <row r="147" s="3" customFormat="1" ht="18" customHeight="1" spans="1:15">
      <c r="A147" s="74"/>
      <c r="B147" s="25">
        <f t="shared" si="16"/>
        <v>0</v>
      </c>
      <c r="C147" s="75"/>
      <c r="D147" s="76"/>
      <c r="E147" s="77"/>
      <c r="F147" s="25">
        <f t="shared" si="15"/>
        <v>0</v>
      </c>
      <c r="G147" s="198"/>
      <c r="H147" s="36" t="s">
        <v>117</v>
      </c>
      <c r="I147" s="188">
        <v>485252</v>
      </c>
      <c r="J147" s="63" t="s">
        <v>106</v>
      </c>
      <c r="K147" s="207" t="s">
        <v>122</v>
      </c>
      <c r="L147" s="82"/>
      <c r="M147" s="63"/>
      <c r="N147" s="63"/>
      <c r="O147" s="82"/>
    </row>
    <row r="148" s="3" customFormat="1" ht="18" customHeight="1" spans="1:15">
      <c r="A148" s="74"/>
      <c r="B148" s="25">
        <f t="shared" si="16"/>
        <v>0</v>
      </c>
      <c r="C148" s="75"/>
      <c r="D148" s="76"/>
      <c r="E148" s="77"/>
      <c r="F148" s="25">
        <f t="shared" si="15"/>
        <v>0</v>
      </c>
      <c r="G148" s="198"/>
      <c r="H148" s="36" t="s">
        <v>117</v>
      </c>
      <c r="I148" s="188">
        <v>4789</v>
      </c>
      <c r="J148" s="63" t="s">
        <v>106</v>
      </c>
      <c r="K148" s="207" t="s">
        <v>123</v>
      </c>
      <c r="L148" s="82"/>
      <c r="M148" s="63"/>
      <c r="N148" s="63"/>
      <c r="O148" s="82"/>
    </row>
    <row r="149" s="3" customFormat="1" ht="18" customHeight="1" spans="1:15">
      <c r="A149" s="74"/>
      <c r="B149" s="25">
        <f t="shared" si="16"/>
        <v>0</v>
      </c>
      <c r="C149" s="75"/>
      <c r="D149" s="76"/>
      <c r="E149" s="77"/>
      <c r="F149" s="25">
        <f t="shared" si="15"/>
        <v>0</v>
      </c>
      <c r="G149" s="198"/>
      <c r="H149" s="36" t="s">
        <v>117</v>
      </c>
      <c r="I149" s="188">
        <v>429349</v>
      </c>
      <c r="J149" s="63" t="s">
        <v>106</v>
      </c>
      <c r="K149" s="207" t="s">
        <v>124</v>
      </c>
      <c r="L149" s="82"/>
      <c r="M149" s="63"/>
      <c r="N149" s="63"/>
      <c r="O149" s="82"/>
    </row>
    <row r="150" s="3" customFormat="1" ht="18" customHeight="1" spans="1:15">
      <c r="A150" s="74"/>
      <c r="B150" s="25">
        <f t="shared" si="16"/>
        <v>0</v>
      </c>
      <c r="C150" s="75"/>
      <c r="D150" s="76"/>
      <c r="E150" s="77"/>
      <c r="F150" s="25">
        <f t="shared" si="15"/>
        <v>0</v>
      </c>
      <c r="G150" s="198"/>
      <c r="H150" s="36" t="s">
        <v>117</v>
      </c>
      <c r="I150" s="188">
        <v>87000</v>
      </c>
      <c r="J150" s="63" t="s">
        <v>125</v>
      </c>
      <c r="K150" s="207" t="s">
        <v>126</v>
      </c>
      <c r="L150" s="82"/>
      <c r="M150" s="63"/>
      <c r="N150" s="63"/>
      <c r="O150" s="82"/>
    </row>
    <row r="151" s="2" customFormat="1" ht="18" customHeight="1" spans="1:15">
      <c r="A151" s="48"/>
      <c r="B151" s="25">
        <f t="shared" si="16"/>
        <v>0</v>
      </c>
      <c r="C151" s="49"/>
      <c r="D151" s="50"/>
      <c r="E151" s="70"/>
      <c r="F151" s="25">
        <f t="shared" si="15"/>
        <v>0</v>
      </c>
      <c r="G151" s="189"/>
      <c r="H151" s="36" t="s">
        <v>117</v>
      </c>
      <c r="I151" s="188">
        <v>100</v>
      </c>
      <c r="J151" s="65" t="s">
        <v>106</v>
      </c>
      <c r="K151" s="207" t="s">
        <v>110</v>
      </c>
      <c r="L151" s="82"/>
      <c r="M151" s="56"/>
      <c r="N151" s="65"/>
      <c r="O151" s="67"/>
    </row>
    <row r="152" s="2" customFormat="1" ht="18" customHeight="1" spans="1:15">
      <c r="A152" s="48"/>
      <c r="B152" s="25">
        <f t="shared" si="16"/>
        <v>0</v>
      </c>
      <c r="C152" s="49"/>
      <c r="D152" s="50"/>
      <c r="E152" s="70"/>
      <c r="F152" s="25">
        <f t="shared" si="15"/>
        <v>0</v>
      </c>
      <c r="G152" s="189"/>
      <c r="H152" s="36" t="s">
        <v>117</v>
      </c>
      <c r="I152" s="188"/>
      <c r="J152" s="63"/>
      <c r="K152" s="207"/>
      <c r="L152" s="82"/>
      <c r="M152" s="56"/>
      <c r="N152" s="65"/>
      <c r="O152" s="67"/>
    </row>
    <row r="153" s="2" customFormat="1" ht="18" customHeight="1" spans="1:15">
      <c r="A153" s="48"/>
      <c r="B153" s="25">
        <f t="shared" si="16"/>
        <v>0</v>
      </c>
      <c r="C153" s="49"/>
      <c r="D153" s="50"/>
      <c r="E153" s="70"/>
      <c r="F153" s="25">
        <f t="shared" si="15"/>
        <v>0</v>
      </c>
      <c r="G153" s="189"/>
      <c r="H153" s="36" t="s">
        <v>127</v>
      </c>
      <c r="I153" s="188">
        <v>-93700</v>
      </c>
      <c r="J153" s="63" t="s">
        <v>125</v>
      </c>
      <c r="K153" s="148" t="s">
        <v>126</v>
      </c>
      <c r="L153" s="82"/>
      <c r="M153" s="56"/>
      <c r="N153" s="65"/>
      <c r="O153" s="67"/>
    </row>
    <row r="154" s="2" customFormat="1" ht="18" customHeight="1" spans="1:16">
      <c r="A154" s="48"/>
      <c r="B154" s="25">
        <f t="shared" si="16"/>
        <v>0</v>
      </c>
      <c r="C154" s="49"/>
      <c r="D154" s="50"/>
      <c r="E154" s="70"/>
      <c r="F154" s="25">
        <f t="shared" si="15"/>
        <v>0</v>
      </c>
      <c r="G154" s="189"/>
      <c r="H154" s="36" t="s">
        <v>127</v>
      </c>
      <c r="I154" s="71">
        <v>50</v>
      </c>
      <c r="J154" s="65" t="s">
        <v>106</v>
      </c>
      <c r="K154" s="148" t="s">
        <v>110</v>
      </c>
      <c r="L154" s="82"/>
      <c r="M154" s="56"/>
      <c r="N154" s="65"/>
      <c r="O154" s="67"/>
      <c r="P154" s="2">
        <f>I156+I149+I138</f>
        <v>387045</v>
      </c>
    </row>
    <row r="155" s="2" customFormat="1" ht="18" customHeight="1" spans="1:15">
      <c r="A155" s="48"/>
      <c r="B155" s="25">
        <f t="shared" si="16"/>
        <v>0</v>
      </c>
      <c r="C155" s="49"/>
      <c r="D155" s="50"/>
      <c r="E155" s="70"/>
      <c r="F155" s="25">
        <f t="shared" si="15"/>
        <v>0</v>
      </c>
      <c r="G155" s="189"/>
      <c r="H155" s="36" t="s">
        <v>127</v>
      </c>
      <c r="I155" s="210">
        <v>-21725</v>
      </c>
      <c r="J155" s="56" t="s">
        <v>112</v>
      </c>
      <c r="K155" s="238" t="s">
        <v>159</v>
      </c>
      <c r="L155" s="82"/>
      <c r="M155" s="56"/>
      <c r="N155" s="65"/>
      <c r="O155" s="67"/>
    </row>
    <row r="156" s="2" customFormat="1" ht="18" customHeight="1" spans="1:15">
      <c r="A156" s="48"/>
      <c r="B156" s="25">
        <f t="shared" si="16"/>
        <v>0</v>
      </c>
      <c r="C156" s="49"/>
      <c r="D156" s="50"/>
      <c r="E156" s="46"/>
      <c r="F156" s="25">
        <f t="shared" si="15"/>
        <v>0</v>
      </c>
      <c r="G156" s="189"/>
      <c r="H156" s="36" t="s">
        <v>129</v>
      </c>
      <c r="I156" s="188">
        <v>243021</v>
      </c>
      <c r="J156" s="63" t="s">
        <v>106</v>
      </c>
      <c r="K156" s="207" t="s">
        <v>124</v>
      </c>
      <c r="L156" s="67"/>
      <c r="M156" s="65"/>
      <c r="N156" s="65"/>
      <c r="O156" s="67"/>
    </row>
    <row r="157" s="2" customFormat="1" ht="18" customHeight="1" spans="1:15">
      <c r="A157" s="48"/>
      <c r="B157" s="25">
        <f t="shared" si="16"/>
        <v>0</v>
      </c>
      <c r="C157" s="49"/>
      <c r="D157" s="50"/>
      <c r="E157" s="46"/>
      <c r="F157" s="25">
        <f t="shared" si="15"/>
        <v>0</v>
      </c>
      <c r="G157" s="189"/>
      <c r="H157" s="36" t="s">
        <v>129</v>
      </c>
      <c r="I157" s="188">
        <v>2340</v>
      </c>
      <c r="J157" s="63" t="s">
        <v>106</v>
      </c>
      <c r="K157" s="207" t="s">
        <v>123</v>
      </c>
      <c r="L157" s="67"/>
      <c r="M157" s="65"/>
      <c r="N157" s="65"/>
      <c r="O157" s="67"/>
    </row>
    <row r="158" s="2" customFormat="1" ht="18" customHeight="1" spans="1:15">
      <c r="A158" s="48"/>
      <c r="B158" s="25">
        <f t="shared" si="16"/>
        <v>0</v>
      </c>
      <c r="C158" s="49"/>
      <c r="D158" s="50"/>
      <c r="E158" s="46"/>
      <c r="F158" s="25">
        <f t="shared" si="15"/>
        <v>0</v>
      </c>
      <c r="G158" s="189"/>
      <c r="H158" s="36" t="s">
        <v>129</v>
      </c>
      <c r="I158" s="188">
        <v>500</v>
      </c>
      <c r="J158" s="63" t="s">
        <v>106</v>
      </c>
      <c r="K158" s="148" t="s">
        <v>130</v>
      </c>
      <c r="L158" s="67"/>
      <c r="M158" s="65"/>
      <c r="N158" s="65"/>
      <c r="O158" s="67"/>
    </row>
    <row r="159" s="2" customFormat="1" ht="18" customHeight="1" spans="1:15">
      <c r="A159" s="48"/>
      <c r="B159" s="25"/>
      <c r="C159" s="49"/>
      <c r="D159" s="50"/>
      <c r="E159" s="46"/>
      <c r="F159" s="25"/>
      <c r="G159" s="189"/>
      <c r="H159" s="36" t="s">
        <v>129</v>
      </c>
      <c r="I159" s="210">
        <v>55725</v>
      </c>
      <c r="J159" s="56" t="s">
        <v>120</v>
      </c>
      <c r="K159" s="238" t="s">
        <v>121</v>
      </c>
      <c r="L159" s="67"/>
      <c r="M159" s="65"/>
      <c r="N159" s="65"/>
      <c r="O159" s="67"/>
    </row>
    <row r="160" s="2" customFormat="1" ht="18" customHeight="1" spans="1:15">
      <c r="A160" s="48"/>
      <c r="B160" s="25">
        <f t="shared" ref="B160:B165" si="17">ROUND(G160/(1+E160),2)</f>
        <v>0</v>
      </c>
      <c r="C160" s="49"/>
      <c r="D160" s="50"/>
      <c r="E160" s="46"/>
      <c r="F160" s="25">
        <f t="shared" ref="F160:F165" si="18">ROUND(G160/(1+E160)*E160,2)</f>
        <v>0</v>
      </c>
      <c r="G160" s="189"/>
      <c r="H160" s="36" t="s">
        <v>129</v>
      </c>
      <c r="I160" s="188">
        <v>8500</v>
      </c>
      <c r="J160" s="63" t="s">
        <v>125</v>
      </c>
      <c r="K160" s="148" t="s">
        <v>126</v>
      </c>
      <c r="L160" s="67"/>
      <c r="M160" s="65"/>
      <c r="N160" s="65"/>
      <c r="O160" s="67"/>
    </row>
    <row r="161" s="2" customFormat="1" ht="18" customHeight="1" spans="1:15">
      <c r="A161" s="48"/>
      <c r="B161" s="25">
        <f t="shared" si="17"/>
        <v>0</v>
      </c>
      <c r="C161" s="49"/>
      <c r="D161" s="50"/>
      <c r="E161" s="46"/>
      <c r="F161" s="25">
        <f t="shared" si="18"/>
        <v>0</v>
      </c>
      <c r="G161" s="189"/>
      <c r="H161" s="36" t="s">
        <v>131</v>
      </c>
      <c r="I161" s="188">
        <v>8800</v>
      </c>
      <c r="J161" s="63" t="s">
        <v>125</v>
      </c>
      <c r="K161" s="148" t="s">
        <v>126</v>
      </c>
      <c r="L161" s="67"/>
      <c r="M161" s="65"/>
      <c r="N161" s="65"/>
      <c r="O161" s="67"/>
    </row>
    <row r="162" s="2" customFormat="1" ht="18" customHeight="1" spans="1:15">
      <c r="A162" s="48"/>
      <c r="B162" s="25">
        <f t="shared" si="17"/>
        <v>0</v>
      </c>
      <c r="C162" s="49"/>
      <c r="D162" s="50"/>
      <c r="E162" s="46"/>
      <c r="F162" s="25">
        <f t="shared" si="18"/>
        <v>0</v>
      </c>
      <c r="G162" s="189"/>
      <c r="H162" s="36" t="s">
        <v>131</v>
      </c>
      <c r="I162" s="188">
        <v>35200</v>
      </c>
      <c r="J162" s="63" t="s">
        <v>125</v>
      </c>
      <c r="K162" s="148" t="s">
        <v>126</v>
      </c>
      <c r="L162" s="67"/>
      <c r="M162" s="65"/>
      <c r="N162" s="65"/>
      <c r="O162" s="67"/>
    </row>
    <row r="163" s="2" customFormat="1" ht="18" customHeight="1" spans="1:15">
      <c r="A163" s="48"/>
      <c r="B163" s="25">
        <f t="shared" si="17"/>
        <v>0</v>
      </c>
      <c r="C163" s="49"/>
      <c r="D163" s="50"/>
      <c r="E163" s="46"/>
      <c r="F163" s="25">
        <f t="shared" si="18"/>
        <v>0</v>
      </c>
      <c r="G163" s="189"/>
      <c r="H163" s="36" t="s">
        <v>131</v>
      </c>
      <c r="I163" s="188">
        <f>B9*E180</f>
        <v>2400</v>
      </c>
      <c r="J163" s="63" t="s">
        <v>106</v>
      </c>
      <c r="K163" s="148" t="s">
        <v>132</v>
      </c>
      <c r="L163" s="67"/>
      <c r="M163" s="65"/>
      <c r="N163" s="65"/>
      <c r="O163" s="67"/>
    </row>
    <row r="164" s="1" customFormat="1" ht="18" customHeight="1" spans="1:15">
      <c r="A164" s="43"/>
      <c r="B164" s="25">
        <f t="shared" si="17"/>
        <v>0</v>
      </c>
      <c r="C164" s="44"/>
      <c r="D164" s="45"/>
      <c r="E164" s="46"/>
      <c r="F164" s="25">
        <f t="shared" si="18"/>
        <v>0</v>
      </c>
      <c r="G164" s="189"/>
      <c r="H164" s="31" t="s">
        <v>133</v>
      </c>
      <c r="I164" s="188">
        <v>41200</v>
      </c>
      <c r="J164" s="63" t="s">
        <v>125</v>
      </c>
      <c r="K164" s="148" t="s">
        <v>126</v>
      </c>
      <c r="L164" s="60"/>
      <c r="M164" s="61"/>
      <c r="N164" s="61"/>
      <c r="O164" s="60"/>
    </row>
    <row r="165" s="1" customFormat="1" ht="18" customHeight="1" spans="1:15">
      <c r="A165" s="43"/>
      <c r="B165" s="25">
        <f t="shared" si="17"/>
        <v>0</v>
      </c>
      <c r="C165" s="44"/>
      <c r="D165" s="45"/>
      <c r="E165" s="46"/>
      <c r="F165" s="25">
        <f t="shared" si="18"/>
        <v>0</v>
      </c>
      <c r="G165" s="189"/>
      <c r="H165" s="31" t="s">
        <v>133</v>
      </c>
      <c r="I165" s="188">
        <v>2248</v>
      </c>
      <c r="J165" s="63" t="s">
        <v>106</v>
      </c>
      <c r="K165" s="148" t="s">
        <v>160</v>
      </c>
      <c r="L165" s="60"/>
      <c r="M165" s="61"/>
      <c r="N165" s="61"/>
      <c r="O165" s="60"/>
    </row>
    <row r="166" s="1" customFormat="1" ht="18" customHeight="1" spans="1:15">
      <c r="A166" s="43"/>
      <c r="B166" s="25"/>
      <c r="C166" s="44"/>
      <c r="D166" s="45"/>
      <c r="E166" s="46"/>
      <c r="F166" s="25"/>
      <c r="G166" s="189"/>
      <c r="H166" s="36" t="s">
        <v>134</v>
      </c>
      <c r="I166" s="188">
        <v>2782</v>
      </c>
      <c r="J166" s="63" t="s">
        <v>106</v>
      </c>
      <c r="K166" s="148" t="s">
        <v>160</v>
      </c>
      <c r="L166" s="60"/>
      <c r="M166" s="61"/>
      <c r="N166" s="61"/>
      <c r="O166" s="60"/>
    </row>
    <row r="167" s="1" customFormat="1" ht="18" customHeight="1" spans="1:15">
      <c r="A167" s="43"/>
      <c r="B167" s="25">
        <f>ROUND(G167/(1+E167),2)</f>
        <v>0</v>
      </c>
      <c r="C167" s="44"/>
      <c r="D167" s="45"/>
      <c r="E167" s="46"/>
      <c r="F167" s="25">
        <f>ROUND(G167/(1+E167)*E167,2)</f>
        <v>0</v>
      </c>
      <c r="G167" s="189"/>
      <c r="H167" s="36" t="s">
        <v>134</v>
      </c>
      <c r="I167" s="188">
        <v>950</v>
      </c>
      <c r="J167" s="63" t="s">
        <v>106</v>
      </c>
      <c r="K167" s="148" t="s">
        <v>130</v>
      </c>
      <c r="L167" s="60"/>
      <c r="M167" s="61"/>
      <c r="N167" s="61"/>
      <c r="O167" s="60"/>
    </row>
    <row r="168" s="1" customFormat="1" ht="18" customHeight="1" spans="1:15">
      <c r="A168" s="43"/>
      <c r="B168" s="25">
        <f>ROUND(G168/(1+E168),2)</f>
        <v>132850</v>
      </c>
      <c r="C168" s="44"/>
      <c r="D168" s="45"/>
      <c r="E168" s="46"/>
      <c r="F168" s="25">
        <f>ROUND(G168/(1+E168)*E168,2)</f>
        <v>0</v>
      </c>
      <c r="G168" s="189">
        <f>46100+17600+4400+17000+4250+34800+8700</f>
        <v>132850</v>
      </c>
      <c r="H168" s="31"/>
      <c r="I168" s="32">
        <f>G168</f>
        <v>132850</v>
      </c>
      <c r="J168" s="63" t="s">
        <v>106</v>
      </c>
      <c r="K168" s="148" t="s">
        <v>161</v>
      </c>
      <c r="L168" s="60"/>
      <c r="M168" s="61"/>
      <c r="N168" s="61"/>
      <c r="O168" s="60"/>
    </row>
    <row r="169" s="1" customFormat="1" ht="18" customHeight="1" spans="1:15">
      <c r="A169" s="43"/>
      <c r="B169" s="25"/>
      <c r="C169" s="44"/>
      <c r="D169" s="45"/>
      <c r="E169" s="46"/>
      <c r="F169" s="25"/>
      <c r="G169" s="239"/>
      <c r="H169" s="31"/>
      <c r="I169" s="141">
        <v>-3000000</v>
      </c>
      <c r="J169" s="249"/>
      <c r="K169" s="250" t="s">
        <v>162</v>
      </c>
      <c r="L169" s="60"/>
      <c r="M169" s="61"/>
      <c r="N169" s="61"/>
      <c r="O169" s="60"/>
    </row>
    <row r="170" ht="18" customHeight="1" spans="1:15">
      <c r="A170" s="39" t="s">
        <v>22</v>
      </c>
      <c r="B170" s="38">
        <f t="shared" ref="B170:G170" si="19">SUM(B24:B168)</f>
        <v>33868019.4</v>
      </c>
      <c r="C170" s="39"/>
      <c r="D170" s="240"/>
      <c r="E170" s="240"/>
      <c r="F170" s="241">
        <f t="shared" si="19"/>
        <v>1901421.18</v>
      </c>
      <c r="G170" s="242">
        <f t="shared" si="19"/>
        <v>35769440.58</v>
      </c>
      <c r="H170" s="243"/>
      <c r="I170" s="190">
        <f>SUM(I24:I169)</f>
        <v>31737413.4885321</v>
      </c>
      <c r="J170" s="251"/>
      <c r="K170" s="252"/>
      <c r="L170" s="191"/>
      <c r="M170" s="40"/>
      <c r="N170" s="40"/>
      <c r="O170" s="191"/>
    </row>
    <row r="171" ht="18" customHeight="1" spans="1:14">
      <c r="A171" s="99"/>
      <c r="B171" s="100">
        <f>B21*0.92-B170</f>
        <v>-7182801.71859882</v>
      </c>
      <c r="C171" s="99"/>
      <c r="D171" s="244"/>
      <c r="E171" s="244"/>
      <c r="F171" s="100">
        <f>F21-F170</f>
        <v>252793.999316096</v>
      </c>
      <c r="G171" s="100"/>
      <c r="H171" s="30" t="s">
        <v>136</v>
      </c>
      <c r="I171" s="190">
        <f>I21-I170</f>
        <v>2586.51146788895</v>
      </c>
      <c r="J171" s="14"/>
      <c r="K171" s="253"/>
      <c r="M171" s="13"/>
      <c r="N171" s="13"/>
    </row>
    <row r="172" ht="18" customHeight="1" spans="1:3">
      <c r="A172" s="6" t="s">
        <v>137</v>
      </c>
      <c r="C172" s="6"/>
    </row>
    <row r="173" ht="18" customHeight="1" spans="1:17">
      <c r="A173" s="30" t="s">
        <v>138</v>
      </c>
      <c r="B173" s="28" t="s">
        <v>139</v>
      </c>
      <c r="C173" s="191"/>
      <c r="D173" s="30" t="s">
        <v>138</v>
      </c>
      <c r="E173" s="27" t="s">
        <v>15</v>
      </c>
      <c r="F173" s="28" t="s">
        <v>139</v>
      </c>
      <c r="G173" s="28" t="s">
        <v>140</v>
      </c>
      <c r="H173" s="28" t="s">
        <v>141</v>
      </c>
      <c r="I173" s="28" t="s">
        <v>142</v>
      </c>
      <c r="K173" s="28" t="s">
        <v>143</v>
      </c>
      <c r="L173" s="254"/>
      <c r="M173" s="28" t="s">
        <v>144</v>
      </c>
      <c r="N173" s="134" t="s">
        <v>144</v>
      </c>
      <c r="O173" s="255"/>
      <c r="P173" s="242" t="s">
        <v>145</v>
      </c>
      <c r="Q173" s="242" t="s">
        <v>163</v>
      </c>
    </row>
    <row r="174" ht="18" customHeight="1" spans="1:17">
      <c r="A174" s="191" t="s">
        <v>146</v>
      </c>
      <c r="B174" s="25">
        <f>(B21-B170)*0.25</f>
        <v>-1215587.00179316</v>
      </c>
      <c r="C174" s="191"/>
      <c r="D174" s="18" t="s">
        <v>147</v>
      </c>
      <c r="E174" s="40" t="s">
        <v>148</v>
      </c>
      <c r="F174" s="245">
        <f>F21-F170</f>
        <v>252793.999316096</v>
      </c>
      <c r="G174" s="245">
        <f>F7-F24-F26-F29-F30-F33</f>
        <v>-333763.749090909</v>
      </c>
      <c r="H174" s="245">
        <f>F8-F38</f>
        <v>299461.603636364</v>
      </c>
      <c r="I174" s="245">
        <f>F9-F40-F41-F43-F48-F49-F50-F51-F53</f>
        <v>49772.4599999999</v>
      </c>
      <c r="K174" s="245">
        <f>F10-F74-F75-F76-F77-F78</f>
        <v>205457.659816514</v>
      </c>
      <c r="L174" s="254"/>
      <c r="M174" s="245">
        <f>F11-F79-F87-F88-F90</f>
        <v>390316.376330275</v>
      </c>
      <c r="N174" s="134">
        <v>-259385.7</v>
      </c>
      <c r="O174" s="255"/>
      <c r="P174" s="242"/>
      <c r="Q174" s="265"/>
    </row>
    <row r="175" ht="18" customHeight="1" spans="1:17">
      <c r="A175" s="191" t="s">
        <v>149</v>
      </c>
      <c r="B175" s="21" t="s">
        <v>150</v>
      </c>
      <c r="C175" s="191"/>
      <c r="D175" s="246" t="s">
        <v>151</v>
      </c>
      <c r="E175" s="22">
        <v>0.05</v>
      </c>
      <c r="F175" s="32">
        <f>F174*E175</f>
        <v>12639.6999658048</v>
      </c>
      <c r="G175" s="32">
        <v>0</v>
      </c>
      <c r="H175" s="32">
        <v>0</v>
      </c>
      <c r="I175" s="32">
        <v>0</v>
      </c>
      <c r="K175" s="32">
        <f>K174*E175</f>
        <v>10272.8829908257</v>
      </c>
      <c r="L175" s="254"/>
      <c r="M175" s="32">
        <f>M174*E175</f>
        <v>19515.8188165138</v>
      </c>
      <c r="N175" s="134">
        <f>N174*E175</f>
        <v>-12969.285</v>
      </c>
      <c r="O175" s="255"/>
      <c r="P175" s="242"/>
      <c r="Q175" s="265"/>
    </row>
    <row r="176" ht="18" customHeight="1" spans="1:17">
      <c r="A176" s="191" t="s">
        <v>123</v>
      </c>
      <c r="B176" s="247">
        <f>B21*0.0006</f>
        <v>17403.4028356964</v>
      </c>
      <c r="C176" s="191"/>
      <c r="D176" s="246" t="s">
        <v>152</v>
      </c>
      <c r="E176" s="22">
        <v>0.03</v>
      </c>
      <c r="F176" s="32">
        <f>F174*E176</f>
        <v>7583.81997948289</v>
      </c>
      <c r="G176" s="32">
        <v>0</v>
      </c>
      <c r="H176" s="32">
        <v>0</v>
      </c>
      <c r="I176" s="32">
        <v>0</v>
      </c>
      <c r="K176" s="32">
        <f>K174*E176</f>
        <v>6163.72979449541</v>
      </c>
      <c r="L176" s="254"/>
      <c r="M176" s="32">
        <f>M174*E176</f>
        <v>11709.4912899083</v>
      </c>
      <c r="N176" s="134">
        <f>N174*E176</f>
        <v>-7781.571</v>
      </c>
      <c r="O176" s="255"/>
      <c r="P176" s="242"/>
      <c r="Q176" s="265"/>
    </row>
    <row r="177" ht="18" customHeight="1" spans="1:17">
      <c r="A177" s="191"/>
      <c r="B177" s="32"/>
      <c r="C177" s="191"/>
      <c r="D177" s="246" t="s">
        <v>153</v>
      </c>
      <c r="E177" s="22">
        <v>0.02</v>
      </c>
      <c r="F177" s="32">
        <f>F174*E177</f>
        <v>5055.87998632193</v>
      </c>
      <c r="G177" s="32">
        <v>0</v>
      </c>
      <c r="H177" s="32">
        <v>0</v>
      </c>
      <c r="I177" s="32">
        <v>0</v>
      </c>
      <c r="K177" s="32">
        <f>K174*E177</f>
        <v>4109.15319633028</v>
      </c>
      <c r="L177" s="254"/>
      <c r="M177" s="32">
        <f>M174*E177</f>
        <v>7806.32752660551</v>
      </c>
      <c r="N177" s="134">
        <f>N174*E177</f>
        <v>-5187.714</v>
      </c>
      <c r="O177" s="255"/>
      <c r="P177" s="242"/>
      <c r="Q177" s="265"/>
    </row>
    <row r="178" ht="18" customHeight="1" spans="1:17">
      <c r="A178" s="37" t="s">
        <v>154</v>
      </c>
      <c r="B178" s="38">
        <f>SUM(B174:B177)</f>
        <v>-1198183.59895746</v>
      </c>
      <c r="C178" s="191"/>
      <c r="D178" s="37" t="s">
        <v>154</v>
      </c>
      <c r="E178" s="37"/>
      <c r="F178" s="241">
        <f>SUM(F174:F177)</f>
        <v>278073.399247706</v>
      </c>
      <c r="G178" s="241">
        <v>0</v>
      </c>
      <c r="H178" s="241">
        <v>0</v>
      </c>
      <c r="I178" s="241">
        <v>0</v>
      </c>
      <c r="K178" s="241">
        <f t="shared" ref="K178:N178" si="20">SUM(K174:K177)</f>
        <v>226003.425798165</v>
      </c>
      <c r="L178" s="254"/>
      <c r="M178" s="241">
        <f t="shared" si="20"/>
        <v>429348.013963303</v>
      </c>
      <c r="N178" s="134">
        <f t="shared" si="20"/>
        <v>-285324.27</v>
      </c>
      <c r="O178" s="255"/>
      <c r="P178" s="242"/>
      <c r="Q178" s="265"/>
    </row>
    <row r="179" ht="18" customHeight="1" spans="3:17">
      <c r="C179" s="6"/>
      <c r="D179" s="20" t="s">
        <v>149</v>
      </c>
      <c r="E179" s="248">
        <v>0.0003</v>
      </c>
      <c r="F179" s="32">
        <v>0</v>
      </c>
      <c r="G179" s="32"/>
      <c r="H179" s="32"/>
      <c r="I179" s="32">
        <v>0</v>
      </c>
      <c r="K179" s="32"/>
      <c r="M179" s="32"/>
      <c r="N179" s="134"/>
      <c r="O179" s="255"/>
      <c r="P179" s="242"/>
      <c r="Q179" s="265"/>
    </row>
    <row r="180" ht="18" customHeight="1" spans="3:17">
      <c r="C180" s="6"/>
      <c r="D180" s="20" t="s">
        <v>123</v>
      </c>
      <c r="E180" s="248">
        <v>0.0006</v>
      </c>
      <c r="F180" s="32">
        <f>B21*E180</f>
        <v>17403.4028356964</v>
      </c>
      <c r="G180" s="32">
        <f>B7*E180</f>
        <v>2781.81818181818</v>
      </c>
      <c r="H180" s="32">
        <f>B8*E180</f>
        <v>2247.27272727273</v>
      </c>
      <c r="I180" s="32">
        <f>B9*E180</f>
        <v>2400</v>
      </c>
      <c r="K180" s="32">
        <f>B10*E180</f>
        <v>2339.4495412844</v>
      </c>
      <c r="L180" s="254"/>
      <c r="M180" s="32">
        <f>B11*E180</f>
        <v>4788.99082568807</v>
      </c>
      <c r="N180" s="134"/>
      <c r="O180" s="255"/>
      <c r="P180" s="242">
        <v>853.21</v>
      </c>
      <c r="Q180" s="265">
        <f>E180*B13</f>
        <v>1992.66055045872</v>
      </c>
    </row>
    <row r="181" ht="18" customHeight="1" spans="3:17">
      <c r="C181" s="6"/>
      <c r="D181" s="39" t="s">
        <v>22</v>
      </c>
      <c r="E181" s="39"/>
      <c r="F181" s="190">
        <f>F178+F179+F180</f>
        <v>295476.802083402</v>
      </c>
      <c r="G181" s="190"/>
      <c r="H181" s="190"/>
      <c r="I181" s="190"/>
      <c r="K181" s="190"/>
      <c r="M181" s="191">
        <f>M178+M180</f>
        <v>434137.004788991</v>
      </c>
      <c r="N181" s="134"/>
      <c r="O181" s="255"/>
      <c r="P181" s="242"/>
      <c r="Q181" s="265"/>
    </row>
    <row r="182" ht="18" customHeight="1" spans="3:17">
      <c r="C182" s="6"/>
      <c r="D182" s="20" t="s">
        <v>121</v>
      </c>
      <c r="E182" s="248">
        <v>0.02</v>
      </c>
      <c r="F182" s="32">
        <f>B21*E182</f>
        <v>580113.427856547</v>
      </c>
      <c r="G182" s="32"/>
      <c r="H182" s="32"/>
      <c r="I182" s="32"/>
      <c r="K182" s="190"/>
      <c r="M182" s="32">
        <f>(SUM(B7:B11))*E182</f>
        <v>485251.042535446</v>
      </c>
      <c r="N182" s="134"/>
      <c r="O182" s="255"/>
      <c r="P182" s="242">
        <f>B12*0.02</f>
        <v>28440.3669724771</v>
      </c>
      <c r="Q182" s="265">
        <f>G13*E182</f>
        <v>72400</v>
      </c>
    </row>
    <row r="183" ht="18" customHeight="1" spans="3:3">
      <c r="C183" s="6"/>
    </row>
    <row r="184" ht="18" customHeight="1" spans="3:3">
      <c r="C184" s="6"/>
    </row>
    <row r="185" ht="18" customHeight="1" spans="3:3">
      <c r="C185" s="6"/>
    </row>
    <row r="186" spans="3:3">
      <c r="C186" s="6"/>
    </row>
    <row r="187" spans="3:3">
      <c r="C187" s="6"/>
    </row>
    <row r="188" spans="3:3">
      <c r="C188" s="6"/>
    </row>
    <row r="189" spans="3:3">
      <c r="C189" s="6"/>
    </row>
    <row r="190" spans="3:3">
      <c r="C190" s="6"/>
    </row>
    <row r="191" spans="3:3">
      <c r="C191" s="6"/>
    </row>
    <row r="192" spans="3:3">
      <c r="C192" s="6"/>
    </row>
    <row r="193" spans="3:3">
      <c r="C193" s="6"/>
    </row>
    <row r="194" spans="3:3">
      <c r="C194" s="6"/>
    </row>
    <row r="195" spans="3:3">
      <c r="C195" s="6"/>
    </row>
    <row r="196" spans="3:3">
      <c r="C196" s="6"/>
    </row>
    <row r="197" spans="3:3">
      <c r="C197" s="6"/>
    </row>
    <row r="198" spans="3:3">
      <c r="C198" s="6"/>
    </row>
    <row r="199" spans="3:3">
      <c r="C199" s="6"/>
    </row>
    <row r="200" spans="3:3">
      <c r="C200" s="6"/>
    </row>
    <row r="201" spans="3:3">
      <c r="C201" s="6"/>
    </row>
  </sheetData>
  <autoFilter ref="A23:Q182">
    <extLst/>
  </autoFilter>
  <mergeCells count="18">
    <mergeCell ref="A1:J1"/>
    <mergeCell ref="H2:J2"/>
    <mergeCell ref="C5:D5"/>
    <mergeCell ref="E5:F5"/>
    <mergeCell ref="H5:J5"/>
    <mergeCell ref="N173:O173"/>
    <mergeCell ref="N174:O174"/>
    <mergeCell ref="N175:O175"/>
    <mergeCell ref="N176:O176"/>
    <mergeCell ref="N177:O177"/>
    <mergeCell ref="N178:O178"/>
    <mergeCell ref="N179:O179"/>
    <mergeCell ref="N180:O180"/>
    <mergeCell ref="N181:O181"/>
    <mergeCell ref="N182:O182"/>
    <mergeCell ref="A5:A6"/>
    <mergeCell ref="B5:B6"/>
    <mergeCell ref="G5:G6"/>
  </mergeCells>
  <pageMargins left="0.75" right="0.75" top="1" bottom="1" header="0.5" footer="0.5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3"/>
  <sheetViews>
    <sheetView topLeftCell="A163" workbookViewId="0">
      <selection activeCell="B186" sqref="B186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 t="s">
        <v>172</v>
      </c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/>
      <c r="B14" s="32">
        <f t="shared" si="0"/>
        <v>0</v>
      </c>
      <c r="C14" s="33"/>
      <c r="D14" s="188">
        <f t="shared" si="1"/>
        <v>0</v>
      </c>
      <c r="E14" s="33"/>
      <c r="F14" s="32">
        <f t="shared" si="2"/>
        <v>0</v>
      </c>
      <c r="G14" s="189"/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>
        <f>G20/(1+C20+E20)</f>
        <v>0</v>
      </c>
      <c r="C20" s="33"/>
      <c r="D20" s="188">
        <f>G20/(1+E20+C20)*C20</f>
        <v>0</v>
      </c>
      <c r="E20" s="33"/>
      <c r="F20" s="32">
        <f>G20/(1+C20+E20)*E20</f>
        <v>0</v>
      </c>
      <c r="G20" s="189"/>
      <c r="H20" s="14"/>
      <c r="I20" s="14"/>
      <c r="J20" s="40"/>
    </row>
    <row r="21" ht="18" customHeight="1" spans="1:10">
      <c r="A21" s="37" t="s">
        <v>22</v>
      </c>
      <c r="B21" s="38">
        <f t="shared" ref="B21:G21" si="3">SUM(B7:B20)</f>
        <v>29005671.3928274</v>
      </c>
      <c r="C21" s="39"/>
      <c r="D21" s="190">
        <f t="shared" si="3"/>
        <v>580113.427856547</v>
      </c>
      <c r="E21" s="39"/>
      <c r="F21" s="190">
        <f t="shared" si="3"/>
        <v>2154215.1793161</v>
      </c>
      <c r="G21" s="190">
        <f t="shared" si="3"/>
        <v>31740000</v>
      </c>
      <c r="H21" s="191"/>
      <c r="I21" s="190">
        <f>SUM(I7:I19)</f>
        <v>31740000</v>
      </c>
      <c r="J21" s="191"/>
    </row>
    <row r="22" ht="18" customHeight="1" spans="1:12">
      <c r="A22" s="6" t="s">
        <v>23</v>
      </c>
      <c r="J22" s="8"/>
      <c r="K22" s="8"/>
      <c r="L22" s="186"/>
    </row>
    <row r="23" ht="18" customHeight="1" spans="1:15">
      <c r="A23" s="41" t="s">
        <v>24</v>
      </c>
      <c r="B23" s="28" t="s">
        <v>25</v>
      </c>
      <c r="C23" s="27" t="s">
        <v>26</v>
      </c>
      <c r="D23" s="27" t="s">
        <v>27</v>
      </c>
      <c r="E23" s="27" t="s">
        <v>15</v>
      </c>
      <c r="F23" s="28" t="s">
        <v>28</v>
      </c>
      <c r="G23" s="28" t="s">
        <v>13</v>
      </c>
      <c r="H23" s="27" t="s">
        <v>29</v>
      </c>
      <c r="I23" s="28" t="s">
        <v>30</v>
      </c>
      <c r="J23" s="27" t="s">
        <v>19</v>
      </c>
      <c r="K23" s="54" t="s">
        <v>31</v>
      </c>
      <c r="L23" s="30" t="s">
        <v>32</v>
      </c>
      <c r="M23" s="30" t="s">
        <v>33</v>
      </c>
      <c r="N23" s="30" t="s">
        <v>34</v>
      </c>
      <c r="O23" s="30" t="s">
        <v>35</v>
      </c>
    </row>
    <row r="24" s="1" customFormat="1" ht="18" customHeight="1" spans="1:15">
      <c r="A24" s="43">
        <v>43070</v>
      </c>
      <c r="B24" s="25">
        <f t="shared" ref="B24:B87" si="4">ROUND(G24/(1+E24),2)</f>
        <v>2830.19</v>
      </c>
      <c r="C24" s="44"/>
      <c r="D24" s="45" t="s">
        <v>36</v>
      </c>
      <c r="E24" s="46">
        <v>0.06</v>
      </c>
      <c r="F24" s="25">
        <f t="shared" ref="F24:F87" si="5">ROUND(G24/(1+E24)*E24,2)</f>
        <v>169.81</v>
      </c>
      <c r="G24" s="189">
        <v>3000</v>
      </c>
      <c r="H24" s="31"/>
      <c r="I24" s="32"/>
      <c r="J24" s="40"/>
      <c r="K24" s="147" t="s">
        <v>37</v>
      </c>
      <c r="L24" s="60" t="s">
        <v>38</v>
      </c>
      <c r="M24" s="61"/>
      <c r="N24" s="61"/>
      <c r="O24" s="60"/>
    </row>
    <row r="25" s="1" customFormat="1" ht="18" customHeight="1" spans="1:15">
      <c r="A25" s="43">
        <v>43071</v>
      </c>
      <c r="B25" s="25">
        <f t="shared" si="4"/>
        <v>3000</v>
      </c>
      <c r="C25" s="44"/>
      <c r="D25" s="45" t="s">
        <v>39</v>
      </c>
      <c r="E25" s="46"/>
      <c r="F25" s="25">
        <f t="shared" si="5"/>
        <v>0</v>
      </c>
      <c r="G25" s="189">
        <v>3000</v>
      </c>
      <c r="H25" s="31"/>
      <c r="I25" s="32"/>
      <c r="J25" s="40"/>
      <c r="K25" s="147"/>
      <c r="L25" s="60" t="s">
        <v>38</v>
      </c>
      <c r="M25" s="61"/>
      <c r="N25" s="61"/>
      <c r="O25" s="60"/>
    </row>
    <row r="26" s="1" customFormat="1" ht="18" customHeight="1" spans="1:15">
      <c r="A26" s="43">
        <v>43072</v>
      </c>
      <c r="B26" s="25">
        <f t="shared" si="4"/>
        <v>12824.53</v>
      </c>
      <c r="C26" s="44"/>
      <c r="D26" s="45" t="s">
        <v>36</v>
      </c>
      <c r="E26" s="46">
        <v>0.06</v>
      </c>
      <c r="F26" s="25">
        <f t="shared" si="5"/>
        <v>769.47</v>
      </c>
      <c r="G26" s="189">
        <v>13594</v>
      </c>
      <c r="H26" s="31"/>
      <c r="I26" s="32"/>
      <c r="J26" s="40"/>
      <c r="K26" s="147" t="s">
        <v>40</v>
      </c>
      <c r="L26" s="60" t="s">
        <v>41</v>
      </c>
      <c r="M26" s="61"/>
      <c r="N26" s="61"/>
      <c r="O26" s="60"/>
    </row>
    <row r="27" s="1" customFormat="1" ht="18" customHeight="1" spans="1:15">
      <c r="A27" s="43">
        <v>43073</v>
      </c>
      <c r="B27" s="25">
        <f t="shared" si="4"/>
        <v>1206</v>
      </c>
      <c r="C27" s="44"/>
      <c r="D27" s="45" t="s">
        <v>39</v>
      </c>
      <c r="E27" s="46"/>
      <c r="F27" s="25">
        <f t="shared" si="5"/>
        <v>0</v>
      </c>
      <c r="G27" s="189">
        <v>1206</v>
      </c>
      <c r="H27" s="31"/>
      <c r="I27" s="32"/>
      <c r="J27" s="40"/>
      <c r="K27" s="147"/>
      <c r="L27" s="60" t="s">
        <v>42</v>
      </c>
      <c r="M27" s="61"/>
      <c r="N27" s="61"/>
      <c r="O27" s="60"/>
    </row>
    <row r="28" s="1" customFormat="1" ht="18" customHeight="1" spans="1:15">
      <c r="A28" s="43">
        <v>43074</v>
      </c>
      <c r="B28" s="25">
        <f t="shared" si="4"/>
        <v>13191.34</v>
      </c>
      <c r="C28" s="44"/>
      <c r="D28" s="45" t="s">
        <v>39</v>
      </c>
      <c r="E28" s="46"/>
      <c r="F28" s="25">
        <f t="shared" si="5"/>
        <v>0</v>
      </c>
      <c r="G28" s="189">
        <v>13191.34</v>
      </c>
      <c r="H28" s="31"/>
      <c r="I28" s="32"/>
      <c r="J28" s="40"/>
      <c r="K28" s="147"/>
      <c r="L28" s="60" t="s">
        <v>43</v>
      </c>
      <c r="M28" s="61"/>
      <c r="N28" s="61"/>
      <c r="O28" s="60"/>
    </row>
    <row r="29" s="1" customFormat="1" ht="18" customHeight="1" spans="1:15">
      <c r="A29" s="43">
        <v>43149</v>
      </c>
      <c r="B29" s="25">
        <f t="shared" si="4"/>
        <v>1924.53</v>
      </c>
      <c r="C29" s="44"/>
      <c r="D29" s="45" t="s">
        <v>36</v>
      </c>
      <c r="E29" s="46">
        <v>0.06</v>
      </c>
      <c r="F29" s="25">
        <f t="shared" si="5"/>
        <v>115.47</v>
      </c>
      <c r="G29" s="189">
        <v>2040</v>
      </c>
      <c r="H29" s="31"/>
      <c r="I29" s="32"/>
      <c r="J29" s="40"/>
      <c r="K29" s="147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43177</v>
      </c>
      <c r="B30" s="25">
        <f t="shared" si="4"/>
        <v>2830.19</v>
      </c>
      <c r="C30" s="44"/>
      <c r="D30" s="45" t="s">
        <v>36</v>
      </c>
      <c r="E30" s="46">
        <v>0.06</v>
      </c>
      <c r="F30" s="25">
        <f t="shared" si="5"/>
        <v>169.81</v>
      </c>
      <c r="G30" s="189">
        <v>3000</v>
      </c>
      <c r="H30" s="31"/>
      <c r="I30" s="32"/>
      <c r="J30" s="40"/>
      <c r="K30" s="147" t="s">
        <v>44</v>
      </c>
      <c r="L30" s="60" t="s">
        <v>45</v>
      </c>
      <c r="M30" s="61"/>
      <c r="N30" s="61"/>
      <c r="O30" s="60"/>
    </row>
    <row r="31" s="1" customFormat="1" ht="18" customHeight="1" spans="1:15">
      <c r="A31" s="43">
        <v>43178</v>
      </c>
      <c r="B31" s="25">
        <f t="shared" si="4"/>
        <v>12529.12</v>
      </c>
      <c r="C31" s="44"/>
      <c r="D31" s="45" t="s">
        <v>39</v>
      </c>
      <c r="E31" s="46"/>
      <c r="F31" s="25">
        <f t="shared" si="5"/>
        <v>0</v>
      </c>
      <c r="G31" s="189">
        <v>12529.12</v>
      </c>
      <c r="H31" s="31"/>
      <c r="I31" s="32"/>
      <c r="J31" s="40"/>
      <c r="K31" s="147"/>
      <c r="L31" s="60" t="s">
        <v>46</v>
      </c>
      <c r="M31" s="61"/>
      <c r="N31" s="61"/>
      <c r="O31" s="60"/>
    </row>
    <row r="32" s="1" customFormat="1" ht="18" customHeight="1" spans="1:15">
      <c r="A32" s="43">
        <v>43177</v>
      </c>
      <c r="B32" s="25">
        <f t="shared" si="4"/>
        <v>7575</v>
      </c>
      <c r="C32" s="44"/>
      <c r="D32" s="45" t="s">
        <v>39</v>
      </c>
      <c r="E32" s="46"/>
      <c r="F32" s="25">
        <f t="shared" si="5"/>
        <v>0</v>
      </c>
      <c r="G32" s="189">
        <v>7575</v>
      </c>
      <c r="H32" s="31"/>
      <c r="I32" s="32"/>
      <c r="J32" s="40"/>
      <c r="K32" s="147"/>
      <c r="L32" s="60" t="s">
        <v>46</v>
      </c>
      <c r="M32" s="61"/>
      <c r="N32" s="61"/>
      <c r="O32" s="60"/>
    </row>
    <row r="33" s="1" customFormat="1" ht="18" customHeight="1" spans="1:15">
      <c r="A33" s="43">
        <v>43238</v>
      </c>
      <c r="B33" s="25">
        <f t="shared" si="4"/>
        <v>4396551.72</v>
      </c>
      <c r="C33" s="44"/>
      <c r="D33" s="45" t="s">
        <v>36</v>
      </c>
      <c r="E33" s="46">
        <v>0.16</v>
      </c>
      <c r="F33" s="25">
        <f t="shared" si="5"/>
        <v>703448.28</v>
      </c>
      <c r="G33" s="189">
        <v>5100000</v>
      </c>
      <c r="H33" s="31">
        <v>43251</v>
      </c>
      <c r="I33" s="32">
        <v>2500000</v>
      </c>
      <c r="J33" s="40" t="s">
        <v>20</v>
      </c>
      <c r="K33" s="147" t="s">
        <v>47</v>
      </c>
      <c r="L33" s="60" t="s">
        <v>48</v>
      </c>
      <c r="M33" s="61"/>
      <c r="N33" s="61"/>
      <c r="O33" s="60"/>
    </row>
    <row r="34" s="1" customFormat="1" ht="18" customHeight="1" spans="1:15">
      <c r="A34" s="43"/>
      <c r="B34" s="25">
        <f t="shared" si="4"/>
        <v>0</v>
      </c>
      <c r="C34" s="44"/>
      <c r="D34" s="45"/>
      <c r="E34" s="46"/>
      <c r="F34" s="25">
        <f t="shared" si="5"/>
        <v>0</v>
      </c>
      <c r="G34" s="189"/>
      <c r="H34" s="31" t="s">
        <v>49</v>
      </c>
      <c r="I34" s="32">
        <v>2530768</v>
      </c>
      <c r="J34" s="40" t="s">
        <v>20</v>
      </c>
      <c r="K34" s="147" t="s">
        <v>47</v>
      </c>
      <c r="L34" s="60"/>
      <c r="M34" s="61"/>
      <c r="N34" s="61"/>
      <c r="O34" s="60"/>
    </row>
    <row r="35" s="1" customFormat="1" ht="18" customHeight="1" spans="1:15">
      <c r="A35" s="43"/>
      <c r="B35" s="25">
        <f t="shared" si="4"/>
        <v>0</v>
      </c>
      <c r="C35" s="44"/>
      <c r="D35" s="45"/>
      <c r="E35" s="46"/>
      <c r="F35" s="25">
        <f t="shared" si="5"/>
        <v>0</v>
      </c>
      <c r="G35" s="189"/>
      <c r="H35" s="31" t="s">
        <v>49</v>
      </c>
      <c r="I35" s="32">
        <v>69232</v>
      </c>
      <c r="J35" s="40" t="s">
        <v>20</v>
      </c>
      <c r="K35" s="147" t="s">
        <v>47</v>
      </c>
      <c r="L35" s="60"/>
      <c r="M35" s="61"/>
      <c r="N35" s="61"/>
      <c r="O35" s="60"/>
    </row>
    <row r="36" s="1" customFormat="1" ht="18" customHeight="1" spans="1:15">
      <c r="A36" s="43"/>
      <c r="B36" s="25">
        <f t="shared" si="4"/>
        <v>0</v>
      </c>
      <c r="C36" s="44"/>
      <c r="D36" s="45"/>
      <c r="E36" s="46"/>
      <c r="F36" s="25">
        <f t="shared" si="5"/>
        <v>0</v>
      </c>
      <c r="G36" s="189"/>
      <c r="H36" s="31">
        <v>43252</v>
      </c>
      <c r="I36" s="32">
        <v>-29323</v>
      </c>
      <c r="J36" s="40" t="s">
        <v>21</v>
      </c>
      <c r="K36" s="147" t="s">
        <v>50</v>
      </c>
      <c r="L36" s="60"/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>
        <v>43255</v>
      </c>
      <c r="I37" s="32">
        <v>-39909</v>
      </c>
      <c r="J37" s="40" t="s">
        <v>21</v>
      </c>
      <c r="K37" s="147" t="s">
        <v>50</v>
      </c>
      <c r="L37" s="60"/>
      <c r="M37" s="61"/>
      <c r="N37" s="61"/>
      <c r="O37" s="60"/>
    </row>
    <row r="38" s="1" customFormat="1" ht="18" customHeight="1" spans="1:15">
      <c r="A38" s="43">
        <v>43269</v>
      </c>
      <c r="B38" s="25">
        <f t="shared" si="4"/>
        <v>5825.24</v>
      </c>
      <c r="C38" s="44"/>
      <c r="D38" s="45" t="s">
        <v>36</v>
      </c>
      <c r="E38" s="46">
        <v>0.03</v>
      </c>
      <c r="F38" s="25">
        <f t="shared" si="5"/>
        <v>174.76</v>
      </c>
      <c r="G38" s="189">
        <v>6000</v>
      </c>
      <c r="H38" s="31">
        <v>43264</v>
      </c>
      <c r="I38" s="32">
        <v>6000</v>
      </c>
      <c r="J38" s="40" t="s">
        <v>20</v>
      </c>
      <c r="K38" s="147" t="s">
        <v>51</v>
      </c>
      <c r="L38" s="60" t="s">
        <v>52</v>
      </c>
      <c r="M38" s="61"/>
      <c r="N38" s="61"/>
      <c r="O38" s="60"/>
    </row>
    <row r="39" s="1" customFormat="1" ht="18" customHeight="1" spans="1:15">
      <c r="A39" s="43"/>
      <c r="B39" s="25">
        <f t="shared" si="4"/>
        <v>0</v>
      </c>
      <c r="C39" s="44"/>
      <c r="D39" s="45"/>
      <c r="E39" s="46"/>
      <c r="F39" s="25">
        <f t="shared" si="5"/>
        <v>0</v>
      </c>
      <c r="G39" s="189"/>
      <c r="H39" s="31">
        <v>43263</v>
      </c>
      <c r="I39" s="32">
        <v>-6000</v>
      </c>
      <c r="J39" s="40" t="s">
        <v>21</v>
      </c>
      <c r="K39" s="147" t="s">
        <v>50</v>
      </c>
      <c r="L39" s="60"/>
      <c r="M39" s="61"/>
      <c r="N39" s="61"/>
      <c r="O39" s="60"/>
    </row>
    <row r="40" s="2" customFormat="1" ht="18" customHeight="1" spans="1:15">
      <c r="A40" s="48">
        <v>43335</v>
      </c>
      <c r="B40" s="25">
        <f t="shared" si="4"/>
        <v>4000000</v>
      </c>
      <c r="C40" s="49"/>
      <c r="D40" s="50" t="s">
        <v>36</v>
      </c>
      <c r="E40" s="46">
        <v>0.03</v>
      </c>
      <c r="F40" s="25">
        <f t="shared" si="5"/>
        <v>120000</v>
      </c>
      <c r="G40" s="189">
        <v>4120000</v>
      </c>
      <c r="H40" s="36">
        <v>43335</v>
      </c>
      <c r="I40" s="188">
        <v>2000000</v>
      </c>
      <c r="J40" s="63" t="s">
        <v>20</v>
      </c>
      <c r="K40" s="148" t="s">
        <v>53</v>
      </c>
      <c r="L40" s="67" t="s">
        <v>54</v>
      </c>
      <c r="M40" s="65"/>
      <c r="N40" s="65"/>
      <c r="O40" s="67"/>
    </row>
    <row r="41" s="2" customFormat="1" ht="18" customHeight="1" spans="1:15">
      <c r="A41" s="48"/>
      <c r="B41" s="25">
        <f t="shared" si="4"/>
        <v>1344.34</v>
      </c>
      <c r="C41" s="49">
        <v>3</v>
      </c>
      <c r="D41" s="50" t="s">
        <v>36</v>
      </c>
      <c r="E41" s="46">
        <v>0.06</v>
      </c>
      <c r="F41" s="25">
        <f t="shared" si="5"/>
        <v>80.66</v>
      </c>
      <c r="G41" s="189">
        <f>285+690+450</f>
        <v>1425</v>
      </c>
      <c r="H41" s="36"/>
      <c r="I41" s="188"/>
      <c r="J41" s="63"/>
      <c r="K41" s="148" t="s">
        <v>55</v>
      </c>
      <c r="L41" s="67" t="s">
        <v>41</v>
      </c>
      <c r="M41" s="65"/>
      <c r="N41" s="65"/>
      <c r="O41" s="68">
        <v>43335</v>
      </c>
    </row>
    <row r="42" s="2" customFormat="1" ht="18" customHeight="1" spans="1:15">
      <c r="A42" s="48"/>
      <c r="B42" s="25">
        <f t="shared" si="4"/>
        <v>6510</v>
      </c>
      <c r="C42" s="49"/>
      <c r="D42" s="50" t="s">
        <v>39</v>
      </c>
      <c r="E42" s="46"/>
      <c r="F42" s="25">
        <f t="shared" si="5"/>
        <v>0</v>
      </c>
      <c r="G42" s="189">
        <v>6510</v>
      </c>
      <c r="H42" s="36"/>
      <c r="I42" s="188"/>
      <c r="J42" s="63"/>
      <c r="K42" s="148" t="s">
        <v>56</v>
      </c>
      <c r="L42" s="67" t="s">
        <v>57</v>
      </c>
      <c r="M42" s="65"/>
      <c r="N42" s="65"/>
      <c r="O42" s="68">
        <v>43335</v>
      </c>
    </row>
    <row r="43" s="2" customFormat="1" ht="18" customHeight="1" spans="1:15">
      <c r="A43" s="48"/>
      <c r="B43" s="25">
        <f t="shared" si="4"/>
        <v>11436.89</v>
      </c>
      <c r="C43" s="49">
        <v>2</v>
      </c>
      <c r="D43" s="50" t="s">
        <v>36</v>
      </c>
      <c r="E43" s="46">
        <v>0.03</v>
      </c>
      <c r="F43" s="25">
        <f t="shared" si="5"/>
        <v>343.11</v>
      </c>
      <c r="G43" s="189">
        <f>7740+4040</f>
        <v>11780</v>
      </c>
      <c r="H43" s="36"/>
      <c r="I43" s="188"/>
      <c r="J43" s="63"/>
      <c r="K43" s="148" t="s">
        <v>58</v>
      </c>
      <c r="L43" s="67" t="s">
        <v>59</v>
      </c>
      <c r="M43" s="65"/>
      <c r="N43" s="65"/>
      <c r="O43" s="68">
        <v>43335</v>
      </c>
    </row>
    <row r="44" s="2" customFormat="1" ht="18" customHeight="1" spans="1:15">
      <c r="A44" s="48"/>
      <c r="B44" s="25">
        <f t="shared" si="4"/>
        <v>1800</v>
      </c>
      <c r="C44" s="49"/>
      <c r="D44" s="50" t="s">
        <v>39</v>
      </c>
      <c r="E44" s="46"/>
      <c r="F44" s="25">
        <f t="shared" si="5"/>
        <v>0</v>
      </c>
      <c r="G44" s="189">
        <v>1800</v>
      </c>
      <c r="H44" s="36"/>
      <c r="I44" s="188"/>
      <c r="J44" s="63"/>
      <c r="K44" s="148" t="s">
        <v>56</v>
      </c>
      <c r="L44" s="67" t="s">
        <v>60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26788.86</v>
      </c>
      <c r="C45" s="49"/>
      <c r="D45" s="50" t="s">
        <v>61</v>
      </c>
      <c r="E45" s="46"/>
      <c r="F45" s="25">
        <f t="shared" si="5"/>
        <v>0</v>
      </c>
      <c r="G45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5" s="36"/>
      <c r="I45" s="188"/>
      <c r="J45" s="63"/>
      <c r="K45" s="148" t="s">
        <v>62</v>
      </c>
      <c r="L45" s="67" t="s">
        <v>63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4"/>
        <v>4285.5</v>
      </c>
      <c r="C46" s="49"/>
      <c r="D46" s="50" t="s">
        <v>61</v>
      </c>
      <c r="E46" s="46"/>
      <c r="F46" s="25">
        <f t="shared" si="5"/>
        <v>0</v>
      </c>
      <c r="G46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6" s="36"/>
      <c r="I46" s="188"/>
      <c r="J46" s="63"/>
      <c r="K46" s="148" t="s">
        <v>62</v>
      </c>
      <c r="L46" s="67" t="s">
        <v>63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4"/>
        <v>9856.03</v>
      </c>
      <c r="C47" s="49"/>
      <c r="D47" s="50" t="s">
        <v>39</v>
      </c>
      <c r="E47" s="46"/>
      <c r="F47" s="25">
        <f t="shared" si="5"/>
        <v>0</v>
      </c>
      <c r="G47" s="189">
        <f>200.03+500+400+286+300+410+910+405+530+300+500+230+280+295+285+400+380+405+200+200+400+425+405+300+310+300+300</f>
        <v>9856.03</v>
      </c>
      <c r="H47" s="36"/>
      <c r="I47" s="188"/>
      <c r="J47" s="63"/>
      <c r="K47" s="148" t="s">
        <v>64</v>
      </c>
      <c r="L47" s="67" t="s">
        <v>43</v>
      </c>
      <c r="M47" s="65"/>
      <c r="N47" s="65"/>
      <c r="O47" s="68">
        <v>43335</v>
      </c>
    </row>
    <row r="48" s="2" customFormat="1" ht="18" customHeight="1" spans="1:15">
      <c r="A48" s="48">
        <v>43435</v>
      </c>
      <c r="B48" s="25">
        <f t="shared" si="4"/>
        <v>53286.79</v>
      </c>
      <c r="C48" s="49"/>
      <c r="D48" s="50" t="s">
        <v>36</v>
      </c>
      <c r="E48" s="46">
        <v>0.06</v>
      </c>
      <c r="F48" s="25">
        <f t="shared" si="5"/>
        <v>3197.21</v>
      </c>
      <c r="G48" s="189">
        <v>56484</v>
      </c>
      <c r="H48" s="36"/>
      <c r="I48" s="188"/>
      <c r="J48" s="63"/>
      <c r="K48" s="148" t="s">
        <v>65</v>
      </c>
      <c r="L48" s="67" t="s">
        <v>66</v>
      </c>
      <c r="M48" s="65"/>
      <c r="N48" s="65"/>
      <c r="O48" s="67"/>
    </row>
    <row r="49" s="2" customFormat="1" ht="18" customHeight="1" spans="1:15">
      <c r="A49" s="48">
        <v>43435</v>
      </c>
      <c r="B49" s="25">
        <f t="shared" si="4"/>
        <v>5825.24</v>
      </c>
      <c r="C49" s="49"/>
      <c r="D49" s="50" t="s">
        <v>36</v>
      </c>
      <c r="E49" s="46">
        <v>0.03</v>
      </c>
      <c r="F49" s="25">
        <f t="shared" si="5"/>
        <v>174.76</v>
      </c>
      <c r="G49" s="189">
        <v>6000</v>
      </c>
      <c r="H49" s="36">
        <v>43369</v>
      </c>
      <c r="I49" s="188">
        <v>6000</v>
      </c>
      <c r="J49" s="63" t="s">
        <v>20</v>
      </c>
      <c r="K49" s="148" t="s">
        <v>51</v>
      </c>
      <c r="L49" s="67" t="s">
        <v>52</v>
      </c>
      <c r="M49" s="65"/>
      <c r="N49" s="65"/>
      <c r="O49" s="67"/>
    </row>
    <row r="50" s="2" customFormat="1" ht="18" customHeight="1" spans="1:15">
      <c r="A50" s="48">
        <v>43313</v>
      </c>
      <c r="B50" s="25">
        <f t="shared" si="4"/>
        <v>4654.31</v>
      </c>
      <c r="C50" s="49"/>
      <c r="D50" s="50" t="s">
        <v>36</v>
      </c>
      <c r="E50" s="46">
        <v>0.16</v>
      </c>
      <c r="F50" s="25">
        <f t="shared" si="5"/>
        <v>744.69</v>
      </c>
      <c r="G50" s="189">
        <v>5399</v>
      </c>
      <c r="H50" s="36">
        <v>43369</v>
      </c>
      <c r="I50" s="188">
        <v>-6000</v>
      </c>
      <c r="J50" s="63" t="s">
        <v>21</v>
      </c>
      <c r="K50" s="148" t="s">
        <v>50</v>
      </c>
      <c r="L50" s="67"/>
      <c r="M50" s="65"/>
      <c r="N50" s="65"/>
      <c r="O50" s="67"/>
    </row>
    <row r="51" s="2" customFormat="1" ht="18" customHeight="1" spans="1:15">
      <c r="A51" s="48">
        <v>43435</v>
      </c>
      <c r="B51" s="25">
        <f t="shared" si="4"/>
        <v>933.96</v>
      </c>
      <c r="C51" s="49"/>
      <c r="D51" s="50" t="s">
        <v>36</v>
      </c>
      <c r="E51" s="46">
        <v>0.06</v>
      </c>
      <c r="F51" s="25">
        <f t="shared" si="5"/>
        <v>56.04</v>
      </c>
      <c r="G51" s="189">
        <f>90+45+855</f>
        <v>990</v>
      </c>
      <c r="H51" s="36"/>
      <c r="I51" s="188"/>
      <c r="J51" s="63"/>
      <c r="K51" s="148" t="s">
        <v>40</v>
      </c>
      <c r="L51" s="67" t="s">
        <v>41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4"/>
        <v>43031</v>
      </c>
      <c r="C52" s="49"/>
      <c r="D52" s="50"/>
      <c r="E52" s="46"/>
      <c r="F52" s="25">
        <f t="shared" si="5"/>
        <v>0</v>
      </c>
      <c r="G52" s="189">
        <v>43031</v>
      </c>
      <c r="H52" s="36"/>
      <c r="I52" s="188"/>
      <c r="J52" s="63"/>
      <c r="K52" s="148" t="s">
        <v>67</v>
      </c>
      <c r="L52" s="67" t="s">
        <v>68</v>
      </c>
      <c r="M52" s="65"/>
      <c r="N52" s="65"/>
      <c r="O52" s="67"/>
    </row>
    <row r="53" s="2" customFormat="1" ht="18" customHeight="1" spans="1:15">
      <c r="A53" s="48">
        <v>43466</v>
      </c>
      <c r="B53" s="25">
        <f t="shared" si="4"/>
        <v>4854368.93</v>
      </c>
      <c r="C53" s="49"/>
      <c r="D53" s="50" t="s">
        <v>36</v>
      </c>
      <c r="E53" s="46">
        <v>0.03</v>
      </c>
      <c r="F53" s="25">
        <f t="shared" si="5"/>
        <v>145631.07</v>
      </c>
      <c r="G53" s="189">
        <f>5*1000000</f>
        <v>5000000</v>
      </c>
      <c r="H53" s="36">
        <v>43339</v>
      </c>
      <c r="I53" s="188">
        <v>2095952</v>
      </c>
      <c r="J53" s="63" t="s">
        <v>20</v>
      </c>
      <c r="K53" s="148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4"/>
        <v>0</v>
      </c>
      <c r="C54" s="49"/>
      <c r="D54" s="50"/>
      <c r="E54" s="46"/>
      <c r="F54" s="25">
        <f t="shared" si="5"/>
        <v>0</v>
      </c>
      <c r="G54" s="189"/>
      <c r="H54" s="36">
        <v>43495</v>
      </c>
      <c r="I54" s="188">
        <v>3464800</v>
      </c>
      <c r="J54" s="63" t="s">
        <v>20</v>
      </c>
      <c r="K54" s="148" t="s">
        <v>53</v>
      </c>
      <c r="L54" s="67" t="s">
        <v>54</v>
      </c>
      <c r="M54" s="65"/>
      <c r="N54" s="65"/>
      <c r="O54" s="67"/>
    </row>
    <row r="55" s="2" customFormat="1" ht="18" customHeight="1" spans="1:15">
      <c r="A55" s="48"/>
      <c r="B55" s="25">
        <f t="shared" si="4"/>
        <v>0</v>
      </c>
      <c r="C55" s="49"/>
      <c r="D55" s="50"/>
      <c r="E55" s="46"/>
      <c r="F55" s="25">
        <f t="shared" si="5"/>
        <v>0</v>
      </c>
      <c r="G55" s="189"/>
      <c r="H55" s="36">
        <v>43497</v>
      </c>
      <c r="I55" s="188">
        <v>866800</v>
      </c>
      <c r="J55" s="63" t="s">
        <v>20</v>
      </c>
      <c r="K55" s="148" t="s">
        <v>53</v>
      </c>
      <c r="L55" s="67" t="s">
        <v>54</v>
      </c>
      <c r="M55" s="65"/>
      <c r="N55" s="65"/>
      <c r="O55" s="67"/>
    </row>
    <row r="56" s="2" customFormat="1" ht="18" customHeight="1" spans="1:15">
      <c r="A56" s="48"/>
      <c r="B56" s="25">
        <f t="shared" si="4"/>
        <v>0</v>
      </c>
      <c r="C56" s="49"/>
      <c r="D56" s="50"/>
      <c r="E56" s="46"/>
      <c r="F56" s="25">
        <f t="shared" si="5"/>
        <v>0</v>
      </c>
      <c r="G56" s="189"/>
      <c r="H56" s="36">
        <v>43629</v>
      </c>
      <c r="I56" s="188">
        <v>84810</v>
      </c>
      <c r="J56" s="63" t="s">
        <v>20</v>
      </c>
      <c r="K56" s="148" t="s">
        <v>69</v>
      </c>
      <c r="L56" s="67" t="s">
        <v>70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43629</v>
      </c>
      <c r="I57" s="188">
        <v>-84810</v>
      </c>
      <c r="J57" s="63" t="s">
        <v>21</v>
      </c>
      <c r="K57" s="148" t="s">
        <v>50</v>
      </c>
      <c r="L57" s="67"/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43657</v>
      </c>
      <c r="I58" s="188">
        <v>66753</v>
      </c>
      <c r="J58" s="63" t="s">
        <v>20</v>
      </c>
      <c r="K58" s="148" t="s">
        <v>69</v>
      </c>
      <c r="L58" s="67" t="s">
        <v>70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43657</v>
      </c>
      <c r="I59" s="188">
        <v>-66753</v>
      </c>
      <c r="J59" s="63" t="s">
        <v>21</v>
      </c>
      <c r="K59" s="148" t="s">
        <v>50</v>
      </c>
      <c r="L59" s="67"/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43676</v>
      </c>
      <c r="I60" s="188">
        <v>67731.14</v>
      </c>
      <c r="J60" s="63" t="s">
        <v>20</v>
      </c>
      <c r="K60" s="148" t="s">
        <v>69</v>
      </c>
      <c r="L60" s="67" t="s">
        <v>70</v>
      </c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43671</v>
      </c>
      <c r="I61" s="188">
        <v>-67731.14</v>
      </c>
      <c r="J61" s="63" t="s">
        <v>20</v>
      </c>
      <c r="K61" s="148" t="s">
        <v>71</v>
      </c>
      <c r="L61" s="67" t="s">
        <v>72</v>
      </c>
      <c r="M61" s="65"/>
      <c r="N61" s="65"/>
      <c r="O61" s="67"/>
    </row>
    <row r="62" s="2" customFormat="1" ht="18" customHeight="1" spans="1:15">
      <c r="A62" s="48">
        <v>43678</v>
      </c>
      <c r="B62" s="25">
        <f t="shared" si="4"/>
        <v>1000020</v>
      </c>
      <c r="C62" s="49"/>
      <c r="D62" s="50" t="s">
        <v>73</v>
      </c>
      <c r="E62" s="46"/>
      <c r="F62" s="25">
        <f t="shared" si="5"/>
        <v>0</v>
      </c>
      <c r="G62" s="189">
        <v>1000020</v>
      </c>
      <c r="H62" s="194">
        <v>43676</v>
      </c>
      <c r="I62" s="196">
        <v>500000</v>
      </c>
      <c r="J62" s="201" t="s">
        <v>21</v>
      </c>
      <c r="K62" s="202" t="s">
        <v>74</v>
      </c>
      <c r="L62" s="203" t="s">
        <v>75</v>
      </c>
      <c r="M62" s="201" t="s">
        <v>76</v>
      </c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194">
        <v>43682</v>
      </c>
      <c r="I63" s="196">
        <v>500000</v>
      </c>
      <c r="J63" s="201" t="s">
        <v>21</v>
      </c>
      <c r="K63" s="202" t="s">
        <v>74</v>
      </c>
      <c r="L63" s="204" t="s">
        <v>77</v>
      </c>
      <c r="M63" s="201" t="s">
        <v>76</v>
      </c>
      <c r="N63" s="65"/>
      <c r="O63" s="67"/>
    </row>
    <row r="64" s="2" customFormat="1" ht="18" customHeight="1" spans="1:15">
      <c r="A64" s="48">
        <v>43678</v>
      </c>
      <c r="B64" s="25">
        <f t="shared" si="4"/>
        <v>1000080</v>
      </c>
      <c r="C64" s="49"/>
      <c r="D64" s="50" t="s">
        <v>73</v>
      </c>
      <c r="E64" s="46"/>
      <c r="F64" s="25">
        <f t="shared" si="5"/>
        <v>0</v>
      </c>
      <c r="G64" s="189">
        <v>1000080</v>
      </c>
      <c r="H64" s="194">
        <v>43691</v>
      </c>
      <c r="I64" s="196">
        <v>1000000</v>
      </c>
      <c r="J64" s="201" t="s">
        <v>21</v>
      </c>
      <c r="K64" s="205" t="s">
        <v>78</v>
      </c>
      <c r="L64" s="206" t="s">
        <v>79</v>
      </c>
      <c r="M64" s="201" t="s">
        <v>76</v>
      </c>
      <c r="N64" s="65"/>
      <c r="O64" s="67"/>
    </row>
    <row r="65" s="2" customFormat="1" ht="18" customHeight="1" spans="1:15">
      <c r="A65" s="48"/>
      <c r="B65" s="25">
        <f t="shared" si="4"/>
        <v>0</v>
      </c>
      <c r="C65" s="49"/>
      <c r="D65" s="50"/>
      <c r="E65" s="46"/>
      <c r="F65" s="25">
        <f t="shared" si="5"/>
        <v>0</v>
      </c>
      <c r="G65" s="189"/>
      <c r="H65" s="36">
        <v>43692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36">
        <v>43692</v>
      </c>
      <c r="I66" s="188">
        <v>100000</v>
      </c>
      <c r="J66" s="63" t="s">
        <v>20</v>
      </c>
      <c r="K66" s="207" t="s">
        <v>80</v>
      </c>
      <c r="L66" s="208" t="s">
        <v>81</v>
      </c>
      <c r="M66" s="56"/>
      <c r="N66" s="65"/>
      <c r="O66" s="67"/>
    </row>
    <row r="67" s="2" customFormat="1" ht="18" customHeight="1" spans="1:15">
      <c r="A67" s="48"/>
      <c r="B67" s="25">
        <f t="shared" si="4"/>
        <v>0</v>
      </c>
      <c r="C67" s="49"/>
      <c r="D67" s="50"/>
      <c r="E67" s="46"/>
      <c r="F67" s="25">
        <f t="shared" si="5"/>
        <v>0</v>
      </c>
      <c r="G67" s="189"/>
      <c r="H67" s="36">
        <v>43703</v>
      </c>
      <c r="I67" s="188">
        <v>-100000</v>
      </c>
      <c r="J67" s="63" t="s">
        <v>21</v>
      </c>
      <c r="K67" s="207" t="s">
        <v>50</v>
      </c>
      <c r="L67" s="208"/>
      <c r="M67" s="56"/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43704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36">
        <v>43717</v>
      </c>
      <c r="I69" s="188">
        <v>-100000</v>
      </c>
      <c r="J69" s="63" t="s">
        <v>21</v>
      </c>
      <c r="K69" s="207" t="s">
        <v>50</v>
      </c>
      <c r="L69" s="67"/>
      <c r="M69" s="65"/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36">
        <v>43718</v>
      </c>
      <c r="I70" s="188">
        <v>100000</v>
      </c>
      <c r="J70" s="63" t="s">
        <v>20</v>
      </c>
      <c r="K70" s="207" t="s">
        <v>80</v>
      </c>
      <c r="L70" s="67"/>
      <c r="M70" s="65"/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194">
        <v>43734</v>
      </c>
      <c r="I71" s="196">
        <v>300000</v>
      </c>
      <c r="J71" s="201" t="s">
        <v>20</v>
      </c>
      <c r="K71" s="202" t="s">
        <v>80</v>
      </c>
      <c r="L71" s="209"/>
      <c r="M71" s="201" t="s">
        <v>76</v>
      </c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195">
        <v>43749</v>
      </c>
      <c r="I72" s="196">
        <v>500000</v>
      </c>
      <c r="J72" s="201" t="s">
        <v>20</v>
      </c>
      <c r="K72" s="202" t="s">
        <v>80</v>
      </c>
      <c r="L72" s="209"/>
      <c r="M72" s="201" t="s">
        <v>76</v>
      </c>
      <c r="N72" s="65"/>
      <c r="O72" s="67"/>
    </row>
    <row r="73" s="2" customFormat="1" ht="18" customHeight="1" spans="1:15">
      <c r="A73" s="48">
        <v>43709</v>
      </c>
      <c r="B73" s="25">
        <f t="shared" si="4"/>
        <v>12426.15</v>
      </c>
      <c r="C73" s="49"/>
      <c r="D73" s="50" t="s">
        <v>39</v>
      </c>
      <c r="E73" s="46"/>
      <c r="F73" s="25">
        <f t="shared" si="5"/>
        <v>0</v>
      </c>
      <c r="G73" s="189">
        <v>12426.15</v>
      </c>
      <c r="H73" s="36"/>
      <c r="I73" s="210"/>
      <c r="J73" s="56"/>
      <c r="K73" s="207" t="s">
        <v>68</v>
      </c>
      <c r="L73" s="82"/>
      <c r="M73" s="56"/>
      <c r="N73" s="65"/>
      <c r="O73" s="67"/>
    </row>
    <row r="74" s="2" customFormat="1" ht="18" customHeight="1" spans="1:15">
      <c r="A74" s="48">
        <v>43709</v>
      </c>
      <c r="B74" s="25">
        <f t="shared" si="4"/>
        <v>10316.04</v>
      </c>
      <c r="C74" s="49"/>
      <c r="D74" s="50" t="s">
        <v>36</v>
      </c>
      <c r="E74" s="70">
        <v>0.06</v>
      </c>
      <c r="F74" s="25">
        <f t="shared" si="5"/>
        <v>618.96</v>
      </c>
      <c r="G74" s="189">
        <v>10935</v>
      </c>
      <c r="H74" s="36"/>
      <c r="I74" s="210"/>
      <c r="J74" s="56"/>
      <c r="K74" s="207" t="s">
        <v>82</v>
      </c>
      <c r="L74" s="82" t="s">
        <v>41</v>
      </c>
      <c r="M74" s="56"/>
      <c r="N74" s="65"/>
      <c r="O74" s="67"/>
    </row>
    <row r="75" s="2" customFormat="1" ht="18" customHeight="1" spans="1:15">
      <c r="A75" s="48">
        <v>43709</v>
      </c>
      <c r="B75" s="25">
        <f t="shared" si="4"/>
        <v>10424.53</v>
      </c>
      <c r="C75" s="49"/>
      <c r="D75" s="50" t="s">
        <v>36</v>
      </c>
      <c r="E75" s="70">
        <v>0.06</v>
      </c>
      <c r="F75" s="25">
        <f t="shared" si="5"/>
        <v>625.47</v>
      </c>
      <c r="G75" s="189">
        <v>11050</v>
      </c>
      <c r="H75" s="36"/>
      <c r="I75" s="210"/>
      <c r="J75" s="56"/>
      <c r="K75" s="207" t="s">
        <v>82</v>
      </c>
      <c r="L75" s="82" t="s">
        <v>52</v>
      </c>
      <c r="M75" s="56"/>
      <c r="N75" s="65"/>
      <c r="O75" s="67"/>
    </row>
    <row r="76" s="2" customFormat="1" ht="18" customHeight="1" spans="1:15">
      <c r="A76" s="48">
        <v>43709</v>
      </c>
      <c r="B76" s="25">
        <f t="shared" si="4"/>
        <v>80009.43</v>
      </c>
      <c r="C76" s="49"/>
      <c r="D76" s="50" t="s">
        <v>36</v>
      </c>
      <c r="E76" s="70">
        <v>0.06</v>
      </c>
      <c r="F76" s="25">
        <f t="shared" si="5"/>
        <v>4800.57</v>
      </c>
      <c r="G76" s="189">
        <v>84810</v>
      </c>
      <c r="H76" s="36"/>
      <c r="I76" s="210"/>
      <c r="J76" s="56"/>
      <c r="K76" s="207" t="s">
        <v>69</v>
      </c>
      <c r="L76" s="82" t="s">
        <v>83</v>
      </c>
      <c r="M76" s="56"/>
      <c r="N76" s="65"/>
      <c r="O76" s="67"/>
    </row>
    <row r="77" s="2" customFormat="1" ht="18" customHeight="1" spans="1:15">
      <c r="A77" s="48">
        <v>43709</v>
      </c>
      <c r="B77" s="25">
        <f t="shared" si="4"/>
        <v>63897.3</v>
      </c>
      <c r="C77" s="49"/>
      <c r="D77" s="50" t="s">
        <v>36</v>
      </c>
      <c r="E77" s="70">
        <v>0.06</v>
      </c>
      <c r="F77" s="25">
        <f t="shared" si="5"/>
        <v>3833.84</v>
      </c>
      <c r="G77" s="189">
        <v>67731.14</v>
      </c>
      <c r="H77" s="36"/>
      <c r="I77" s="210"/>
      <c r="J77" s="56"/>
      <c r="K77" s="207" t="s">
        <v>69</v>
      </c>
      <c r="L77" s="82" t="s">
        <v>83</v>
      </c>
      <c r="M77" s="56"/>
      <c r="N77" s="65"/>
      <c r="O77" s="67"/>
    </row>
    <row r="78" s="2" customFormat="1" ht="18" customHeight="1" spans="1:15">
      <c r="A78" s="48">
        <v>43739</v>
      </c>
      <c r="B78" s="25">
        <f t="shared" si="4"/>
        <v>443071.38</v>
      </c>
      <c r="C78" s="49"/>
      <c r="D78" s="50" t="s">
        <v>36</v>
      </c>
      <c r="E78" s="70">
        <v>0.13</v>
      </c>
      <c r="F78" s="25">
        <f t="shared" si="5"/>
        <v>57599.28</v>
      </c>
      <c r="G78" s="189">
        <v>500670.66</v>
      </c>
      <c r="H78" s="36">
        <v>43769</v>
      </c>
      <c r="I78" s="188">
        <v>200000</v>
      </c>
      <c r="J78" s="63" t="s">
        <v>20</v>
      </c>
      <c r="K78" s="207" t="s">
        <v>80</v>
      </c>
      <c r="L78" s="82" t="s">
        <v>84</v>
      </c>
      <c r="M78" s="56"/>
      <c r="N78" s="65"/>
      <c r="O78" s="67"/>
    </row>
    <row r="79" s="2" customFormat="1" ht="18" customHeight="1" spans="1:15">
      <c r="A79" s="48">
        <v>43739</v>
      </c>
      <c r="B79" s="25">
        <f t="shared" si="4"/>
        <v>257787.35</v>
      </c>
      <c r="C79" s="49"/>
      <c r="D79" s="50" t="s">
        <v>36</v>
      </c>
      <c r="E79" s="70">
        <v>0.13</v>
      </c>
      <c r="F79" s="196">
        <f t="shared" si="5"/>
        <v>33512.35</v>
      </c>
      <c r="G79" s="189">
        <v>291299.7</v>
      </c>
      <c r="H79" s="36"/>
      <c r="I79" s="210"/>
      <c r="J79" s="63" t="s">
        <v>20</v>
      </c>
      <c r="K79" s="207" t="s">
        <v>80</v>
      </c>
      <c r="L79" s="82" t="s">
        <v>85</v>
      </c>
      <c r="M79" s="56"/>
      <c r="N79" s="65"/>
      <c r="O79" s="67"/>
    </row>
    <row r="80" s="2" customFormat="1" ht="18" customHeight="1" spans="1:15">
      <c r="A80" s="48"/>
      <c r="B80" s="25">
        <f t="shared" si="4"/>
        <v>0</v>
      </c>
      <c r="C80" s="49"/>
      <c r="D80" s="50"/>
      <c r="E80" s="70"/>
      <c r="F80" s="25">
        <f t="shared" si="5"/>
        <v>0</v>
      </c>
      <c r="G80" s="189"/>
      <c r="H80" s="36">
        <v>43769</v>
      </c>
      <c r="I80" s="188">
        <v>600000</v>
      </c>
      <c r="J80" s="63" t="s">
        <v>20</v>
      </c>
      <c r="K80" s="148" t="s">
        <v>53</v>
      </c>
      <c r="L80" s="67" t="s">
        <v>54</v>
      </c>
      <c r="M80" s="56"/>
      <c r="N80" s="65"/>
      <c r="O80" s="67"/>
    </row>
    <row r="81" s="2" customFormat="1" ht="18" customHeight="1" spans="1:15">
      <c r="A81" s="48">
        <v>43770</v>
      </c>
      <c r="B81" s="25">
        <f t="shared" si="4"/>
        <v>500010</v>
      </c>
      <c r="C81" s="49"/>
      <c r="D81" s="50" t="s">
        <v>73</v>
      </c>
      <c r="E81" s="70"/>
      <c r="F81" s="25">
        <f t="shared" si="5"/>
        <v>0</v>
      </c>
      <c r="G81" s="189">
        <v>500010</v>
      </c>
      <c r="H81" s="36">
        <v>43773</v>
      </c>
      <c r="I81" s="188">
        <v>500010</v>
      </c>
      <c r="J81" s="63" t="s">
        <v>21</v>
      </c>
      <c r="K81" s="207" t="s">
        <v>74</v>
      </c>
      <c r="L81" s="82" t="s">
        <v>86</v>
      </c>
      <c r="M81" s="56"/>
      <c r="N81" s="65"/>
      <c r="O81" s="67"/>
    </row>
    <row r="82" s="2" customFormat="1" ht="18" customHeight="1" spans="1:15">
      <c r="A82" s="48">
        <v>43770</v>
      </c>
      <c r="B82" s="25">
        <f t="shared" si="4"/>
        <v>300000</v>
      </c>
      <c r="C82" s="49"/>
      <c r="D82" s="50" t="s">
        <v>73</v>
      </c>
      <c r="E82" s="70"/>
      <c r="F82" s="25">
        <f t="shared" si="5"/>
        <v>0</v>
      </c>
      <c r="G82" s="189">
        <v>300000</v>
      </c>
      <c r="H82" s="36">
        <v>43773</v>
      </c>
      <c r="I82" s="188">
        <v>300000</v>
      </c>
      <c r="J82" s="63" t="s">
        <v>21</v>
      </c>
      <c r="K82" s="207" t="s">
        <v>87</v>
      </c>
      <c r="L82" s="82" t="s">
        <v>88</v>
      </c>
      <c r="M82" s="56"/>
      <c r="N82" s="65"/>
      <c r="O82" s="67"/>
    </row>
    <row r="83" s="2" customFormat="1" ht="18" customHeight="1" spans="1:15">
      <c r="A83" s="48">
        <v>43770</v>
      </c>
      <c r="B83" s="25">
        <f t="shared" si="4"/>
        <v>300000</v>
      </c>
      <c r="C83" s="49"/>
      <c r="D83" s="50" t="s">
        <v>73</v>
      </c>
      <c r="E83" s="70"/>
      <c r="F83" s="25">
        <f t="shared" si="5"/>
        <v>0</v>
      </c>
      <c r="G83" s="189">
        <v>300000</v>
      </c>
      <c r="H83" s="36">
        <v>43773</v>
      </c>
      <c r="I83" s="188">
        <v>300000</v>
      </c>
      <c r="J83" s="63" t="s">
        <v>21</v>
      </c>
      <c r="K83" s="207" t="s">
        <v>89</v>
      </c>
      <c r="L83" s="82" t="s">
        <v>88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4"/>
        <v>300060</v>
      </c>
      <c r="C84" s="49"/>
      <c r="D84" s="50" t="s">
        <v>73</v>
      </c>
      <c r="E84" s="70"/>
      <c r="F84" s="25">
        <f t="shared" si="5"/>
        <v>0</v>
      </c>
      <c r="G84" s="189">
        <v>300060</v>
      </c>
      <c r="H84" s="36">
        <v>43773</v>
      </c>
      <c r="I84" s="188">
        <v>300060</v>
      </c>
      <c r="J84" s="63" t="s">
        <v>21</v>
      </c>
      <c r="K84" s="207" t="s">
        <v>90</v>
      </c>
      <c r="L84" s="82" t="s">
        <v>91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0</v>
      </c>
      <c r="C85" s="49"/>
      <c r="D85" s="50"/>
      <c r="E85" s="70"/>
      <c r="F85" s="25">
        <f t="shared" si="5"/>
        <v>0</v>
      </c>
      <c r="G85" s="189"/>
      <c r="H85" s="36">
        <v>43773</v>
      </c>
      <c r="I85" s="188">
        <v>500000</v>
      </c>
      <c r="J85" s="63" t="s">
        <v>20</v>
      </c>
      <c r="K85" s="207" t="s">
        <v>92</v>
      </c>
      <c r="L85" s="82" t="s">
        <v>93</v>
      </c>
      <c r="M85" s="56"/>
      <c r="N85" s="65"/>
      <c r="O85" s="67"/>
    </row>
    <row r="86" s="2" customFormat="1" ht="18" customHeight="1" spans="1:15">
      <c r="A86" s="48"/>
      <c r="B86" s="25">
        <f t="shared" si="4"/>
        <v>0</v>
      </c>
      <c r="C86" s="49"/>
      <c r="D86" s="50"/>
      <c r="E86" s="70"/>
      <c r="F86" s="25">
        <f t="shared" si="5"/>
        <v>0</v>
      </c>
      <c r="G86" s="189"/>
      <c r="H86" s="36">
        <v>43775</v>
      </c>
      <c r="I86" s="188">
        <v>800000</v>
      </c>
      <c r="J86" s="63" t="s">
        <v>20</v>
      </c>
      <c r="K86" s="207" t="s">
        <v>94</v>
      </c>
      <c r="L86" s="82" t="s">
        <v>95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1165048.54</v>
      </c>
      <c r="C87" s="49"/>
      <c r="D87" s="50" t="s">
        <v>36</v>
      </c>
      <c r="E87" s="70">
        <v>0.03</v>
      </c>
      <c r="F87" s="197">
        <f t="shared" si="5"/>
        <v>34951.46</v>
      </c>
      <c r="G87" s="189">
        <f>96000*12+48000</f>
        <v>1200000</v>
      </c>
      <c r="H87" s="36">
        <v>43776</v>
      </c>
      <c r="I87" s="188">
        <v>400000</v>
      </c>
      <c r="J87" s="63" t="s">
        <v>20</v>
      </c>
      <c r="K87" s="207" t="s">
        <v>94</v>
      </c>
      <c r="L87" s="82" t="s">
        <v>95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ref="B88:B90" si="6">ROUND(G88/(1+E88),2)</f>
        <v>326256.05</v>
      </c>
      <c r="C88" s="49"/>
      <c r="D88" s="50" t="s">
        <v>36</v>
      </c>
      <c r="E88" s="70">
        <v>0.13</v>
      </c>
      <c r="F88" s="197">
        <f t="shared" ref="F88:F90" si="7">ROUND(G88/(1+E88)*E88,2)</f>
        <v>42413.29</v>
      </c>
      <c r="G88" s="189">
        <v>368669.34</v>
      </c>
      <c r="H88" s="36"/>
      <c r="I88" s="210"/>
      <c r="J88" s="56"/>
      <c r="K88" s="207" t="s">
        <v>80</v>
      </c>
      <c r="L88" s="82" t="s">
        <v>96</v>
      </c>
      <c r="M88" s="56"/>
      <c r="N88" s="65"/>
      <c r="O88" s="67"/>
    </row>
    <row r="89" s="2" customFormat="1" ht="18" customHeight="1" spans="1:15">
      <c r="A89" s="48">
        <v>43770</v>
      </c>
      <c r="B89" s="25">
        <f t="shared" si="6"/>
        <v>199980</v>
      </c>
      <c r="C89" s="49"/>
      <c r="D89" s="50" t="s">
        <v>73</v>
      </c>
      <c r="E89" s="70"/>
      <c r="F89" s="25">
        <f t="shared" si="7"/>
        <v>0</v>
      </c>
      <c r="G89" s="189">
        <v>199980</v>
      </c>
      <c r="H89" s="195">
        <v>43784</v>
      </c>
      <c r="I89" s="196">
        <v>199980</v>
      </c>
      <c r="J89" s="201" t="s">
        <v>21</v>
      </c>
      <c r="K89" s="202" t="s">
        <v>97</v>
      </c>
      <c r="L89" s="204" t="s">
        <v>98</v>
      </c>
      <c r="M89" s="56" t="s">
        <v>76</v>
      </c>
      <c r="N89" s="65"/>
      <c r="O89" s="67"/>
    </row>
    <row r="90" s="3" customFormat="1" ht="18" customHeight="1" spans="1:15">
      <c r="A90" s="74">
        <v>43770</v>
      </c>
      <c r="B90" s="25">
        <f t="shared" si="6"/>
        <v>442477.88</v>
      </c>
      <c r="C90" s="75"/>
      <c r="D90" s="76" t="s">
        <v>36</v>
      </c>
      <c r="E90" s="77">
        <v>0.13</v>
      </c>
      <c r="F90" s="197">
        <f t="shared" si="7"/>
        <v>57522.12</v>
      </c>
      <c r="G90" s="198">
        <v>500000</v>
      </c>
      <c r="H90" s="36"/>
      <c r="I90" s="188"/>
      <c r="J90" s="63"/>
      <c r="K90" s="207" t="s">
        <v>92</v>
      </c>
      <c r="L90" s="82" t="s">
        <v>99</v>
      </c>
      <c r="M90" s="63" t="s">
        <v>100</v>
      </c>
      <c r="N90" s="63"/>
      <c r="O90" s="82"/>
    </row>
    <row r="91" s="3" customFormat="1" ht="18" customHeight="1" spans="1:15">
      <c r="A91" s="74"/>
      <c r="B91" s="25"/>
      <c r="C91" s="75"/>
      <c r="D91" s="76"/>
      <c r="E91" s="77"/>
      <c r="F91" s="25"/>
      <c r="G91" s="198"/>
      <c r="H91" s="36">
        <v>43819</v>
      </c>
      <c r="I91" s="188">
        <v>92448</v>
      </c>
      <c r="J91" s="63" t="s">
        <v>20</v>
      </c>
      <c r="K91" s="148" t="s">
        <v>53</v>
      </c>
      <c r="L91" s="67" t="s">
        <v>54</v>
      </c>
      <c r="M91" s="63"/>
      <c r="N91" s="63"/>
      <c r="O91" s="82"/>
    </row>
    <row r="92" s="3" customFormat="1" ht="18" customHeight="1" spans="1:15">
      <c r="A92" s="74"/>
      <c r="B92" s="25">
        <f t="shared" ref="B92:B100" si="8">ROUND(G92/(1+E92),2)</f>
        <v>0</v>
      </c>
      <c r="C92" s="75"/>
      <c r="D92" s="76"/>
      <c r="E92" s="77"/>
      <c r="F92" s="25">
        <f t="shared" ref="F92:F100" si="9">ROUND(G92/(1+E92)*E92,2)</f>
        <v>0</v>
      </c>
      <c r="G92" s="198"/>
      <c r="H92" s="36">
        <v>43829</v>
      </c>
      <c r="I92" s="188">
        <v>800000</v>
      </c>
      <c r="J92" s="63" t="s">
        <v>20</v>
      </c>
      <c r="K92" s="207" t="s">
        <v>80</v>
      </c>
      <c r="L92" s="82" t="s">
        <v>81</v>
      </c>
      <c r="M92" s="63"/>
      <c r="N92" s="63"/>
      <c r="O92" s="82"/>
    </row>
    <row r="93" s="3" customFormat="1" ht="18" customHeight="1" spans="1:15">
      <c r="A93" s="74">
        <v>43800</v>
      </c>
      <c r="B93" s="25">
        <f t="shared" si="8"/>
        <v>650987.86</v>
      </c>
      <c r="C93" s="75"/>
      <c r="D93" s="76" t="s">
        <v>36</v>
      </c>
      <c r="E93" s="77">
        <v>0.13</v>
      </c>
      <c r="F93" s="25">
        <f t="shared" si="9"/>
        <v>84628.42</v>
      </c>
      <c r="G93" s="198">
        <v>735616.28</v>
      </c>
      <c r="H93" s="36"/>
      <c r="I93" s="188"/>
      <c r="J93" s="63"/>
      <c r="K93" s="207" t="s">
        <v>80</v>
      </c>
      <c r="L93" s="82" t="s">
        <v>101</v>
      </c>
      <c r="M93" s="63" t="s">
        <v>100</v>
      </c>
      <c r="N93" s="63"/>
      <c r="O93" s="82"/>
    </row>
    <row r="94" s="3" customFormat="1" ht="18" customHeight="1" spans="1:15">
      <c r="A94" s="74">
        <v>43800</v>
      </c>
      <c r="B94" s="25">
        <f t="shared" si="8"/>
        <v>5825242.72</v>
      </c>
      <c r="C94" s="75"/>
      <c r="D94" s="50" t="s">
        <v>36</v>
      </c>
      <c r="E94" s="70">
        <v>0.03</v>
      </c>
      <c r="F94" s="25">
        <f t="shared" si="9"/>
        <v>174757.28</v>
      </c>
      <c r="G94" s="198">
        <f>1000000*6</f>
        <v>6000000</v>
      </c>
      <c r="H94" s="36">
        <v>43843</v>
      </c>
      <c r="I94" s="188">
        <v>1000000</v>
      </c>
      <c r="J94" s="63" t="s">
        <v>20</v>
      </c>
      <c r="K94" s="207" t="s">
        <v>53</v>
      </c>
      <c r="L94" s="82" t="s">
        <v>54</v>
      </c>
      <c r="M94" s="63" t="s">
        <v>100</v>
      </c>
      <c r="N94" s="63"/>
      <c r="O94" s="82" t="s">
        <v>102</v>
      </c>
    </row>
    <row r="95" s="3" customFormat="1" ht="18" customHeight="1" spans="1:15">
      <c r="A95" s="74">
        <v>43831</v>
      </c>
      <c r="B95" s="25">
        <f t="shared" si="8"/>
        <v>3623633.45</v>
      </c>
      <c r="C95" s="75"/>
      <c r="D95" s="50" t="s">
        <v>36</v>
      </c>
      <c r="E95" s="77">
        <v>0.09</v>
      </c>
      <c r="F95" s="25">
        <f t="shared" si="9"/>
        <v>326127.01</v>
      </c>
      <c r="G95" s="198">
        <f>1000000*3+949760.46</f>
        <v>3949760.46</v>
      </c>
      <c r="H95" s="36">
        <v>43844</v>
      </c>
      <c r="I95" s="188">
        <v>500000</v>
      </c>
      <c r="J95" s="63" t="s">
        <v>20</v>
      </c>
      <c r="K95" s="207" t="s">
        <v>103</v>
      </c>
      <c r="L95" s="82" t="s">
        <v>54</v>
      </c>
      <c r="M95" s="63" t="s">
        <v>100</v>
      </c>
      <c r="N95" s="63"/>
      <c r="O95" s="82"/>
    </row>
    <row r="96" s="3" customFormat="1" ht="18" customHeight="1" spans="1:15">
      <c r="A96" s="74"/>
      <c r="B96" s="25">
        <f t="shared" si="8"/>
        <v>0</v>
      </c>
      <c r="C96" s="75"/>
      <c r="D96" s="76"/>
      <c r="E96" s="77"/>
      <c r="F96" s="25">
        <f t="shared" si="9"/>
        <v>0</v>
      </c>
      <c r="G96" s="198"/>
      <c r="H96" s="36">
        <v>43845</v>
      </c>
      <c r="I96" s="188">
        <v>2000000</v>
      </c>
      <c r="J96" s="63" t="s">
        <v>20</v>
      </c>
      <c r="K96" s="207" t="s">
        <v>103</v>
      </c>
      <c r="L96" s="82" t="s">
        <v>54</v>
      </c>
      <c r="M96" s="63"/>
      <c r="N96" s="63"/>
      <c r="O96" s="82"/>
    </row>
    <row r="97" s="3" customFormat="1" ht="18" customHeight="1" spans="1:15">
      <c r="A97" s="74"/>
      <c r="B97" s="25">
        <f t="shared" si="8"/>
        <v>0</v>
      </c>
      <c r="C97" s="75"/>
      <c r="D97" s="76"/>
      <c r="E97" s="77"/>
      <c r="F97" s="25">
        <f t="shared" si="9"/>
        <v>0</v>
      </c>
      <c r="G97" s="198"/>
      <c r="H97" s="36">
        <v>43849</v>
      </c>
      <c r="I97" s="188">
        <v>1449760.46</v>
      </c>
      <c r="J97" s="63" t="s">
        <v>20</v>
      </c>
      <c r="K97" s="207" t="s">
        <v>103</v>
      </c>
      <c r="L97" s="82" t="s">
        <v>54</v>
      </c>
      <c r="M97" s="63"/>
      <c r="N97" s="63"/>
      <c r="O97" s="82"/>
    </row>
    <row r="98" s="3" customFormat="1" ht="18" customHeight="1" spans="1:15">
      <c r="A98" s="74">
        <v>43831</v>
      </c>
      <c r="B98" s="25">
        <f t="shared" si="8"/>
        <v>600000</v>
      </c>
      <c r="C98" s="75"/>
      <c r="D98" s="50" t="s">
        <v>73</v>
      </c>
      <c r="E98" s="77"/>
      <c r="F98" s="25">
        <f t="shared" si="9"/>
        <v>0</v>
      </c>
      <c r="G98" s="188">
        <v>600000</v>
      </c>
      <c r="H98" s="36">
        <v>43850</v>
      </c>
      <c r="I98" s="188">
        <v>600000</v>
      </c>
      <c r="J98" s="63" t="s">
        <v>21</v>
      </c>
      <c r="K98" s="207" t="s">
        <v>89</v>
      </c>
      <c r="L98" s="82" t="s">
        <v>104</v>
      </c>
      <c r="M98" s="63"/>
      <c r="N98" s="63"/>
      <c r="O98" s="82"/>
    </row>
    <row r="99" s="3" customFormat="1" ht="18" customHeight="1" spans="1:15">
      <c r="A99" s="74">
        <v>43831</v>
      </c>
      <c r="B99" s="25">
        <f t="shared" si="8"/>
        <v>600000</v>
      </c>
      <c r="C99" s="75"/>
      <c r="D99" s="50" t="s">
        <v>73</v>
      </c>
      <c r="E99" s="77"/>
      <c r="F99" s="25">
        <f t="shared" si="9"/>
        <v>0</v>
      </c>
      <c r="G99" s="188">
        <v>600000</v>
      </c>
      <c r="H99" s="36">
        <v>43850</v>
      </c>
      <c r="I99" s="188">
        <v>600000</v>
      </c>
      <c r="J99" s="63" t="s">
        <v>21</v>
      </c>
      <c r="K99" s="207" t="s">
        <v>87</v>
      </c>
      <c r="L99" s="82" t="s">
        <v>104</v>
      </c>
      <c r="M99" s="63"/>
      <c r="N99" s="63"/>
      <c r="O99" s="82"/>
    </row>
    <row r="100" s="3" customFormat="1" ht="18" customHeight="1" spans="1:15">
      <c r="A100" s="74">
        <v>43891</v>
      </c>
      <c r="B100" s="25">
        <f t="shared" si="8"/>
        <v>530100</v>
      </c>
      <c r="C100" s="75"/>
      <c r="D100" s="50" t="s">
        <v>73</v>
      </c>
      <c r="E100" s="77"/>
      <c r="F100" s="25">
        <f t="shared" si="9"/>
        <v>0</v>
      </c>
      <c r="G100" s="188">
        <v>530100</v>
      </c>
      <c r="H100" s="36">
        <v>43903</v>
      </c>
      <c r="I100" s="188">
        <v>530000</v>
      </c>
      <c r="J100" s="63" t="s">
        <v>21</v>
      </c>
      <c r="K100" s="207" t="s">
        <v>105</v>
      </c>
      <c r="L100" s="82" t="s">
        <v>77</v>
      </c>
      <c r="M100" s="63"/>
      <c r="N100" s="63"/>
      <c r="O100" s="82"/>
    </row>
    <row r="101" s="3" customFormat="1" ht="18" customHeight="1" spans="1:15">
      <c r="A101" s="74">
        <v>43952</v>
      </c>
      <c r="B101" s="25">
        <f>298648.6+188837.04+318653.29</f>
        <v>806138.93</v>
      </c>
      <c r="C101" s="75">
        <v>3</v>
      </c>
      <c r="D101" s="50" t="s">
        <v>36</v>
      </c>
      <c r="E101" s="77">
        <v>0.13</v>
      </c>
      <c r="F101" s="25">
        <f>38824.32+24548.82+41424.93</f>
        <v>104798.07</v>
      </c>
      <c r="G101" s="198">
        <f>337472.92+213385.86+360078.22</f>
        <v>910937</v>
      </c>
      <c r="H101" s="36">
        <v>43903</v>
      </c>
      <c r="I101" s="188">
        <v>200000</v>
      </c>
      <c r="J101" s="63" t="s">
        <v>20</v>
      </c>
      <c r="K101" s="207" t="s">
        <v>80</v>
      </c>
      <c r="L101" s="82" t="s">
        <v>169</v>
      </c>
      <c r="M101" s="63" t="s">
        <v>100</v>
      </c>
      <c r="N101" s="63" t="s">
        <v>170</v>
      </c>
      <c r="O101" s="82"/>
    </row>
    <row r="102" s="3" customFormat="1" ht="18" customHeight="1" spans="1:15">
      <c r="A102" s="74"/>
      <c r="B102" s="25">
        <f t="shared" ref="B102:B121" si="10">ROUND(G102/(1+E102),2)</f>
        <v>0</v>
      </c>
      <c r="C102" s="75"/>
      <c r="D102" s="50"/>
      <c r="E102" s="77"/>
      <c r="F102" s="25">
        <f t="shared" ref="F102:F121" si="11">ROUND(G102/(1+E102)*E102,2)</f>
        <v>0</v>
      </c>
      <c r="G102" s="198"/>
      <c r="H102" s="36">
        <v>43950</v>
      </c>
      <c r="I102" s="188">
        <v>400000</v>
      </c>
      <c r="J102" s="63" t="s">
        <v>20</v>
      </c>
      <c r="K102" s="207" t="s">
        <v>155</v>
      </c>
      <c r="L102" s="82" t="s">
        <v>81</v>
      </c>
      <c r="M102" s="63"/>
      <c r="N102" s="63"/>
      <c r="O102" s="82"/>
    </row>
    <row r="103" s="3" customFormat="1" ht="18" customHeight="1" spans="1:15">
      <c r="A103" s="74"/>
      <c r="B103" s="25">
        <f t="shared" si="10"/>
        <v>0</v>
      </c>
      <c r="C103" s="75"/>
      <c r="D103" s="50"/>
      <c r="E103" s="77"/>
      <c r="F103" s="25">
        <f t="shared" si="11"/>
        <v>0</v>
      </c>
      <c r="G103" s="198"/>
      <c r="H103" s="36">
        <v>43951</v>
      </c>
      <c r="I103" s="188">
        <v>970000</v>
      </c>
      <c r="J103" s="63" t="s">
        <v>21</v>
      </c>
      <c r="K103" s="207" t="s">
        <v>105</v>
      </c>
      <c r="L103" s="82"/>
      <c r="M103" s="63"/>
      <c r="N103" s="63"/>
      <c r="O103" s="82"/>
    </row>
    <row r="104" s="3" customFormat="1" ht="18" customHeight="1" spans="1:15">
      <c r="A104" s="74"/>
      <c r="B104" s="25">
        <f t="shared" si="10"/>
        <v>0</v>
      </c>
      <c r="C104" s="75"/>
      <c r="D104" s="50"/>
      <c r="E104" s="77"/>
      <c r="F104" s="25">
        <f t="shared" si="11"/>
        <v>0</v>
      </c>
      <c r="G104" s="198"/>
      <c r="H104" s="36">
        <v>43966</v>
      </c>
      <c r="I104" s="188">
        <v>150000</v>
      </c>
      <c r="J104" s="63" t="s">
        <v>20</v>
      </c>
      <c r="K104" s="207" t="s">
        <v>155</v>
      </c>
      <c r="L104" s="82" t="s">
        <v>81</v>
      </c>
      <c r="M104" s="63"/>
      <c r="N104" s="63"/>
      <c r="O104" s="82"/>
    </row>
    <row r="105" s="3" customFormat="1" ht="17.1" customHeight="1" spans="1:15">
      <c r="A105" s="74">
        <v>44013</v>
      </c>
      <c r="B105" s="25">
        <f t="shared" si="10"/>
        <v>2632.08</v>
      </c>
      <c r="C105" s="75">
        <v>1</v>
      </c>
      <c r="D105" s="50" t="s">
        <v>36</v>
      </c>
      <c r="E105" s="77">
        <v>0.06</v>
      </c>
      <c r="F105" s="25">
        <f t="shared" si="11"/>
        <v>157.92</v>
      </c>
      <c r="G105" s="198">
        <v>2790</v>
      </c>
      <c r="H105" s="36"/>
      <c r="I105" s="188"/>
      <c r="J105" s="63"/>
      <c r="K105" s="211" t="s">
        <v>156</v>
      </c>
      <c r="L105" s="212" t="s">
        <v>52</v>
      </c>
      <c r="M105" s="56" t="s">
        <v>171</v>
      </c>
      <c r="N105" s="63"/>
      <c r="O105" s="82"/>
    </row>
    <row r="106" s="3" customFormat="1" ht="17.1" customHeight="1" spans="1:15">
      <c r="A106" s="74"/>
      <c r="B106" s="25">
        <f t="shared" si="10"/>
        <v>0</v>
      </c>
      <c r="C106" s="75"/>
      <c r="D106" s="50"/>
      <c r="E106" s="77"/>
      <c r="F106" s="25">
        <f t="shared" si="11"/>
        <v>0</v>
      </c>
      <c r="G106" s="198"/>
      <c r="H106" s="36">
        <v>43993</v>
      </c>
      <c r="I106" s="188">
        <v>100000</v>
      </c>
      <c r="J106" s="63"/>
      <c r="K106" s="207" t="s">
        <v>155</v>
      </c>
      <c r="L106" s="82"/>
      <c r="M106" s="63"/>
      <c r="N106" s="63"/>
      <c r="O106" s="82"/>
    </row>
    <row r="107" s="3" customFormat="1" ht="17.1" customHeight="1" spans="1:15">
      <c r="A107" s="74"/>
      <c r="B107" s="25">
        <f t="shared" si="10"/>
        <v>0</v>
      </c>
      <c r="C107" s="75"/>
      <c r="D107" s="50"/>
      <c r="E107" s="77"/>
      <c r="F107" s="25">
        <f t="shared" si="11"/>
        <v>0</v>
      </c>
      <c r="G107" s="198"/>
      <c r="H107" s="36">
        <v>43994</v>
      </c>
      <c r="I107" s="188">
        <v>1000000</v>
      </c>
      <c r="J107" s="63"/>
      <c r="K107" s="213" t="s">
        <v>165</v>
      </c>
      <c r="L107" s="82" t="s">
        <v>54</v>
      </c>
      <c r="M107" s="63"/>
      <c r="N107" s="63"/>
      <c r="O107" s="82"/>
    </row>
    <row r="108" s="3" customFormat="1" ht="17.1" customHeight="1" spans="1:15">
      <c r="A108" s="74"/>
      <c r="B108" s="25">
        <f t="shared" si="10"/>
        <v>0</v>
      </c>
      <c r="C108" s="75"/>
      <c r="D108" s="50"/>
      <c r="E108" s="77"/>
      <c r="F108" s="25">
        <f t="shared" si="11"/>
        <v>0</v>
      </c>
      <c r="G108" s="198"/>
      <c r="H108" s="36">
        <v>44000</v>
      </c>
      <c r="I108" s="214">
        <v>500000</v>
      </c>
      <c r="J108" s="63" t="s">
        <v>20</v>
      </c>
      <c r="K108" s="171" t="s">
        <v>166</v>
      </c>
      <c r="L108" s="82"/>
      <c r="M108" s="63"/>
      <c r="N108" s="63"/>
      <c r="O108" s="82"/>
    </row>
    <row r="109" s="3" customFormat="1" ht="17.1" customHeight="1" spans="1:15">
      <c r="A109" s="74">
        <v>44013</v>
      </c>
      <c r="B109" s="25">
        <f t="shared" si="10"/>
        <v>600040</v>
      </c>
      <c r="C109" s="75"/>
      <c r="D109" s="50" t="s">
        <v>173</v>
      </c>
      <c r="E109" s="77"/>
      <c r="F109" s="25">
        <f t="shared" si="11"/>
        <v>0</v>
      </c>
      <c r="G109" s="198">
        <v>600040</v>
      </c>
      <c r="H109" s="36">
        <v>44000</v>
      </c>
      <c r="I109" s="214">
        <v>600040</v>
      </c>
      <c r="J109" s="63" t="s">
        <v>20</v>
      </c>
      <c r="K109" s="171" t="s">
        <v>74</v>
      </c>
      <c r="L109" s="82" t="s">
        <v>174</v>
      </c>
      <c r="M109" s="63"/>
      <c r="N109" s="63"/>
      <c r="O109" s="82" t="s">
        <v>175</v>
      </c>
    </row>
    <row r="110" s="3" customFormat="1" ht="17.1" customHeight="1" spans="1:15">
      <c r="A110" s="74">
        <v>44013</v>
      </c>
      <c r="B110" s="25">
        <f t="shared" si="10"/>
        <v>600120</v>
      </c>
      <c r="C110" s="75"/>
      <c r="D110" s="50" t="s">
        <v>173</v>
      </c>
      <c r="E110" s="77"/>
      <c r="F110" s="25">
        <f t="shared" si="11"/>
        <v>0</v>
      </c>
      <c r="G110" s="198">
        <v>600120</v>
      </c>
      <c r="H110" s="36">
        <v>44000</v>
      </c>
      <c r="I110" s="214">
        <v>600120</v>
      </c>
      <c r="J110" s="63" t="s">
        <v>20</v>
      </c>
      <c r="K110" s="171" t="s">
        <v>78</v>
      </c>
      <c r="L110" s="82" t="s">
        <v>176</v>
      </c>
      <c r="M110" s="63"/>
      <c r="N110" s="63"/>
      <c r="O110" s="82" t="s">
        <v>177</v>
      </c>
    </row>
    <row r="111" s="3" customFormat="1" ht="17.1" customHeight="1" spans="1:15">
      <c r="A111" s="74">
        <v>44013</v>
      </c>
      <c r="B111" s="25">
        <f t="shared" si="10"/>
        <v>300000</v>
      </c>
      <c r="C111" s="75"/>
      <c r="D111" s="50" t="s">
        <v>173</v>
      </c>
      <c r="E111" s="77"/>
      <c r="F111" s="25">
        <f t="shared" si="11"/>
        <v>0</v>
      </c>
      <c r="G111" s="198">
        <v>300000</v>
      </c>
      <c r="H111" s="36">
        <v>44000</v>
      </c>
      <c r="I111" s="214">
        <v>300000</v>
      </c>
      <c r="J111" s="63" t="s">
        <v>20</v>
      </c>
      <c r="K111" s="171" t="s">
        <v>89</v>
      </c>
      <c r="L111" s="82" t="s">
        <v>178</v>
      </c>
      <c r="M111" t="s">
        <v>100</v>
      </c>
      <c r="N111" s="63"/>
      <c r="O111" s="82" t="s">
        <v>179</v>
      </c>
    </row>
    <row r="112" s="3" customFormat="1" ht="17.1" customHeight="1" spans="1:15">
      <c r="A112" s="74">
        <v>44013</v>
      </c>
      <c r="B112" s="25">
        <f t="shared" si="10"/>
        <v>300000</v>
      </c>
      <c r="C112" s="75"/>
      <c r="D112" s="50" t="s">
        <v>173</v>
      </c>
      <c r="E112" s="77"/>
      <c r="F112" s="25">
        <f t="shared" si="11"/>
        <v>0</v>
      </c>
      <c r="G112" s="198">
        <v>300000</v>
      </c>
      <c r="H112" s="36">
        <v>44001</v>
      </c>
      <c r="I112" s="214">
        <v>300000</v>
      </c>
      <c r="J112" s="63" t="s">
        <v>20</v>
      </c>
      <c r="K112" s="171" t="s">
        <v>87</v>
      </c>
      <c r="L112" s="82" t="s">
        <v>178</v>
      </c>
      <c r="M112" t="s">
        <v>100</v>
      </c>
      <c r="N112" s="63"/>
      <c r="O112" s="82" t="s">
        <v>180</v>
      </c>
    </row>
    <row r="113" s="3" customFormat="1" ht="18" customHeight="1" spans="1:15">
      <c r="A113" s="74"/>
      <c r="B113" s="25">
        <f t="shared" si="10"/>
        <v>0</v>
      </c>
      <c r="C113" s="75"/>
      <c r="D113" s="50"/>
      <c r="E113" s="77"/>
      <c r="F113" s="25">
        <f t="shared" si="11"/>
        <v>0</v>
      </c>
      <c r="G113" s="198"/>
      <c r="H113" s="199">
        <v>44005</v>
      </c>
      <c r="I113" s="215">
        <v>170000</v>
      </c>
      <c r="J113" s="216" t="s">
        <v>20</v>
      </c>
      <c r="K113" s="217" t="s">
        <v>155</v>
      </c>
      <c r="L113" s="82"/>
      <c r="M113" s="63"/>
      <c r="N113" s="63"/>
      <c r="O113" s="82"/>
    </row>
    <row r="114" s="3" customFormat="1" ht="18" customHeight="1" spans="1:15">
      <c r="A114" s="74"/>
      <c r="B114" s="25">
        <f t="shared" si="10"/>
        <v>0</v>
      </c>
      <c r="C114" s="75"/>
      <c r="D114" s="50"/>
      <c r="E114" s="77"/>
      <c r="F114" s="25">
        <f t="shared" si="11"/>
        <v>0</v>
      </c>
      <c r="G114" s="198"/>
      <c r="H114" s="200">
        <v>44012</v>
      </c>
      <c r="I114" s="218">
        <v>1000000</v>
      </c>
      <c r="J114" s="219" t="s">
        <v>164</v>
      </c>
      <c r="K114" s="220" t="s">
        <v>80</v>
      </c>
      <c r="L114" s="221" t="s">
        <v>81</v>
      </c>
      <c r="M114" s="219" t="s">
        <v>76</v>
      </c>
      <c r="N114" s="63"/>
      <c r="O114" s="82"/>
    </row>
    <row r="115" s="3" customFormat="1" ht="18" customHeight="1" spans="1:15">
      <c r="A115" s="74"/>
      <c r="B115" s="25">
        <f t="shared" si="10"/>
        <v>0</v>
      </c>
      <c r="C115" s="75"/>
      <c r="D115" s="50"/>
      <c r="E115" s="77"/>
      <c r="F115" s="25">
        <f t="shared" si="11"/>
        <v>0</v>
      </c>
      <c r="G115" s="198"/>
      <c r="H115" s="194">
        <v>44019</v>
      </c>
      <c r="I115" s="229">
        <v>500000</v>
      </c>
      <c r="J115" s="201"/>
      <c r="K115" s="202" t="s">
        <v>80</v>
      </c>
      <c r="L115" s="208"/>
      <c r="M115" s="219" t="s">
        <v>76</v>
      </c>
      <c r="N115" s="63"/>
      <c r="O115" s="82"/>
    </row>
    <row r="116" s="3" customFormat="1" ht="18" customHeight="1" spans="1:15">
      <c r="A116" s="74">
        <v>44013</v>
      </c>
      <c r="B116" s="25">
        <f t="shared" si="10"/>
        <v>505080.8</v>
      </c>
      <c r="C116" s="75"/>
      <c r="D116" s="50" t="s">
        <v>173</v>
      </c>
      <c r="E116" s="77"/>
      <c r="F116" s="25">
        <f t="shared" si="11"/>
        <v>0</v>
      </c>
      <c r="G116" s="198">
        <v>505080.8</v>
      </c>
      <c r="H116" s="194">
        <v>44019</v>
      </c>
      <c r="I116" s="229">
        <v>500000</v>
      </c>
      <c r="J116" s="201" t="s">
        <v>20</v>
      </c>
      <c r="K116" s="264" t="s">
        <v>167</v>
      </c>
      <c r="L116" s="208" t="s">
        <v>181</v>
      </c>
      <c r="M116" s="219" t="s">
        <v>76</v>
      </c>
      <c r="N116" s="63"/>
      <c r="O116" s="82" t="s">
        <v>182</v>
      </c>
    </row>
    <row r="117" s="3" customFormat="1" ht="18" customHeight="1" spans="1:15">
      <c r="A117" s="74">
        <v>44013</v>
      </c>
      <c r="B117" s="25">
        <f t="shared" si="10"/>
        <v>970000</v>
      </c>
      <c r="C117" s="75"/>
      <c r="D117" s="50" t="s">
        <v>173</v>
      </c>
      <c r="E117" s="77"/>
      <c r="F117" s="25">
        <f t="shared" si="11"/>
        <v>0</v>
      </c>
      <c r="G117" s="198">
        <v>970000</v>
      </c>
      <c r="H117" s="200"/>
      <c r="I117" s="218"/>
      <c r="J117" s="219"/>
      <c r="K117" s="207" t="s">
        <v>105</v>
      </c>
      <c r="L117" s="82" t="s">
        <v>183</v>
      </c>
      <c r="M117" s="219"/>
      <c r="N117" s="63"/>
      <c r="O117" s="82" t="s">
        <v>184</v>
      </c>
    </row>
    <row r="118" s="3" customFormat="1" ht="18" customHeight="1" spans="1:15">
      <c r="A118" s="74">
        <v>44013</v>
      </c>
      <c r="B118" s="25">
        <f t="shared" si="10"/>
        <v>458715.6</v>
      </c>
      <c r="C118" s="75"/>
      <c r="D118" s="50" t="s">
        <v>36</v>
      </c>
      <c r="E118" s="77">
        <v>0.09</v>
      </c>
      <c r="F118" s="25">
        <f t="shared" si="11"/>
        <v>41284.4</v>
      </c>
      <c r="G118" s="198">
        <v>500000</v>
      </c>
      <c r="H118" s="200"/>
      <c r="I118" s="218"/>
      <c r="J118" s="219"/>
      <c r="K118" s="171" t="s">
        <v>166</v>
      </c>
      <c r="L118" s="208" t="s">
        <v>185</v>
      </c>
      <c r="M118" t="s">
        <v>100</v>
      </c>
      <c r="N118" s="63"/>
      <c r="O118" s="82"/>
    </row>
    <row r="119" s="3" customFormat="1" ht="18" customHeight="1" spans="1:15">
      <c r="A119" s="74"/>
      <c r="B119" s="25">
        <f t="shared" si="10"/>
        <v>0</v>
      </c>
      <c r="C119" s="75"/>
      <c r="D119" s="50"/>
      <c r="E119" s="77"/>
      <c r="F119" s="25">
        <f t="shared" si="11"/>
        <v>0</v>
      </c>
      <c r="G119" s="198"/>
      <c r="H119" s="199"/>
      <c r="I119" s="215"/>
      <c r="J119" s="230"/>
      <c r="K119" s="225"/>
      <c r="L119" s="82"/>
      <c r="M119" s="63"/>
      <c r="N119" s="63"/>
      <c r="O119" s="82"/>
    </row>
    <row r="120" s="3" customFormat="1" ht="18" customHeight="1" spans="1:15">
      <c r="A120" s="74"/>
      <c r="B120" s="25">
        <f t="shared" si="10"/>
        <v>0</v>
      </c>
      <c r="C120" s="75"/>
      <c r="D120" s="50"/>
      <c r="E120" s="77"/>
      <c r="F120" s="25">
        <f t="shared" si="11"/>
        <v>0</v>
      </c>
      <c r="G120" s="198"/>
      <c r="H120" s="199"/>
      <c r="I120" s="215"/>
      <c r="J120" s="230"/>
      <c r="K120" s="225"/>
      <c r="L120" s="82"/>
      <c r="M120" s="63"/>
      <c r="N120" s="63"/>
      <c r="O120" s="82"/>
    </row>
    <row r="121" s="3" customFormat="1" ht="18" customHeight="1" spans="1:15">
      <c r="A121" s="74"/>
      <c r="B121" s="25">
        <f t="shared" si="10"/>
        <v>0</v>
      </c>
      <c r="C121" s="75"/>
      <c r="D121" s="50"/>
      <c r="E121" s="77"/>
      <c r="F121" s="25">
        <f t="shared" si="11"/>
        <v>0</v>
      </c>
      <c r="G121" s="198"/>
      <c r="H121" s="195">
        <v>44019</v>
      </c>
      <c r="I121" s="262">
        <v>200</v>
      </c>
      <c r="J121" s="176" t="s">
        <v>106</v>
      </c>
      <c r="K121" s="260" t="s">
        <v>110</v>
      </c>
      <c r="L121" s="82"/>
      <c r="M121" s="63"/>
      <c r="N121" s="63"/>
      <c r="O121" s="82"/>
    </row>
    <row r="122" s="3" customFormat="1" ht="18" customHeight="1" spans="1:15">
      <c r="A122" s="74"/>
      <c r="B122" s="25">
        <f t="shared" ref="B122:B160" si="12">ROUND(G122/(1+E122),2)</f>
        <v>0</v>
      </c>
      <c r="C122" s="75"/>
      <c r="D122" s="50"/>
      <c r="E122" s="77"/>
      <c r="F122" s="25">
        <f t="shared" ref="F122:F160" si="13">ROUND(G122/(1+E122)*E122,2)</f>
        <v>0</v>
      </c>
      <c r="G122" s="198"/>
      <c r="H122" s="200">
        <v>44012</v>
      </c>
      <c r="I122" s="218">
        <v>-2000000</v>
      </c>
      <c r="J122" s="219"/>
      <c r="K122" s="221" t="s">
        <v>162</v>
      </c>
      <c r="L122" s="82"/>
      <c r="M122" s="63"/>
      <c r="N122" s="63"/>
      <c r="O122" s="82"/>
    </row>
    <row r="123" s="3" customFormat="1" ht="18" customHeight="1" spans="1:15">
      <c r="A123" s="74"/>
      <c r="B123" s="25">
        <f t="shared" si="12"/>
        <v>0</v>
      </c>
      <c r="C123" s="75"/>
      <c r="D123" s="50"/>
      <c r="E123" s="77"/>
      <c r="F123" s="25">
        <f t="shared" si="13"/>
        <v>0</v>
      </c>
      <c r="G123" s="198"/>
      <c r="H123" s="199">
        <v>44012</v>
      </c>
      <c r="I123" s="233">
        <v>100</v>
      </c>
      <c r="J123" s="216" t="s">
        <v>106</v>
      </c>
      <c r="K123" s="234" t="s">
        <v>110</v>
      </c>
      <c r="L123" s="82"/>
      <c r="M123" s="63"/>
      <c r="N123" s="63"/>
      <c r="O123" s="82"/>
    </row>
    <row r="124" s="3" customFormat="1" ht="17.1" customHeight="1" spans="1:15">
      <c r="A124" s="74"/>
      <c r="B124" s="25">
        <f t="shared" si="12"/>
        <v>0</v>
      </c>
      <c r="C124" s="75"/>
      <c r="D124" s="50"/>
      <c r="E124" s="77"/>
      <c r="F124" s="25">
        <f t="shared" si="13"/>
        <v>0</v>
      </c>
      <c r="G124" s="198"/>
      <c r="H124" s="199">
        <v>44005</v>
      </c>
      <c r="I124" s="233">
        <v>100</v>
      </c>
      <c r="J124" s="216" t="s">
        <v>106</v>
      </c>
      <c r="K124" s="234" t="s">
        <v>110</v>
      </c>
      <c r="L124" s="82"/>
      <c r="M124" s="63"/>
      <c r="N124" s="63"/>
      <c r="O124" s="82"/>
    </row>
    <row r="125" s="3" customFormat="1" ht="17.1" customHeight="1" spans="1:15">
      <c r="A125" s="74"/>
      <c r="B125" s="25">
        <f t="shared" si="12"/>
        <v>0</v>
      </c>
      <c r="C125" s="75"/>
      <c r="D125" s="50"/>
      <c r="E125" s="77"/>
      <c r="F125" s="25">
        <f t="shared" si="13"/>
        <v>0</v>
      </c>
      <c r="G125" s="198"/>
      <c r="H125" s="36">
        <v>44001</v>
      </c>
      <c r="I125" s="82">
        <v>100</v>
      </c>
      <c r="J125" s="63" t="s">
        <v>106</v>
      </c>
      <c r="K125" s="82" t="s">
        <v>110</v>
      </c>
      <c r="L125" s="82"/>
      <c r="M125" s="63"/>
      <c r="N125" s="63"/>
      <c r="O125" s="82"/>
    </row>
    <row r="126" s="3" customFormat="1" ht="17.1" customHeight="1" spans="1:15">
      <c r="A126" s="74"/>
      <c r="B126" s="25">
        <f t="shared" si="12"/>
        <v>0</v>
      </c>
      <c r="C126" s="75"/>
      <c r="D126" s="50"/>
      <c r="E126" s="77"/>
      <c r="F126" s="25">
        <f t="shared" si="13"/>
        <v>0</v>
      </c>
      <c r="G126" s="198"/>
      <c r="H126" s="36">
        <v>44000</v>
      </c>
      <c r="I126" s="82">
        <v>100</v>
      </c>
      <c r="J126" s="63" t="s">
        <v>106</v>
      </c>
      <c r="K126" s="82" t="s">
        <v>110</v>
      </c>
      <c r="L126" s="82"/>
      <c r="M126" s="63"/>
      <c r="N126" s="63"/>
      <c r="O126" s="82"/>
    </row>
    <row r="127" s="3" customFormat="1" ht="17.1" customHeight="1" spans="1:15">
      <c r="A127" s="74"/>
      <c r="B127" s="25">
        <f t="shared" si="12"/>
        <v>0</v>
      </c>
      <c r="C127" s="75"/>
      <c r="D127" s="50"/>
      <c r="E127" s="77"/>
      <c r="F127" s="25">
        <f t="shared" si="13"/>
        <v>0</v>
      </c>
      <c r="G127" s="198"/>
      <c r="H127" s="36">
        <v>44000</v>
      </c>
      <c r="I127" s="82">
        <v>300</v>
      </c>
      <c r="J127" s="65" t="s">
        <v>106</v>
      </c>
      <c r="K127" s="207" t="s">
        <v>110</v>
      </c>
      <c r="L127" s="82"/>
      <c r="M127" s="63"/>
      <c r="N127" s="63"/>
      <c r="O127" s="82"/>
    </row>
    <row r="128" s="3" customFormat="1" ht="17.1" customHeight="1" spans="1:15">
      <c r="A128" s="74"/>
      <c r="B128" s="25">
        <f t="shared" si="12"/>
        <v>0</v>
      </c>
      <c r="C128" s="75"/>
      <c r="D128" s="50"/>
      <c r="E128" s="77"/>
      <c r="F128" s="25">
        <f t="shared" si="13"/>
        <v>0</v>
      </c>
      <c r="G128" s="198"/>
      <c r="H128" s="36">
        <v>43994</v>
      </c>
      <c r="I128" s="235">
        <v>100</v>
      </c>
      <c r="J128" s="65" t="s">
        <v>106</v>
      </c>
      <c r="K128" s="207" t="s">
        <v>110</v>
      </c>
      <c r="L128" s="82"/>
      <c r="M128" s="63"/>
      <c r="N128" s="63"/>
      <c r="O128" s="82"/>
    </row>
    <row r="129" s="3" customFormat="1" ht="18" customHeight="1" spans="1:15">
      <c r="A129" s="74"/>
      <c r="B129" s="25">
        <f t="shared" si="12"/>
        <v>0</v>
      </c>
      <c r="C129" s="75"/>
      <c r="D129" s="50"/>
      <c r="E129" s="77"/>
      <c r="F129" s="25">
        <f t="shared" si="13"/>
        <v>0</v>
      </c>
      <c r="G129" s="198"/>
      <c r="H129" s="36">
        <v>43994</v>
      </c>
      <c r="I129" s="236">
        <v>72400</v>
      </c>
      <c r="J129" s="65" t="s">
        <v>106</v>
      </c>
      <c r="K129" s="207" t="s">
        <v>121</v>
      </c>
      <c r="L129" s="82"/>
      <c r="M129" s="63"/>
      <c r="N129" s="63"/>
      <c r="O129" s="82"/>
    </row>
    <row r="130" s="3" customFormat="1" ht="18" customHeight="1" spans="1:15">
      <c r="A130" s="74"/>
      <c r="B130" s="25">
        <f t="shared" si="12"/>
        <v>0</v>
      </c>
      <c r="C130" s="75"/>
      <c r="D130" s="50"/>
      <c r="E130" s="77"/>
      <c r="F130" s="25">
        <f t="shared" si="13"/>
        <v>0</v>
      </c>
      <c r="G130" s="198"/>
      <c r="H130" s="36">
        <v>43994</v>
      </c>
      <c r="I130" s="188">
        <v>1992.66055045872</v>
      </c>
      <c r="J130" s="65" t="s">
        <v>106</v>
      </c>
      <c r="K130" s="207" t="s">
        <v>123</v>
      </c>
      <c r="L130" s="82"/>
      <c r="M130" s="63"/>
      <c r="N130" s="63"/>
      <c r="O130" s="82"/>
    </row>
    <row r="131" s="3" customFormat="1" ht="18" customHeight="1" spans="1:15">
      <c r="A131" s="74"/>
      <c r="B131" s="25">
        <f t="shared" si="12"/>
        <v>0</v>
      </c>
      <c r="C131" s="75"/>
      <c r="D131" s="50"/>
      <c r="E131" s="77"/>
      <c r="F131" s="25">
        <f t="shared" si="13"/>
        <v>0</v>
      </c>
      <c r="G131" s="198"/>
      <c r="H131" s="36">
        <v>43994</v>
      </c>
      <c r="I131" s="188">
        <v>18100</v>
      </c>
      <c r="J131" s="65" t="s">
        <v>106</v>
      </c>
      <c r="K131" s="207" t="s">
        <v>157</v>
      </c>
      <c r="L131" s="82"/>
      <c r="M131" s="63"/>
      <c r="N131" s="63"/>
      <c r="O131" s="82"/>
    </row>
    <row r="132" s="3" customFormat="1" ht="18" customHeight="1" spans="1:15">
      <c r="A132" s="74"/>
      <c r="B132" s="25">
        <f t="shared" si="12"/>
        <v>0</v>
      </c>
      <c r="C132" s="75"/>
      <c r="D132" s="50"/>
      <c r="E132" s="77"/>
      <c r="F132" s="25">
        <f t="shared" si="13"/>
        <v>0</v>
      </c>
      <c r="G132" s="198"/>
      <c r="H132" s="36">
        <v>43993</v>
      </c>
      <c r="I132" s="188">
        <v>100</v>
      </c>
      <c r="J132" s="65" t="s">
        <v>106</v>
      </c>
      <c r="K132" s="207" t="s">
        <v>110</v>
      </c>
      <c r="L132" s="82"/>
      <c r="M132" s="63"/>
      <c r="N132" s="63"/>
      <c r="O132" s="82"/>
    </row>
    <row r="133" s="3" customFormat="1" ht="18" customHeight="1" spans="1:15">
      <c r="A133" s="74"/>
      <c r="B133" s="25">
        <f t="shared" si="12"/>
        <v>0</v>
      </c>
      <c r="C133" s="75"/>
      <c r="D133" s="50"/>
      <c r="E133" s="77"/>
      <c r="F133" s="25">
        <f t="shared" si="13"/>
        <v>0</v>
      </c>
      <c r="G133" s="198"/>
      <c r="H133" s="36">
        <v>43966</v>
      </c>
      <c r="I133" s="188">
        <v>100</v>
      </c>
      <c r="J133" s="65" t="s">
        <v>106</v>
      </c>
      <c r="K133" s="207" t="s">
        <v>110</v>
      </c>
      <c r="L133" s="82"/>
      <c r="M133" s="63"/>
      <c r="N133" s="63"/>
      <c r="O133" s="82"/>
    </row>
    <row r="134" s="3" customFormat="1" ht="18" customHeight="1" spans="1:15">
      <c r="A134" s="74"/>
      <c r="B134" s="25">
        <f t="shared" si="12"/>
        <v>0</v>
      </c>
      <c r="C134" s="75"/>
      <c r="D134" s="50"/>
      <c r="E134" s="77"/>
      <c r="F134" s="25">
        <f t="shared" si="13"/>
        <v>0</v>
      </c>
      <c r="G134" s="198"/>
      <c r="H134" s="76">
        <v>10.2</v>
      </c>
      <c r="I134" s="188">
        <v>100</v>
      </c>
      <c r="J134" s="65" t="s">
        <v>106</v>
      </c>
      <c r="K134" s="207" t="s">
        <v>110</v>
      </c>
      <c r="L134" s="82"/>
      <c r="M134" s="63"/>
      <c r="N134" s="63"/>
      <c r="O134" s="82"/>
    </row>
    <row r="135" s="3" customFormat="1" ht="18" customHeight="1" spans="1:15">
      <c r="A135" s="74"/>
      <c r="B135" s="25">
        <f t="shared" si="12"/>
        <v>0</v>
      </c>
      <c r="C135" s="75"/>
      <c r="D135" s="50"/>
      <c r="E135" s="77"/>
      <c r="F135" s="25">
        <f t="shared" si="13"/>
        <v>0</v>
      </c>
      <c r="G135" s="198"/>
      <c r="H135" s="76">
        <v>10.1</v>
      </c>
      <c r="I135" s="188">
        <v>100</v>
      </c>
      <c r="J135" s="65" t="s">
        <v>106</v>
      </c>
      <c r="K135" s="207" t="s">
        <v>110</v>
      </c>
      <c r="L135" s="82"/>
      <c r="M135" s="63"/>
      <c r="N135" s="63"/>
      <c r="O135" s="82"/>
    </row>
    <row r="136" s="3" customFormat="1" ht="18" customHeight="1" spans="1:15">
      <c r="A136" s="74"/>
      <c r="B136" s="25">
        <f t="shared" si="12"/>
        <v>0</v>
      </c>
      <c r="C136" s="75"/>
      <c r="D136" s="50"/>
      <c r="E136" s="77"/>
      <c r="F136" s="25">
        <f t="shared" si="13"/>
        <v>0</v>
      </c>
      <c r="G136" s="198"/>
      <c r="H136" s="76">
        <v>10.1</v>
      </c>
      <c r="I136" s="188">
        <f>B12*0.0006</f>
        <v>853.211009174312</v>
      </c>
      <c r="J136" s="65" t="s">
        <v>106</v>
      </c>
      <c r="K136" s="207" t="s">
        <v>107</v>
      </c>
      <c r="L136" s="82">
        <f>I136+I137+I140+I145+I148+I149+I150+I151+I158+I159+I165+I167+I168</f>
        <v>916149.577981651</v>
      </c>
      <c r="M136" s="63"/>
      <c r="N136" s="63"/>
      <c r="O136" s="82"/>
    </row>
    <row r="137" s="3" customFormat="1" ht="18" customHeight="1" spans="1:15">
      <c r="A137" s="74"/>
      <c r="B137" s="25">
        <f t="shared" si="12"/>
        <v>0</v>
      </c>
      <c r="C137" s="75"/>
      <c r="D137" s="50"/>
      <c r="E137" s="77"/>
      <c r="F137" s="25">
        <f t="shared" si="13"/>
        <v>0</v>
      </c>
      <c r="G137" s="198"/>
      <c r="H137" s="76">
        <v>10.1</v>
      </c>
      <c r="I137" s="188">
        <f>B12*0.02</f>
        <v>28440.3669724771</v>
      </c>
      <c r="J137" s="65" t="s">
        <v>106</v>
      </c>
      <c r="K137" s="207" t="s">
        <v>108</v>
      </c>
      <c r="L137" s="82"/>
      <c r="M137" s="63"/>
      <c r="N137" s="63"/>
      <c r="O137" s="82"/>
    </row>
    <row r="138" s="3" customFormat="1" ht="18" customHeight="1" spans="1:15">
      <c r="A138" s="74"/>
      <c r="B138" s="25">
        <f t="shared" si="12"/>
        <v>0</v>
      </c>
      <c r="C138" s="75"/>
      <c r="D138" s="50"/>
      <c r="E138" s="77"/>
      <c r="F138" s="25">
        <f t="shared" si="13"/>
        <v>0</v>
      </c>
      <c r="G138" s="198"/>
      <c r="H138" s="76">
        <v>10.1</v>
      </c>
      <c r="I138" s="188">
        <f>G12*0.005</f>
        <v>7750</v>
      </c>
      <c r="J138" s="65" t="s">
        <v>106</v>
      </c>
      <c r="K138" s="207" t="s">
        <v>157</v>
      </c>
      <c r="L138" s="82">
        <f>I138+I170</f>
        <v>140600</v>
      </c>
      <c r="M138" s="63"/>
      <c r="N138" s="63"/>
      <c r="O138" s="82"/>
    </row>
    <row r="139" s="3" customFormat="1" ht="18" customHeight="1" spans="1:15">
      <c r="A139" s="74"/>
      <c r="B139" s="25">
        <f t="shared" si="12"/>
        <v>0</v>
      </c>
      <c r="C139" s="75"/>
      <c r="D139" s="50"/>
      <c r="E139" s="77"/>
      <c r="F139" s="25">
        <f t="shared" si="13"/>
        <v>0</v>
      </c>
      <c r="G139" s="198"/>
      <c r="H139" s="36" t="s">
        <v>109</v>
      </c>
      <c r="I139" s="188">
        <v>200</v>
      </c>
      <c r="J139" s="65" t="s">
        <v>106</v>
      </c>
      <c r="K139" s="207" t="s">
        <v>110</v>
      </c>
      <c r="L139" s="82">
        <f>I139+I141+I142+I143+I144+I146+I153+I156+I160+I169+I135</f>
        <v>245132.79</v>
      </c>
      <c r="M139" s="63"/>
      <c r="N139" s="63"/>
      <c r="O139" s="82"/>
    </row>
    <row r="140" s="3" customFormat="1" ht="18" customHeight="1" spans="1:15">
      <c r="A140" s="74"/>
      <c r="B140" s="25">
        <f t="shared" si="12"/>
        <v>0</v>
      </c>
      <c r="C140" s="75"/>
      <c r="D140" s="50"/>
      <c r="E140" s="77"/>
      <c r="F140" s="25">
        <f t="shared" si="13"/>
        <v>0</v>
      </c>
      <c r="G140" s="198"/>
      <c r="H140" s="36" t="s">
        <v>111</v>
      </c>
      <c r="I140" s="188">
        <v>-285325</v>
      </c>
      <c r="J140" s="63" t="s">
        <v>112</v>
      </c>
      <c r="K140" s="207" t="s">
        <v>158</v>
      </c>
      <c r="L140" s="82"/>
      <c r="M140" s="63"/>
      <c r="N140" s="63"/>
      <c r="O140" s="82"/>
    </row>
    <row r="141" s="3" customFormat="1" ht="18" customHeight="1" spans="1:15">
      <c r="A141" s="74"/>
      <c r="B141" s="25">
        <f t="shared" si="12"/>
        <v>0</v>
      </c>
      <c r="C141" s="75"/>
      <c r="D141" s="76"/>
      <c r="E141" s="77"/>
      <c r="F141" s="25">
        <f t="shared" si="13"/>
        <v>0</v>
      </c>
      <c r="G141" s="198"/>
      <c r="H141" s="36" t="s">
        <v>111</v>
      </c>
      <c r="I141" s="188">
        <v>200</v>
      </c>
      <c r="J141" s="65" t="s">
        <v>106</v>
      </c>
      <c r="K141" s="207" t="s">
        <v>110</v>
      </c>
      <c r="L141" s="82"/>
      <c r="M141" s="63"/>
      <c r="N141" s="63"/>
      <c r="O141" s="82"/>
    </row>
    <row r="142" s="3" customFormat="1" ht="18" customHeight="1" spans="1:15">
      <c r="A142" s="74"/>
      <c r="B142" s="25">
        <f t="shared" si="12"/>
        <v>0</v>
      </c>
      <c r="C142" s="75"/>
      <c r="D142" s="76"/>
      <c r="E142" s="77"/>
      <c r="F142" s="25">
        <f t="shared" si="13"/>
        <v>0</v>
      </c>
      <c r="G142" s="198"/>
      <c r="H142" s="36" t="s">
        <v>113</v>
      </c>
      <c r="I142" s="188">
        <v>300</v>
      </c>
      <c r="J142" s="65" t="s">
        <v>106</v>
      </c>
      <c r="K142" s="207" t="s">
        <v>110</v>
      </c>
      <c r="L142" s="82"/>
      <c r="M142" s="63"/>
      <c r="N142" s="63"/>
      <c r="O142" s="82"/>
    </row>
    <row r="143" s="3" customFormat="1" ht="18" customHeight="1" spans="1:15">
      <c r="A143" s="74"/>
      <c r="B143" s="25">
        <f t="shared" si="12"/>
        <v>0</v>
      </c>
      <c r="C143" s="75"/>
      <c r="D143" s="76"/>
      <c r="E143" s="77"/>
      <c r="F143" s="25">
        <f t="shared" si="13"/>
        <v>0</v>
      </c>
      <c r="G143" s="198"/>
      <c r="H143" s="36" t="s">
        <v>114</v>
      </c>
      <c r="I143" s="188">
        <v>9600</v>
      </c>
      <c r="J143" s="65" t="s">
        <v>106</v>
      </c>
      <c r="K143" s="207" t="s">
        <v>115</v>
      </c>
      <c r="L143" s="82"/>
      <c r="M143" s="63"/>
      <c r="N143" s="63"/>
      <c r="O143" s="82"/>
    </row>
    <row r="144" s="3" customFormat="1" ht="18" customHeight="1" spans="1:15">
      <c r="A144" s="74"/>
      <c r="B144" s="25">
        <f t="shared" si="12"/>
        <v>0</v>
      </c>
      <c r="C144" s="75"/>
      <c r="D144" s="76"/>
      <c r="E144" s="77"/>
      <c r="F144" s="25">
        <f t="shared" si="13"/>
        <v>0</v>
      </c>
      <c r="G144" s="198"/>
      <c r="H144" s="36" t="s">
        <v>114</v>
      </c>
      <c r="I144" s="188">
        <v>200</v>
      </c>
      <c r="J144" s="65" t="s">
        <v>106</v>
      </c>
      <c r="K144" s="207" t="s">
        <v>110</v>
      </c>
      <c r="L144" s="82"/>
      <c r="M144" s="63"/>
      <c r="N144" s="63"/>
      <c r="O144" s="82"/>
    </row>
    <row r="145" s="3" customFormat="1" ht="18" customHeight="1" spans="1:15">
      <c r="A145" s="74"/>
      <c r="B145" s="25">
        <f t="shared" si="12"/>
        <v>0</v>
      </c>
      <c r="C145" s="75"/>
      <c r="D145" s="76"/>
      <c r="E145" s="77"/>
      <c r="F145" s="25">
        <f t="shared" si="13"/>
        <v>0</v>
      </c>
      <c r="G145" s="198"/>
      <c r="H145" s="36" t="s">
        <v>114</v>
      </c>
      <c r="I145" s="188">
        <v>-903045</v>
      </c>
      <c r="J145" s="63" t="s">
        <v>112</v>
      </c>
      <c r="K145" s="207" t="s">
        <v>116</v>
      </c>
      <c r="L145" s="82"/>
      <c r="M145" s="63"/>
      <c r="N145" s="63"/>
      <c r="O145" s="82"/>
    </row>
    <row r="146" s="3" customFormat="1" ht="18" customHeight="1" spans="1:15">
      <c r="A146" s="74"/>
      <c r="B146" s="25">
        <f t="shared" si="12"/>
        <v>0</v>
      </c>
      <c r="C146" s="75"/>
      <c r="D146" s="76"/>
      <c r="E146" s="77"/>
      <c r="F146" s="25">
        <f t="shared" si="13"/>
        <v>0</v>
      </c>
      <c r="G146" s="198"/>
      <c r="H146" s="36" t="s">
        <v>117</v>
      </c>
      <c r="I146" s="188">
        <v>232932.79</v>
      </c>
      <c r="J146" s="63" t="s">
        <v>106</v>
      </c>
      <c r="K146" s="207" t="s">
        <v>118</v>
      </c>
      <c r="L146" s="82"/>
      <c r="M146" s="63"/>
      <c r="N146" s="63"/>
      <c r="O146" s="82"/>
    </row>
    <row r="147" s="3" customFormat="1" ht="18" customHeight="1" spans="1:15">
      <c r="A147" s="74"/>
      <c r="B147" s="25">
        <f t="shared" si="12"/>
        <v>0</v>
      </c>
      <c r="C147" s="75"/>
      <c r="D147" s="76"/>
      <c r="E147" s="77"/>
      <c r="F147" s="25">
        <f t="shared" si="13"/>
        <v>0</v>
      </c>
      <c r="G147" s="198"/>
      <c r="H147" s="36" t="s">
        <v>117</v>
      </c>
      <c r="I147" s="188"/>
      <c r="J147" s="63" t="s">
        <v>106</v>
      </c>
      <c r="K147" s="207" t="s">
        <v>119</v>
      </c>
      <c r="L147" s="82"/>
      <c r="M147" s="63"/>
      <c r="N147" s="63"/>
      <c r="O147" s="82"/>
    </row>
    <row r="148" s="3" customFormat="1" ht="18" customHeight="1" spans="1:15">
      <c r="A148" s="74"/>
      <c r="B148" s="25">
        <f t="shared" si="12"/>
        <v>0</v>
      </c>
      <c r="C148" s="75"/>
      <c r="D148" s="76"/>
      <c r="E148" s="77"/>
      <c r="F148" s="25">
        <f t="shared" si="13"/>
        <v>0</v>
      </c>
      <c r="G148" s="198"/>
      <c r="H148" s="36" t="s">
        <v>117</v>
      </c>
      <c r="I148" s="188">
        <v>903045</v>
      </c>
      <c r="J148" s="63" t="s">
        <v>120</v>
      </c>
      <c r="K148" s="207" t="s">
        <v>121</v>
      </c>
      <c r="L148" s="82"/>
      <c r="M148" s="63"/>
      <c r="N148" s="63"/>
      <c r="O148" s="82"/>
    </row>
    <row r="149" s="3" customFormat="1" ht="18" customHeight="1" spans="1:15">
      <c r="A149" s="74"/>
      <c r="B149" s="25">
        <f t="shared" si="12"/>
        <v>0</v>
      </c>
      <c r="C149" s="75"/>
      <c r="D149" s="76"/>
      <c r="E149" s="77"/>
      <c r="F149" s="25">
        <f t="shared" si="13"/>
        <v>0</v>
      </c>
      <c r="G149" s="198"/>
      <c r="H149" s="36" t="s">
        <v>117</v>
      </c>
      <c r="I149" s="188">
        <v>485252</v>
      </c>
      <c r="J149" s="63" t="s">
        <v>106</v>
      </c>
      <c r="K149" s="207" t="s">
        <v>122</v>
      </c>
      <c r="L149" s="82"/>
      <c r="M149" s="63"/>
      <c r="N149" s="63"/>
      <c r="O149" s="82"/>
    </row>
    <row r="150" s="3" customFormat="1" ht="18" customHeight="1" spans="1:15">
      <c r="A150" s="74"/>
      <c r="B150" s="25">
        <f t="shared" si="12"/>
        <v>0</v>
      </c>
      <c r="C150" s="75"/>
      <c r="D150" s="76"/>
      <c r="E150" s="77"/>
      <c r="F150" s="25">
        <f t="shared" si="13"/>
        <v>0</v>
      </c>
      <c r="G150" s="198"/>
      <c r="H150" s="36" t="s">
        <v>117</v>
      </c>
      <c r="I150" s="188">
        <v>4789</v>
      </c>
      <c r="J150" s="63" t="s">
        <v>106</v>
      </c>
      <c r="K150" s="207" t="s">
        <v>123</v>
      </c>
      <c r="L150" s="82"/>
      <c r="M150" s="63"/>
      <c r="N150" s="63"/>
      <c r="O150" s="82"/>
    </row>
    <row r="151" s="3" customFormat="1" ht="18" customHeight="1" spans="1:15">
      <c r="A151" s="74"/>
      <c r="B151" s="25">
        <f t="shared" si="12"/>
        <v>0</v>
      </c>
      <c r="C151" s="75"/>
      <c r="D151" s="76"/>
      <c r="E151" s="77"/>
      <c r="F151" s="25">
        <f t="shared" si="13"/>
        <v>0</v>
      </c>
      <c r="G151" s="198"/>
      <c r="H151" s="36" t="s">
        <v>117</v>
      </c>
      <c r="I151" s="188">
        <v>429349</v>
      </c>
      <c r="J151" s="63" t="s">
        <v>106</v>
      </c>
      <c r="K151" s="207" t="s">
        <v>124</v>
      </c>
      <c r="L151" s="82"/>
      <c r="M151" s="63"/>
      <c r="N151" s="63"/>
      <c r="O151" s="82"/>
    </row>
    <row r="152" s="3" customFormat="1" ht="18" customHeight="1" spans="1:15">
      <c r="A152" s="74"/>
      <c r="B152" s="25">
        <f t="shared" si="12"/>
        <v>0</v>
      </c>
      <c r="C152" s="75"/>
      <c r="D152" s="76"/>
      <c r="E152" s="77"/>
      <c r="F152" s="25">
        <f t="shared" si="13"/>
        <v>0</v>
      </c>
      <c r="G152" s="198"/>
      <c r="H152" s="36" t="s">
        <v>117</v>
      </c>
      <c r="I152" s="188">
        <v>87000</v>
      </c>
      <c r="J152" s="63" t="s">
        <v>125</v>
      </c>
      <c r="K152" s="207" t="s">
        <v>126</v>
      </c>
      <c r="L152" s="82"/>
      <c r="M152" s="63"/>
      <c r="N152" s="63"/>
      <c r="O152" s="82"/>
    </row>
    <row r="153" s="2" customFormat="1" ht="18" customHeight="1" spans="1:15">
      <c r="A153" s="48"/>
      <c r="B153" s="25">
        <f t="shared" si="12"/>
        <v>0</v>
      </c>
      <c r="C153" s="49"/>
      <c r="D153" s="50"/>
      <c r="E153" s="70"/>
      <c r="F153" s="25">
        <f t="shared" si="13"/>
        <v>0</v>
      </c>
      <c r="G153" s="189"/>
      <c r="H153" s="36" t="s">
        <v>117</v>
      </c>
      <c r="I153" s="188">
        <v>100</v>
      </c>
      <c r="J153" s="65" t="s">
        <v>106</v>
      </c>
      <c r="K153" s="207" t="s">
        <v>110</v>
      </c>
      <c r="L153" s="82"/>
      <c r="M153" s="56"/>
      <c r="N153" s="65"/>
      <c r="O153" s="67"/>
    </row>
    <row r="154" s="2" customFormat="1" ht="18" customHeight="1" spans="1:15">
      <c r="A154" s="48"/>
      <c r="B154" s="25">
        <f t="shared" si="12"/>
        <v>0</v>
      </c>
      <c r="C154" s="49"/>
      <c r="D154" s="50"/>
      <c r="E154" s="70"/>
      <c r="F154" s="25">
        <f t="shared" si="13"/>
        <v>0</v>
      </c>
      <c r="G154" s="189"/>
      <c r="H154" s="36" t="s">
        <v>117</v>
      </c>
      <c r="I154" s="188"/>
      <c r="J154" s="63"/>
      <c r="K154" s="207"/>
      <c r="L154" s="82"/>
      <c r="M154" s="56"/>
      <c r="N154" s="65"/>
      <c r="O154" s="67"/>
    </row>
    <row r="155" s="2" customFormat="1" ht="18" customHeight="1" spans="1:15">
      <c r="A155" s="48"/>
      <c r="B155" s="25">
        <f t="shared" si="12"/>
        <v>0</v>
      </c>
      <c r="C155" s="49"/>
      <c r="D155" s="50"/>
      <c r="E155" s="70"/>
      <c r="F155" s="25">
        <f t="shared" si="13"/>
        <v>0</v>
      </c>
      <c r="G155" s="189"/>
      <c r="H155" s="36" t="s">
        <v>127</v>
      </c>
      <c r="I155" s="188">
        <v>-93700</v>
      </c>
      <c r="J155" s="63" t="s">
        <v>125</v>
      </c>
      <c r="K155" s="148" t="s">
        <v>126</v>
      </c>
      <c r="L155" s="82"/>
      <c r="M155" s="56"/>
      <c r="N155" s="65"/>
      <c r="O155" s="67"/>
    </row>
    <row r="156" s="2" customFormat="1" ht="18" customHeight="1" spans="1:16">
      <c r="A156" s="48"/>
      <c r="B156" s="25">
        <f t="shared" si="12"/>
        <v>0</v>
      </c>
      <c r="C156" s="49"/>
      <c r="D156" s="50"/>
      <c r="E156" s="70"/>
      <c r="F156" s="25">
        <f t="shared" si="13"/>
        <v>0</v>
      </c>
      <c r="G156" s="189"/>
      <c r="H156" s="36" t="s">
        <v>127</v>
      </c>
      <c r="I156" s="71">
        <v>50</v>
      </c>
      <c r="J156" s="65" t="s">
        <v>106</v>
      </c>
      <c r="K156" s="148" t="s">
        <v>110</v>
      </c>
      <c r="L156" s="82"/>
      <c r="M156" s="56"/>
      <c r="N156" s="65"/>
      <c r="O156" s="67"/>
      <c r="P156" s="2">
        <f>I158+I151+I140</f>
        <v>387045</v>
      </c>
    </row>
    <row r="157" s="2" customFormat="1" ht="18" customHeight="1" spans="1:15">
      <c r="A157" s="48"/>
      <c r="B157" s="25">
        <f t="shared" si="12"/>
        <v>0</v>
      </c>
      <c r="C157" s="49"/>
      <c r="D157" s="50"/>
      <c r="E157" s="70"/>
      <c r="F157" s="25">
        <f t="shared" si="13"/>
        <v>0</v>
      </c>
      <c r="G157" s="189"/>
      <c r="H157" s="36" t="s">
        <v>127</v>
      </c>
      <c r="I157" s="210">
        <v>-21725</v>
      </c>
      <c r="J157" s="56" t="s">
        <v>112</v>
      </c>
      <c r="K157" s="238" t="s">
        <v>159</v>
      </c>
      <c r="L157" s="82"/>
      <c r="M157" s="56"/>
      <c r="N157" s="65"/>
      <c r="O157" s="67"/>
    </row>
    <row r="158" s="2" customFormat="1" ht="18" customHeight="1" spans="1:15">
      <c r="A158" s="48"/>
      <c r="B158" s="25">
        <f t="shared" si="12"/>
        <v>0</v>
      </c>
      <c r="C158" s="49"/>
      <c r="D158" s="50"/>
      <c r="E158" s="46"/>
      <c r="F158" s="25">
        <f t="shared" si="13"/>
        <v>0</v>
      </c>
      <c r="G158" s="189"/>
      <c r="H158" s="36" t="s">
        <v>129</v>
      </c>
      <c r="I158" s="188">
        <v>243021</v>
      </c>
      <c r="J158" s="63" t="s">
        <v>106</v>
      </c>
      <c r="K158" s="207" t="s">
        <v>124</v>
      </c>
      <c r="L158" s="67"/>
      <c r="M158" s="65"/>
      <c r="N158" s="65"/>
      <c r="O158" s="67"/>
    </row>
    <row r="159" s="2" customFormat="1" ht="18" customHeight="1" spans="1:15">
      <c r="A159" s="48"/>
      <c r="B159" s="25">
        <f t="shared" si="12"/>
        <v>0</v>
      </c>
      <c r="C159" s="49"/>
      <c r="D159" s="50"/>
      <c r="E159" s="46"/>
      <c r="F159" s="25">
        <f t="shared" si="13"/>
        <v>0</v>
      </c>
      <c r="G159" s="189"/>
      <c r="H159" s="36" t="s">
        <v>129</v>
      </c>
      <c r="I159" s="188">
        <v>2340</v>
      </c>
      <c r="J159" s="63" t="s">
        <v>106</v>
      </c>
      <c r="K159" s="207" t="s">
        <v>123</v>
      </c>
      <c r="L159" s="67"/>
      <c r="M159" s="65"/>
      <c r="N159" s="65"/>
      <c r="O159" s="67"/>
    </row>
    <row r="160" s="2" customFormat="1" ht="18" customHeight="1" spans="1:15">
      <c r="A160" s="48"/>
      <c r="B160" s="25">
        <f t="shared" si="12"/>
        <v>0</v>
      </c>
      <c r="C160" s="49"/>
      <c r="D160" s="50"/>
      <c r="E160" s="46"/>
      <c r="F160" s="25">
        <f t="shared" si="13"/>
        <v>0</v>
      </c>
      <c r="G160" s="189"/>
      <c r="H160" s="36" t="s">
        <v>129</v>
      </c>
      <c r="I160" s="188">
        <v>500</v>
      </c>
      <c r="J160" s="63" t="s">
        <v>106</v>
      </c>
      <c r="K160" s="148" t="s">
        <v>130</v>
      </c>
      <c r="L160" s="67"/>
      <c r="M160" s="65"/>
      <c r="N160" s="65"/>
      <c r="O160" s="67"/>
    </row>
    <row r="161" s="2" customFormat="1" ht="18" customHeight="1" spans="1:15">
      <c r="A161" s="48"/>
      <c r="B161" s="25"/>
      <c r="C161" s="49"/>
      <c r="D161" s="50"/>
      <c r="E161" s="46"/>
      <c r="F161" s="25"/>
      <c r="G161" s="189"/>
      <c r="H161" s="36" t="s">
        <v>129</v>
      </c>
      <c r="I161" s="210">
        <v>55725</v>
      </c>
      <c r="J161" s="56" t="s">
        <v>120</v>
      </c>
      <c r="K161" s="238" t="s">
        <v>121</v>
      </c>
      <c r="L161" s="67"/>
      <c r="M161" s="65"/>
      <c r="N161" s="65"/>
      <c r="O161" s="67"/>
    </row>
    <row r="162" s="2" customFormat="1" ht="18" customHeight="1" spans="1:15">
      <c r="A162" s="48"/>
      <c r="B162" s="25">
        <f t="shared" ref="B162:B167" si="14">ROUND(G162/(1+E162),2)</f>
        <v>0</v>
      </c>
      <c r="C162" s="49"/>
      <c r="D162" s="50"/>
      <c r="E162" s="46"/>
      <c r="F162" s="25">
        <f t="shared" ref="F162:F167" si="15">ROUND(G162/(1+E162)*E162,2)</f>
        <v>0</v>
      </c>
      <c r="G162" s="189"/>
      <c r="H162" s="36" t="s">
        <v>129</v>
      </c>
      <c r="I162" s="188">
        <v>8500</v>
      </c>
      <c r="J162" s="63" t="s">
        <v>125</v>
      </c>
      <c r="K162" s="148" t="s">
        <v>126</v>
      </c>
      <c r="L162" s="67"/>
      <c r="M162" s="65"/>
      <c r="N162" s="65"/>
      <c r="O162" s="67"/>
    </row>
    <row r="163" s="2" customFormat="1" ht="18" customHeight="1" spans="1:15">
      <c r="A163" s="48"/>
      <c r="B163" s="25">
        <f t="shared" si="14"/>
        <v>0</v>
      </c>
      <c r="C163" s="49"/>
      <c r="D163" s="50"/>
      <c r="E163" s="46"/>
      <c r="F163" s="25">
        <f t="shared" si="15"/>
        <v>0</v>
      </c>
      <c r="G163" s="189"/>
      <c r="H163" s="36" t="s">
        <v>131</v>
      </c>
      <c r="I163" s="188">
        <v>8800</v>
      </c>
      <c r="J163" s="63" t="s">
        <v>125</v>
      </c>
      <c r="K163" s="148" t="s">
        <v>126</v>
      </c>
      <c r="L163" s="67"/>
      <c r="M163" s="65"/>
      <c r="N163" s="65"/>
      <c r="O163" s="67"/>
    </row>
    <row r="164" s="2" customFormat="1" ht="18" customHeight="1" spans="1:15">
      <c r="A164" s="48"/>
      <c r="B164" s="25">
        <f t="shared" si="14"/>
        <v>0</v>
      </c>
      <c r="C164" s="49"/>
      <c r="D164" s="50"/>
      <c r="E164" s="46"/>
      <c r="F164" s="25">
        <f t="shared" si="15"/>
        <v>0</v>
      </c>
      <c r="G164" s="189"/>
      <c r="H164" s="36" t="s">
        <v>131</v>
      </c>
      <c r="I164" s="188">
        <v>35200</v>
      </c>
      <c r="J164" s="63" t="s">
        <v>125</v>
      </c>
      <c r="K164" s="148" t="s">
        <v>126</v>
      </c>
      <c r="L164" s="67"/>
      <c r="M164" s="65"/>
      <c r="N164" s="65"/>
      <c r="O164" s="67"/>
    </row>
    <row r="165" s="2" customFormat="1" ht="18" customHeight="1" spans="1:15">
      <c r="A165" s="48"/>
      <c r="B165" s="25">
        <f t="shared" si="14"/>
        <v>0</v>
      </c>
      <c r="C165" s="49"/>
      <c r="D165" s="50"/>
      <c r="E165" s="46"/>
      <c r="F165" s="25">
        <f t="shared" si="15"/>
        <v>0</v>
      </c>
      <c r="G165" s="189"/>
      <c r="H165" s="36" t="s">
        <v>131</v>
      </c>
      <c r="I165" s="188">
        <f>B9*E182</f>
        <v>2400</v>
      </c>
      <c r="J165" s="63" t="s">
        <v>106</v>
      </c>
      <c r="K165" s="148" t="s">
        <v>132</v>
      </c>
      <c r="L165" s="67"/>
      <c r="M165" s="65"/>
      <c r="N165" s="65"/>
      <c r="O165" s="67"/>
    </row>
    <row r="166" s="1" customFormat="1" ht="18" customHeight="1" spans="1:15">
      <c r="A166" s="43"/>
      <c r="B166" s="25">
        <f t="shared" si="14"/>
        <v>0</v>
      </c>
      <c r="C166" s="44"/>
      <c r="D166" s="45"/>
      <c r="E166" s="46"/>
      <c r="F166" s="25">
        <f t="shared" si="15"/>
        <v>0</v>
      </c>
      <c r="G166" s="189"/>
      <c r="H166" s="31" t="s">
        <v>133</v>
      </c>
      <c r="I166" s="188">
        <v>41200</v>
      </c>
      <c r="J166" s="63" t="s">
        <v>125</v>
      </c>
      <c r="K166" s="148" t="s">
        <v>126</v>
      </c>
      <c r="L166" s="60"/>
      <c r="M166" s="61"/>
      <c r="N166" s="61"/>
      <c r="O166" s="60"/>
    </row>
    <row r="167" s="1" customFormat="1" ht="18" customHeight="1" spans="1:15">
      <c r="A167" s="43"/>
      <c r="B167" s="25">
        <f t="shared" si="14"/>
        <v>0</v>
      </c>
      <c r="C167" s="44"/>
      <c r="D167" s="45"/>
      <c r="E167" s="46"/>
      <c r="F167" s="25">
        <f t="shared" si="15"/>
        <v>0</v>
      </c>
      <c r="G167" s="189"/>
      <c r="H167" s="31" t="s">
        <v>133</v>
      </c>
      <c r="I167" s="188">
        <v>2248</v>
      </c>
      <c r="J167" s="63" t="s">
        <v>106</v>
      </c>
      <c r="K167" s="148" t="s">
        <v>160</v>
      </c>
      <c r="L167" s="60"/>
      <c r="M167" s="61"/>
      <c r="N167" s="61"/>
      <c r="O167" s="60"/>
    </row>
    <row r="168" s="1" customFormat="1" ht="18" customHeight="1" spans="1:15">
      <c r="A168" s="43"/>
      <c r="B168" s="25"/>
      <c r="C168" s="44"/>
      <c r="D168" s="45"/>
      <c r="E168" s="46"/>
      <c r="F168" s="25"/>
      <c r="G168" s="189"/>
      <c r="H168" s="36" t="s">
        <v>134</v>
      </c>
      <c r="I168" s="188">
        <v>2782</v>
      </c>
      <c r="J168" s="63" t="s">
        <v>106</v>
      </c>
      <c r="K168" s="148" t="s">
        <v>160</v>
      </c>
      <c r="L168" s="60"/>
      <c r="M168" s="61"/>
      <c r="N168" s="61"/>
      <c r="O168" s="60"/>
    </row>
    <row r="169" s="1" customFormat="1" ht="18" customHeight="1" spans="1:15">
      <c r="A169" s="43"/>
      <c r="B169" s="25">
        <f>ROUND(G169/(1+E169),2)</f>
        <v>0</v>
      </c>
      <c r="C169" s="44"/>
      <c r="D169" s="45"/>
      <c r="E169" s="46"/>
      <c r="F169" s="25">
        <f>ROUND(G169/(1+E169)*E169,2)</f>
        <v>0</v>
      </c>
      <c r="G169" s="189"/>
      <c r="H169" s="36" t="s">
        <v>134</v>
      </c>
      <c r="I169" s="188">
        <v>950</v>
      </c>
      <c r="J169" s="63" t="s">
        <v>106</v>
      </c>
      <c r="K169" s="148" t="s">
        <v>130</v>
      </c>
      <c r="L169" s="60"/>
      <c r="M169" s="61"/>
      <c r="N169" s="61"/>
      <c r="O169" s="60"/>
    </row>
    <row r="170" s="1" customFormat="1" ht="18" customHeight="1" spans="1:15">
      <c r="A170" s="43"/>
      <c r="B170" s="25">
        <f>ROUND(G170/(1+E170),2)</f>
        <v>132850</v>
      </c>
      <c r="C170" s="44"/>
      <c r="D170" s="45"/>
      <c r="E170" s="46"/>
      <c r="F170" s="25">
        <f>ROUND(G170/(1+E170)*E170,2)</f>
        <v>0</v>
      </c>
      <c r="G170" s="189">
        <f>46100+17600+4400+17000+4250+34800+8700</f>
        <v>132850</v>
      </c>
      <c r="H170" s="31"/>
      <c r="I170" s="32">
        <f>G170</f>
        <v>132850</v>
      </c>
      <c r="J170" s="63" t="s">
        <v>106</v>
      </c>
      <c r="K170" s="148" t="s">
        <v>161</v>
      </c>
      <c r="L170" s="60"/>
      <c r="M170" s="61"/>
      <c r="N170" s="61"/>
      <c r="O170" s="60"/>
    </row>
    <row r="171" s="1" customFormat="1" ht="18" customHeight="1" spans="1:15">
      <c r="A171" s="43"/>
      <c r="B171" s="25"/>
      <c r="C171" s="44"/>
      <c r="D171" s="45"/>
      <c r="E171" s="46"/>
      <c r="F171" s="25"/>
      <c r="G171" s="239"/>
      <c r="H171" s="31"/>
      <c r="I171" s="141">
        <v>-3000000</v>
      </c>
      <c r="J171" s="249"/>
      <c r="K171" s="250" t="s">
        <v>162</v>
      </c>
      <c r="L171" s="60"/>
      <c r="M171" s="61"/>
      <c r="N171" s="61"/>
      <c r="O171" s="60"/>
    </row>
    <row r="172" ht="18" customHeight="1" spans="1:15">
      <c r="A172" s="39" t="s">
        <v>22</v>
      </c>
      <c r="B172" s="38">
        <f>SUM(B24:B170)</f>
        <v>36401815.8</v>
      </c>
      <c r="C172" s="39"/>
      <c r="D172" s="240"/>
      <c r="E172" s="240"/>
      <c r="F172" s="241">
        <f>SUM(F24:F170)</f>
        <v>1942705.58</v>
      </c>
      <c r="G172" s="242">
        <f>SUM(G24:G170)</f>
        <v>38344521.38</v>
      </c>
      <c r="H172" s="243"/>
      <c r="I172" s="190">
        <f>SUM(I24:I171)</f>
        <v>31737413.4885321</v>
      </c>
      <c r="J172" s="251"/>
      <c r="K172" s="252"/>
      <c r="L172" s="191"/>
      <c r="M172" s="40"/>
      <c r="N172" s="40"/>
      <c r="O172" s="191"/>
    </row>
    <row r="173" ht="18" customHeight="1" spans="1:14">
      <c r="A173" s="99"/>
      <c r="B173" s="100">
        <f>B21*0.92-B172</f>
        <v>-9716598.11859882</v>
      </c>
      <c r="C173" s="99"/>
      <c r="D173" s="244"/>
      <c r="E173" s="244"/>
      <c r="F173" s="100">
        <f>F21-F172</f>
        <v>211509.599316096</v>
      </c>
      <c r="G173" s="100"/>
      <c r="H173" s="30" t="s">
        <v>136</v>
      </c>
      <c r="I173" s="190">
        <f>I21-I172</f>
        <v>2586.51146788895</v>
      </c>
      <c r="J173" s="14"/>
      <c r="K173" s="253"/>
      <c r="M173" s="13"/>
      <c r="N173" s="13"/>
    </row>
    <row r="174" ht="18" customHeight="1" spans="1:3">
      <c r="A174" s="6" t="s">
        <v>137</v>
      </c>
      <c r="C174" s="6"/>
    </row>
    <row r="175" ht="18" customHeight="1" spans="1:17">
      <c r="A175" s="30" t="s">
        <v>138</v>
      </c>
      <c r="B175" s="28" t="s">
        <v>139</v>
      </c>
      <c r="C175" s="191"/>
      <c r="D175" s="30" t="s">
        <v>138</v>
      </c>
      <c r="E175" s="27" t="s">
        <v>15</v>
      </c>
      <c r="F175" s="28" t="s">
        <v>139</v>
      </c>
      <c r="G175" s="28" t="s">
        <v>140</v>
      </c>
      <c r="H175" s="28" t="s">
        <v>141</v>
      </c>
      <c r="I175" s="28" t="s">
        <v>142</v>
      </c>
      <c r="K175" s="28" t="s">
        <v>143</v>
      </c>
      <c r="L175" s="254"/>
      <c r="M175" s="28" t="s">
        <v>144</v>
      </c>
      <c r="N175" s="134" t="s">
        <v>144</v>
      </c>
      <c r="O175" s="255"/>
      <c r="P175" s="242" t="s">
        <v>145</v>
      </c>
      <c r="Q175" s="242" t="s">
        <v>163</v>
      </c>
    </row>
    <row r="176" ht="18" customHeight="1" spans="1:17">
      <c r="A176" s="191" t="s">
        <v>146</v>
      </c>
      <c r="B176" s="25">
        <f>(B21-B172)*0.25</f>
        <v>-1849036.10179316</v>
      </c>
      <c r="C176" s="191"/>
      <c r="D176" s="18" t="s">
        <v>147</v>
      </c>
      <c r="E176" s="40" t="s">
        <v>148</v>
      </c>
      <c r="F176" s="245">
        <f>F21-F172</f>
        <v>211509.599316096</v>
      </c>
      <c r="G176" s="245">
        <f>F7-F24-F26-F29-F30-F33</f>
        <v>-333763.749090909</v>
      </c>
      <c r="H176" s="245">
        <f>F8-F38</f>
        <v>299461.603636364</v>
      </c>
      <c r="I176" s="245">
        <f>F9-F40-F41-F43-F48-F49-F50-F51-F53</f>
        <v>49772.4599999999</v>
      </c>
      <c r="K176" s="245">
        <f>F10-F74-F75-F76-F77-F78</f>
        <v>205457.659816514</v>
      </c>
      <c r="L176" s="254"/>
      <c r="M176" s="245">
        <f>F11-F79-F87-F88-F90</f>
        <v>390316.376330275</v>
      </c>
      <c r="N176" s="134">
        <v>-259385.7</v>
      </c>
      <c r="O176" s="255"/>
      <c r="P176" s="242"/>
      <c r="Q176" s="265"/>
    </row>
    <row r="177" ht="18" customHeight="1" spans="1:17">
      <c r="A177" s="191" t="s">
        <v>149</v>
      </c>
      <c r="B177" s="21" t="s">
        <v>150</v>
      </c>
      <c r="C177" s="191"/>
      <c r="D177" s="246" t="s">
        <v>151</v>
      </c>
      <c r="E177" s="22">
        <v>0.05</v>
      </c>
      <c r="F177" s="32">
        <f>F176*E177</f>
        <v>10575.4799658048</v>
      </c>
      <c r="G177" s="32">
        <v>0</v>
      </c>
      <c r="H177" s="32">
        <v>0</v>
      </c>
      <c r="I177" s="32">
        <v>0</v>
      </c>
      <c r="K177" s="32">
        <f>K176*E177</f>
        <v>10272.8829908257</v>
      </c>
      <c r="L177" s="254"/>
      <c r="M177" s="32">
        <f>M176*E177</f>
        <v>19515.8188165138</v>
      </c>
      <c r="N177" s="134">
        <f>N176*E177</f>
        <v>-12969.285</v>
      </c>
      <c r="O177" s="255"/>
      <c r="P177" s="242"/>
      <c r="Q177" s="265"/>
    </row>
    <row r="178" ht="18" customHeight="1" spans="1:17">
      <c r="A178" s="191" t="s">
        <v>123</v>
      </c>
      <c r="B178" s="247">
        <f>B21*0.0006</f>
        <v>17403.4028356964</v>
      </c>
      <c r="C178" s="191"/>
      <c r="D178" s="246" t="s">
        <v>152</v>
      </c>
      <c r="E178" s="22">
        <v>0.03</v>
      </c>
      <c r="F178" s="32">
        <f>F176*E178</f>
        <v>6345.28797948289</v>
      </c>
      <c r="G178" s="32">
        <v>0</v>
      </c>
      <c r="H178" s="32">
        <v>0</v>
      </c>
      <c r="I178" s="32">
        <v>0</v>
      </c>
      <c r="K178" s="32">
        <f>K176*E178</f>
        <v>6163.72979449541</v>
      </c>
      <c r="L178" s="254"/>
      <c r="M178" s="32">
        <f>M176*E178</f>
        <v>11709.4912899083</v>
      </c>
      <c r="N178" s="134">
        <f>N176*E178</f>
        <v>-7781.571</v>
      </c>
      <c r="O178" s="255"/>
      <c r="P178" s="242"/>
      <c r="Q178" s="265"/>
    </row>
    <row r="179" ht="18" customHeight="1" spans="1:17">
      <c r="A179" s="191"/>
      <c r="B179" s="32"/>
      <c r="C179" s="191"/>
      <c r="D179" s="246" t="s">
        <v>153</v>
      </c>
      <c r="E179" s="22">
        <v>0.02</v>
      </c>
      <c r="F179" s="32">
        <f>F176*E179</f>
        <v>4230.19198632193</v>
      </c>
      <c r="G179" s="32">
        <v>0</v>
      </c>
      <c r="H179" s="32">
        <v>0</v>
      </c>
      <c r="I179" s="32">
        <v>0</v>
      </c>
      <c r="K179" s="32">
        <f>K176*E179</f>
        <v>4109.15319633028</v>
      </c>
      <c r="L179" s="254"/>
      <c r="M179" s="32">
        <f>M176*E179</f>
        <v>7806.32752660551</v>
      </c>
      <c r="N179" s="134">
        <f>N176*E179</f>
        <v>-5187.714</v>
      </c>
      <c r="O179" s="255"/>
      <c r="P179" s="242"/>
      <c r="Q179" s="265"/>
    </row>
    <row r="180" ht="18" customHeight="1" spans="1:17">
      <c r="A180" s="37" t="s">
        <v>154</v>
      </c>
      <c r="B180" s="38">
        <f>SUM(B176:B179)</f>
        <v>-1831632.69895746</v>
      </c>
      <c r="C180" s="191"/>
      <c r="D180" s="37" t="s">
        <v>154</v>
      </c>
      <c r="E180" s="37"/>
      <c r="F180" s="241">
        <f>SUM(F176:F179)</f>
        <v>232660.559247706</v>
      </c>
      <c r="G180" s="241">
        <v>0</v>
      </c>
      <c r="H180" s="241">
        <v>0</v>
      </c>
      <c r="I180" s="241">
        <v>0</v>
      </c>
      <c r="K180" s="241">
        <f t="shared" ref="K180:N180" si="16">SUM(K176:K179)</f>
        <v>226003.425798165</v>
      </c>
      <c r="L180" s="254"/>
      <c r="M180" s="241">
        <f t="shared" si="16"/>
        <v>429348.013963303</v>
      </c>
      <c r="N180" s="134">
        <f t="shared" si="16"/>
        <v>-285324.27</v>
      </c>
      <c r="O180" s="255"/>
      <c r="P180" s="242"/>
      <c r="Q180" s="265"/>
    </row>
    <row r="181" ht="18" customHeight="1" spans="3:17">
      <c r="C181" s="6"/>
      <c r="D181" s="20" t="s">
        <v>149</v>
      </c>
      <c r="E181" s="248">
        <v>0.0003</v>
      </c>
      <c r="F181" s="32">
        <v>0</v>
      </c>
      <c r="G181" s="32"/>
      <c r="H181" s="32"/>
      <c r="I181" s="32">
        <v>0</v>
      </c>
      <c r="K181" s="32"/>
      <c r="M181" s="32"/>
      <c r="N181" s="134"/>
      <c r="O181" s="255"/>
      <c r="P181" s="242"/>
      <c r="Q181" s="265"/>
    </row>
    <row r="182" ht="18" customHeight="1" spans="3:17">
      <c r="C182" s="6"/>
      <c r="D182" s="20" t="s">
        <v>123</v>
      </c>
      <c r="E182" s="248">
        <v>0.0006</v>
      </c>
      <c r="F182" s="32">
        <f>B21*E182</f>
        <v>17403.4028356964</v>
      </c>
      <c r="G182" s="32">
        <f>B7*E182</f>
        <v>2781.81818181818</v>
      </c>
      <c r="H182" s="32">
        <f>B8*E182</f>
        <v>2247.27272727273</v>
      </c>
      <c r="I182" s="32">
        <f>B9*E182</f>
        <v>2400</v>
      </c>
      <c r="K182" s="32">
        <f>B10*E182</f>
        <v>2339.4495412844</v>
      </c>
      <c r="L182" s="254"/>
      <c r="M182" s="32">
        <f>B11*E182</f>
        <v>4788.99082568807</v>
      </c>
      <c r="N182" s="134"/>
      <c r="O182" s="255"/>
      <c r="P182" s="242">
        <v>853.21</v>
      </c>
      <c r="Q182" s="265">
        <f>E182*B13</f>
        <v>1992.66055045872</v>
      </c>
    </row>
    <row r="183" ht="18" customHeight="1" spans="3:17">
      <c r="C183" s="6"/>
      <c r="D183" s="39" t="s">
        <v>22</v>
      </c>
      <c r="E183" s="39"/>
      <c r="F183" s="190">
        <f>F180+F181+F182</f>
        <v>250063.962083402</v>
      </c>
      <c r="G183" s="190"/>
      <c r="H183" s="190"/>
      <c r="I183" s="190"/>
      <c r="K183" s="190"/>
      <c r="M183" s="191">
        <f>M180+M182</f>
        <v>434137.004788991</v>
      </c>
      <c r="N183" s="134"/>
      <c r="O183" s="255"/>
      <c r="P183" s="242"/>
      <c r="Q183" s="265"/>
    </row>
    <row r="184" ht="18" customHeight="1" spans="3:17">
      <c r="C184" s="6"/>
      <c r="D184" s="20" t="s">
        <v>121</v>
      </c>
      <c r="E184" s="248">
        <v>0.02</v>
      </c>
      <c r="F184" s="32">
        <f>B21*E184</f>
        <v>580113.427856547</v>
      </c>
      <c r="G184" s="32"/>
      <c r="H184" s="32"/>
      <c r="I184" s="32"/>
      <c r="K184" s="190"/>
      <c r="M184" s="32">
        <f>(SUM(B7:B11))*E184</f>
        <v>485251.042535446</v>
      </c>
      <c r="N184" s="134"/>
      <c r="O184" s="255"/>
      <c r="P184" s="242">
        <f>B12*0.02</f>
        <v>28440.3669724771</v>
      </c>
      <c r="Q184" s="265">
        <f>G13*E184</f>
        <v>72400</v>
      </c>
    </row>
    <row r="185" ht="18" customHeight="1" spans="3:3">
      <c r="C185" s="6"/>
    </row>
    <row r="186" ht="18" customHeight="1" spans="3:3">
      <c r="C186" s="6"/>
    </row>
    <row r="187" ht="18" customHeight="1" spans="3:3">
      <c r="C187" s="6"/>
    </row>
    <row r="188" spans="3:3">
      <c r="C188" s="6"/>
    </row>
    <row r="189" spans="3:3">
      <c r="C189" s="6"/>
    </row>
    <row r="190" spans="3:3">
      <c r="C190" s="6"/>
    </row>
    <row r="191" spans="3:3">
      <c r="C191" s="6"/>
    </row>
    <row r="192" spans="3:3">
      <c r="C192" s="6"/>
    </row>
    <row r="193" spans="3:3">
      <c r="C193" s="6"/>
    </row>
    <row r="194" spans="3:3">
      <c r="C194" s="6"/>
    </row>
    <row r="195" spans="3:3">
      <c r="C195" s="6"/>
    </row>
    <row r="196" spans="3:3">
      <c r="C196" s="6"/>
    </row>
    <row r="197" spans="3:3">
      <c r="C197" s="6"/>
    </row>
    <row r="198" spans="3:3">
      <c r="C198" s="6"/>
    </row>
    <row r="199" spans="3:3">
      <c r="C199" s="6"/>
    </row>
    <row r="200" spans="3:3">
      <c r="C200" s="6"/>
    </row>
    <row r="201" spans="3:3">
      <c r="C201" s="6"/>
    </row>
    <row r="202" spans="3:3">
      <c r="C202" s="6"/>
    </row>
    <row r="203" spans="3:3">
      <c r="C203" s="6"/>
    </row>
  </sheetData>
  <autoFilter ref="A23:Q184">
    <extLst/>
  </autoFilter>
  <mergeCells count="18">
    <mergeCell ref="A1:J1"/>
    <mergeCell ref="H2:J2"/>
    <mergeCell ref="C5:D5"/>
    <mergeCell ref="E5:F5"/>
    <mergeCell ref="H5:J5"/>
    <mergeCell ref="N175:O175"/>
    <mergeCell ref="N176:O176"/>
    <mergeCell ref="N177:O177"/>
    <mergeCell ref="N178:O178"/>
    <mergeCell ref="N179:O179"/>
    <mergeCell ref="N180:O180"/>
    <mergeCell ref="N181:O181"/>
    <mergeCell ref="N182:O182"/>
    <mergeCell ref="N183:O183"/>
    <mergeCell ref="N184:O184"/>
    <mergeCell ref="A5:A6"/>
    <mergeCell ref="B5:B6"/>
    <mergeCell ref="G5:G6"/>
  </mergeCells>
  <pageMargins left="0.75" right="0.75" top="1" bottom="1" header="0.5" footer="0.5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5"/>
  <sheetViews>
    <sheetView topLeftCell="A169" workbookViewId="0">
      <selection activeCell="B175" sqref="B175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8" width="11.1333333333333" style="14"/>
    <col min="19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 t="s">
        <v>172</v>
      </c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>
        <v>44049</v>
      </c>
      <c r="B14" s="32">
        <f t="shared" si="0"/>
        <v>1577981.65137615</v>
      </c>
      <c r="C14" s="35">
        <v>0.02</v>
      </c>
      <c r="D14" s="188">
        <f t="shared" si="1"/>
        <v>31559.6330275229</v>
      </c>
      <c r="E14" s="35">
        <v>0.07</v>
      </c>
      <c r="F14" s="32">
        <f t="shared" si="2"/>
        <v>110458.71559633</v>
      </c>
      <c r="G14" s="189">
        <v>1720000</v>
      </c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>
        <f>G20/(1+C20+E20)</f>
        <v>0</v>
      </c>
      <c r="C20" s="33"/>
      <c r="D20" s="188">
        <f>G20/(1+E20+C20)*C20</f>
        <v>0</v>
      </c>
      <c r="E20" s="33"/>
      <c r="F20" s="32">
        <f>G20/(1+C20+E20)*E20</f>
        <v>0</v>
      </c>
      <c r="G20" s="189"/>
      <c r="H20" s="14"/>
      <c r="I20" s="14"/>
      <c r="J20" s="40"/>
    </row>
    <row r="21" ht="18" customHeight="1" spans="1:10">
      <c r="A21" s="37" t="s">
        <v>22</v>
      </c>
      <c r="B21" s="38">
        <f t="shared" ref="B21:G21" si="3">SUM(B7:B20)</f>
        <v>30583653.0442035</v>
      </c>
      <c r="C21" s="39"/>
      <c r="D21" s="190">
        <f t="shared" si="3"/>
        <v>611673.06088407</v>
      </c>
      <c r="E21" s="39"/>
      <c r="F21" s="190">
        <f t="shared" si="3"/>
        <v>2264673.89491243</v>
      </c>
      <c r="G21" s="190">
        <f t="shared" si="3"/>
        <v>33460000</v>
      </c>
      <c r="H21" s="191"/>
      <c r="I21" s="190">
        <f>SUM(I7:I19)</f>
        <v>31740000</v>
      </c>
      <c r="J21" s="191"/>
    </row>
    <row r="22" ht="18" customHeight="1" spans="1:12">
      <c r="A22" s="6" t="s">
        <v>23</v>
      </c>
      <c r="J22" s="8"/>
      <c r="K22" s="8"/>
      <c r="L22" s="186"/>
    </row>
    <row r="23" ht="18" customHeight="1" spans="1:15">
      <c r="A23" s="41" t="s">
        <v>24</v>
      </c>
      <c r="B23" s="28" t="s">
        <v>25</v>
      </c>
      <c r="C23" s="27" t="s">
        <v>26</v>
      </c>
      <c r="D23" s="27" t="s">
        <v>27</v>
      </c>
      <c r="E23" s="27" t="s">
        <v>15</v>
      </c>
      <c r="F23" s="28" t="s">
        <v>28</v>
      </c>
      <c r="G23" s="28" t="s">
        <v>13</v>
      </c>
      <c r="H23" s="27" t="s">
        <v>29</v>
      </c>
      <c r="I23" s="28" t="s">
        <v>30</v>
      </c>
      <c r="J23" s="27" t="s">
        <v>19</v>
      </c>
      <c r="K23" s="54" t="s">
        <v>31</v>
      </c>
      <c r="L23" s="30" t="s">
        <v>32</v>
      </c>
      <c r="M23" s="30" t="s">
        <v>33</v>
      </c>
      <c r="N23" s="30" t="s">
        <v>34</v>
      </c>
      <c r="O23" s="30" t="s">
        <v>35</v>
      </c>
    </row>
    <row r="24" s="1" customFormat="1" ht="18" customHeight="1" spans="1:15">
      <c r="A24" s="43">
        <v>43070</v>
      </c>
      <c r="B24" s="25">
        <f t="shared" ref="B24:B87" si="4">ROUND(G24/(1+E24),2)</f>
        <v>2830.19</v>
      </c>
      <c r="C24" s="44"/>
      <c r="D24" s="45" t="s">
        <v>36</v>
      </c>
      <c r="E24" s="46">
        <v>0.06</v>
      </c>
      <c r="F24" s="25">
        <f t="shared" ref="F24:F87" si="5">ROUND(G24/(1+E24)*E24,2)</f>
        <v>169.81</v>
      </c>
      <c r="G24" s="189">
        <v>3000</v>
      </c>
      <c r="H24" s="31"/>
      <c r="I24" s="32"/>
      <c r="J24" s="40"/>
      <c r="K24" s="147" t="s">
        <v>37</v>
      </c>
      <c r="L24" s="60" t="s">
        <v>38</v>
      </c>
      <c r="M24" s="61"/>
      <c r="N24" s="61"/>
      <c r="O24" s="60"/>
    </row>
    <row r="25" s="1" customFormat="1" ht="18" customHeight="1" spans="1:15">
      <c r="A25" s="43">
        <v>43071</v>
      </c>
      <c r="B25" s="25">
        <f t="shared" si="4"/>
        <v>3000</v>
      </c>
      <c r="C25" s="44"/>
      <c r="D25" s="45" t="s">
        <v>39</v>
      </c>
      <c r="E25" s="46"/>
      <c r="F25" s="25">
        <f t="shared" si="5"/>
        <v>0</v>
      </c>
      <c r="G25" s="189">
        <v>3000</v>
      </c>
      <c r="H25" s="31"/>
      <c r="I25" s="32"/>
      <c r="J25" s="40"/>
      <c r="K25" s="147"/>
      <c r="L25" s="60" t="s">
        <v>38</v>
      </c>
      <c r="M25" s="61"/>
      <c r="N25" s="61"/>
      <c r="O25" s="60"/>
    </row>
    <row r="26" s="1" customFormat="1" ht="18" customHeight="1" spans="1:15">
      <c r="A26" s="43">
        <v>43072</v>
      </c>
      <c r="B26" s="25">
        <f t="shared" si="4"/>
        <v>12824.53</v>
      </c>
      <c r="C26" s="44"/>
      <c r="D26" s="45" t="s">
        <v>36</v>
      </c>
      <c r="E26" s="46">
        <v>0.06</v>
      </c>
      <c r="F26" s="25">
        <f t="shared" si="5"/>
        <v>769.47</v>
      </c>
      <c r="G26" s="189">
        <v>13594</v>
      </c>
      <c r="H26" s="31"/>
      <c r="I26" s="32"/>
      <c r="J26" s="40"/>
      <c r="K26" s="147" t="s">
        <v>40</v>
      </c>
      <c r="L26" s="60" t="s">
        <v>41</v>
      </c>
      <c r="M26" s="61"/>
      <c r="N26" s="61"/>
      <c r="O26" s="60"/>
    </row>
    <row r="27" s="1" customFormat="1" ht="18" customHeight="1" spans="1:15">
      <c r="A27" s="43">
        <v>43073</v>
      </c>
      <c r="B27" s="25">
        <f t="shared" si="4"/>
        <v>1206</v>
      </c>
      <c r="C27" s="44"/>
      <c r="D27" s="45" t="s">
        <v>39</v>
      </c>
      <c r="E27" s="46"/>
      <c r="F27" s="25">
        <f t="shared" si="5"/>
        <v>0</v>
      </c>
      <c r="G27" s="189">
        <v>1206</v>
      </c>
      <c r="H27" s="31"/>
      <c r="I27" s="32"/>
      <c r="J27" s="40"/>
      <c r="K27" s="147"/>
      <c r="L27" s="60" t="s">
        <v>42</v>
      </c>
      <c r="M27" s="61"/>
      <c r="N27" s="61"/>
      <c r="O27" s="60"/>
    </row>
    <row r="28" s="1" customFormat="1" ht="18" customHeight="1" spans="1:15">
      <c r="A28" s="43">
        <v>43074</v>
      </c>
      <c r="B28" s="25">
        <f t="shared" si="4"/>
        <v>13191.34</v>
      </c>
      <c r="C28" s="44"/>
      <c r="D28" s="45" t="s">
        <v>39</v>
      </c>
      <c r="E28" s="46"/>
      <c r="F28" s="25">
        <f t="shared" si="5"/>
        <v>0</v>
      </c>
      <c r="G28" s="189">
        <v>13191.34</v>
      </c>
      <c r="H28" s="31"/>
      <c r="I28" s="32"/>
      <c r="J28" s="40"/>
      <c r="K28" s="147"/>
      <c r="L28" s="60" t="s">
        <v>43</v>
      </c>
      <c r="M28" s="61"/>
      <c r="N28" s="61"/>
      <c r="O28" s="60"/>
    </row>
    <row r="29" s="1" customFormat="1" ht="18" customHeight="1" spans="1:15">
      <c r="A29" s="43">
        <v>43149</v>
      </c>
      <c r="B29" s="25">
        <f t="shared" si="4"/>
        <v>1924.53</v>
      </c>
      <c r="C29" s="44"/>
      <c r="D29" s="45" t="s">
        <v>36</v>
      </c>
      <c r="E29" s="46">
        <v>0.06</v>
      </c>
      <c r="F29" s="25">
        <f t="shared" si="5"/>
        <v>115.47</v>
      </c>
      <c r="G29" s="189">
        <v>2040</v>
      </c>
      <c r="H29" s="31"/>
      <c r="I29" s="32"/>
      <c r="J29" s="40"/>
      <c r="K29" s="147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43177</v>
      </c>
      <c r="B30" s="25">
        <f t="shared" si="4"/>
        <v>2830.19</v>
      </c>
      <c r="C30" s="44"/>
      <c r="D30" s="45" t="s">
        <v>36</v>
      </c>
      <c r="E30" s="46">
        <v>0.06</v>
      </c>
      <c r="F30" s="25">
        <f t="shared" si="5"/>
        <v>169.81</v>
      </c>
      <c r="G30" s="189">
        <v>3000</v>
      </c>
      <c r="H30" s="31"/>
      <c r="I30" s="32"/>
      <c r="J30" s="40"/>
      <c r="K30" s="147" t="s">
        <v>44</v>
      </c>
      <c r="L30" s="60" t="s">
        <v>45</v>
      </c>
      <c r="M30" s="61"/>
      <c r="N30" s="61"/>
      <c r="O30" s="60"/>
    </row>
    <row r="31" s="1" customFormat="1" ht="18" customHeight="1" spans="1:15">
      <c r="A31" s="43">
        <v>43178</v>
      </c>
      <c r="B31" s="25">
        <f t="shared" si="4"/>
        <v>12529.12</v>
      </c>
      <c r="C31" s="44"/>
      <c r="D31" s="45" t="s">
        <v>39</v>
      </c>
      <c r="E31" s="46"/>
      <c r="F31" s="25">
        <f t="shared" si="5"/>
        <v>0</v>
      </c>
      <c r="G31" s="189">
        <v>12529.12</v>
      </c>
      <c r="H31" s="31"/>
      <c r="I31" s="32"/>
      <c r="J31" s="40"/>
      <c r="K31" s="147"/>
      <c r="L31" s="60" t="s">
        <v>46</v>
      </c>
      <c r="M31" s="61"/>
      <c r="N31" s="61"/>
      <c r="O31" s="60"/>
    </row>
    <row r="32" s="1" customFormat="1" ht="18" customHeight="1" spans="1:15">
      <c r="A32" s="43">
        <v>43177</v>
      </c>
      <c r="B32" s="25">
        <f t="shared" si="4"/>
        <v>7575</v>
      </c>
      <c r="C32" s="44"/>
      <c r="D32" s="45" t="s">
        <v>39</v>
      </c>
      <c r="E32" s="46"/>
      <c r="F32" s="25">
        <f t="shared" si="5"/>
        <v>0</v>
      </c>
      <c r="G32" s="189">
        <v>7575</v>
      </c>
      <c r="H32" s="31"/>
      <c r="I32" s="32"/>
      <c r="J32" s="40"/>
      <c r="K32" s="147"/>
      <c r="L32" s="60" t="s">
        <v>46</v>
      </c>
      <c r="M32" s="61"/>
      <c r="N32" s="61"/>
      <c r="O32" s="60"/>
    </row>
    <row r="33" s="1" customFormat="1" ht="18" customHeight="1" spans="1:15">
      <c r="A33" s="43">
        <v>43238</v>
      </c>
      <c r="B33" s="25">
        <f t="shared" si="4"/>
        <v>4396551.72</v>
      </c>
      <c r="C33" s="44"/>
      <c r="D33" s="45" t="s">
        <v>36</v>
      </c>
      <c r="E33" s="46">
        <v>0.16</v>
      </c>
      <c r="F33" s="25">
        <f t="shared" si="5"/>
        <v>703448.28</v>
      </c>
      <c r="G33" s="189">
        <v>5100000</v>
      </c>
      <c r="H33" s="31">
        <v>43251</v>
      </c>
      <c r="I33" s="32">
        <v>2500000</v>
      </c>
      <c r="J33" s="40" t="s">
        <v>20</v>
      </c>
      <c r="K33" s="147" t="s">
        <v>47</v>
      </c>
      <c r="L33" s="60" t="s">
        <v>48</v>
      </c>
      <c r="M33" s="61"/>
      <c r="N33" s="61"/>
      <c r="O33" s="60"/>
    </row>
    <row r="34" s="1" customFormat="1" ht="18" customHeight="1" spans="1:15">
      <c r="A34" s="43"/>
      <c r="B34" s="25">
        <f t="shared" si="4"/>
        <v>0</v>
      </c>
      <c r="C34" s="44"/>
      <c r="D34" s="45"/>
      <c r="E34" s="46"/>
      <c r="F34" s="25">
        <f t="shared" si="5"/>
        <v>0</v>
      </c>
      <c r="G34" s="189"/>
      <c r="H34" s="31" t="s">
        <v>49</v>
      </c>
      <c r="I34" s="32">
        <v>2530768</v>
      </c>
      <c r="J34" s="40" t="s">
        <v>20</v>
      </c>
      <c r="K34" s="147" t="s">
        <v>47</v>
      </c>
      <c r="L34" s="60"/>
      <c r="M34" s="61"/>
      <c r="N34" s="61"/>
      <c r="O34" s="60"/>
    </row>
    <row r="35" s="1" customFormat="1" ht="18" customHeight="1" spans="1:15">
      <c r="A35" s="43"/>
      <c r="B35" s="25">
        <f t="shared" si="4"/>
        <v>0</v>
      </c>
      <c r="C35" s="44"/>
      <c r="D35" s="45"/>
      <c r="E35" s="46"/>
      <c r="F35" s="25">
        <f t="shared" si="5"/>
        <v>0</v>
      </c>
      <c r="G35" s="189"/>
      <c r="H35" s="31" t="s">
        <v>49</v>
      </c>
      <c r="I35" s="32">
        <v>69232</v>
      </c>
      <c r="J35" s="40" t="s">
        <v>20</v>
      </c>
      <c r="K35" s="147" t="s">
        <v>47</v>
      </c>
      <c r="L35" s="60"/>
      <c r="M35" s="61"/>
      <c r="N35" s="61"/>
      <c r="O35" s="60"/>
    </row>
    <row r="36" s="1" customFormat="1" ht="18" customHeight="1" spans="1:15">
      <c r="A36" s="43"/>
      <c r="B36" s="25">
        <f t="shared" si="4"/>
        <v>0</v>
      </c>
      <c r="C36" s="44"/>
      <c r="D36" s="45"/>
      <c r="E36" s="46"/>
      <c r="F36" s="25">
        <f t="shared" si="5"/>
        <v>0</v>
      </c>
      <c r="G36" s="189"/>
      <c r="H36" s="31">
        <v>43252</v>
      </c>
      <c r="I36" s="32">
        <v>-29323</v>
      </c>
      <c r="J36" s="40" t="s">
        <v>21</v>
      </c>
      <c r="K36" s="147" t="s">
        <v>50</v>
      </c>
      <c r="L36" s="60"/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>
        <v>43255</v>
      </c>
      <c r="I37" s="32">
        <v>-39909</v>
      </c>
      <c r="J37" s="40" t="s">
        <v>21</v>
      </c>
      <c r="K37" s="147" t="s">
        <v>50</v>
      </c>
      <c r="L37" s="60"/>
      <c r="M37" s="61"/>
      <c r="N37" s="61"/>
      <c r="O37" s="60"/>
    </row>
    <row r="38" s="1" customFormat="1" ht="18" customHeight="1" spans="1:15">
      <c r="A38" s="43">
        <v>43269</v>
      </c>
      <c r="B38" s="25">
        <f t="shared" si="4"/>
        <v>5825.24</v>
      </c>
      <c r="C38" s="44"/>
      <c r="D38" s="45" t="s">
        <v>36</v>
      </c>
      <c r="E38" s="46">
        <v>0.03</v>
      </c>
      <c r="F38" s="25">
        <f t="shared" si="5"/>
        <v>174.76</v>
      </c>
      <c r="G38" s="189">
        <v>6000</v>
      </c>
      <c r="H38" s="31">
        <v>43264</v>
      </c>
      <c r="I38" s="32">
        <v>6000</v>
      </c>
      <c r="J38" s="40" t="s">
        <v>20</v>
      </c>
      <c r="K38" s="147" t="s">
        <v>51</v>
      </c>
      <c r="L38" s="60" t="s">
        <v>52</v>
      </c>
      <c r="M38" s="61"/>
      <c r="N38" s="61"/>
      <c r="O38" s="60"/>
    </row>
    <row r="39" s="1" customFormat="1" ht="18" customHeight="1" spans="1:15">
      <c r="A39" s="43"/>
      <c r="B39" s="25">
        <f t="shared" si="4"/>
        <v>0</v>
      </c>
      <c r="C39" s="44"/>
      <c r="D39" s="45"/>
      <c r="E39" s="46"/>
      <c r="F39" s="25">
        <f t="shared" si="5"/>
        <v>0</v>
      </c>
      <c r="G39" s="189"/>
      <c r="H39" s="31">
        <v>43263</v>
      </c>
      <c r="I39" s="32">
        <v>-6000</v>
      </c>
      <c r="J39" s="40" t="s">
        <v>21</v>
      </c>
      <c r="K39" s="147" t="s">
        <v>50</v>
      </c>
      <c r="L39" s="60"/>
      <c r="M39" s="61"/>
      <c r="N39" s="61"/>
      <c r="O39" s="60"/>
    </row>
    <row r="40" s="2" customFormat="1" ht="18" customHeight="1" spans="1:15">
      <c r="A40" s="48">
        <v>43335</v>
      </c>
      <c r="B40" s="25">
        <f t="shared" si="4"/>
        <v>4000000</v>
      </c>
      <c r="C40" s="49"/>
      <c r="D40" s="50" t="s">
        <v>36</v>
      </c>
      <c r="E40" s="46">
        <v>0.03</v>
      </c>
      <c r="F40" s="25">
        <f t="shared" si="5"/>
        <v>120000</v>
      </c>
      <c r="G40" s="189">
        <v>4120000</v>
      </c>
      <c r="H40" s="36">
        <v>43335</v>
      </c>
      <c r="I40" s="188">
        <v>2000000</v>
      </c>
      <c r="J40" s="63" t="s">
        <v>20</v>
      </c>
      <c r="K40" s="148" t="s">
        <v>53</v>
      </c>
      <c r="L40" s="67" t="s">
        <v>54</v>
      </c>
      <c r="M40" s="65"/>
      <c r="N40" s="65"/>
      <c r="O40" s="67"/>
    </row>
    <row r="41" s="2" customFormat="1" ht="18" customHeight="1" spans="1:15">
      <c r="A41" s="48"/>
      <c r="B41" s="25">
        <f t="shared" si="4"/>
        <v>1344.34</v>
      </c>
      <c r="C41" s="49">
        <v>3</v>
      </c>
      <c r="D41" s="50" t="s">
        <v>36</v>
      </c>
      <c r="E41" s="46">
        <v>0.06</v>
      </c>
      <c r="F41" s="25">
        <f t="shared" si="5"/>
        <v>80.66</v>
      </c>
      <c r="G41" s="189">
        <f>285+690+450</f>
        <v>1425</v>
      </c>
      <c r="H41" s="36"/>
      <c r="I41" s="188"/>
      <c r="J41" s="63"/>
      <c r="K41" s="148" t="s">
        <v>55</v>
      </c>
      <c r="L41" s="67" t="s">
        <v>41</v>
      </c>
      <c r="M41" s="65"/>
      <c r="N41" s="65"/>
      <c r="O41" s="68">
        <v>43335</v>
      </c>
    </row>
    <row r="42" s="2" customFormat="1" ht="18" customHeight="1" spans="1:15">
      <c r="A42" s="48"/>
      <c r="B42" s="25">
        <f t="shared" si="4"/>
        <v>6510</v>
      </c>
      <c r="C42" s="49"/>
      <c r="D42" s="50" t="s">
        <v>39</v>
      </c>
      <c r="E42" s="46"/>
      <c r="F42" s="25">
        <f t="shared" si="5"/>
        <v>0</v>
      </c>
      <c r="G42" s="189">
        <v>6510</v>
      </c>
      <c r="H42" s="36"/>
      <c r="I42" s="188"/>
      <c r="J42" s="63"/>
      <c r="K42" s="148" t="s">
        <v>56</v>
      </c>
      <c r="L42" s="67" t="s">
        <v>57</v>
      </c>
      <c r="M42" s="65"/>
      <c r="N42" s="65"/>
      <c r="O42" s="68">
        <v>43335</v>
      </c>
    </row>
    <row r="43" s="2" customFormat="1" ht="18" customHeight="1" spans="1:15">
      <c r="A43" s="48"/>
      <c r="B43" s="25">
        <f t="shared" si="4"/>
        <v>11436.89</v>
      </c>
      <c r="C43" s="49">
        <v>2</v>
      </c>
      <c r="D43" s="50" t="s">
        <v>36</v>
      </c>
      <c r="E43" s="46">
        <v>0.03</v>
      </c>
      <c r="F43" s="25">
        <f t="shared" si="5"/>
        <v>343.11</v>
      </c>
      <c r="G43" s="189">
        <f>7740+4040</f>
        <v>11780</v>
      </c>
      <c r="H43" s="36"/>
      <c r="I43" s="188"/>
      <c r="J43" s="63"/>
      <c r="K43" s="148" t="s">
        <v>58</v>
      </c>
      <c r="L43" s="67" t="s">
        <v>59</v>
      </c>
      <c r="M43" s="65"/>
      <c r="N43" s="65"/>
      <c r="O43" s="68">
        <v>43335</v>
      </c>
    </row>
    <row r="44" s="2" customFormat="1" ht="18" customHeight="1" spans="1:15">
      <c r="A44" s="48"/>
      <c r="B44" s="25">
        <f t="shared" si="4"/>
        <v>1800</v>
      </c>
      <c r="C44" s="49"/>
      <c r="D44" s="50" t="s">
        <v>39</v>
      </c>
      <c r="E44" s="46"/>
      <c r="F44" s="25">
        <f t="shared" si="5"/>
        <v>0</v>
      </c>
      <c r="G44" s="189">
        <v>1800</v>
      </c>
      <c r="H44" s="36"/>
      <c r="I44" s="188"/>
      <c r="J44" s="63"/>
      <c r="K44" s="148" t="s">
        <v>56</v>
      </c>
      <c r="L44" s="67" t="s">
        <v>60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26788.86</v>
      </c>
      <c r="C45" s="49"/>
      <c r="D45" s="50" t="s">
        <v>61</v>
      </c>
      <c r="E45" s="46"/>
      <c r="F45" s="25">
        <f t="shared" si="5"/>
        <v>0</v>
      </c>
      <c r="G45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5" s="36"/>
      <c r="I45" s="188"/>
      <c r="J45" s="63"/>
      <c r="K45" s="148" t="s">
        <v>62</v>
      </c>
      <c r="L45" s="67" t="s">
        <v>63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4"/>
        <v>4285.5</v>
      </c>
      <c r="C46" s="49"/>
      <c r="D46" s="50" t="s">
        <v>61</v>
      </c>
      <c r="E46" s="46"/>
      <c r="F46" s="25">
        <f t="shared" si="5"/>
        <v>0</v>
      </c>
      <c r="G46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6" s="36"/>
      <c r="I46" s="188"/>
      <c r="J46" s="63"/>
      <c r="K46" s="148" t="s">
        <v>62</v>
      </c>
      <c r="L46" s="67" t="s">
        <v>63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4"/>
        <v>9856.03</v>
      </c>
      <c r="C47" s="49"/>
      <c r="D47" s="50" t="s">
        <v>39</v>
      </c>
      <c r="E47" s="46"/>
      <c r="F47" s="25">
        <f t="shared" si="5"/>
        <v>0</v>
      </c>
      <c r="G47" s="189">
        <f>200.03+500+400+286+300+410+910+405+530+300+500+230+280+295+285+400+380+405+200+200+400+425+405+300+310+300+300</f>
        <v>9856.03</v>
      </c>
      <c r="H47" s="36"/>
      <c r="I47" s="188"/>
      <c r="J47" s="63"/>
      <c r="K47" s="148" t="s">
        <v>64</v>
      </c>
      <c r="L47" s="67" t="s">
        <v>43</v>
      </c>
      <c r="M47" s="65"/>
      <c r="N47" s="65"/>
      <c r="O47" s="68">
        <v>43335</v>
      </c>
    </row>
    <row r="48" s="2" customFormat="1" ht="18" customHeight="1" spans="1:15">
      <c r="A48" s="48">
        <v>43435</v>
      </c>
      <c r="B48" s="25">
        <f t="shared" si="4"/>
        <v>53286.79</v>
      </c>
      <c r="C48" s="49"/>
      <c r="D48" s="50" t="s">
        <v>36</v>
      </c>
      <c r="E48" s="46">
        <v>0.06</v>
      </c>
      <c r="F48" s="25">
        <f t="shared" si="5"/>
        <v>3197.21</v>
      </c>
      <c r="G48" s="189">
        <v>56484</v>
      </c>
      <c r="H48" s="36"/>
      <c r="I48" s="188"/>
      <c r="J48" s="63"/>
      <c r="K48" s="148" t="s">
        <v>65</v>
      </c>
      <c r="L48" s="67" t="s">
        <v>66</v>
      </c>
      <c r="M48" s="65"/>
      <c r="N48" s="65"/>
      <c r="O48" s="67"/>
    </row>
    <row r="49" s="2" customFormat="1" ht="18" customHeight="1" spans="1:15">
      <c r="A49" s="48">
        <v>43435</v>
      </c>
      <c r="B49" s="25">
        <f t="shared" si="4"/>
        <v>5825.24</v>
      </c>
      <c r="C49" s="49"/>
      <c r="D49" s="50" t="s">
        <v>36</v>
      </c>
      <c r="E49" s="46">
        <v>0.03</v>
      </c>
      <c r="F49" s="25">
        <f t="shared" si="5"/>
        <v>174.76</v>
      </c>
      <c r="G49" s="189">
        <v>6000</v>
      </c>
      <c r="H49" s="36">
        <v>43369</v>
      </c>
      <c r="I49" s="188">
        <v>6000</v>
      </c>
      <c r="J49" s="63" t="s">
        <v>20</v>
      </c>
      <c r="K49" s="148" t="s">
        <v>51</v>
      </c>
      <c r="L49" s="67" t="s">
        <v>52</v>
      </c>
      <c r="M49" s="65"/>
      <c r="N49" s="65"/>
      <c r="O49" s="67"/>
    </row>
    <row r="50" s="2" customFormat="1" ht="18" customHeight="1" spans="1:15">
      <c r="A50" s="48">
        <v>43313</v>
      </c>
      <c r="B50" s="25">
        <f t="shared" si="4"/>
        <v>4654.31</v>
      </c>
      <c r="C50" s="49"/>
      <c r="D50" s="50" t="s">
        <v>36</v>
      </c>
      <c r="E50" s="46">
        <v>0.16</v>
      </c>
      <c r="F50" s="25">
        <f t="shared" si="5"/>
        <v>744.69</v>
      </c>
      <c r="G50" s="189">
        <v>5399</v>
      </c>
      <c r="H50" s="36">
        <v>43369</v>
      </c>
      <c r="I50" s="188">
        <v>-6000</v>
      </c>
      <c r="J50" s="63" t="s">
        <v>21</v>
      </c>
      <c r="K50" s="148" t="s">
        <v>50</v>
      </c>
      <c r="L50" s="67"/>
      <c r="M50" s="65"/>
      <c r="N50" s="65"/>
      <c r="O50" s="67"/>
    </row>
    <row r="51" s="2" customFormat="1" ht="18" customHeight="1" spans="1:15">
      <c r="A51" s="48">
        <v>43435</v>
      </c>
      <c r="B51" s="25">
        <f t="shared" si="4"/>
        <v>933.96</v>
      </c>
      <c r="C51" s="49"/>
      <c r="D51" s="50" t="s">
        <v>36</v>
      </c>
      <c r="E51" s="46">
        <v>0.06</v>
      </c>
      <c r="F51" s="25">
        <f t="shared" si="5"/>
        <v>56.04</v>
      </c>
      <c r="G51" s="189">
        <f>90+45+855</f>
        <v>990</v>
      </c>
      <c r="H51" s="36"/>
      <c r="I51" s="188"/>
      <c r="J51" s="63"/>
      <c r="K51" s="148" t="s">
        <v>40</v>
      </c>
      <c r="L51" s="67" t="s">
        <v>41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4"/>
        <v>43031</v>
      </c>
      <c r="C52" s="49"/>
      <c r="D52" s="50"/>
      <c r="E52" s="46"/>
      <c r="F52" s="25">
        <f t="shared" si="5"/>
        <v>0</v>
      </c>
      <c r="G52" s="189">
        <v>43031</v>
      </c>
      <c r="H52" s="36"/>
      <c r="I52" s="188"/>
      <c r="J52" s="63"/>
      <c r="K52" s="148" t="s">
        <v>67</v>
      </c>
      <c r="L52" s="67" t="s">
        <v>68</v>
      </c>
      <c r="M52" s="65"/>
      <c r="N52" s="65"/>
      <c r="O52" s="67"/>
    </row>
    <row r="53" s="2" customFormat="1" ht="18" customHeight="1" spans="1:15">
      <c r="A53" s="48">
        <v>43466</v>
      </c>
      <c r="B53" s="25">
        <f t="shared" si="4"/>
        <v>4854368.93</v>
      </c>
      <c r="C53" s="49"/>
      <c r="D53" s="50" t="s">
        <v>36</v>
      </c>
      <c r="E53" s="46">
        <v>0.03</v>
      </c>
      <c r="F53" s="25">
        <f t="shared" si="5"/>
        <v>145631.07</v>
      </c>
      <c r="G53" s="189">
        <f>5*1000000</f>
        <v>5000000</v>
      </c>
      <c r="H53" s="36">
        <v>43339</v>
      </c>
      <c r="I53" s="188">
        <v>2095952</v>
      </c>
      <c r="J53" s="63" t="s">
        <v>20</v>
      </c>
      <c r="K53" s="148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4"/>
        <v>0</v>
      </c>
      <c r="C54" s="49"/>
      <c r="D54" s="50"/>
      <c r="E54" s="46"/>
      <c r="F54" s="25">
        <f t="shared" si="5"/>
        <v>0</v>
      </c>
      <c r="G54" s="189"/>
      <c r="H54" s="36">
        <v>43495</v>
      </c>
      <c r="I54" s="188">
        <v>3464800</v>
      </c>
      <c r="J54" s="63" t="s">
        <v>20</v>
      </c>
      <c r="K54" s="148" t="s">
        <v>53</v>
      </c>
      <c r="L54" s="67" t="s">
        <v>54</v>
      </c>
      <c r="M54" s="65"/>
      <c r="N54" s="65"/>
      <c r="O54" s="67"/>
    </row>
    <row r="55" s="2" customFormat="1" ht="18" customHeight="1" spans="1:15">
      <c r="A55" s="48"/>
      <c r="B55" s="25">
        <f t="shared" si="4"/>
        <v>0</v>
      </c>
      <c r="C55" s="49"/>
      <c r="D55" s="50"/>
      <c r="E55" s="46"/>
      <c r="F55" s="25">
        <f t="shared" si="5"/>
        <v>0</v>
      </c>
      <c r="G55" s="189"/>
      <c r="H55" s="36">
        <v>43497</v>
      </c>
      <c r="I55" s="188">
        <v>866800</v>
      </c>
      <c r="J55" s="63" t="s">
        <v>20</v>
      </c>
      <c r="K55" s="148" t="s">
        <v>53</v>
      </c>
      <c r="L55" s="67" t="s">
        <v>54</v>
      </c>
      <c r="M55" s="65"/>
      <c r="N55" s="65"/>
      <c r="O55" s="67"/>
    </row>
    <row r="56" s="2" customFormat="1" ht="18" customHeight="1" spans="1:15">
      <c r="A56" s="48"/>
      <c r="B56" s="25">
        <f t="shared" si="4"/>
        <v>0</v>
      </c>
      <c r="C56" s="49"/>
      <c r="D56" s="50"/>
      <c r="E56" s="46"/>
      <c r="F56" s="25">
        <f t="shared" si="5"/>
        <v>0</v>
      </c>
      <c r="G56" s="189"/>
      <c r="H56" s="36">
        <v>43629</v>
      </c>
      <c r="I56" s="188">
        <v>84810</v>
      </c>
      <c r="J56" s="63" t="s">
        <v>20</v>
      </c>
      <c r="K56" s="148" t="s">
        <v>69</v>
      </c>
      <c r="L56" s="67" t="s">
        <v>70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43629</v>
      </c>
      <c r="I57" s="188">
        <v>-84810</v>
      </c>
      <c r="J57" s="63" t="s">
        <v>21</v>
      </c>
      <c r="K57" s="148" t="s">
        <v>50</v>
      </c>
      <c r="L57" s="67"/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43657</v>
      </c>
      <c r="I58" s="188">
        <v>66753</v>
      </c>
      <c r="J58" s="63" t="s">
        <v>20</v>
      </c>
      <c r="K58" s="148" t="s">
        <v>69</v>
      </c>
      <c r="L58" s="67" t="s">
        <v>70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43657</v>
      </c>
      <c r="I59" s="188">
        <v>-66753</v>
      </c>
      <c r="J59" s="63" t="s">
        <v>21</v>
      </c>
      <c r="K59" s="148" t="s">
        <v>50</v>
      </c>
      <c r="L59" s="67"/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43676</v>
      </c>
      <c r="I60" s="188">
        <v>67731.14</v>
      </c>
      <c r="J60" s="63" t="s">
        <v>20</v>
      </c>
      <c r="K60" s="148" t="s">
        <v>69</v>
      </c>
      <c r="L60" s="67" t="s">
        <v>70</v>
      </c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43671</v>
      </c>
      <c r="I61" s="188">
        <v>-67731.14</v>
      </c>
      <c r="J61" s="63" t="s">
        <v>20</v>
      </c>
      <c r="K61" s="148" t="s">
        <v>71</v>
      </c>
      <c r="L61" s="67" t="s">
        <v>72</v>
      </c>
      <c r="M61" s="65"/>
      <c r="N61" s="65"/>
      <c r="O61" s="67"/>
    </row>
    <row r="62" s="2" customFormat="1" ht="18" customHeight="1" spans="1:15">
      <c r="A62" s="48">
        <v>43678</v>
      </c>
      <c r="B62" s="25">
        <f t="shared" si="4"/>
        <v>1000020</v>
      </c>
      <c r="C62" s="49"/>
      <c r="D62" s="50" t="s">
        <v>73</v>
      </c>
      <c r="E62" s="46"/>
      <c r="F62" s="25">
        <f t="shared" si="5"/>
        <v>0</v>
      </c>
      <c r="G62" s="189">
        <v>1000020</v>
      </c>
      <c r="H62" s="194">
        <v>43676</v>
      </c>
      <c r="I62" s="196">
        <v>500000</v>
      </c>
      <c r="J62" s="201" t="s">
        <v>21</v>
      </c>
      <c r="K62" s="202" t="s">
        <v>74</v>
      </c>
      <c r="L62" s="203" t="s">
        <v>75</v>
      </c>
      <c r="M62" s="201" t="s">
        <v>76</v>
      </c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194">
        <v>43682</v>
      </c>
      <c r="I63" s="196">
        <v>500000</v>
      </c>
      <c r="J63" s="201" t="s">
        <v>21</v>
      </c>
      <c r="K63" s="202" t="s">
        <v>74</v>
      </c>
      <c r="L63" s="204" t="s">
        <v>77</v>
      </c>
      <c r="M63" s="201" t="s">
        <v>76</v>
      </c>
      <c r="N63" s="65"/>
      <c r="O63" s="67"/>
    </row>
    <row r="64" s="2" customFormat="1" ht="18" customHeight="1" spans="1:15">
      <c r="A64" s="48">
        <v>43678</v>
      </c>
      <c r="B64" s="25">
        <f t="shared" si="4"/>
        <v>1000080</v>
      </c>
      <c r="C64" s="49"/>
      <c r="D64" s="50" t="s">
        <v>73</v>
      </c>
      <c r="E64" s="46"/>
      <c r="F64" s="25">
        <f t="shared" si="5"/>
        <v>0</v>
      </c>
      <c r="G64" s="189">
        <v>1000080</v>
      </c>
      <c r="H64" s="194">
        <v>43691</v>
      </c>
      <c r="I64" s="196">
        <v>1000000</v>
      </c>
      <c r="J64" s="201" t="s">
        <v>21</v>
      </c>
      <c r="K64" s="205" t="s">
        <v>78</v>
      </c>
      <c r="L64" s="206" t="s">
        <v>79</v>
      </c>
      <c r="M64" s="201" t="s">
        <v>76</v>
      </c>
      <c r="N64" s="65"/>
      <c r="O64" s="67"/>
    </row>
    <row r="65" s="2" customFormat="1" ht="18" customHeight="1" spans="1:15">
      <c r="A65" s="48"/>
      <c r="B65" s="25">
        <f t="shared" si="4"/>
        <v>0</v>
      </c>
      <c r="C65" s="49"/>
      <c r="D65" s="50"/>
      <c r="E65" s="46"/>
      <c r="F65" s="25">
        <f t="shared" si="5"/>
        <v>0</v>
      </c>
      <c r="G65" s="189"/>
      <c r="H65" s="36">
        <v>43692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36">
        <v>43692</v>
      </c>
      <c r="I66" s="188">
        <v>100000</v>
      </c>
      <c r="J66" s="63" t="s">
        <v>20</v>
      </c>
      <c r="K66" s="207" t="s">
        <v>80</v>
      </c>
      <c r="L66" s="208" t="s">
        <v>81</v>
      </c>
      <c r="M66" s="56"/>
      <c r="N66" s="65"/>
      <c r="O66" s="67"/>
    </row>
    <row r="67" s="2" customFormat="1" ht="18" customHeight="1" spans="1:15">
      <c r="A67" s="48"/>
      <c r="B67" s="25">
        <f t="shared" si="4"/>
        <v>0</v>
      </c>
      <c r="C67" s="49"/>
      <c r="D67" s="50"/>
      <c r="E67" s="46"/>
      <c r="F67" s="25">
        <f t="shared" si="5"/>
        <v>0</v>
      </c>
      <c r="G67" s="189"/>
      <c r="H67" s="36">
        <v>43703</v>
      </c>
      <c r="I67" s="188">
        <v>-100000</v>
      </c>
      <c r="J67" s="63" t="s">
        <v>21</v>
      </c>
      <c r="K67" s="207" t="s">
        <v>50</v>
      </c>
      <c r="L67" s="208"/>
      <c r="M67" s="56"/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43704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36">
        <v>43717</v>
      </c>
      <c r="I69" s="188">
        <v>-100000</v>
      </c>
      <c r="J69" s="63" t="s">
        <v>21</v>
      </c>
      <c r="K69" s="207" t="s">
        <v>50</v>
      </c>
      <c r="L69" s="67"/>
      <c r="M69" s="65"/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36">
        <v>43718</v>
      </c>
      <c r="I70" s="188">
        <v>100000</v>
      </c>
      <c r="J70" s="63" t="s">
        <v>20</v>
      </c>
      <c r="K70" s="207" t="s">
        <v>80</v>
      </c>
      <c r="L70" s="67"/>
      <c r="M70" s="65"/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194">
        <v>43734</v>
      </c>
      <c r="I71" s="196">
        <v>300000</v>
      </c>
      <c r="J71" s="201" t="s">
        <v>20</v>
      </c>
      <c r="K71" s="202" t="s">
        <v>80</v>
      </c>
      <c r="L71" s="209"/>
      <c r="M71" s="201" t="s">
        <v>76</v>
      </c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195">
        <v>43749</v>
      </c>
      <c r="I72" s="196">
        <v>500000</v>
      </c>
      <c r="J72" s="201" t="s">
        <v>20</v>
      </c>
      <c r="K72" s="202" t="s">
        <v>80</v>
      </c>
      <c r="L72" s="209"/>
      <c r="M72" s="201" t="s">
        <v>76</v>
      </c>
      <c r="N72" s="65"/>
      <c r="O72" s="67"/>
    </row>
    <row r="73" s="2" customFormat="1" ht="18" customHeight="1" spans="1:15">
      <c r="A73" s="48">
        <v>43709</v>
      </c>
      <c r="B73" s="25">
        <f t="shared" si="4"/>
        <v>12426.15</v>
      </c>
      <c r="C73" s="49"/>
      <c r="D73" s="50" t="s">
        <v>39</v>
      </c>
      <c r="E73" s="46"/>
      <c r="F73" s="25">
        <f t="shared" si="5"/>
        <v>0</v>
      </c>
      <c r="G73" s="189">
        <v>12426.15</v>
      </c>
      <c r="H73" s="36"/>
      <c r="I73" s="210"/>
      <c r="J73" s="56"/>
      <c r="K73" s="207" t="s">
        <v>68</v>
      </c>
      <c r="L73" s="82"/>
      <c r="M73" s="56"/>
      <c r="N73" s="65"/>
      <c r="O73" s="67"/>
    </row>
    <row r="74" s="2" customFormat="1" ht="18" customHeight="1" spans="1:15">
      <c r="A74" s="48">
        <v>43709</v>
      </c>
      <c r="B74" s="25">
        <f t="shared" si="4"/>
        <v>10316.04</v>
      </c>
      <c r="C74" s="49"/>
      <c r="D74" s="50" t="s">
        <v>36</v>
      </c>
      <c r="E74" s="70">
        <v>0.06</v>
      </c>
      <c r="F74" s="25">
        <f t="shared" si="5"/>
        <v>618.96</v>
      </c>
      <c r="G74" s="189">
        <v>10935</v>
      </c>
      <c r="H74" s="36"/>
      <c r="I74" s="210"/>
      <c r="J74" s="56"/>
      <c r="K74" s="207" t="s">
        <v>82</v>
      </c>
      <c r="L74" s="82" t="s">
        <v>41</v>
      </c>
      <c r="M74" s="56"/>
      <c r="N74" s="65"/>
      <c r="O74" s="67"/>
    </row>
    <row r="75" s="2" customFormat="1" ht="18" customHeight="1" spans="1:15">
      <c r="A75" s="48">
        <v>43709</v>
      </c>
      <c r="B75" s="25">
        <f t="shared" si="4"/>
        <v>10424.53</v>
      </c>
      <c r="C75" s="49"/>
      <c r="D75" s="50" t="s">
        <v>36</v>
      </c>
      <c r="E75" s="70">
        <v>0.06</v>
      </c>
      <c r="F75" s="25">
        <f t="shared" si="5"/>
        <v>625.47</v>
      </c>
      <c r="G75" s="189">
        <v>11050</v>
      </c>
      <c r="H75" s="36"/>
      <c r="I75" s="210"/>
      <c r="J75" s="56"/>
      <c r="K75" s="207" t="s">
        <v>82</v>
      </c>
      <c r="L75" s="82" t="s">
        <v>52</v>
      </c>
      <c r="M75" s="56"/>
      <c r="N75" s="65"/>
      <c r="O75" s="67"/>
    </row>
    <row r="76" s="2" customFormat="1" ht="18" customHeight="1" spans="1:15">
      <c r="A76" s="48">
        <v>43709</v>
      </c>
      <c r="B76" s="25">
        <f t="shared" si="4"/>
        <v>80009.43</v>
      </c>
      <c r="C76" s="49"/>
      <c r="D76" s="50" t="s">
        <v>36</v>
      </c>
      <c r="E76" s="70">
        <v>0.06</v>
      </c>
      <c r="F76" s="25">
        <f t="shared" si="5"/>
        <v>4800.57</v>
      </c>
      <c r="G76" s="189">
        <v>84810</v>
      </c>
      <c r="H76" s="36"/>
      <c r="I76" s="210"/>
      <c r="J76" s="56"/>
      <c r="K76" s="207" t="s">
        <v>69</v>
      </c>
      <c r="L76" s="82" t="s">
        <v>83</v>
      </c>
      <c r="M76" s="56"/>
      <c r="N76" s="65"/>
      <c r="O76" s="67"/>
    </row>
    <row r="77" s="2" customFormat="1" ht="18" customHeight="1" spans="1:15">
      <c r="A77" s="48">
        <v>43709</v>
      </c>
      <c r="B77" s="25">
        <f t="shared" si="4"/>
        <v>63897.3</v>
      </c>
      <c r="C77" s="49"/>
      <c r="D77" s="50" t="s">
        <v>36</v>
      </c>
      <c r="E77" s="70">
        <v>0.06</v>
      </c>
      <c r="F77" s="25">
        <f t="shared" si="5"/>
        <v>3833.84</v>
      </c>
      <c r="G77" s="189">
        <v>67731.14</v>
      </c>
      <c r="H77" s="36"/>
      <c r="I77" s="210"/>
      <c r="J77" s="56"/>
      <c r="K77" s="207" t="s">
        <v>69</v>
      </c>
      <c r="L77" s="82" t="s">
        <v>83</v>
      </c>
      <c r="M77" s="56"/>
      <c r="N77" s="65"/>
      <c r="O77" s="67"/>
    </row>
    <row r="78" s="2" customFormat="1" ht="18" customHeight="1" spans="1:15">
      <c r="A78" s="48">
        <v>43739</v>
      </c>
      <c r="B78" s="25">
        <f t="shared" si="4"/>
        <v>443071.38</v>
      </c>
      <c r="C78" s="49"/>
      <c r="D78" s="50" t="s">
        <v>36</v>
      </c>
      <c r="E78" s="70">
        <v>0.13</v>
      </c>
      <c r="F78" s="25">
        <f t="shared" si="5"/>
        <v>57599.28</v>
      </c>
      <c r="G78" s="189">
        <v>500670.66</v>
      </c>
      <c r="H78" s="36">
        <v>43769</v>
      </c>
      <c r="I78" s="188">
        <v>200000</v>
      </c>
      <c r="J78" s="63" t="s">
        <v>20</v>
      </c>
      <c r="K78" s="207" t="s">
        <v>80</v>
      </c>
      <c r="L78" s="82" t="s">
        <v>84</v>
      </c>
      <c r="M78" s="56"/>
      <c r="N78" s="65"/>
      <c r="O78" s="67"/>
    </row>
    <row r="79" s="2" customFormat="1" ht="18" customHeight="1" spans="1:15">
      <c r="A79" s="48">
        <v>43739</v>
      </c>
      <c r="B79" s="25">
        <f t="shared" si="4"/>
        <v>257787.35</v>
      </c>
      <c r="C79" s="49"/>
      <c r="D79" s="50" t="s">
        <v>36</v>
      </c>
      <c r="E79" s="70">
        <v>0.13</v>
      </c>
      <c r="F79" s="196">
        <f t="shared" si="5"/>
        <v>33512.35</v>
      </c>
      <c r="G79" s="189">
        <v>291299.7</v>
      </c>
      <c r="H79" s="36"/>
      <c r="I79" s="210"/>
      <c r="J79" s="63" t="s">
        <v>20</v>
      </c>
      <c r="K79" s="207" t="s">
        <v>80</v>
      </c>
      <c r="L79" s="82" t="s">
        <v>85</v>
      </c>
      <c r="M79" s="56"/>
      <c r="N79" s="65"/>
      <c r="O79" s="67"/>
    </row>
    <row r="80" s="2" customFormat="1" ht="18" customHeight="1" spans="1:15">
      <c r="A80" s="48"/>
      <c r="B80" s="25">
        <f t="shared" si="4"/>
        <v>0</v>
      </c>
      <c r="C80" s="49"/>
      <c r="D80" s="50"/>
      <c r="E80" s="70"/>
      <c r="F80" s="25">
        <f t="shared" si="5"/>
        <v>0</v>
      </c>
      <c r="G80" s="189"/>
      <c r="H80" s="36">
        <v>43769</v>
      </c>
      <c r="I80" s="188">
        <v>600000</v>
      </c>
      <c r="J80" s="63" t="s">
        <v>20</v>
      </c>
      <c r="K80" s="148" t="s">
        <v>53</v>
      </c>
      <c r="L80" s="67" t="s">
        <v>54</v>
      </c>
      <c r="M80" s="56"/>
      <c r="N80" s="65"/>
      <c r="O80" s="67"/>
    </row>
    <row r="81" s="2" customFormat="1" ht="18" customHeight="1" spans="1:15">
      <c r="A81" s="48">
        <v>43770</v>
      </c>
      <c r="B81" s="25">
        <f t="shared" si="4"/>
        <v>500010</v>
      </c>
      <c r="C81" s="49"/>
      <c r="D81" s="50" t="s">
        <v>73</v>
      </c>
      <c r="E81" s="70"/>
      <c r="F81" s="25">
        <f t="shared" si="5"/>
        <v>0</v>
      </c>
      <c r="G81" s="189">
        <v>500010</v>
      </c>
      <c r="H81" s="36">
        <v>43773</v>
      </c>
      <c r="I81" s="188">
        <v>500010</v>
      </c>
      <c r="J81" s="63" t="s">
        <v>21</v>
      </c>
      <c r="K81" s="207" t="s">
        <v>74</v>
      </c>
      <c r="L81" s="82" t="s">
        <v>86</v>
      </c>
      <c r="M81" s="56"/>
      <c r="N81" s="65"/>
      <c r="O81" s="67"/>
    </row>
    <row r="82" s="2" customFormat="1" ht="18" customHeight="1" spans="1:15">
      <c r="A82" s="48">
        <v>43770</v>
      </c>
      <c r="B82" s="25">
        <f t="shared" si="4"/>
        <v>300000</v>
      </c>
      <c r="C82" s="49"/>
      <c r="D82" s="50" t="s">
        <v>73</v>
      </c>
      <c r="E82" s="70"/>
      <c r="F82" s="25">
        <f t="shared" si="5"/>
        <v>0</v>
      </c>
      <c r="G82" s="189">
        <v>300000</v>
      </c>
      <c r="H82" s="36">
        <v>43773</v>
      </c>
      <c r="I82" s="188">
        <v>300000</v>
      </c>
      <c r="J82" s="63" t="s">
        <v>21</v>
      </c>
      <c r="K82" s="207" t="s">
        <v>87</v>
      </c>
      <c r="L82" s="82" t="s">
        <v>88</v>
      </c>
      <c r="M82" s="56"/>
      <c r="N82" s="65"/>
      <c r="O82" s="67"/>
    </row>
    <row r="83" s="2" customFormat="1" ht="18" customHeight="1" spans="1:15">
      <c r="A83" s="48">
        <v>43770</v>
      </c>
      <c r="B83" s="25">
        <f t="shared" si="4"/>
        <v>300000</v>
      </c>
      <c r="C83" s="49"/>
      <c r="D83" s="50" t="s">
        <v>73</v>
      </c>
      <c r="E83" s="70"/>
      <c r="F83" s="25">
        <f t="shared" si="5"/>
        <v>0</v>
      </c>
      <c r="G83" s="189">
        <v>300000</v>
      </c>
      <c r="H83" s="36">
        <v>43773</v>
      </c>
      <c r="I83" s="188">
        <v>300000</v>
      </c>
      <c r="J83" s="63" t="s">
        <v>21</v>
      </c>
      <c r="K83" s="207" t="s">
        <v>89</v>
      </c>
      <c r="L83" s="82" t="s">
        <v>88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4"/>
        <v>300060</v>
      </c>
      <c r="C84" s="49"/>
      <c r="D84" s="50" t="s">
        <v>73</v>
      </c>
      <c r="E84" s="70"/>
      <c r="F84" s="25">
        <f t="shared" si="5"/>
        <v>0</v>
      </c>
      <c r="G84" s="189">
        <v>300060</v>
      </c>
      <c r="H84" s="36">
        <v>43773</v>
      </c>
      <c r="I84" s="188">
        <v>300060</v>
      </c>
      <c r="J84" s="63" t="s">
        <v>21</v>
      </c>
      <c r="K84" s="207" t="s">
        <v>90</v>
      </c>
      <c r="L84" s="82" t="s">
        <v>91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0</v>
      </c>
      <c r="C85" s="49"/>
      <c r="D85" s="50"/>
      <c r="E85" s="70"/>
      <c r="F85" s="25">
        <f t="shared" si="5"/>
        <v>0</v>
      </c>
      <c r="G85" s="189"/>
      <c r="H85" s="36">
        <v>43773</v>
      </c>
      <c r="I85" s="188">
        <v>500000</v>
      </c>
      <c r="J85" s="63" t="s">
        <v>20</v>
      </c>
      <c r="K85" s="207" t="s">
        <v>92</v>
      </c>
      <c r="L85" s="82" t="s">
        <v>93</v>
      </c>
      <c r="M85" s="56"/>
      <c r="N85" s="65"/>
      <c r="O85" s="67"/>
    </row>
    <row r="86" s="2" customFormat="1" ht="18" customHeight="1" spans="1:15">
      <c r="A86" s="48"/>
      <c r="B86" s="25">
        <f t="shared" si="4"/>
        <v>0</v>
      </c>
      <c r="C86" s="49"/>
      <c r="D86" s="50"/>
      <c r="E86" s="70"/>
      <c r="F86" s="25">
        <f t="shared" si="5"/>
        <v>0</v>
      </c>
      <c r="G86" s="189"/>
      <c r="H86" s="36">
        <v>43775</v>
      </c>
      <c r="I86" s="188">
        <v>800000</v>
      </c>
      <c r="J86" s="63" t="s">
        <v>20</v>
      </c>
      <c r="K86" s="207" t="s">
        <v>94</v>
      </c>
      <c r="L86" s="82" t="s">
        <v>95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1165048.54</v>
      </c>
      <c r="C87" s="49"/>
      <c r="D87" s="50" t="s">
        <v>36</v>
      </c>
      <c r="E87" s="70">
        <v>0.03</v>
      </c>
      <c r="F87" s="197">
        <f t="shared" si="5"/>
        <v>34951.46</v>
      </c>
      <c r="G87" s="189">
        <f>96000*12+48000</f>
        <v>1200000</v>
      </c>
      <c r="H87" s="36">
        <v>43776</v>
      </c>
      <c r="I87" s="188">
        <v>400000</v>
      </c>
      <c r="J87" s="63" t="s">
        <v>20</v>
      </c>
      <c r="K87" s="207" t="s">
        <v>94</v>
      </c>
      <c r="L87" s="82" t="s">
        <v>95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ref="B88:B90" si="6">ROUND(G88/(1+E88),2)</f>
        <v>326256.05</v>
      </c>
      <c r="C88" s="49"/>
      <c r="D88" s="50" t="s">
        <v>36</v>
      </c>
      <c r="E88" s="70">
        <v>0.13</v>
      </c>
      <c r="F88" s="197">
        <f t="shared" ref="F88:F90" si="7">ROUND(G88/(1+E88)*E88,2)</f>
        <v>42413.29</v>
      </c>
      <c r="G88" s="189">
        <v>368669.34</v>
      </c>
      <c r="H88" s="36"/>
      <c r="I88" s="210"/>
      <c r="J88" s="56"/>
      <c r="K88" s="207" t="s">
        <v>80</v>
      </c>
      <c r="L88" s="82" t="s">
        <v>96</v>
      </c>
      <c r="M88" s="56"/>
      <c r="N88" s="65"/>
      <c r="O88" s="67"/>
    </row>
    <row r="89" s="2" customFormat="1" ht="18" customHeight="1" spans="1:15">
      <c r="A89" s="48">
        <v>43770</v>
      </c>
      <c r="B89" s="25">
        <f t="shared" si="6"/>
        <v>199980</v>
      </c>
      <c r="C89" s="49"/>
      <c r="D89" s="50" t="s">
        <v>73</v>
      </c>
      <c r="E89" s="70"/>
      <c r="F89" s="25">
        <f t="shared" si="7"/>
        <v>0</v>
      </c>
      <c r="G89" s="189">
        <v>199980</v>
      </c>
      <c r="H89" s="195">
        <v>43784</v>
      </c>
      <c r="I89" s="196">
        <v>199980</v>
      </c>
      <c r="J89" s="201" t="s">
        <v>21</v>
      </c>
      <c r="K89" s="202" t="s">
        <v>97</v>
      </c>
      <c r="L89" s="204" t="s">
        <v>98</v>
      </c>
      <c r="M89" s="56" t="s">
        <v>76</v>
      </c>
      <c r="N89" s="65"/>
      <c r="O89" s="67"/>
    </row>
    <row r="90" s="3" customFormat="1" ht="18" customHeight="1" spans="1:15">
      <c r="A90" s="74">
        <v>43770</v>
      </c>
      <c r="B90" s="25">
        <f t="shared" si="6"/>
        <v>442477.88</v>
      </c>
      <c r="C90" s="75"/>
      <c r="D90" s="76" t="s">
        <v>36</v>
      </c>
      <c r="E90" s="77">
        <v>0.13</v>
      </c>
      <c r="F90" s="197">
        <f t="shared" si="7"/>
        <v>57522.12</v>
      </c>
      <c r="G90" s="198">
        <v>500000</v>
      </c>
      <c r="H90" s="36"/>
      <c r="I90" s="188"/>
      <c r="J90" s="63"/>
      <c r="K90" s="207" t="s">
        <v>92</v>
      </c>
      <c r="L90" s="82" t="s">
        <v>99</v>
      </c>
      <c r="M90" s="63" t="s">
        <v>100</v>
      </c>
      <c r="N90" s="63"/>
      <c r="O90" s="82"/>
    </row>
    <row r="91" s="3" customFormat="1" ht="18" customHeight="1" spans="1:15">
      <c r="A91" s="74"/>
      <c r="B91" s="25"/>
      <c r="C91" s="75"/>
      <c r="D91" s="76"/>
      <c r="E91" s="77"/>
      <c r="F91" s="25"/>
      <c r="G91" s="198"/>
      <c r="H91" s="36">
        <v>43819</v>
      </c>
      <c r="I91" s="188">
        <v>92448</v>
      </c>
      <c r="J91" s="63" t="s">
        <v>20</v>
      </c>
      <c r="K91" s="148" t="s">
        <v>53</v>
      </c>
      <c r="L91" s="67" t="s">
        <v>54</v>
      </c>
      <c r="M91" s="63"/>
      <c r="N91" s="63"/>
      <c r="O91" s="82"/>
    </row>
    <row r="92" s="3" customFormat="1" ht="18" customHeight="1" spans="1:15">
      <c r="A92" s="74"/>
      <c r="B92" s="25">
        <f t="shared" ref="B92:B100" si="8">ROUND(G92/(1+E92),2)</f>
        <v>0</v>
      </c>
      <c r="C92" s="75"/>
      <c r="D92" s="76"/>
      <c r="E92" s="77"/>
      <c r="F92" s="25">
        <f t="shared" ref="F92:F100" si="9">ROUND(G92/(1+E92)*E92,2)</f>
        <v>0</v>
      </c>
      <c r="G92" s="198"/>
      <c r="H92" s="36">
        <v>43829</v>
      </c>
      <c r="I92" s="188">
        <v>800000</v>
      </c>
      <c r="J92" s="63" t="s">
        <v>20</v>
      </c>
      <c r="K92" s="207" t="s">
        <v>80</v>
      </c>
      <c r="L92" s="82" t="s">
        <v>81</v>
      </c>
      <c r="M92" s="63"/>
      <c r="N92" s="63"/>
      <c r="O92" s="82"/>
    </row>
    <row r="93" s="3" customFormat="1" ht="18" customHeight="1" spans="1:15">
      <c r="A93" s="74">
        <v>43800</v>
      </c>
      <c r="B93" s="25">
        <f t="shared" si="8"/>
        <v>650987.86</v>
      </c>
      <c r="C93" s="75"/>
      <c r="D93" s="76" t="s">
        <v>36</v>
      </c>
      <c r="E93" s="77">
        <v>0.13</v>
      </c>
      <c r="F93" s="25">
        <f t="shared" si="9"/>
        <v>84628.42</v>
      </c>
      <c r="G93" s="198">
        <v>735616.28</v>
      </c>
      <c r="H93" s="36"/>
      <c r="I93" s="188"/>
      <c r="J93" s="63"/>
      <c r="K93" s="207" t="s">
        <v>80</v>
      </c>
      <c r="L93" s="82" t="s">
        <v>101</v>
      </c>
      <c r="M93" s="63" t="s">
        <v>100</v>
      </c>
      <c r="N93" s="63"/>
      <c r="O93" s="82"/>
    </row>
    <row r="94" s="3" customFormat="1" ht="18" customHeight="1" spans="1:15">
      <c r="A94" s="74">
        <v>43800</v>
      </c>
      <c r="B94" s="25">
        <f t="shared" si="8"/>
        <v>5825242.72</v>
      </c>
      <c r="C94" s="75"/>
      <c r="D94" s="50" t="s">
        <v>36</v>
      </c>
      <c r="E94" s="70">
        <v>0.03</v>
      </c>
      <c r="F94" s="25">
        <f t="shared" si="9"/>
        <v>174757.28</v>
      </c>
      <c r="G94" s="198">
        <f>1000000*6</f>
        <v>6000000</v>
      </c>
      <c r="H94" s="36">
        <v>43843</v>
      </c>
      <c r="I94" s="188">
        <v>1000000</v>
      </c>
      <c r="J94" s="63" t="s">
        <v>20</v>
      </c>
      <c r="K94" s="207" t="s">
        <v>53</v>
      </c>
      <c r="L94" s="82" t="s">
        <v>54</v>
      </c>
      <c r="M94" s="63" t="s">
        <v>100</v>
      </c>
      <c r="N94" s="63"/>
      <c r="O94" s="82" t="s">
        <v>102</v>
      </c>
    </row>
    <row r="95" s="3" customFormat="1" ht="18" customHeight="1" spans="1:15">
      <c r="A95" s="74">
        <v>43831</v>
      </c>
      <c r="B95" s="25">
        <f t="shared" si="8"/>
        <v>3623633.45</v>
      </c>
      <c r="C95" s="75"/>
      <c r="D95" s="50" t="s">
        <v>36</v>
      </c>
      <c r="E95" s="77">
        <v>0.09</v>
      </c>
      <c r="F95" s="25">
        <f t="shared" si="9"/>
        <v>326127.01</v>
      </c>
      <c r="G95" s="198">
        <f>1000000*3+949760.46</f>
        <v>3949760.46</v>
      </c>
      <c r="H95" s="36">
        <v>43844</v>
      </c>
      <c r="I95" s="188">
        <v>500000</v>
      </c>
      <c r="J95" s="63" t="s">
        <v>20</v>
      </c>
      <c r="K95" s="207" t="s">
        <v>103</v>
      </c>
      <c r="L95" s="82" t="s">
        <v>54</v>
      </c>
      <c r="M95" s="63" t="s">
        <v>100</v>
      </c>
      <c r="N95" s="63"/>
      <c r="O95" s="82"/>
    </row>
    <row r="96" s="3" customFormat="1" ht="18" customHeight="1" spans="1:15">
      <c r="A96" s="74"/>
      <c r="B96" s="25">
        <f t="shared" si="8"/>
        <v>0</v>
      </c>
      <c r="C96" s="75"/>
      <c r="D96" s="76"/>
      <c r="E96" s="77"/>
      <c r="F96" s="25">
        <f t="shared" si="9"/>
        <v>0</v>
      </c>
      <c r="G96" s="198"/>
      <c r="H96" s="36">
        <v>43845</v>
      </c>
      <c r="I96" s="188">
        <v>2000000</v>
      </c>
      <c r="J96" s="63" t="s">
        <v>20</v>
      </c>
      <c r="K96" s="207" t="s">
        <v>103</v>
      </c>
      <c r="L96" s="82" t="s">
        <v>54</v>
      </c>
      <c r="M96" s="63"/>
      <c r="N96" s="63"/>
      <c r="O96" s="82"/>
    </row>
    <row r="97" s="3" customFormat="1" ht="18" customHeight="1" spans="1:15">
      <c r="A97" s="74"/>
      <c r="B97" s="25">
        <f t="shared" si="8"/>
        <v>0</v>
      </c>
      <c r="C97" s="75"/>
      <c r="D97" s="76"/>
      <c r="E97" s="77"/>
      <c r="F97" s="25">
        <f t="shared" si="9"/>
        <v>0</v>
      </c>
      <c r="G97" s="198"/>
      <c r="H97" s="36">
        <v>43849</v>
      </c>
      <c r="I97" s="188">
        <v>1449760.46</v>
      </c>
      <c r="J97" s="63" t="s">
        <v>20</v>
      </c>
      <c r="K97" s="207" t="s">
        <v>103</v>
      </c>
      <c r="L97" s="82" t="s">
        <v>54</v>
      </c>
      <c r="M97" s="63"/>
      <c r="N97" s="63"/>
      <c r="O97" s="82"/>
    </row>
    <row r="98" s="3" customFormat="1" ht="18" customHeight="1" spans="1:15">
      <c r="A98" s="74">
        <v>43831</v>
      </c>
      <c r="B98" s="25">
        <f t="shared" si="8"/>
        <v>600000</v>
      </c>
      <c r="C98" s="75"/>
      <c r="D98" s="50" t="s">
        <v>73</v>
      </c>
      <c r="E98" s="77"/>
      <c r="F98" s="25">
        <f t="shared" si="9"/>
        <v>0</v>
      </c>
      <c r="G98" s="188">
        <v>600000</v>
      </c>
      <c r="H98" s="36">
        <v>43850</v>
      </c>
      <c r="I98" s="188">
        <v>600000</v>
      </c>
      <c r="J98" s="63" t="s">
        <v>21</v>
      </c>
      <c r="K98" s="207" t="s">
        <v>89</v>
      </c>
      <c r="L98" s="82" t="s">
        <v>104</v>
      </c>
      <c r="M98" s="63"/>
      <c r="N98" s="63"/>
      <c r="O98" s="82"/>
    </row>
    <row r="99" s="3" customFormat="1" ht="18" customHeight="1" spans="1:15">
      <c r="A99" s="74">
        <v>43831</v>
      </c>
      <c r="B99" s="25">
        <f t="shared" si="8"/>
        <v>600000</v>
      </c>
      <c r="C99" s="75"/>
      <c r="D99" s="50" t="s">
        <v>73</v>
      </c>
      <c r="E99" s="77"/>
      <c r="F99" s="25">
        <f t="shared" si="9"/>
        <v>0</v>
      </c>
      <c r="G99" s="188">
        <v>600000</v>
      </c>
      <c r="H99" s="36">
        <v>43850</v>
      </c>
      <c r="I99" s="188">
        <v>600000</v>
      </c>
      <c r="J99" s="63" t="s">
        <v>21</v>
      </c>
      <c r="K99" s="207" t="s">
        <v>87</v>
      </c>
      <c r="L99" s="82" t="s">
        <v>104</v>
      </c>
      <c r="M99" s="63"/>
      <c r="N99" s="63"/>
      <c r="O99" s="82"/>
    </row>
    <row r="100" s="3" customFormat="1" ht="18" customHeight="1" spans="1:15">
      <c r="A100" s="74">
        <v>43891</v>
      </c>
      <c r="B100" s="25">
        <f t="shared" si="8"/>
        <v>530100</v>
      </c>
      <c r="C100" s="75"/>
      <c r="D100" s="50" t="s">
        <v>73</v>
      </c>
      <c r="E100" s="77"/>
      <c r="F100" s="25">
        <f t="shared" si="9"/>
        <v>0</v>
      </c>
      <c r="G100" s="188">
        <v>530100</v>
      </c>
      <c r="H100" s="36">
        <v>43903</v>
      </c>
      <c r="I100" s="188">
        <v>530000</v>
      </c>
      <c r="J100" s="63" t="s">
        <v>21</v>
      </c>
      <c r="K100" s="207" t="s">
        <v>105</v>
      </c>
      <c r="L100" s="82" t="s">
        <v>77</v>
      </c>
      <c r="M100" s="63"/>
      <c r="N100" s="63"/>
      <c r="O100" s="82"/>
    </row>
    <row r="101" s="3" customFormat="1" ht="18" customHeight="1" spans="1:15">
      <c r="A101" s="74">
        <v>43952</v>
      </c>
      <c r="B101" s="25">
        <f>298648.6+188837.04+318653.29</f>
        <v>806138.93</v>
      </c>
      <c r="C101" s="75">
        <v>3</v>
      </c>
      <c r="D101" s="50" t="s">
        <v>36</v>
      </c>
      <c r="E101" s="77">
        <v>0.13</v>
      </c>
      <c r="F101" s="25">
        <f>38824.32+24548.82+41424.93</f>
        <v>104798.07</v>
      </c>
      <c r="G101" s="198">
        <f>337472.92+213385.86+360078.22</f>
        <v>910937</v>
      </c>
      <c r="H101" s="36">
        <v>43903</v>
      </c>
      <c r="I101" s="188">
        <v>200000</v>
      </c>
      <c r="J101" s="63" t="s">
        <v>20</v>
      </c>
      <c r="K101" s="207" t="s">
        <v>80</v>
      </c>
      <c r="L101" s="82" t="s">
        <v>169</v>
      </c>
      <c r="M101" s="63" t="s">
        <v>100</v>
      </c>
      <c r="N101" s="63" t="s">
        <v>170</v>
      </c>
      <c r="O101" s="82"/>
    </row>
    <row r="102" s="3" customFormat="1" ht="18" customHeight="1" spans="1:15">
      <c r="A102" s="74"/>
      <c r="B102" s="25">
        <f t="shared" ref="B102:B122" si="10">ROUND(G102/(1+E102),2)</f>
        <v>0</v>
      </c>
      <c r="C102" s="75"/>
      <c r="D102" s="50"/>
      <c r="E102" s="77"/>
      <c r="F102" s="25">
        <f t="shared" ref="F102:F122" si="11">ROUND(G102/(1+E102)*E102,2)</f>
        <v>0</v>
      </c>
      <c r="G102" s="198"/>
      <c r="H102" s="36">
        <v>43950</v>
      </c>
      <c r="I102" s="188">
        <v>400000</v>
      </c>
      <c r="J102" s="63" t="s">
        <v>20</v>
      </c>
      <c r="K102" s="207" t="s">
        <v>155</v>
      </c>
      <c r="L102" s="82" t="s">
        <v>81</v>
      </c>
      <c r="M102" s="63"/>
      <c r="N102" s="63"/>
      <c r="O102" s="82"/>
    </row>
    <row r="103" s="3" customFormat="1" ht="18" customHeight="1" spans="1:15">
      <c r="A103" s="74"/>
      <c r="B103" s="25">
        <f t="shared" si="10"/>
        <v>0</v>
      </c>
      <c r="C103" s="75"/>
      <c r="D103" s="50"/>
      <c r="E103" s="77"/>
      <c r="F103" s="25">
        <f t="shared" si="11"/>
        <v>0</v>
      </c>
      <c r="G103" s="198"/>
      <c r="H103" s="36">
        <v>43951</v>
      </c>
      <c r="I103" s="188">
        <v>970000</v>
      </c>
      <c r="J103" s="63" t="s">
        <v>21</v>
      </c>
      <c r="K103" s="207" t="s">
        <v>105</v>
      </c>
      <c r="L103" s="82"/>
      <c r="M103" s="63"/>
      <c r="N103" s="63"/>
      <c r="O103" s="82"/>
    </row>
    <row r="104" s="3" customFormat="1" ht="18" customHeight="1" spans="1:15">
      <c r="A104" s="74"/>
      <c r="B104" s="25">
        <f t="shared" si="10"/>
        <v>0</v>
      </c>
      <c r="C104" s="75"/>
      <c r="D104" s="50"/>
      <c r="E104" s="77"/>
      <c r="F104" s="25">
        <f t="shared" si="11"/>
        <v>0</v>
      </c>
      <c r="G104" s="198"/>
      <c r="H104" s="36">
        <v>43966</v>
      </c>
      <c r="I104" s="188">
        <v>150000</v>
      </c>
      <c r="J104" s="63" t="s">
        <v>20</v>
      </c>
      <c r="K104" s="207" t="s">
        <v>155</v>
      </c>
      <c r="L104" s="82" t="s">
        <v>81</v>
      </c>
      <c r="M104" s="63"/>
      <c r="N104" s="63"/>
      <c r="O104" s="82"/>
    </row>
    <row r="105" s="3" customFormat="1" ht="17.1" customHeight="1" spans="1:15">
      <c r="A105" s="74">
        <v>44013</v>
      </c>
      <c r="B105" s="25">
        <f t="shared" si="10"/>
        <v>2632.08</v>
      </c>
      <c r="C105" s="75">
        <v>1</v>
      </c>
      <c r="D105" s="50" t="s">
        <v>36</v>
      </c>
      <c r="E105" s="77">
        <v>0.06</v>
      </c>
      <c r="F105" s="25">
        <f t="shared" si="11"/>
        <v>157.92</v>
      </c>
      <c r="G105" s="198">
        <v>2790</v>
      </c>
      <c r="H105" s="36"/>
      <c r="I105" s="188"/>
      <c r="J105" s="63"/>
      <c r="K105" s="211" t="s">
        <v>156</v>
      </c>
      <c r="L105" s="212" t="s">
        <v>52</v>
      </c>
      <c r="M105" s="56" t="s">
        <v>171</v>
      </c>
      <c r="N105" s="63"/>
      <c r="O105" s="82"/>
    </row>
    <row r="106" s="3" customFormat="1" ht="17.1" customHeight="1" spans="1:15">
      <c r="A106" s="74"/>
      <c r="B106" s="25">
        <f t="shared" si="10"/>
        <v>0</v>
      </c>
      <c r="C106" s="75"/>
      <c r="D106" s="50"/>
      <c r="E106" s="77"/>
      <c r="F106" s="25">
        <f t="shared" si="11"/>
        <v>0</v>
      </c>
      <c r="G106" s="198"/>
      <c r="H106" s="36">
        <v>43993</v>
      </c>
      <c r="I106" s="188">
        <v>100000</v>
      </c>
      <c r="J106" s="63"/>
      <c r="K106" s="207" t="s">
        <v>155</v>
      </c>
      <c r="L106" s="82"/>
      <c r="M106" s="63"/>
      <c r="N106" s="63"/>
      <c r="O106" s="82"/>
    </row>
    <row r="107" s="3" customFormat="1" ht="17.1" customHeight="1" spans="1:15">
      <c r="A107" s="74"/>
      <c r="B107" s="25">
        <f t="shared" si="10"/>
        <v>0</v>
      </c>
      <c r="C107" s="75"/>
      <c r="D107" s="50"/>
      <c r="E107" s="77"/>
      <c r="F107" s="25">
        <f t="shared" si="11"/>
        <v>0</v>
      </c>
      <c r="G107" s="198"/>
      <c r="H107" s="36">
        <v>43994</v>
      </c>
      <c r="I107" s="188">
        <v>1000000</v>
      </c>
      <c r="J107" s="63"/>
      <c r="K107" s="213" t="s">
        <v>165</v>
      </c>
      <c r="L107" s="82" t="s">
        <v>54</v>
      </c>
      <c r="M107" s="63"/>
      <c r="N107" s="63"/>
      <c r="O107" s="82"/>
    </row>
    <row r="108" s="3" customFormat="1" ht="17.1" customHeight="1" spans="1:15">
      <c r="A108" s="74"/>
      <c r="B108" s="25">
        <f t="shared" si="10"/>
        <v>0</v>
      </c>
      <c r="C108" s="75"/>
      <c r="D108" s="50"/>
      <c r="E108" s="77"/>
      <c r="F108" s="25">
        <f t="shared" si="11"/>
        <v>0</v>
      </c>
      <c r="G108" s="198"/>
      <c r="H108" s="36">
        <v>44000</v>
      </c>
      <c r="I108" s="214">
        <v>500000</v>
      </c>
      <c r="J108" s="63" t="s">
        <v>20</v>
      </c>
      <c r="K108" s="171" t="s">
        <v>166</v>
      </c>
      <c r="L108" s="82"/>
      <c r="M108" s="63"/>
      <c r="N108" s="63"/>
      <c r="O108" s="82"/>
    </row>
    <row r="109" s="3" customFormat="1" ht="17.1" customHeight="1" spans="1:15">
      <c r="A109" s="74">
        <v>44013</v>
      </c>
      <c r="B109" s="25">
        <f t="shared" si="10"/>
        <v>600040</v>
      </c>
      <c r="C109" s="75"/>
      <c r="D109" s="50" t="s">
        <v>173</v>
      </c>
      <c r="E109" s="77"/>
      <c r="F109" s="25">
        <f t="shared" si="11"/>
        <v>0</v>
      </c>
      <c r="G109" s="198">
        <v>600040</v>
      </c>
      <c r="H109" s="36">
        <v>44000</v>
      </c>
      <c r="I109" s="214">
        <v>600040</v>
      </c>
      <c r="J109" s="63" t="s">
        <v>20</v>
      </c>
      <c r="K109" s="171" t="s">
        <v>74</v>
      </c>
      <c r="L109" s="82" t="s">
        <v>174</v>
      </c>
      <c r="M109" s="63"/>
      <c r="N109" s="63"/>
      <c r="O109" s="82" t="s">
        <v>175</v>
      </c>
    </row>
    <row r="110" s="3" customFormat="1" ht="17.1" customHeight="1" spans="1:15">
      <c r="A110" s="74">
        <v>44013</v>
      </c>
      <c r="B110" s="25">
        <f t="shared" si="10"/>
        <v>600120</v>
      </c>
      <c r="C110" s="75"/>
      <c r="D110" s="50" t="s">
        <v>173</v>
      </c>
      <c r="E110" s="77"/>
      <c r="F110" s="25">
        <f t="shared" si="11"/>
        <v>0</v>
      </c>
      <c r="G110" s="198">
        <v>600120</v>
      </c>
      <c r="H110" s="36">
        <v>44000</v>
      </c>
      <c r="I110" s="214">
        <v>600120</v>
      </c>
      <c r="J110" s="63" t="s">
        <v>20</v>
      </c>
      <c r="K110" s="171" t="s">
        <v>78</v>
      </c>
      <c r="L110" s="82" t="s">
        <v>176</v>
      </c>
      <c r="M110" s="63"/>
      <c r="N110" s="63"/>
      <c r="O110" s="82" t="s">
        <v>177</v>
      </c>
    </row>
    <row r="111" s="3" customFormat="1" ht="17.1" customHeight="1" spans="1:15">
      <c r="A111" s="74">
        <v>44013</v>
      </c>
      <c r="B111" s="25">
        <f t="shared" si="10"/>
        <v>300000</v>
      </c>
      <c r="C111" s="75"/>
      <c r="D111" s="50" t="s">
        <v>173</v>
      </c>
      <c r="E111" s="77"/>
      <c r="F111" s="25">
        <f t="shared" si="11"/>
        <v>0</v>
      </c>
      <c r="G111" s="198">
        <v>300000</v>
      </c>
      <c r="H111" s="36">
        <v>44000</v>
      </c>
      <c r="I111" s="214">
        <v>300000</v>
      </c>
      <c r="J111" s="63" t="s">
        <v>20</v>
      </c>
      <c r="K111" s="171" t="s">
        <v>89</v>
      </c>
      <c r="L111" s="82" t="s">
        <v>178</v>
      </c>
      <c r="M111" t="s">
        <v>100</v>
      </c>
      <c r="N111" s="63"/>
      <c r="O111" s="82" t="s">
        <v>179</v>
      </c>
    </row>
    <row r="112" s="3" customFormat="1" ht="17.1" customHeight="1" spans="1:15">
      <c r="A112" s="74">
        <v>44013</v>
      </c>
      <c r="B112" s="25">
        <f t="shared" si="10"/>
        <v>300000</v>
      </c>
      <c r="C112" s="75"/>
      <c r="D112" s="50" t="s">
        <v>173</v>
      </c>
      <c r="E112" s="77"/>
      <c r="F112" s="25">
        <f t="shared" si="11"/>
        <v>0</v>
      </c>
      <c r="G112" s="198">
        <v>300000</v>
      </c>
      <c r="H112" s="36">
        <v>44001</v>
      </c>
      <c r="I112" s="214">
        <v>300000</v>
      </c>
      <c r="J112" s="63" t="s">
        <v>20</v>
      </c>
      <c r="K112" s="171" t="s">
        <v>87</v>
      </c>
      <c r="L112" s="82" t="s">
        <v>178</v>
      </c>
      <c r="M112" t="s">
        <v>100</v>
      </c>
      <c r="N112" s="63"/>
      <c r="O112" s="82" t="s">
        <v>180</v>
      </c>
    </row>
    <row r="113" s="3" customFormat="1" ht="18" customHeight="1" spans="1:15">
      <c r="A113" s="74"/>
      <c r="B113" s="25">
        <f t="shared" si="10"/>
        <v>0</v>
      </c>
      <c r="C113" s="75"/>
      <c r="D113" s="50"/>
      <c r="E113" s="77"/>
      <c r="F113" s="25">
        <f t="shared" si="11"/>
        <v>0</v>
      </c>
      <c r="G113" s="198"/>
      <c r="H113" s="199">
        <v>44005</v>
      </c>
      <c r="I113" s="215">
        <v>170000</v>
      </c>
      <c r="J113" s="216" t="s">
        <v>20</v>
      </c>
      <c r="K113" s="217" t="s">
        <v>155</v>
      </c>
      <c r="L113" s="82"/>
      <c r="M113" s="63"/>
      <c r="N113" s="63"/>
      <c r="O113" s="82"/>
    </row>
    <row r="114" s="3" customFormat="1" ht="18" customHeight="1" spans="1:15">
      <c r="A114" s="74"/>
      <c r="B114" s="25">
        <f t="shared" si="10"/>
        <v>0</v>
      </c>
      <c r="C114" s="75"/>
      <c r="D114" s="50"/>
      <c r="E114" s="77"/>
      <c r="F114" s="25">
        <f t="shared" si="11"/>
        <v>0</v>
      </c>
      <c r="G114" s="198"/>
      <c r="H114" s="200">
        <v>44012</v>
      </c>
      <c r="I114" s="218">
        <v>1000000</v>
      </c>
      <c r="J114" s="219" t="s">
        <v>164</v>
      </c>
      <c r="K114" s="220" t="s">
        <v>80</v>
      </c>
      <c r="L114" s="221" t="s">
        <v>81</v>
      </c>
      <c r="M114" s="219" t="s">
        <v>76</v>
      </c>
      <c r="N114" s="63"/>
      <c r="O114" s="82"/>
    </row>
    <row r="115" s="3" customFormat="1" ht="18" customHeight="1" spans="1:15">
      <c r="A115" s="74"/>
      <c r="B115" s="25">
        <f t="shared" si="10"/>
        <v>0</v>
      </c>
      <c r="C115" s="75"/>
      <c r="D115" s="50"/>
      <c r="E115" s="77"/>
      <c r="F115" s="25">
        <f t="shared" si="11"/>
        <v>0</v>
      </c>
      <c r="G115" s="198"/>
      <c r="H115" s="194">
        <v>44019</v>
      </c>
      <c r="I115" s="229">
        <v>500000</v>
      </c>
      <c r="J115" s="201"/>
      <c r="K115" s="202" t="s">
        <v>80</v>
      </c>
      <c r="L115" s="208"/>
      <c r="M115" s="219" t="s">
        <v>76</v>
      </c>
      <c r="N115" s="63"/>
      <c r="O115" s="82"/>
    </row>
    <row r="116" s="3" customFormat="1" ht="18" customHeight="1" spans="1:15">
      <c r="A116" s="74">
        <v>44013</v>
      </c>
      <c r="B116" s="25">
        <f t="shared" si="10"/>
        <v>505080.8</v>
      </c>
      <c r="C116" s="75"/>
      <c r="D116" s="50" t="s">
        <v>173</v>
      </c>
      <c r="E116" s="77"/>
      <c r="F116" s="25">
        <f t="shared" si="11"/>
        <v>0</v>
      </c>
      <c r="G116" s="198">
        <v>505080.8</v>
      </c>
      <c r="H116" s="194">
        <v>44019</v>
      </c>
      <c r="I116" s="229">
        <v>500000</v>
      </c>
      <c r="J116" s="201" t="s">
        <v>20</v>
      </c>
      <c r="K116" s="264" t="s">
        <v>167</v>
      </c>
      <c r="L116" s="208" t="s">
        <v>181</v>
      </c>
      <c r="M116" s="219" t="s">
        <v>76</v>
      </c>
      <c r="N116" s="63"/>
      <c r="O116" s="82" t="s">
        <v>182</v>
      </c>
    </row>
    <row r="117" s="3" customFormat="1" ht="18" customHeight="1" spans="1:15">
      <c r="A117" s="74">
        <v>44013</v>
      </c>
      <c r="B117" s="25">
        <f t="shared" si="10"/>
        <v>970000</v>
      </c>
      <c r="C117" s="75"/>
      <c r="D117" s="50" t="s">
        <v>173</v>
      </c>
      <c r="E117" s="77"/>
      <c r="F117" s="25">
        <f t="shared" si="11"/>
        <v>0</v>
      </c>
      <c r="G117" s="198">
        <v>970000</v>
      </c>
      <c r="H117" s="200"/>
      <c r="I117" s="218"/>
      <c r="J117" s="219"/>
      <c r="K117" s="207" t="s">
        <v>105</v>
      </c>
      <c r="L117" s="82" t="s">
        <v>183</v>
      </c>
      <c r="M117" s="219"/>
      <c r="N117" s="63"/>
      <c r="O117" s="82" t="s">
        <v>184</v>
      </c>
    </row>
    <row r="118" s="3" customFormat="1" ht="18" customHeight="1" spans="1:15">
      <c r="A118" s="74">
        <v>44013</v>
      </c>
      <c r="B118" s="25">
        <f t="shared" si="10"/>
        <v>458715.6</v>
      </c>
      <c r="C118" s="75"/>
      <c r="D118" s="50" t="s">
        <v>36</v>
      </c>
      <c r="E118" s="77">
        <v>0.09</v>
      </c>
      <c r="F118" s="25">
        <f t="shared" si="11"/>
        <v>41284.4</v>
      </c>
      <c r="G118" s="198">
        <v>500000</v>
      </c>
      <c r="H118" s="200"/>
      <c r="I118" s="218"/>
      <c r="J118" s="219"/>
      <c r="K118" s="171" t="s">
        <v>166</v>
      </c>
      <c r="L118" s="82" t="s">
        <v>185</v>
      </c>
      <c r="M118" t="s">
        <v>100</v>
      </c>
      <c r="N118" s="63"/>
      <c r="O118" s="82"/>
    </row>
    <row r="119" s="3" customFormat="1" ht="18" customHeight="1" spans="1:15">
      <c r="A119" s="74">
        <v>44044</v>
      </c>
      <c r="B119" s="25">
        <f t="shared" si="10"/>
        <v>1039119.43</v>
      </c>
      <c r="C119" s="75"/>
      <c r="D119" s="50" t="s">
        <v>36</v>
      </c>
      <c r="E119" s="77">
        <v>0.13</v>
      </c>
      <c r="F119" s="25">
        <f t="shared" si="11"/>
        <v>135085.53</v>
      </c>
      <c r="G119" s="198">
        <f>304573.99+869630.97</f>
        <v>1174204.96</v>
      </c>
      <c r="H119" s="200"/>
      <c r="I119" s="218"/>
      <c r="J119" s="219"/>
      <c r="K119" s="171" t="s">
        <v>80</v>
      </c>
      <c r="L119" s="82" t="s">
        <v>186</v>
      </c>
      <c r="M119" t="s">
        <v>100</v>
      </c>
      <c r="N119" s="63"/>
      <c r="O119" s="82"/>
    </row>
    <row r="120" s="3" customFormat="1" ht="18" customHeight="1" spans="1:15">
      <c r="A120" s="74"/>
      <c r="B120" s="25">
        <f t="shared" si="10"/>
        <v>0</v>
      </c>
      <c r="C120" s="75"/>
      <c r="D120" s="50"/>
      <c r="E120" s="77"/>
      <c r="F120" s="25">
        <f t="shared" si="11"/>
        <v>0</v>
      </c>
      <c r="G120" s="198"/>
      <c r="H120" s="200"/>
      <c r="I120" s="218"/>
      <c r="J120" s="219"/>
      <c r="K120" s="171"/>
      <c r="L120" s="208"/>
      <c r="M120"/>
      <c r="N120" s="63"/>
      <c r="O120" s="82"/>
    </row>
    <row r="121" s="3" customFormat="1" ht="18" customHeight="1" spans="1:15">
      <c r="A121" s="74"/>
      <c r="B121" s="25">
        <f t="shared" si="10"/>
        <v>0</v>
      </c>
      <c r="C121" s="75"/>
      <c r="D121" s="50"/>
      <c r="E121" s="77"/>
      <c r="F121" s="25">
        <f t="shared" si="11"/>
        <v>0</v>
      </c>
      <c r="G121" s="198"/>
      <c r="H121" s="199"/>
      <c r="I121" s="215"/>
      <c r="J121" s="230"/>
      <c r="K121" s="225"/>
      <c r="L121" s="82"/>
      <c r="M121" s="63"/>
      <c r="N121" s="63"/>
      <c r="O121" s="82"/>
    </row>
    <row r="122" s="3" customFormat="1" ht="18" customHeight="1" spans="1:15">
      <c r="A122" s="74"/>
      <c r="B122" s="25">
        <f t="shared" si="10"/>
        <v>0</v>
      </c>
      <c r="C122" s="75"/>
      <c r="D122" s="50"/>
      <c r="E122" s="77"/>
      <c r="F122" s="25">
        <f t="shared" si="11"/>
        <v>0</v>
      </c>
      <c r="G122" s="198"/>
      <c r="H122" s="199"/>
      <c r="I122" s="215"/>
      <c r="J122" s="230"/>
      <c r="K122" s="225"/>
      <c r="L122" s="82"/>
      <c r="M122" s="63"/>
      <c r="N122" s="63"/>
      <c r="O122" s="82"/>
    </row>
    <row r="123" s="3" customFormat="1" ht="18" customHeight="1" spans="1:15">
      <c r="A123" s="74"/>
      <c r="B123" s="25">
        <f t="shared" ref="B123:B162" si="12">ROUND(G123/(1+E123),2)</f>
        <v>0</v>
      </c>
      <c r="C123" s="75"/>
      <c r="D123" s="50"/>
      <c r="E123" s="77"/>
      <c r="F123" s="25">
        <f t="shared" ref="F123:F162" si="13">ROUND(G123/(1+E123)*E123,2)</f>
        <v>0</v>
      </c>
      <c r="G123" s="198"/>
      <c r="H123" s="195">
        <v>44019</v>
      </c>
      <c r="I123" s="262">
        <v>200</v>
      </c>
      <c r="J123" s="176" t="s">
        <v>106</v>
      </c>
      <c r="K123" s="260" t="s">
        <v>110</v>
      </c>
      <c r="L123" s="82"/>
      <c r="M123" s="63"/>
      <c r="N123" s="63"/>
      <c r="O123" s="82"/>
    </row>
    <row r="124" s="3" customFormat="1" ht="18" customHeight="1" spans="1:15">
      <c r="A124" s="74"/>
      <c r="B124" s="25">
        <f t="shared" si="12"/>
        <v>0</v>
      </c>
      <c r="C124" s="75"/>
      <c r="D124" s="50"/>
      <c r="E124" s="77"/>
      <c r="F124" s="25">
        <f t="shared" si="13"/>
        <v>0</v>
      </c>
      <c r="G124" s="198"/>
      <c r="H124" s="200">
        <v>44012</v>
      </c>
      <c r="I124" s="218">
        <v>-2000000</v>
      </c>
      <c r="J124" s="219"/>
      <c r="K124" s="221" t="s">
        <v>162</v>
      </c>
      <c r="L124" s="82"/>
      <c r="M124" s="63"/>
      <c r="N124" s="63"/>
      <c r="O124" s="82"/>
    </row>
    <row r="125" s="3" customFormat="1" ht="18" customHeight="1" spans="1:15">
      <c r="A125" s="74"/>
      <c r="B125" s="25">
        <f t="shared" si="12"/>
        <v>0</v>
      </c>
      <c r="C125" s="75"/>
      <c r="D125" s="50"/>
      <c r="E125" s="77"/>
      <c r="F125" s="25">
        <f t="shared" si="13"/>
        <v>0</v>
      </c>
      <c r="G125" s="198"/>
      <c r="H125" s="199">
        <v>44012</v>
      </c>
      <c r="I125" s="233">
        <v>100</v>
      </c>
      <c r="J125" s="216" t="s">
        <v>106</v>
      </c>
      <c r="K125" s="234" t="s">
        <v>110</v>
      </c>
      <c r="L125" s="82"/>
      <c r="M125" s="63"/>
      <c r="N125" s="63"/>
      <c r="O125" s="82"/>
    </row>
    <row r="126" s="3" customFormat="1" ht="17.1" customHeight="1" spans="1:15">
      <c r="A126" s="74"/>
      <c r="B126" s="25">
        <f t="shared" si="12"/>
        <v>0</v>
      </c>
      <c r="C126" s="75"/>
      <c r="D126" s="50"/>
      <c r="E126" s="77"/>
      <c r="F126" s="25">
        <f t="shared" si="13"/>
        <v>0</v>
      </c>
      <c r="G126" s="198"/>
      <c r="H126" s="199">
        <v>44005</v>
      </c>
      <c r="I126" s="233">
        <v>100</v>
      </c>
      <c r="J126" s="216" t="s">
        <v>106</v>
      </c>
      <c r="K126" s="234" t="s">
        <v>110</v>
      </c>
      <c r="L126" s="82"/>
      <c r="M126" s="63"/>
      <c r="N126" s="63"/>
      <c r="O126" s="82"/>
    </row>
    <row r="127" s="3" customFormat="1" ht="17.1" customHeight="1" spans="1:15">
      <c r="A127" s="74"/>
      <c r="B127" s="25">
        <f t="shared" si="12"/>
        <v>0</v>
      </c>
      <c r="C127" s="75"/>
      <c r="D127" s="50"/>
      <c r="E127" s="77"/>
      <c r="F127" s="25">
        <f t="shared" si="13"/>
        <v>0</v>
      </c>
      <c r="G127" s="198"/>
      <c r="H127" s="36">
        <v>44001</v>
      </c>
      <c r="I127" s="82">
        <v>100</v>
      </c>
      <c r="J127" s="63" t="s">
        <v>106</v>
      </c>
      <c r="K127" s="82" t="s">
        <v>110</v>
      </c>
      <c r="L127" s="82"/>
      <c r="M127" s="63"/>
      <c r="N127" s="63"/>
      <c r="O127" s="82"/>
    </row>
    <row r="128" s="3" customFormat="1" ht="17.1" customHeight="1" spans="1:15">
      <c r="A128" s="74"/>
      <c r="B128" s="25">
        <f t="shared" si="12"/>
        <v>0</v>
      </c>
      <c r="C128" s="75"/>
      <c r="D128" s="50"/>
      <c r="E128" s="77"/>
      <c r="F128" s="25">
        <f t="shared" si="13"/>
        <v>0</v>
      </c>
      <c r="G128" s="198"/>
      <c r="H128" s="36">
        <v>44000</v>
      </c>
      <c r="I128" s="82">
        <v>100</v>
      </c>
      <c r="J128" s="63" t="s">
        <v>106</v>
      </c>
      <c r="K128" s="82" t="s">
        <v>110</v>
      </c>
      <c r="L128" s="82"/>
      <c r="M128" s="63"/>
      <c r="N128" s="63"/>
      <c r="O128" s="82"/>
    </row>
    <row r="129" s="3" customFormat="1" ht="17.1" customHeight="1" spans="1:15">
      <c r="A129" s="74"/>
      <c r="B129" s="25">
        <f t="shared" si="12"/>
        <v>0</v>
      </c>
      <c r="C129" s="75"/>
      <c r="D129" s="50"/>
      <c r="E129" s="77"/>
      <c r="F129" s="25">
        <f t="shared" si="13"/>
        <v>0</v>
      </c>
      <c r="G129" s="198"/>
      <c r="H129" s="36">
        <v>44000</v>
      </c>
      <c r="I129" s="82">
        <v>300</v>
      </c>
      <c r="J129" s="65" t="s">
        <v>106</v>
      </c>
      <c r="K129" s="207" t="s">
        <v>110</v>
      </c>
      <c r="L129" s="82"/>
      <c r="M129" s="63"/>
      <c r="N129" s="63"/>
      <c r="O129" s="82"/>
    </row>
    <row r="130" s="3" customFormat="1" ht="17.1" customHeight="1" spans="1:15">
      <c r="A130" s="74"/>
      <c r="B130" s="25">
        <f t="shared" si="12"/>
        <v>0</v>
      </c>
      <c r="C130" s="75"/>
      <c r="D130" s="50"/>
      <c r="E130" s="77"/>
      <c r="F130" s="25">
        <f t="shared" si="13"/>
        <v>0</v>
      </c>
      <c r="G130" s="198"/>
      <c r="H130" s="36">
        <v>43994</v>
      </c>
      <c r="I130" s="235">
        <v>100</v>
      </c>
      <c r="J130" s="65" t="s">
        <v>106</v>
      </c>
      <c r="K130" s="207" t="s">
        <v>110</v>
      </c>
      <c r="L130" s="82"/>
      <c r="M130" s="63"/>
      <c r="N130" s="63"/>
      <c r="O130" s="82"/>
    </row>
    <row r="131" s="3" customFormat="1" ht="18" customHeight="1" spans="1:15">
      <c r="A131" s="74"/>
      <c r="B131" s="25">
        <f t="shared" si="12"/>
        <v>0</v>
      </c>
      <c r="C131" s="75"/>
      <c r="D131" s="50"/>
      <c r="E131" s="77"/>
      <c r="F131" s="25">
        <f t="shared" si="13"/>
        <v>0</v>
      </c>
      <c r="G131" s="198"/>
      <c r="H131" s="36">
        <v>43994</v>
      </c>
      <c r="I131" s="236">
        <v>72400</v>
      </c>
      <c r="J131" s="65" t="s">
        <v>106</v>
      </c>
      <c r="K131" s="207" t="s">
        <v>121</v>
      </c>
      <c r="L131" s="82"/>
      <c r="M131" s="63"/>
      <c r="N131" s="63"/>
      <c r="O131" s="82"/>
    </row>
    <row r="132" s="3" customFormat="1" ht="18" customHeight="1" spans="1:15">
      <c r="A132" s="74"/>
      <c r="B132" s="25">
        <f t="shared" si="12"/>
        <v>0</v>
      </c>
      <c r="C132" s="75"/>
      <c r="D132" s="50"/>
      <c r="E132" s="77"/>
      <c r="F132" s="25">
        <f t="shared" si="13"/>
        <v>0</v>
      </c>
      <c r="G132" s="198"/>
      <c r="H132" s="36">
        <v>43994</v>
      </c>
      <c r="I132" s="188">
        <v>1992.66055045872</v>
      </c>
      <c r="J132" s="65" t="s">
        <v>106</v>
      </c>
      <c r="K132" s="207" t="s">
        <v>123</v>
      </c>
      <c r="L132" s="82"/>
      <c r="M132" s="63"/>
      <c r="N132" s="63"/>
      <c r="O132" s="82"/>
    </row>
    <row r="133" s="3" customFormat="1" ht="18" customHeight="1" spans="1:15">
      <c r="A133" s="74"/>
      <c r="B133" s="25">
        <f t="shared" si="12"/>
        <v>0</v>
      </c>
      <c r="C133" s="75"/>
      <c r="D133" s="50"/>
      <c r="E133" s="77"/>
      <c r="F133" s="25">
        <f t="shared" si="13"/>
        <v>0</v>
      </c>
      <c r="G133" s="198"/>
      <c r="H133" s="36">
        <v>43994</v>
      </c>
      <c r="I133" s="188">
        <v>18100</v>
      </c>
      <c r="J133" s="65" t="s">
        <v>106</v>
      </c>
      <c r="K133" s="207" t="s">
        <v>157</v>
      </c>
      <c r="L133" s="82"/>
      <c r="M133" s="63"/>
      <c r="N133" s="63"/>
      <c r="O133" s="82"/>
    </row>
    <row r="134" s="3" customFormat="1" ht="18" customHeight="1" spans="1:15">
      <c r="A134" s="74"/>
      <c r="B134" s="25">
        <f t="shared" si="12"/>
        <v>0</v>
      </c>
      <c r="C134" s="75"/>
      <c r="D134" s="50"/>
      <c r="E134" s="77"/>
      <c r="F134" s="25">
        <f t="shared" si="13"/>
        <v>0</v>
      </c>
      <c r="G134" s="198"/>
      <c r="H134" s="36">
        <v>43993</v>
      </c>
      <c r="I134" s="188">
        <v>100</v>
      </c>
      <c r="J134" s="65" t="s">
        <v>106</v>
      </c>
      <c r="K134" s="207" t="s">
        <v>110</v>
      </c>
      <c r="L134" s="82"/>
      <c r="M134" s="63"/>
      <c r="N134" s="63"/>
      <c r="O134" s="82"/>
    </row>
    <row r="135" s="3" customFormat="1" ht="18" customHeight="1" spans="1:15">
      <c r="A135" s="74"/>
      <c r="B135" s="25">
        <f t="shared" si="12"/>
        <v>0</v>
      </c>
      <c r="C135" s="75"/>
      <c r="D135" s="50"/>
      <c r="E135" s="77"/>
      <c r="F135" s="25">
        <f t="shared" si="13"/>
        <v>0</v>
      </c>
      <c r="G135" s="198"/>
      <c r="H135" s="36">
        <v>43966</v>
      </c>
      <c r="I135" s="188">
        <v>100</v>
      </c>
      <c r="J135" s="65" t="s">
        <v>106</v>
      </c>
      <c r="K135" s="207" t="s">
        <v>110</v>
      </c>
      <c r="L135" s="82"/>
      <c r="M135" s="63"/>
      <c r="N135" s="63"/>
      <c r="O135" s="82"/>
    </row>
    <row r="136" s="3" customFormat="1" ht="18" customHeight="1" spans="1:15">
      <c r="A136" s="74"/>
      <c r="B136" s="25">
        <f t="shared" si="12"/>
        <v>0</v>
      </c>
      <c r="C136" s="75"/>
      <c r="D136" s="50"/>
      <c r="E136" s="77"/>
      <c r="F136" s="25">
        <f t="shared" si="13"/>
        <v>0</v>
      </c>
      <c r="G136" s="198"/>
      <c r="H136" s="76">
        <v>10.2</v>
      </c>
      <c r="I136" s="188">
        <v>100</v>
      </c>
      <c r="J136" s="65" t="s">
        <v>106</v>
      </c>
      <c r="K136" s="207" t="s">
        <v>110</v>
      </c>
      <c r="L136" s="82"/>
      <c r="M136" s="63"/>
      <c r="N136" s="63"/>
      <c r="O136" s="82"/>
    </row>
    <row r="137" s="3" customFormat="1" ht="18" customHeight="1" spans="1:15">
      <c r="A137" s="74"/>
      <c r="B137" s="25">
        <f t="shared" si="12"/>
        <v>0</v>
      </c>
      <c r="C137" s="75"/>
      <c r="D137" s="50"/>
      <c r="E137" s="77"/>
      <c r="F137" s="25">
        <f t="shared" si="13"/>
        <v>0</v>
      </c>
      <c r="G137" s="198"/>
      <c r="H137" s="76">
        <v>10.1</v>
      </c>
      <c r="I137" s="188">
        <v>100</v>
      </c>
      <c r="J137" s="65" t="s">
        <v>106</v>
      </c>
      <c r="K137" s="207" t="s">
        <v>110</v>
      </c>
      <c r="L137" s="82"/>
      <c r="M137" s="63"/>
      <c r="N137" s="63"/>
      <c r="O137" s="82"/>
    </row>
    <row r="138" s="3" customFormat="1" ht="18" customHeight="1" spans="1:15">
      <c r="A138" s="74"/>
      <c r="B138" s="25">
        <f t="shared" si="12"/>
        <v>0</v>
      </c>
      <c r="C138" s="75"/>
      <c r="D138" s="50"/>
      <c r="E138" s="77"/>
      <c r="F138" s="25">
        <f t="shared" si="13"/>
        <v>0</v>
      </c>
      <c r="G138" s="198"/>
      <c r="H138" s="76">
        <v>10.1</v>
      </c>
      <c r="I138" s="188">
        <f>B12*0.0006</f>
        <v>853.211009174312</v>
      </c>
      <c r="J138" s="65" t="s">
        <v>106</v>
      </c>
      <c r="K138" s="207" t="s">
        <v>107</v>
      </c>
      <c r="L138" s="82">
        <f>I138+I139+I142+I147+I150+I151+I152+I153+I160+I161+I167+I169+I170</f>
        <v>916149.577981651</v>
      </c>
      <c r="M138" s="63"/>
      <c r="N138" s="63"/>
      <c r="O138" s="82"/>
    </row>
    <row r="139" s="3" customFormat="1" ht="18" customHeight="1" spans="1:15">
      <c r="A139" s="74"/>
      <c r="B139" s="25">
        <f t="shared" si="12"/>
        <v>0</v>
      </c>
      <c r="C139" s="75"/>
      <c r="D139" s="50"/>
      <c r="E139" s="77"/>
      <c r="F139" s="25">
        <f t="shared" si="13"/>
        <v>0</v>
      </c>
      <c r="G139" s="198"/>
      <c r="H139" s="76">
        <v>10.1</v>
      </c>
      <c r="I139" s="188">
        <f>B12*0.02</f>
        <v>28440.3669724771</v>
      </c>
      <c r="J139" s="65" t="s">
        <v>106</v>
      </c>
      <c r="K139" s="207" t="s">
        <v>108</v>
      </c>
      <c r="L139" s="82"/>
      <c r="M139" s="63"/>
      <c r="N139" s="63"/>
      <c r="O139" s="82"/>
    </row>
    <row r="140" s="3" customFormat="1" ht="18" customHeight="1" spans="1:15">
      <c r="A140" s="74"/>
      <c r="B140" s="25">
        <f t="shared" si="12"/>
        <v>0</v>
      </c>
      <c r="C140" s="75"/>
      <c r="D140" s="50"/>
      <c r="E140" s="77"/>
      <c r="F140" s="25">
        <f t="shared" si="13"/>
        <v>0</v>
      </c>
      <c r="G140" s="198"/>
      <c r="H140" s="76">
        <v>10.1</v>
      </c>
      <c r="I140" s="188">
        <f>G12*0.005</f>
        <v>7750</v>
      </c>
      <c r="J140" s="65" t="s">
        <v>106</v>
      </c>
      <c r="K140" s="207" t="s">
        <v>157</v>
      </c>
      <c r="L140" s="82">
        <f>I140+I172</f>
        <v>140600</v>
      </c>
      <c r="M140" s="63"/>
      <c r="N140" s="63"/>
      <c r="O140" s="82"/>
    </row>
    <row r="141" s="3" customFormat="1" ht="18" customHeight="1" spans="1:15">
      <c r="A141" s="74"/>
      <c r="B141" s="25">
        <f t="shared" si="12"/>
        <v>0</v>
      </c>
      <c r="C141" s="75"/>
      <c r="D141" s="50"/>
      <c r="E141" s="77"/>
      <c r="F141" s="25">
        <f t="shared" si="13"/>
        <v>0</v>
      </c>
      <c r="G141" s="198"/>
      <c r="H141" s="36" t="s">
        <v>109</v>
      </c>
      <c r="I141" s="188">
        <v>200</v>
      </c>
      <c r="J141" s="65" t="s">
        <v>106</v>
      </c>
      <c r="K141" s="207" t="s">
        <v>110</v>
      </c>
      <c r="L141" s="82">
        <f>I141+I143+I144+I145+I146+I148+I155+I158+I162+I171+I137</f>
        <v>245132.79</v>
      </c>
      <c r="M141" s="63"/>
      <c r="N141" s="63"/>
      <c r="O141" s="82"/>
    </row>
    <row r="142" s="3" customFormat="1" ht="18" customHeight="1" spans="1:15">
      <c r="A142" s="74"/>
      <c r="B142" s="25">
        <f t="shared" si="12"/>
        <v>0</v>
      </c>
      <c r="C142" s="75"/>
      <c r="D142" s="50"/>
      <c r="E142" s="77"/>
      <c r="F142" s="25">
        <f t="shared" si="13"/>
        <v>0</v>
      </c>
      <c r="G142" s="198"/>
      <c r="H142" s="36" t="s">
        <v>111</v>
      </c>
      <c r="I142" s="237">
        <v>-285325</v>
      </c>
      <c r="J142" s="227" t="s">
        <v>112</v>
      </c>
      <c r="K142" s="205" t="s">
        <v>158</v>
      </c>
      <c r="L142" s="82"/>
      <c r="M142" s="63"/>
      <c r="N142" s="63"/>
      <c r="O142" s="82"/>
    </row>
    <row r="143" s="3" customFormat="1" ht="18" customHeight="1" spans="1:15">
      <c r="A143" s="74"/>
      <c r="B143" s="25">
        <f t="shared" si="12"/>
        <v>0</v>
      </c>
      <c r="C143" s="75"/>
      <c r="D143" s="76"/>
      <c r="E143" s="77"/>
      <c r="F143" s="25">
        <f t="shared" si="13"/>
        <v>0</v>
      </c>
      <c r="G143" s="198"/>
      <c r="H143" s="36" t="s">
        <v>111</v>
      </c>
      <c r="I143" s="188">
        <v>200</v>
      </c>
      <c r="J143" s="65" t="s">
        <v>106</v>
      </c>
      <c r="K143" s="207" t="s">
        <v>110</v>
      </c>
      <c r="L143" s="82"/>
      <c r="M143" s="63"/>
      <c r="N143" s="63"/>
      <c r="O143" s="82"/>
    </row>
    <row r="144" s="3" customFormat="1" ht="18" customHeight="1" spans="1:15">
      <c r="A144" s="74"/>
      <c r="B144" s="25">
        <f t="shared" si="12"/>
        <v>0</v>
      </c>
      <c r="C144" s="75"/>
      <c r="D144" s="76"/>
      <c r="E144" s="77"/>
      <c r="F144" s="25">
        <f t="shared" si="13"/>
        <v>0</v>
      </c>
      <c r="G144" s="198"/>
      <c r="H144" s="36" t="s">
        <v>113</v>
      </c>
      <c r="I144" s="188">
        <v>300</v>
      </c>
      <c r="J144" s="65" t="s">
        <v>106</v>
      </c>
      <c r="K144" s="207" t="s">
        <v>110</v>
      </c>
      <c r="L144" s="82"/>
      <c r="M144" s="63"/>
      <c r="N144" s="63"/>
      <c r="O144" s="82"/>
    </row>
    <row r="145" s="3" customFormat="1" ht="18" customHeight="1" spans="1:15">
      <c r="A145" s="74"/>
      <c r="B145" s="25">
        <f t="shared" si="12"/>
        <v>0</v>
      </c>
      <c r="C145" s="75"/>
      <c r="D145" s="76"/>
      <c r="E145" s="77"/>
      <c r="F145" s="25">
        <f t="shared" si="13"/>
        <v>0</v>
      </c>
      <c r="G145" s="198"/>
      <c r="H145" s="36" t="s">
        <v>114</v>
      </c>
      <c r="I145" s="188">
        <v>9600</v>
      </c>
      <c r="J145" s="65" t="s">
        <v>106</v>
      </c>
      <c r="K145" s="207" t="s">
        <v>115</v>
      </c>
      <c r="L145" s="82"/>
      <c r="M145" s="63"/>
      <c r="N145" s="63"/>
      <c r="O145" s="82"/>
    </row>
    <row r="146" s="3" customFormat="1" ht="18" customHeight="1" spans="1:15">
      <c r="A146" s="74"/>
      <c r="B146" s="25">
        <f t="shared" si="12"/>
        <v>0</v>
      </c>
      <c r="C146" s="75"/>
      <c r="D146" s="76"/>
      <c r="E146" s="77"/>
      <c r="F146" s="25">
        <f t="shared" si="13"/>
        <v>0</v>
      </c>
      <c r="G146" s="198"/>
      <c r="H146" s="36" t="s">
        <v>114</v>
      </c>
      <c r="I146" s="188">
        <v>200</v>
      </c>
      <c r="J146" s="65" t="s">
        <v>106</v>
      </c>
      <c r="K146" s="207" t="s">
        <v>110</v>
      </c>
      <c r="L146" s="82"/>
      <c r="M146" s="63"/>
      <c r="N146" s="63"/>
      <c r="O146" s="82"/>
    </row>
    <row r="147" s="3" customFormat="1" ht="18" customHeight="1" spans="1:15">
      <c r="A147" s="74"/>
      <c r="B147" s="25">
        <f t="shared" si="12"/>
        <v>0</v>
      </c>
      <c r="C147" s="75"/>
      <c r="D147" s="76"/>
      <c r="E147" s="77"/>
      <c r="F147" s="25">
        <f t="shared" si="13"/>
        <v>0</v>
      </c>
      <c r="G147" s="198"/>
      <c r="H147" s="36" t="s">
        <v>114</v>
      </c>
      <c r="I147" s="188">
        <v>-903045</v>
      </c>
      <c r="J147" s="63" t="s">
        <v>112</v>
      </c>
      <c r="K147" s="207" t="s">
        <v>116</v>
      </c>
      <c r="L147" s="82"/>
      <c r="M147" s="63"/>
      <c r="N147" s="63"/>
      <c r="O147" s="82"/>
    </row>
    <row r="148" s="3" customFormat="1" ht="18" customHeight="1" spans="1:15">
      <c r="A148" s="74"/>
      <c r="B148" s="25">
        <f t="shared" si="12"/>
        <v>0</v>
      </c>
      <c r="C148" s="75"/>
      <c r="D148" s="76"/>
      <c r="E148" s="77"/>
      <c r="F148" s="25">
        <f t="shared" si="13"/>
        <v>0</v>
      </c>
      <c r="G148" s="198"/>
      <c r="H148" s="36" t="s">
        <v>117</v>
      </c>
      <c r="I148" s="188">
        <v>232932.79</v>
      </c>
      <c r="J148" s="63" t="s">
        <v>106</v>
      </c>
      <c r="K148" s="207" t="s">
        <v>118</v>
      </c>
      <c r="L148" s="82"/>
      <c r="M148" s="63"/>
      <c r="N148" s="63"/>
      <c r="O148" s="82"/>
    </row>
    <row r="149" s="3" customFormat="1" ht="18" customHeight="1" spans="1:15">
      <c r="A149" s="74"/>
      <c r="B149" s="25">
        <f t="shared" si="12"/>
        <v>0</v>
      </c>
      <c r="C149" s="75"/>
      <c r="D149" s="76"/>
      <c r="E149" s="77"/>
      <c r="F149" s="25">
        <f t="shared" si="13"/>
        <v>0</v>
      </c>
      <c r="G149" s="198"/>
      <c r="H149" s="36" t="s">
        <v>117</v>
      </c>
      <c r="I149" s="188"/>
      <c r="J149" s="63" t="s">
        <v>106</v>
      </c>
      <c r="K149" s="207" t="s">
        <v>119</v>
      </c>
      <c r="L149" s="82"/>
      <c r="M149" s="63"/>
      <c r="N149" s="63"/>
      <c r="O149" s="82"/>
    </row>
    <row r="150" s="3" customFormat="1" ht="18" customHeight="1" spans="1:15">
      <c r="A150" s="74"/>
      <c r="B150" s="25">
        <f t="shared" si="12"/>
        <v>0</v>
      </c>
      <c r="C150" s="75"/>
      <c r="D150" s="76"/>
      <c r="E150" s="77"/>
      <c r="F150" s="25">
        <f t="shared" si="13"/>
        <v>0</v>
      </c>
      <c r="G150" s="198"/>
      <c r="H150" s="36" t="s">
        <v>117</v>
      </c>
      <c r="I150" s="188">
        <v>903045</v>
      </c>
      <c r="J150" s="63" t="s">
        <v>120</v>
      </c>
      <c r="K150" s="207" t="s">
        <v>121</v>
      </c>
      <c r="L150" s="82"/>
      <c r="M150" s="63"/>
      <c r="N150" s="63"/>
      <c r="O150" s="82"/>
    </row>
    <row r="151" s="3" customFormat="1" ht="18" customHeight="1" spans="1:15">
      <c r="A151" s="74"/>
      <c r="B151" s="25">
        <f t="shared" si="12"/>
        <v>0</v>
      </c>
      <c r="C151" s="75"/>
      <c r="D151" s="76"/>
      <c r="E151" s="77"/>
      <c r="F151" s="25">
        <f t="shared" si="13"/>
        <v>0</v>
      </c>
      <c r="G151" s="198"/>
      <c r="H151" s="36" t="s">
        <v>117</v>
      </c>
      <c r="I151" s="188">
        <v>485252</v>
      </c>
      <c r="J151" s="63" t="s">
        <v>106</v>
      </c>
      <c r="K151" s="207" t="s">
        <v>122</v>
      </c>
      <c r="L151" s="82"/>
      <c r="M151" s="63"/>
      <c r="N151" s="63"/>
      <c r="O151" s="82"/>
    </row>
    <row r="152" s="3" customFormat="1" ht="18" customHeight="1" spans="1:15">
      <c r="A152" s="74"/>
      <c r="B152" s="25">
        <f t="shared" si="12"/>
        <v>0</v>
      </c>
      <c r="C152" s="75"/>
      <c r="D152" s="76"/>
      <c r="E152" s="77"/>
      <c r="F152" s="25">
        <f t="shared" si="13"/>
        <v>0</v>
      </c>
      <c r="G152" s="198"/>
      <c r="H152" s="36" t="s">
        <v>117</v>
      </c>
      <c r="I152" s="188">
        <v>4789</v>
      </c>
      <c r="J152" s="63" t="s">
        <v>106</v>
      </c>
      <c r="K152" s="207" t="s">
        <v>123</v>
      </c>
      <c r="L152" s="82"/>
      <c r="M152" s="63"/>
      <c r="N152" s="63"/>
      <c r="O152" s="82"/>
    </row>
    <row r="153" s="3" customFormat="1" ht="18" customHeight="1" spans="1:15">
      <c r="A153" s="74"/>
      <c r="B153" s="25">
        <f t="shared" si="12"/>
        <v>0</v>
      </c>
      <c r="C153" s="75"/>
      <c r="D153" s="76"/>
      <c r="E153" s="77"/>
      <c r="F153" s="25">
        <f t="shared" si="13"/>
        <v>0</v>
      </c>
      <c r="G153" s="198"/>
      <c r="H153" s="36" t="s">
        <v>117</v>
      </c>
      <c r="I153" s="237">
        <v>429349</v>
      </c>
      <c r="J153" s="227" t="s">
        <v>106</v>
      </c>
      <c r="K153" s="205" t="s">
        <v>124</v>
      </c>
      <c r="L153" s="82"/>
      <c r="M153" s="63"/>
      <c r="N153" s="63"/>
      <c r="O153" s="82"/>
    </row>
    <row r="154" s="3" customFormat="1" ht="18" customHeight="1" spans="1:15">
      <c r="A154" s="74"/>
      <c r="B154" s="25">
        <f t="shared" si="12"/>
        <v>0</v>
      </c>
      <c r="C154" s="75"/>
      <c r="D154" s="76"/>
      <c r="E154" s="77"/>
      <c r="F154" s="25">
        <f t="shared" si="13"/>
        <v>0</v>
      </c>
      <c r="G154" s="198"/>
      <c r="H154" s="36" t="s">
        <v>117</v>
      </c>
      <c r="I154" s="188">
        <v>87000</v>
      </c>
      <c r="J154" s="63" t="s">
        <v>125</v>
      </c>
      <c r="K154" s="207" t="s">
        <v>126</v>
      </c>
      <c r="L154" s="82"/>
      <c r="M154" s="63"/>
      <c r="N154" s="63"/>
      <c r="O154" s="82"/>
    </row>
    <row r="155" s="2" customFormat="1" ht="18" customHeight="1" spans="1:15">
      <c r="A155" s="48"/>
      <c r="B155" s="25">
        <f t="shared" si="12"/>
        <v>0</v>
      </c>
      <c r="C155" s="49"/>
      <c r="D155" s="50"/>
      <c r="E155" s="70"/>
      <c r="F155" s="25">
        <f t="shared" si="13"/>
        <v>0</v>
      </c>
      <c r="G155" s="189"/>
      <c r="H155" s="36" t="s">
        <v>117</v>
      </c>
      <c r="I155" s="188">
        <v>100</v>
      </c>
      <c r="J155" s="65" t="s">
        <v>106</v>
      </c>
      <c r="K155" s="207" t="s">
        <v>110</v>
      </c>
      <c r="L155" s="82"/>
      <c r="M155" s="56"/>
      <c r="N155" s="65"/>
      <c r="O155" s="67"/>
    </row>
    <row r="156" s="2" customFormat="1" ht="18" customHeight="1" spans="1:15">
      <c r="A156" s="48"/>
      <c r="B156" s="25">
        <f t="shared" si="12"/>
        <v>0</v>
      </c>
      <c r="C156" s="49"/>
      <c r="D156" s="50"/>
      <c r="E156" s="70"/>
      <c r="F156" s="25">
        <f t="shared" si="13"/>
        <v>0</v>
      </c>
      <c r="G156" s="189"/>
      <c r="H156" s="36" t="s">
        <v>117</v>
      </c>
      <c r="I156" s="188"/>
      <c r="J156" s="63"/>
      <c r="K156" s="207"/>
      <c r="L156" s="82"/>
      <c r="M156" s="56"/>
      <c r="N156" s="65"/>
      <c r="O156" s="67"/>
    </row>
    <row r="157" s="2" customFormat="1" ht="18" customHeight="1" spans="1:15">
      <c r="A157" s="48"/>
      <c r="B157" s="25">
        <f t="shared" si="12"/>
        <v>0</v>
      </c>
      <c r="C157" s="49"/>
      <c r="D157" s="50"/>
      <c r="E157" s="70"/>
      <c r="F157" s="25">
        <f t="shared" si="13"/>
        <v>0</v>
      </c>
      <c r="G157" s="189"/>
      <c r="H157" s="36" t="s">
        <v>127</v>
      </c>
      <c r="I157" s="188">
        <v>-93700</v>
      </c>
      <c r="J157" s="63" t="s">
        <v>125</v>
      </c>
      <c r="K157" s="148" t="s">
        <v>126</v>
      </c>
      <c r="L157" s="82"/>
      <c r="M157" s="56"/>
      <c r="N157" s="65"/>
      <c r="O157" s="67"/>
    </row>
    <row r="158" s="2" customFormat="1" ht="18" customHeight="1" spans="1:16">
      <c r="A158" s="48"/>
      <c r="B158" s="25">
        <f t="shared" si="12"/>
        <v>0</v>
      </c>
      <c r="C158" s="49"/>
      <c r="D158" s="50"/>
      <c r="E158" s="70"/>
      <c r="F158" s="25">
        <f t="shared" si="13"/>
        <v>0</v>
      </c>
      <c r="G158" s="189"/>
      <c r="H158" s="36" t="s">
        <v>127</v>
      </c>
      <c r="I158" s="71">
        <v>50</v>
      </c>
      <c r="J158" s="65" t="s">
        <v>106</v>
      </c>
      <c r="K158" s="148" t="s">
        <v>110</v>
      </c>
      <c r="L158" s="82"/>
      <c r="M158" s="56"/>
      <c r="N158" s="65"/>
      <c r="O158" s="67"/>
      <c r="P158" s="2">
        <f>I160+I153+I142</f>
        <v>387045</v>
      </c>
    </row>
    <row r="159" s="2" customFormat="1" ht="18" customHeight="1" spans="1:15">
      <c r="A159" s="48"/>
      <c r="B159" s="25">
        <f t="shared" si="12"/>
        <v>0</v>
      </c>
      <c r="C159" s="49"/>
      <c r="D159" s="50"/>
      <c r="E159" s="70"/>
      <c r="F159" s="25">
        <f t="shared" si="13"/>
        <v>0</v>
      </c>
      <c r="G159" s="189"/>
      <c r="H159" s="36" t="s">
        <v>127</v>
      </c>
      <c r="I159" s="210">
        <v>-21725</v>
      </c>
      <c r="J159" s="56" t="s">
        <v>112</v>
      </c>
      <c r="K159" s="238" t="s">
        <v>159</v>
      </c>
      <c r="L159" s="82"/>
      <c r="M159" s="56"/>
      <c r="N159" s="65"/>
      <c r="O159" s="67"/>
    </row>
    <row r="160" s="2" customFormat="1" ht="18" customHeight="1" spans="1:15">
      <c r="A160" s="48"/>
      <c r="B160" s="25">
        <f t="shared" si="12"/>
        <v>0</v>
      </c>
      <c r="C160" s="49"/>
      <c r="D160" s="50"/>
      <c r="E160" s="46"/>
      <c r="F160" s="25">
        <f t="shared" si="13"/>
        <v>0</v>
      </c>
      <c r="G160" s="189"/>
      <c r="H160" s="36" t="s">
        <v>129</v>
      </c>
      <c r="I160" s="237">
        <v>243021</v>
      </c>
      <c r="J160" s="227" t="s">
        <v>106</v>
      </c>
      <c r="K160" s="205" t="s">
        <v>124</v>
      </c>
      <c r="L160" s="67"/>
      <c r="M160" s="65"/>
      <c r="N160" s="65"/>
      <c r="O160" s="67"/>
    </row>
    <row r="161" s="2" customFormat="1" ht="18" customHeight="1" spans="1:15">
      <c r="A161" s="48"/>
      <c r="B161" s="25">
        <f t="shared" si="12"/>
        <v>0</v>
      </c>
      <c r="C161" s="49"/>
      <c r="D161" s="50"/>
      <c r="E161" s="46"/>
      <c r="F161" s="25">
        <f t="shared" si="13"/>
        <v>0</v>
      </c>
      <c r="G161" s="189"/>
      <c r="H161" s="36" t="s">
        <v>129</v>
      </c>
      <c r="I161" s="188">
        <v>2340</v>
      </c>
      <c r="J161" s="63" t="s">
        <v>106</v>
      </c>
      <c r="K161" s="207" t="s">
        <v>123</v>
      </c>
      <c r="L161" s="67"/>
      <c r="M161" s="65"/>
      <c r="N161" s="65"/>
      <c r="O161" s="67"/>
    </row>
    <row r="162" s="2" customFormat="1" ht="18" customHeight="1" spans="1:15">
      <c r="A162" s="48"/>
      <c r="B162" s="25">
        <f t="shared" si="12"/>
        <v>0</v>
      </c>
      <c r="C162" s="49"/>
      <c r="D162" s="50"/>
      <c r="E162" s="46"/>
      <c r="F162" s="25">
        <f t="shared" si="13"/>
        <v>0</v>
      </c>
      <c r="G162" s="189"/>
      <c r="H162" s="36" t="s">
        <v>129</v>
      </c>
      <c r="I162" s="188">
        <v>500</v>
      </c>
      <c r="J162" s="63" t="s">
        <v>106</v>
      </c>
      <c r="K162" s="148" t="s">
        <v>130</v>
      </c>
      <c r="L162" s="67"/>
      <c r="M162" s="65"/>
      <c r="N162" s="65"/>
      <c r="O162" s="67"/>
    </row>
    <row r="163" s="2" customFormat="1" ht="18" customHeight="1" spans="1:15">
      <c r="A163" s="48"/>
      <c r="B163" s="25"/>
      <c r="C163" s="49"/>
      <c r="D163" s="50"/>
      <c r="E163" s="46"/>
      <c r="F163" s="25"/>
      <c r="G163" s="189"/>
      <c r="H163" s="36" t="s">
        <v>129</v>
      </c>
      <c r="I163" s="210">
        <v>55725</v>
      </c>
      <c r="J163" s="56" t="s">
        <v>120</v>
      </c>
      <c r="K163" s="238" t="s">
        <v>121</v>
      </c>
      <c r="L163" s="67"/>
      <c r="M163" s="65"/>
      <c r="N163" s="65"/>
      <c r="O163" s="67"/>
    </row>
    <row r="164" s="2" customFormat="1" ht="18" customHeight="1" spans="1:15">
      <c r="A164" s="48"/>
      <c r="B164" s="25">
        <f t="shared" ref="B164:B169" si="14">ROUND(G164/(1+E164),2)</f>
        <v>0</v>
      </c>
      <c r="C164" s="49"/>
      <c r="D164" s="50"/>
      <c r="E164" s="46"/>
      <c r="F164" s="25">
        <f t="shared" ref="F164:F169" si="15">ROUND(G164/(1+E164)*E164,2)</f>
        <v>0</v>
      </c>
      <c r="G164" s="189"/>
      <c r="H164" s="36" t="s">
        <v>129</v>
      </c>
      <c r="I164" s="188">
        <v>8500</v>
      </c>
      <c r="J164" s="63" t="s">
        <v>125</v>
      </c>
      <c r="K164" s="148" t="s">
        <v>126</v>
      </c>
      <c r="L164" s="67"/>
      <c r="M164" s="65"/>
      <c r="N164" s="65"/>
      <c r="O164" s="67"/>
    </row>
    <row r="165" s="2" customFormat="1" ht="18" customHeight="1" spans="1:15">
      <c r="A165" s="48"/>
      <c r="B165" s="25">
        <f t="shared" si="14"/>
        <v>0</v>
      </c>
      <c r="C165" s="49"/>
      <c r="D165" s="50"/>
      <c r="E165" s="46"/>
      <c r="F165" s="25">
        <f t="shared" si="15"/>
        <v>0</v>
      </c>
      <c r="G165" s="189"/>
      <c r="H165" s="36" t="s">
        <v>131</v>
      </c>
      <c r="I165" s="188">
        <v>8800</v>
      </c>
      <c r="J165" s="63" t="s">
        <v>125</v>
      </c>
      <c r="K165" s="148" t="s">
        <v>126</v>
      </c>
      <c r="L165" s="67"/>
      <c r="M165" s="65"/>
      <c r="N165" s="65"/>
      <c r="O165" s="67"/>
    </row>
    <row r="166" s="2" customFormat="1" ht="18" customHeight="1" spans="1:15">
      <c r="A166" s="48"/>
      <c r="B166" s="25">
        <f t="shared" si="14"/>
        <v>0</v>
      </c>
      <c r="C166" s="49"/>
      <c r="D166" s="50"/>
      <c r="E166" s="46"/>
      <c r="F166" s="25">
        <f t="shared" si="15"/>
        <v>0</v>
      </c>
      <c r="G166" s="189"/>
      <c r="H166" s="36" t="s">
        <v>131</v>
      </c>
      <c r="I166" s="188">
        <v>35200</v>
      </c>
      <c r="J166" s="63" t="s">
        <v>125</v>
      </c>
      <c r="K166" s="148" t="s">
        <v>126</v>
      </c>
      <c r="L166" s="67"/>
      <c r="M166" s="65"/>
      <c r="N166" s="65"/>
      <c r="O166" s="67"/>
    </row>
    <row r="167" s="2" customFormat="1" ht="18" customHeight="1" spans="1:15">
      <c r="A167" s="48"/>
      <c r="B167" s="25">
        <f t="shared" si="14"/>
        <v>0</v>
      </c>
      <c r="C167" s="49"/>
      <c r="D167" s="50"/>
      <c r="E167" s="46"/>
      <c r="F167" s="25">
        <f t="shared" si="15"/>
        <v>0</v>
      </c>
      <c r="G167" s="189"/>
      <c r="H167" s="36" t="s">
        <v>131</v>
      </c>
      <c r="I167" s="188">
        <f>B9*E184</f>
        <v>2400</v>
      </c>
      <c r="J167" s="63" t="s">
        <v>106</v>
      </c>
      <c r="K167" s="148" t="s">
        <v>132</v>
      </c>
      <c r="L167" s="67"/>
      <c r="M167" s="65"/>
      <c r="N167" s="65"/>
      <c r="O167" s="67"/>
    </row>
    <row r="168" s="1" customFormat="1" ht="18" customHeight="1" spans="1:15">
      <c r="A168" s="43"/>
      <c r="B168" s="25">
        <f t="shared" si="14"/>
        <v>0</v>
      </c>
      <c r="C168" s="44"/>
      <c r="D168" s="45"/>
      <c r="E168" s="46"/>
      <c r="F168" s="25">
        <f t="shared" si="15"/>
        <v>0</v>
      </c>
      <c r="G168" s="189"/>
      <c r="H168" s="31" t="s">
        <v>133</v>
      </c>
      <c r="I168" s="188">
        <v>41200</v>
      </c>
      <c r="J168" s="63" t="s">
        <v>125</v>
      </c>
      <c r="K168" s="148" t="s">
        <v>126</v>
      </c>
      <c r="L168" s="60"/>
      <c r="M168" s="61"/>
      <c r="N168" s="61"/>
      <c r="O168" s="60"/>
    </row>
    <row r="169" s="1" customFormat="1" ht="18" customHeight="1" spans="1:15">
      <c r="A169" s="43"/>
      <c r="B169" s="25">
        <f t="shared" si="14"/>
        <v>0</v>
      </c>
      <c r="C169" s="44"/>
      <c r="D169" s="45"/>
      <c r="E169" s="46"/>
      <c r="F169" s="25">
        <f t="shared" si="15"/>
        <v>0</v>
      </c>
      <c r="G169" s="189"/>
      <c r="H169" s="31" t="s">
        <v>133</v>
      </c>
      <c r="I169" s="188">
        <v>2248</v>
      </c>
      <c r="J169" s="63" t="s">
        <v>106</v>
      </c>
      <c r="K169" s="148" t="s">
        <v>160</v>
      </c>
      <c r="L169" s="60"/>
      <c r="M169" s="61"/>
      <c r="N169" s="61"/>
      <c r="O169" s="60"/>
    </row>
    <row r="170" s="1" customFormat="1" ht="18" customHeight="1" spans="1:15">
      <c r="A170" s="43"/>
      <c r="B170" s="25"/>
      <c r="C170" s="44"/>
      <c r="D170" s="45"/>
      <c r="E170" s="46"/>
      <c r="F170" s="25"/>
      <c r="G170" s="189"/>
      <c r="H170" s="36" t="s">
        <v>134</v>
      </c>
      <c r="I170" s="188">
        <v>2782</v>
      </c>
      <c r="J170" s="63" t="s">
        <v>106</v>
      </c>
      <c r="K170" s="148" t="s">
        <v>160</v>
      </c>
      <c r="L170" s="60"/>
      <c r="M170" s="61"/>
      <c r="N170" s="61"/>
      <c r="O170" s="60"/>
    </row>
    <row r="171" s="1" customFormat="1" ht="18" customHeight="1" spans="1:15">
      <c r="A171" s="43"/>
      <c r="B171" s="25">
        <f>ROUND(G171/(1+E171),2)</f>
        <v>0</v>
      </c>
      <c r="C171" s="44"/>
      <c r="D171" s="45"/>
      <c r="E171" s="46"/>
      <c r="F171" s="25">
        <f>ROUND(G171/(1+E171)*E171,2)</f>
        <v>0</v>
      </c>
      <c r="G171" s="189"/>
      <c r="H171" s="36" t="s">
        <v>134</v>
      </c>
      <c r="I171" s="188">
        <v>950</v>
      </c>
      <c r="J171" s="63" t="s">
        <v>106</v>
      </c>
      <c r="K171" s="148" t="s">
        <v>130</v>
      </c>
      <c r="L171" s="60"/>
      <c r="M171" s="61"/>
      <c r="N171" s="61"/>
      <c r="O171" s="60"/>
    </row>
    <row r="172" s="1" customFormat="1" ht="18" customHeight="1" spans="1:15">
      <c r="A172" s="43"/>
      <c r="B172" s="25">
        <f>ROUND(G172/(1+E172),2)</f>
        <v>132850</v>
      </c>
      <c r="C172" s="44"/>
      <c r="D172" s="45"/>
      <c r="E172" s="46"/>
      <c r="F172" s="25">
        <f>ROUND(G172/(1+E172)*E172,2)</f>
        <v>0</v>
      </c>
      <c r="G172" s="189">
        <f>46100+17600+4400+17000+4250+34800+8700</f>
        <v>132850</v>
      </c>
      <c r="H172" s="31"/>
      <c r="I172" s="32">
        <f>G172</f>
        <v>132850</v>
      </c>
      <c r="J172" s="63" t="s">
        <v>106</v>
      </c>
      <c r="K172" s="148" t="s">
        <v>161</v>
      </c>
      <c r="L172" s="60"/>
      <c r="M172" s="61"/>
      <c r="N172" s="61"/>
      <c r="O172" s="60"/>
    </row>
    <row r="173" s="1" customFormat="1" ht="18" customHeight="1" spans="1:15">
      <c r="A173" s="43"/>
      <c r="B173" s="25"/>
      <c r="C173" s="44"/>
      <c r="D173" s="45"/>
      <c r="E173" s="46"/>
      <c r="F173" s="25"/>
      <c r="G173" s="239"/>
      <c r="H173" s="31"/>
      <c r="I173" s="141">
        <v>-3000000</v>
      </c>
      <c r="J173" s="249"/>
      <c r="K173" s="250" t="s">
        <v>162</v>
      </c>
      <c r="L173" s="60"/>
      <c r="M173" s="61"/>
      <c r="N173" s="61"/>
      <c r="O173" s="60"/>
    </row>
    <row r="174" ht="18" customHeight="1" spans="1:15">
      <c r="A174" s="39" t="s">
        <v>22</v>
      </c>
      <c r="B174" s="38">
        <f>SUM(B24:B172)</f>
        <v>37440935.23</v>
      </c>
      <c r="C174" s="39"/>
      <c r="D174" s="240"/>
      <c r="E174" s="240"/>
      <c r="F174" s="241">
        <f>SUM(F24:F172)</f>
        <v>2077791.11</v>
      </c>
      <c r="G174" s="242">
        <f>SUM(G24:G172)</f>
        <v>39518726.34</v>
      </c>
      <c r="H174" s="243"/>
      <c r="I174" s="190">
        <f>SUM(I24:I173)</f>
        <v>31737413.4885321</v>
      </c>
      <c r="J174" s="251"/>
      <c r="K174" s="252"/>
      <c r="L174" s="191"/>
      <c r="M174" s="40"/>
      <c r="N174" s="40"/>
      <c r="O174" s="191"/>
    </row>
    <row r="175" ht="18" customHeight="1" spans="1:14">
      <c r="A175" s="99"/>
      <c r="B175" s="100">
        <f>B21*0.92-B174</f>
        <v>-9303974.42933277</v>
      </c>
      <c r="C175" s="99"/>
      <c r="D175" s="244"/>
      <c r="E175" s="244"/>
      <c r="F175" s="100">
        <f>F21-F174</f>
        <v>186882.784912427</v>
      </c>
      <c r="G175" s="100"/>
      <c r="H175" s="30" t="s">
        <v>136</v>
      </c>
      <c r="I175" s="190">
        <f>I21-I174</f>
        <v>2586.51146788895</v>
      </c>
      <c r="J175" s="14"/>
      <c r="K175" s="253"/>
      <c r="M175" s="13"/>
      <c r="N175" s="13"/>
    </row>
    <row r="176" ht="18" customHeight="1" spans="1:3">
      <c r="A176" s="6" t="s">
        <v>137</v>
      </c>
      <c r="C176" s="6"/>
    </row>
    <row r="177" ht="18" customHeight="1" spans="1:18">
      <c r="A177" s="30" t="s">
        <v>138</v>
      </c>
      <c r="B177" s="28" t="s">
        <v>139</v>
      </c>
      <c r="C177" s="191"/>
      <c r="D177" s="30" t="s">
        <v>138</v>
      </c>
      <c r="E177" s="27" t="s">
        <v>15</v>
      </c>
      <c r="F177" s="28" t="s">
        <v>139</v>
      </c>
      <c r="G177" s="28" t="s">
        <v>140</v>
      </c>
      <c r="H177" s="28" t="s">
        <v>141</v>
      </c>
      <c r="I177" s="28" t="s">
        <v>142</v>
      </c>
      <c r="K177" s="28" t="s">
        <v>143</v>
      </c>
      <c r="L177" s="254"/>
      <c r="M177" s="28" t="s">
        <v>144</v>
      </c>
      <c r="N177" s="134" t="s">
        <v>144</v>
      </c>
      <c r="O177" s="255"/>
      <c r="P177" s="242" t="s">
        <v>145</v>
      </c>
      <c r="Q177" s="242" t="s">
        <v>163</v>
      </c>
      <c r="R177" s="243" t="s">
        <v>187</v>
      </c>
    </row>
    <row r="178" ht="18" customHeight="1" spans="1:18">
      <c r="A178" s="191" t="s">
        <v>146</v>
      </c>
      <c r="B178" s="25">
        <f>(B21-B174)*0.25</f>
        <v>-1714320.54644912</v>
      </c>
      <c r="C178" s="191"/>
      <c r="D178" s="18" t="s">
        <v>147</v>
      </c>
      <c r="E178" s="40" t="s">
        <v>148</v>
      </c>
      <c r="F178" s="245">
        <f>F21-F174</f>
        <v>186882.784912427</v>
      </c>
      <c r="G178" s="245">
        <f>F7-F24-F26-F29-F30-F33</f>
        <v>-333763.749090909</v>
      </c>
      <c r="H178" s="245">
        <f>F8-F38</f>
        <v>299461.603636364</v>
      </c>
      <c r="I178" s="245">
        <f>F9-F40-F41-F43-F48-F49-F50-F51-F53</f>
        <v>49772.4599999999</v>
      </c>
      <c r="K178" s="245">
        <f>F10-F74-F75-F76-F77-F78</f>
        <v>205457.659816514</v>
      </c>
      <c r="L178" s="254"/>
      <c r="M178" s="245">
        <f>F11-F79-F87-F88-F90</f>
        <v>390316.376330275</v>
      </c>
      <c r="N178" s="134">
        <v>-259385.7</v>
      </c>
      <c r="O178" s="255"/>
      <c r="P178" s="242"/>
      <c r="Q178" s="258"/>
      <c r="R178" s="191"/>
    </row>
    <row r="179" ht="18" customHeight="1" spans="1:18">
      <c r="A179" s="191" t="s">
        <v>149</v>
      </c>
      <c r="B179" s="21" t="s">
        <v>150</v>
      </c>
      <c r="C179" s="191"/>
      <c r="D179" s="246" t="s">
        <v>151</v>
      </c>
      <c r="E179" s="22">
        <v>0.05</v>
      </c>
      <c r="F179" s="32">
        <f>F178*E179</f>
        <v>9344.13924562134</v>
      </c>
      <c r="G179" s="32">
        <v>0</v>
      </c>
      <c r="H179" s="32">
        <v>0</v>
      </c>
      <c r="I179" s="32">
        <v>0</v>
      </c>
      <c r="K179" s="32">
        <f>K178*E179</f>
        <v>10272.8829908257</v>
      </c>
      <c r="L179" s="254"/>
      <c r="M179" s="32">
        <f>M178*E179</f>
        <v>19515.8188165138</v>
      </c>
      <c r="N179" s="134">
        <f>N178*E179</f>
        <v>-12969.285</v>
      </c>
      <c r="O179" s="255"/>
      <c r="P179" s="242"/>
      <c r="Q179" s="258"/>
      <c r="R179" s="191"/>
    </row>
    <row r="180" ht="18" customHeight="1" spans="1:18">
      <c r="A180" s="191" t="s">
        <v>123</v>
      </c>
      <c r="B180" s="247">
        <f>B21*0.0006</f>
        <v>18350.1918265221</v>
      </c>
      <c r="C180" s="191"/>
      <c r="D180" s="246" t="s">
        <v>152</v>
      </c>
      <c r="E180" s="22">
        <v>0.03</v>
      </c>
      <c r="F180" s="32">
        <f>F178*E180</f>
        <v>5606.4835473728</v>
      </c>
      <c r="G180" s="32">
        <v>0</v>
      </c>
      <c r="H180" s="32">
        <v>0</v>
      </c>
      <c r="I180" s="32">
        <v>0</v>
      </c>
      <c r="K180" s="32">
        <f>K178*E180</f>
        <v>6163.72979449541</v>
      </c>
      <c r="L180" s="254"/>
      <c r="M180" s="32">
        <f>M178*E180</f>
        <v>11709.4912899083</v>
      </c>
      <c r="N180" s="134">
        <f>N178*E180</f>
        <v>-7781.571</v>
      </c>
      <c r="O180" s="255"/>
      <c r="P180" s="242"/>
      <c r="Q180" s="258"/>
      <c r="R180" s="191"/>
    </row>
    <row r="181" ht="18" customHeight="1" spans="1:18">
      <c r="A181" s="191"/>
      <c r="B181" s="32"/>
      <c r="C181" s="191"/>
      <c r="D181" s="246" t="s">
        <v>153</v>
      </c>
      <c r="E181" s="22">
        <v>0.02</v>
      </c>
      <c r="F181" s="32">
        <f>F178*E181</f>
        <v>3737.65569824853</v>
      </c>
      <c r="G181" s="32">
        <v>0</v>
      </c>
      <c r="H181" s="32">
        <v>0</v>
      </c>
      <c r="I181" s="32">
        <v>0</v>
      </c>
      <c r="K181" s="32">
        <f>K178*E181</f>
        <v>4109.15319633028</v>
      </c>
      <c r="L181" s="254"/>
      <c r="M181" s="32">
        <f>M178*E181</f>
        <v>7806.32752660551</v>
      </c>
      <c r="N181" s="134">
        <f>N178*E181</f>
        <v>-5187.714</v>
      </c>
      <c r="O181" s="255"/>
      <c r="P181" s="242"/>
      <c r="Q181" s="258"/>
      <c r="R181" s="191"/>
    </row>
    <row r="182" ht="18" customHeight="1" spans="1:18">
      <c r="A182" s="37" t="s">
        <v>154</v>
      </c>
      <c r="B182" s="38">
        <f>SUM(B178:B181)</f>
        <v>-1695970.3546226</v>
      </c>
      <c r="C182" s="191"/>
      <c r="D182" s="37" t="s">
        <v>154</v>
      </c>
      <c r="E182" s="37"/>
      <c r="F182" s="241">
        <f>SUM(F178:F181)</f>
        <v>205571.063403669</v>
      </c>
      <c r="G182" s="241">
        <v>0</v>
      </c>
      <c r="H182" s="241">
        <v>0</v>
      </c>
      <c r="I182" s="241">
        <v>0</v>
      </c>
      <c r="K182" s="241">
        <f t="shared" ref="K182:N182" si="16">SUM(K178:K181)</f>
        <v>226003.425798165</v>
      </c>
      <c r="L182" s="254"/>
      <c r="M182" s="241">
        <f t="shared" si="16"/>
        <v>429348.013963303</v>
      </c>
      <c r="N182" s="134">
        <f t="shared" si="16"/>
        <v>-285324.27</v>
      </c>
      <c r="O182" s="255"/>
      <c r="P182" s="242"/>
      <c r="Q182" s="258"/>
      <c r="R182" s="191"/>
    </row>
    <row r="183" ht="18" customHeight="1" spans="3:18">
      <c r="C183" s="6"/>
      <c r="D183" s="20" t="s">
        <v>149</v>
      </c>
      <c r="E183" s="248">
        <v>0.0003</v>
      </c>
      <c r="F183" s="32">
        <v>0</v>
      </c>
      <c r="G183" s="32"/>
      <c r="H183" s="32"/>
      <c r="I183" s="32">
        <v>0</v>
      </c>
      <c r="K183" s="32"/>
      <c r="M183" s="32"/>
      <c r="N183" s="134"/>
      <c r="O183" s="255"/>
      <c r="P183" s="242"/>
      <c r="Q183" s="258"/>
      <c r="R183" s="191"/>
    </row>
    <row r="184" ht="18" customHeight="1" spans="3:18">
      <c r="C184" s="6"/>
      <c r="D184" s="20" t="s">
        <v>123</v>
      </c>
      <c r="E184" s="248">
        <v>0.0006</v>
      </c>
      <c r="F184" s="32">
        <f>B21*E184</f>
        <v>18350.1918265221</v>
      </c>
      <c r="G184" s="32">
        <f>B7*E184</f>
        <v>2781.81818181818</v>
      </c>
      <c r="H184" s="32">
        <f>B8*E184</f>
        <v>2247.27272727273</v>
      </c>
      <c r="I184" s="32">
        <f>B9*E184</f>
        <v>2400</v>
      </c>
      <c r="K184" s="32">
        <f>B10*E184</f>
        <v>2339.4495412844</v>
      </c>
      <c r="L184" s="254"/>
      <c r="M184" s="32">
        <f>B11*E184</f>
        <v>4788.99082568807</v>
      </c>
      <c r="N184" s="134"/>
      <c r="O184" s="255"/>
      <c r="P184" s="242">
        <v>853.21</v>
      </c>
      <c r="Q184" s="258">
        <f>E184*B13</f>
        <v>1992.66055045872</v>
      </c>
      <c r="R184" s="243">
        <f>E184*B14</f>
        <v>946.788990825688</v>
      </c>
    </row>
    <row r="185" ht="18" customHeight="1" spans="3:18">
      <c r="C185" s="6"/>
      <c r="D185" s="39" t="s">
        <v>22</v>
      </c>
      <c r="E185" s="39"/>
      <c r="F185" s="190">
        <f>F182+F183+F184</f>
        <v>223921.255230191</v>
      </c>
      <c r="G185" s="190"/>
      <c r="H185" s="190"/>
      <c r="I185" s="190"/>
      <c r="K185" s="190"/>
      <c r="M185" s="191">
        <f>M182+M184</f>
        <v>434137.004788991</v>
      </c>
      <c r="N185" s="134"/>
      <c r="O185" s="255"/>
      <c r="P185" s="242"/>
      <c r="Q185" s="258"/>
      <c r="R185" s="191"/>
    </row>
    <row r="186" ht="18" customHeight="1" spans="3:18">
      <c r="C186" s="6"/>
      <c r="D186" s="20" t="s">
        <v>121</v>
      </c>
      <c r="E186" s="248">
        <v>0.02</v>
      </c>
      <c r="F186" s="32">
        <f>B21*E186</f>
        <v>611673.06088407</v>
      </c>
      <c r="G186" s="32"/>
      <c r="H186" s="32"/>
      <c r="I186" s="32"/>
      <c r="K186" s="190"/>
      <c r="M186" s="32">
        <f>(SUM(B7:B11))*E186</f>
        <v>485251.042535446</v>
      </c>
      <c r="N186" s="134"/>
      <c r="O186" s="255"/>
      <c r="P186" s="242">
        <f>B12*0.02</f>
        <v>28440.3669724771</v>
      </c>
      <c r="Q186" s="258">
        <f>G13*E186</f>
        <v>72400</v>
      </c>
      <c r="R186" s="191"/>
    </row>
    <row r="187" ht="18" customHeight="1" spans="3:3">
      <c r="C187" s="6"/>
    </row>
    <row r="188" ht="18" customHeight="1" spans="3:3">
      <c r="C188" s="6"/>
    </row>
    <row r="189" ht="18" customHeight="1" spans="3:3">
      <c r="C189" s="6"/>
    </row>
    <row r="190" spans="3:3">
      <c r="C190" s="6"/>
    </row>
    <row r="191" spans="3:3">
      <c r="C191" s="6"/>
    </row>
    <row r="192" spans="3:3">
      <c r="C192" s="6"/>
    </row>
    <row r="193" spans="3:3">
      <c r="C193" s="6"/>
    </row>
    <row r="194" spans="3:3">
      <c r="C194" s="6"/>
    </row>
    <row r="195" spans="3:3">
      <c r="C195" s="6"/>
    </row>
    <row r="196" spans="3:3">
      <c r="C196" s="6"/>
    </row>
    <row r="197" spans="3:3">
      <c r="C197" s="6"/>
    </row>
    <row r="198" spans="3:3">
      <c r="C198" s="6"/>
    </row>
    <row r="199" spans="3:3">
      <c r="C199" s="6"/>
    </row>
    <row r="200" spans="3:3">
      <c r="C200" s="6"/>
    </row>
    <row r="201" spans="3:3">
      <c r="C201" s="6"/>
    </row>
    <row r="202" spans="3:3">
      <c r="C202" s="6"/>
    </row>
    <row r="203" spans="3:3">
      <c r="C203" s="6"/>
    </row>
    <row r="204" spans="3:3">
      <c r="C204" s="6"/>
    </row>
    <row r="205" spans="3:3">
      <c r="C205" s="6"/>
    </row>
  </sheetData>
  <autoFilter ref="A23:Q186">
    <extLst/>
  </autoFilter>
  <mergeCells count="18">
    <mergeCell ref="A1:J1"/>
    <mergeCell ref="H2:J2"/>
    <mergeCell ref="C5:D5"/>
    <mergeCell ref="E5:F5"/>
    <mergeCell ref="H5:J5"/>
    <mergeCell ref="N177:O177"/>
    <mergeCell ref="N178:O178"/>
    <mergeCell ref="N179:O179"/>
    <mergeCell ref="N180:O180"/>
    <mergeCell ref="N181:O181"/>
    <mergeCell ref="N182:O182"/>
    <mergeCell ref="N183:O183"/>
    <mergeCell ref="N184:O184"/>
    <mergeCell ref="N185:O185"/>
    <mergeCell ref="N186:O186"/>
    <mergeCell ref="A5:A6"/>
    <mergeCell ref="B5:B6"/>
    <mergeCell ref="G5:G6"/>
  </mergeCells>
  <pageMargins left="0.75" right="0.75" top="1" bottom="1" header="0.5" footer="0.5"/>
  <pageSetup paperSize="9" orientation="portrait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8"/>
  <sheetViews>
    <sheetView topLeftCell="D182" workbookViewId="0">
      <selection activeCell="S191" sqref="S191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8" width="11.1333333333333" style="14"/>
    <col min="19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 t="s">
        <v>172</v>
      </c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>
        <v>44049</v>
      </c>
      <c r="B14" s="32">
        <f t="shared" si="0"/>
        <v>1577981.65137615</v>
      </c>
      <c r="C14" s="35">
        <v>0.02</v>
      </c>
      <c r="D14" s="188">
        <f t="shared" si="1"/>
        <v>31559.6330275229</v>
      </c>
      <c r="E14" s="35">
        <v>0.07</v>
      </c>
      <c r="F14" s="32">
        <f t="shared" si="2"/>
        <v>110458.71559633</v>
      </c>
      <c r="G14" s="189">
        <v>1720000</v>
      </c>
      <c r="H14" s="31">
        <v>43824</v>
      </c>
      <c r="I14" s="32">
        <v>6960000</v>
      </c>
      <c r="J14" s="40" t="s">
        <v>20</v>
      </c>
    </row>
    <row r="15" ht="18" customHeight="1" spans="1:10">
      <c r="A15" s="31">
        <v>44077</v>
      </c>
      <c r="B15" s="32">
        <f t="shared" si="0"/>
        <v>4743119.26605505</v>
      </c>
      <c r="C15" s="35">
        <v>0.02</v>
      </c>
      <c r="D15" s="188">
        <f t="shared" si="1"/>
        <v>94862.3853211009</v>
      </c>
      <c r="E15" s="35">
        <v>0.07</v>
      </c>
      <c r="F15" s="32">
        <f t="shared" si="2"/>
        <v>332018.348623853</v>
      </c>
      <c r="G15" s="189">
        <v>5170000</v>
      </c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/>
      <c r="C20" s="33"/>
      <c r="D20" s="188"/>
      <c r="E20" s="33"/>
      <c r="F20" s="32"/>
      <c r="G20" s="189"/>
      <c r="H20" s="31">
        <v>44057</v>
      </c>
      <c r="I20" s="32">
        <v>1376000</v>
      </c>
      <c r="J20" s="40" t="s">
        <v>20</v>
      </c>
    </row>
    <row r="21" ht="18" customHeight="1" spans="1:10">
      <c r="A21" s="31"/>
      <c r="B21" s="32"/>
      <c r="C21" s="33"/>
      <c r="D21" s="188"/>
      <c r="E21" s="33"/>
      <c r="F21" s="32"/>
      <c r="G21" s="189"/>
      <c r="H21" s="31">
        <v>44057</v>
      </c>
      <c r="I21" s="32">
        <v>344000</v>
      </c>
      <c r="J21" s="40" t="s">
        <v>164</v>
      </c>
    </row>
    <row r="22" ht="18" customHeight="1" spans="1:10">
      <c r="A22" s="31"/>
      <c r="B22" s="32"/>
      <c r="C22" s="33"/>
      <c r="D22" s="188"/>
      <c r="E22" s="33"/>
      <c r="F22" s="32"/>
      <c r="G22" s="189"/>
      <c r="H22" s="31"/>
      <c r="I22" s="32"/>
      <c r="J22" s="40"/>
    </row>
    <row r="23" ht="18" customHeight="1" spans="1:10">
      <c r="A23" s="31"/>
      <c r="B23" s="32">
        <f>G23/(1+C23+E23)</f>
        <v>0</v>
      </c>
      <c r="C23" s="33"/>
      <c r="D23" s="188">
        <f>G23/(1+E23+C23)*C23</f>
        <v>0</v>
      </c>
      <c r="E23" s="33"/>
      <c r="F23" s="32">
        <f>G23/(1+C23+E23)*E23</f>
        <v>0</v>
      </c>
      <c r="G23" s="189"/>
      <c r="H23" s="31"/>
      <c r="I23" s="32"/>
      <c r="J23" s="40"/>
    </row>
    <row r="24" ht="18" customHeight="1" spans="1:10">
      <c r="A24" s="37" t="s">
        <v>22</v>
      </c>
      <c r="B24" s="38">
        <f>SUM(B7:B23)</f>
        <v>35326772.3102585</v>
      </c>
      <c r="C24" s="39"/>
      <c r="D24" s="190">
        <f>SUM(D7:D23)</f>
        <v>706535.446205171</v>
      </c>
      <c r="E24" s="39"/>
      <c r="F24" s="190">
        <f>SUM(F7:F23)</f>
        <v>2596692.24353628</v>
      </c>
      <c r="G24" s="190">
        <f>SUM(G7:G23)</f>
        <v>38630000</v>
      </c>
      <c r="H24" s="191"/>
      <c r="I24" s="190">
        <f>SUM(I7:I23)</f>
        <v>33460000</v>
      </c>
      <c r="J24" s="191"/>
    </row>
    <row r="25" ht="18" customHeight="1" spans="1:12">
      <c r="A25" s="6" t="s">
        <v>23</v>
      </c>
      <c r="J25" s="8"/>
      <c r="K25" s="8"/>
      <c r="L25" s="186"/>
    </row>
    <row r="26" ht="18" customHeight="1" spans="1:15">
      <c r="A26" s="41" t="s">
        <v>24</v>
      </c>
      <c r="B26" s="28" t="s">
        <v>25</v>
      </c>
      <c r="C26" s="27" t="s">
        <v>26</v>
      </c>
      <c r="D26" s="27" t="s">
        <v>27</v>
      </c>
      <c r="E26" s="27" t="s">
        <v>15</v>
      </c>
      <c r="F26" s="28" t="s">
        <v>28</v>
      </c>
      <c r="G26" s="28" t="s">
        <v>13</v>
      </c>
      <c r="H26" s="27" t="s">
        <v>29</v>
      </c>
      <c r="I26" s="28" t="s">
        <v>30</v>
      </c>
      <c r="J26" s="27" t="s">
        <v>19</v>
      </c>
      <c r="K26" s="54" t="s">
        <v>31</v>
      </c>
      <c r="L26" s="30" t="s">
        <v>32</v>
      </c>
      <c r="M26" s="30" t="s">
        <v>33</v>
      </c>
      <c r="N26" s="30" t="s">
        <v>34</v>
      </c>
      <c r="O26" s="30" t="s">
        <v>35</v>
      </c>
    </row>
    <row r="27" s="1" customFormat="1" ht="18" customHeight="1" spans="1:15">
      <c r="A27" s="43">
        <v>43070</v>
      </c>
      <c r="B27" s="25">
        <f t="shared" ref="B27:B90" si="3">ROUND(G27/(1+E27),2)</f>
        <v>2830.19</v>
      </c>
      <c r="C27" s="44"/>
      <c r="D27" s="45" t="s">
        <v>36</v>
      </c>
      <c r="E27" s="46">
        <v>0.06</v>
      </c>
      <c r="F27" s="25">
        <f t="shared" ref="F27:F90" si="4">ROUND(G27/(1+E27)*E27,2)</f>
        <v>169.81</v>
      </c>
      <c r="G27" s="189">
        <v>3000</v>
      </c>
      <c r="H27" s="31"/>
      <c r="I27" s="32"/>
      <c r="J27" s="40"/>
      <c r="K27" s="147" t="s">
        <v>37</v>
      </c>
      <c r="L27" s="60" t="s">
        <v>38</v>
      </c>
      <c r="M27" s="61"/>
      <c r="N27" s="61"/>
      <c r="O27" s="60"/>
    </row>
    <row r="28" s="1" customFormat="1" ht="18" customHeight="1" spans="1:15">
      <c r="A28" s="43">
        <v>43071</v>
      </c>
      <c r="B28" s="25">
        <f t="shared" si="3"/>
        <v>3000</v>
      </c>
      <c r="C28" s="44"/>
      <c r="D28" s="45" t="s">
        <v>39</v>
      </c>
      <c r="E28" s="46"/>
      <c r="F28" s="25">
        <f t="shared" si="4"/>
        <v>0</v>
      </c>
      <c r="G28" s="189">
        <v>3000</v>
      </c>
      <c r="H28" s="31"/>
      <c r="I28" s="32"/>
      <c r="J28" s="40"/>
      <c r="K28" s="147"/>
      <c r="L28" s="60" t="s">
        <v>38</v>
      </c>
      <c r="M28" s="61"/>
      <c r="N28" s="61"/>
      <c r="O28" s="60"/>
    </row>
    <row r="29" s="1" customFormat="1" ht="18" customHeight="1" spans="1:15">
      <c r="A29" s="43">
        <v>43072</v>
      </c>
      <c r="B29" s="25">
        <f t="shared" si="3"/>
        <v>12824.53</v>
      </c>
      <c r="C29" s="44"/>
      <c r="D29" s="45" t="s">
        <v>36</v>
      </c>
      <c r="E29" s="46">
        <v>0.06</v>
      </c>
      <c r="F29" s="25">
        <f t="shared" si="4"/>
        <v>769.47</v>
      </c>
      <c r="G29" s="189">
        <v>13594</v>
      </c>
      <c r="H29" s="31"/>
      <c r="I29" s="32"/>
      <c r="J29" s="40"/>
      <c r="K29" s="147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43073</v>
      </c>
      <c r="B30" s="25">
        <f t="shared" si="3"/>
        <v>1206</v>
      </c>
      <c r="C30" s="44"/>
      <c r="D30" s="45" t="s">
        <v>39</v>
      </c>
      <c r="E30" s="46"/>
      <c r="F30" s="25">
        <f t="shared" si="4"/>
        <v>0</v>
      </c>
      <c r="G30" s="189">
        <v>1206</v>
      </c>
      <c r="H30" s="31"/>
      <c r="I30" s="32"/>
      <c r="J30" s="40"/>
      <c r="K30" s="147"/>
      <c r="L30" s="60" t="s">
        <v>42</v>
      </c>
      <c r="M30" s="61"/>
      <c r="N30" s="61"/>
      <c r="O30" s="60"/>
    </row>
    <row r="31" s="1" customFormat="1" ht="18" customHeight="1" spans="1:15">
      <c r="A31" s="43">
        <v>43074</v>
      </c>
      <c r="B31" s="25">
        <f t="shared" si="3"/>
        <v>13191.34</v>
      </c>
      <c r="C31" s="44"/>
      <c r="D31" s="45" t="s">
        <v>39</v>
      </c>
      <c r="E31" s="46"/>
      <c r="F31" s="25">
        <f t="shared" si="4"/>
        <v>0</v>
      </c>
      <c r="G31" s="189">
        <v>13191.34</v>
      </c>
      <c r="H31" s="31"/>
      <c r="I31" s="32"/>
      <c r="J31" s="40"/>
      <c r="K31" s="147"/>
      <c r="L31" s="60" t="s">
        <v>43</v>
      </c>
      <c r="M31" s="61"/>
      <c r="N31" s="61"/>
      <c r="O31" s="60"/>
    </row>
    <row r="32" s="1" customFormat="1" ht="18" customHeight="1" spans="1:15">
      <c r="A32" s="43">
        <v>43149</v>
      </c>
      <c r="B32" s="25">
        <f t="shared" si="3"/>
        <v>1924.53</v>
      </c>
      <c r="C32" s="44"/>
      <c r="D32" s="45" t="s">
        <v>36</v>
      </c>
      <c r="E32" s="46">
        <v>0.06</v>
      </c>
      <c r="F32" s="25">
        <f t="shared" si="4"/>
        <v>115.47</v>
      </c>
      <c r="G32" s="189">
        <v>2040</v>
      </c>
      <c r="H32" s="31"/>
      <c r="I32" s="32"/>
      <c r="J32" s="40"/>
      <c r="K32" s="147" t="s">
        <v>40</v>
      </c>
      <c r="L32" s="60" t="s">
        <v>41</v>
      </c>
      <c r="M32" s="61"/>
      <c r="N32" s="61"/>
      <c r="O32" s="60"/>
    </row>
    <row r="33" s="1" customFormat="1" ht="18" customHeight="1" spans="1:15">
      <c r="A33" s="43">
        <v>43177</v>
      </c>
      <c r="B33" s="25">
        <f t="shared" si="3"/>
        <v>2830.19</v>
      </c>
      <c r="C33" s="44"/>
      <c r="D33" s="45" t="s">
        <v>36</v>
      </c>
      <c r="E33" s="46">
        <v>0.06</v>
      </c>
      <c r="F33" s="25">
        <f t="shared" si="4"/>
        <v>169.81</v>
      </c>
      <c r="G33" s="189">
        <v>3000</v>
      </c>
      <c r="H33" s="31"/>
      <c r="I33" s="32"/>
      <c r="J33" s="40"/>
      <c r="K33" s="147" t="s">
        <v>44</v>
      </c>
      <c r="L33" s="60" t="s">
        <v>45</v>
      </c>
      <c r="M33" s="61"/>
      <c r="N33" s="61"/>
      <c r="O33" s="60"/>
    </row>
    <row r="34" s="1" customFormat="1" ht="18" customHeight="1" spans="1:15">
      <c r="A34" s="43">
        <v>43178</v>
      </c>
      <c r="B34" s="25">
        <f t="shared" si="3"/>
        <v>12529.12</v>
      </c>
      <c r="C34" s="44"/>
      <c r="D34" s="45" t="s">
        <v>39</v>
      </c>
      <c r="E34" s="46"/>
      <c r="F34" s="25">
        <f t="shared" si="4"/>
        <v>0</v>
      </c>
      <c r="G34" s="189">
        <v>12529.12</v>
      </c>
      <c r="H34" s="31"/>
      <c r="I34" s="32"/>
      <c r="J34" s="40"/>
      <c r="K34" s="147"/>
      <c r="L34" s="60" t="s">
        <v>46</v>
      </c>
      <c r="M34" s="61"/>
      <c r="N34" s="61"/>
      <c r="O34" s="60"/>
    </row>
    <row r="35" s="1" customFormat="1" ht="18" customHeight="1" spans="1:15">
      <c r="A35" s="43">
        <v>43177</v>
      </c>
      <c r="B35" s="25">
        <f t="shared" si="3"/>
        <v>7575</v>
      </c>
      <c r="C35" s="44"/>
      <c r="D35" s="45" t="s">
        <v>39</v>
      </c>
      <c r="E35" s="46"/>
      <c r="F35" s="25">
        <f t="shared" si="4"/>
        <v>0</v>
      </c>
      <c r="G35" s="189">
        <v>7575</v>
      </c>
      <c r="H35" s="31"/>
      <c r="I35" s="32"/>
      <c r="J35" s="40"/>
      <c r="K35" s="147"/>
      <c r="L35" s="60" t="s">
        <v>46</v>
      </c>
      <c r="M35" s="61"/>
      <c r="N35" s="61"/>
      <c r="O35" s="60"/>
    </row>
    <row r="36" s="1" customFormat="1" ht="18" customHeight="1" spans="1:15">
      <c r="A36" s="43">
        <v>43238</v>
      </c>
      <c r="B36" s="25">
        <f t="shared" si="3"/>
        <v>4396551.72</v>
      </c>
      <c r="C36" s="44"/>
      <c r="D36" s="45" t="s">
        <v>36</v>
      </c>
      <c r="E36" s="46">
        <v>0.16</v>
      </c>
      <c r="F36" s="25">
        <f t="shared" si="4"/>
        <v>703448.28</v>
      </c>
      <c r="G36" s="189">
        <v>5100000</v>
      </c>
      <c r="H36" s="31">
        <v>43251</v>
      </c>
      <c r="I36" s="32">
        <v>2500000</v>
      </c>
      <c r="J36" s="40" t="s">
        <v>20</v>
      </c>
      <c r="K36" s="147" t="s">
        <v>47</v>
      </c>
      <c r="L36" s="60" t="s">
        <v>48</v>
      </c>
      <c r="M36" s="61"/>
      <c r="N36" s="61"/>
      <c r="O36" s="60"/>
    </row>
    <row r="37" s="1" customFormat="1" ht="18" customHeight="1" spans="1:15">
      <c r="A37" s="43"/>
      <c r="B37" s="25">
        <f t="shared" si="3"/>
        <v>0</v>
      </c>
      <c r="C37" s="44"/>
      <c r="D37" s="45"/>
      <c r="E37" s="46"/>
      <c r="F37" s="25">
        <f t="shared" si="4"/>
        <v>0</v>
      </c>
      <c r="G37" s="189"/>
      <c r="H37" s="31" t="s">
        <v>49</v>
      </c>
      <c r="I37" s="32">
        <v>2530768</v>
      </c>
      <c r="J37" s="40" t="s">
        <v>20</v>
      </c>
      <c r="K37" s="147" t="s">
        <v>47</v>
      </c>
      <c r="L37" s="60"/>
      <c r="M37" s="61"/>
      <c r="N37" s="61"/>
      <c r="O37" s="60"/>
    </row>
    <row r="38" s="1" customFormat="1" ht="18" customHeight="1" spans="1:15">
      <c r="A38" s="43"/>
      <c r="B38" s="25">
        <f t="shared" si="3"/>
        <v>0</v>
      </c>
      <c r="C38" s="44"/>
      <c r="D38" s="45"/>
      <c r="E38" s="46"/>
      <c r="F38" s="25">
        <f t="shared" si="4"/>
        <v>0</v>
      </c>
      <c r="G38" s="189"/>
      <c r="H38" s="31" t="s">
        <v>49</v>
      </c>
      <c r="I38" s="32">
        <v>69232</v>
      </c>
      <c r="J38" s="40" t="s">
        <v>20</v>
      </c>
      <c r="K38" s="147" t="s">
        <v>47</v>
      </c>
      <c r="L38" s="60"/>
      <c r="M38" s="61"/>
      <c r="N38" s="61"/>
      <c r="O38" s="60"/>
    </row>
    <row r="39" s="1" customFormat="1" ht="18" customHeight="1" spans="1:15">
      <c r="A39" s="43"/>
      <c r="B39" s="25">
        <f t="shared" si="3"/>
        <v>0</v>
      </c>
      <c r="C39" s="44"/>
      <c r="D39" s="45"/>
      <c r="E39" s="46"/>
      <c r="F39" s="25">
        <f t="shared" si="4"/>
        <v>0</v>
      </c>
      <c r="G39" s="189"/>
      <c r="H39" s="31">
        <v>43252</v>
      </c>
      <c r="I39" s="32">
        <v>-29323</v>
      </c>
      <c r="J39" s="40" t="s">
        <v>21</v>
      </c>
      <c r="K39" s="147" t="s">
        <v>50</v>
      </c>
      <c r="L39" s="60"/>
      <c r="M39" s="61"/>
      <c r="N39" s="61"/>
      <c r="O39" s="60"/>
    </row>
    <row r="40" s="1" customFormat="1" ht="18" customHeight="1" spans="1:15">
      <c r="A40" s="43"/>
      <c r="B40" s="25">
        <f t="shared" si="3"/>
        <v>0</v>
      </c>
      <c r="C40" s="44"/>
      <c r="D40" s="45"/>
      <c r="E40" s="46"/>
      <c r="F40" s="25">
        <f t="shared" si="4"/>
        <v>0</v>
      </c>
      <c r="G40" s="189"/>
      <c r="H40" s="31">
        <v>43255</v>
      </c>
      <c r="I40" s="32">
        <v>-39909</v>
      </c>
      <c r="J40" s="40" t="s">
        <v>21</v>
      </c>
      <c r="K40" s="147" t="s">
        <v>50</v>
      </c>
      <c r="L40" s="60"/>
      <c r="M40" s="61"/>
      <c r="N40" s="61"/>
      <c r="O40" s="60"/>
    </row>
    <row r="41" s="1" customFormat="1" ht="18" customHeight="1" spans="1:15">
      <c r="A41" s="43">
        <v>43269</v>
      </c>
      <c r="B41" s="25">
        <f t="shared" si="3"/>
        <v>5825.24</v>
      </c>
      <c r="C41" s="44"/>
      <c r="D41" s="45" t="s">
        <v>36</v>
      </c>
      <c r="E41" s="46">
        <v>0.03</v>
      </c>
      <c r="F41" s="25">
        <f t="shared" si="4"/>
        <v>174.76</v>
      </c>
      <c r="G41" s="189">
        <v>6000</v>
      </c>
      <c r="H41" s="31">
        <v>43264</v>
      </c>
      <c r="I41" s="32">
        <v>6000</v>
      </c>
      <c r="J41" s="40" t="s">
        <v>20</v>
      </c>
      <c r="K41" s="147" t="s">
        <v>51</v>
      </c>
      <c r="L41" s="60" t="s">
        <v>52</v>
      </c>
      <c r="M41" s="61"/>
      <c r="N41" s="61"/>
      <c r="O41" s="60"/>
    </row>
    <row r="42" s="1" customFormat="1" ht="18" customHeight="1" spans="1:15">
      <c r="A42" s="43"/>
      <c r="B42" s="25">
        <f t="shared" si="3"/>
        <v>0</v>
      </c>
      <c r="C42" s="44"/>
      <c r="D42" s="45"/>
      <c r="E42" s="46"/>
      <c r="F42" s="25">
        <f t="shared" si="4"/>
        <v>0</v>
      </c>
      <c r="G42" s="189"/>
      <c r="H42" s="31">
        <v>43263</v>
      </c>
      <c r="I42" s="32">
        <v>-6000</v>
      </c>
      <c r="J42" s="40" t="s">
        <v>21</v>
      </c>
      <c r="K42" s="147" t="s">
        <v>50</v>
      </c>
      <c r="L42" s="60"/>
      <c r="M42" s="61"/>
      <c r="N42" s="61"/>
      <c r="O42" s="60"/>
    </row>
    <row r="43" s="2" customFormat="1" ht="18" customHeight="1" spans="1:15">
      <c r="A43" s="48">
        <v>43335</v>
      </c>
      <c r="B43" s="25">
        <f t="shared" si="3"/>
        <v>4000000</v>
      </c>
      <c r="C43" s="49"/>
      <c r="D43" s="50" t="s">
        <v>36</v>
      </c>
      <c r="E43" s="46">
        <v>0.03</v>
      </c>
      <c r="F43" s="25">
        <f t="shared" si="4"/>
        <v>120000</v>
      </c>
      <c r="G43" s="189">
        <v>4120000</v>
      </c>
      <c r="H43" s="36">
        <v>43335</v>
      </c>
      <c r="I43" s="188">
        <v>2000000</v>
      </c>
      <c r="J43" s="63" t="s">
        <v>20</v>
      </c>
      <c r="K43" s="148" t="s">
        <v>53</v>
      </c>
      <c r="L43" s="67" t="s">
        <v>54</v>
      </c>
      <c r="M43" s="65"/>
      <c r="N43" s="65"/>
      <c r="O43" s="67"/>
    </row>
    <row r="44" s="2" customFormat="1" ht="18" customHeight="1" spans="1:15">
      <c r="A44" s="48"/>
      <c r="B44" s="25">
        <f t="shared" si="3"/>
        <v>1344.34</v>
      </c>
      <c r="C44" s="49">
        <v>3</v>
      </c>
      <c r="D44" s="50" t="s">
        <v>36</v>
      </c>
      <c r="E44" s="46">
        <v>0.06</v>
      </c>
      <c r="F44" s="25">
        <f t="shared" si="4"/>
        <v>80.66</v>
      </c>
      <c r="G44" s="189">
        <f>285+690+450</f>
        <v>1425</v>
      </c>
      <c r="H44" s="36"/>
      <c r="I44" s="188"/>
      <c r="J44" s="63"/>
      <c r="K44" s="148" t="s">
        <v>55</v>
      </c>
      <c r="L44" s="67" t="s">
        <v>41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3"/>
        <v>6510</v>
      </c>
      <c r="C45" s="49"/>
      <c r="D45" s="50" t="s">
        <v>39</v>
      </c>
      <c r="E45" s="46"/>
      <c r="F45" s="25">
        <f t="shared" si="4"/>
        <v>0</v>
      </c>
      <c r="G45" s="189">
        <v>6510</v>
      </c>
      <c r="H45" s="36"/>
      <c r="I45" s="188"/>
      <c r="J45" s="63"/>
      <c r="K45" s="148" t="s">
        <v>56</v>
      </c>
      <c r="L45" s="67" t="s">
        <v>57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3"/>
        <v>11436.89</v>
      </c>
      <c r="C46" s="49">
        <v>2</v>
      </c>
      <c r="D46" s="50" t="s">
        <v>36</v>
      </c>
      <c r="E46" s="46">
        <v>0.03</v>
      </c>
      <c r="F46" s="25">
        <f t="shared" si="4"/>
        <v>343.11</v>
      </c>
      <c r="G46" s="189">
        <f>7740+4040</f>
        <v>11780</v>
      </c>
      <c r="H46" s="36"/>
      <c r="I46" s="188"/>
      <c r="J46" s="63"/>
      <c r="K46" s="148" t="s">
        <v>58</v>
      </c>
      <c r="L46" s="67" t="s">
        <v>59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3"/>
        <v>1800</v>
      </c>
      <c r="C47" s="49"/>
      <c r="D47" s="50" t="s">
        <v>39</v>
      </c>
      <c r="E47" s="46"/>
      <c r="F47" s="25">
        <f t="shared" si="4"/>
        <v>0</v>
      </c>
      <c r="G47" s="189">
        <v>1800</v>
      </c>
      <c r="H47" s="36"/>
      <c r="I47" s="188"/>
      <c r="J47" s="63"/>
      <c r="K47" s="148" t="s">
        <v>56</v>
      </c>
      <c r="L47" s="67" t="s">
        <v>60</v>
      </c>
      <c r="M47" s="65"/>
      <c r="N47" s="65"/>
      <c r="O47" s="68">
        <v>43335</v>
      </c>
    </row>
    <row r="48" s="2" customFormat="1" ht="18" customHeight="1" spans="1:15">
      <c r="A48" s="48"/>
      <c r="B48" s="25">
        <f t="shared" si="3"/>
        <v>26788.86</v>
      </c>
      <c r="C48" s="49"/>
      <c r="D48" s="50" t="s">
        <v>61</v>
      </c>
      <c r="E48" s="46"/>
      <c r="F48" s="25">
        <f t="shared" si="4"/>
        <v>0</v>
      </c>
      <c r="G48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8" s="36"/>
      <c r="I48" s="188"/>
      <c r="J48" s="63"/>
      <c r="K48" s="148" t="s">
        <v>62</v>
      </c>
      <c r="L48" s="67" t="s">
        <v>63</v>
      </c>
      <c r="M48" s="65"/>
      <c r="N48" s="65"/>
      <c r="O48" s="68">
        <v>43335</v>
      </c>
    </row>
    <row r="49" s="2" customFormat="1" ht="18" customHeight="1" spans="1:15">
      <c r="A49" s="48"/>
      <c r="B49" s="25">
        <f t="shared" si="3"/>
        <v>4285.5</v>
      </c>
      <c r="C49" s="49"/>
      <c r="D49" s="50" t="s">
        <v>61</v>
      </c>
      <c r="E49" s="46"/>
      <c r="F49" s="25">
        <f t="shared" si="4"/>
        <v>0</v>
      </c>
      <c r="G49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9" s="36"/>
      <c r="I49" s="188"/>
      <c r="J49" s="63"/>
      <c r="K49" s="148" t="s">
        <v>62</v>
      </c>
      <c r="L49" s="67" t="s">
        <v>63</v>
      </c>
      <c r="M49" s="65"/>
      <c r="N49" s="65"/>
      <c r="O49" s="68">
        <v>43335</v>
      </c>
    </row>
    <row r="50" s="2" customFormat="1" ht="18" customHeight="1" spans="1:15">
      <c r="A50" s="48"/>
      <c r="B50" s="25">
        <f t="shared" si="3"/>
        <v>9856.03</v>
      </c>
      <c r="C50" s="49"/>
      <c r="D50" s="50" t="s">
        <v>39</v>
      </c>
      <c r="E50" s="46"/>
      <c r="F50" s="25">
        <f t="shared" si="4"/>
        <v>0</v>
      </c>
      <c r="G50" s="189">
        <f>200.03+500+400+286+300+410+910+405+530+300+500+230+280+295+285+400+380+405+200+200+400+425+405+300+310+300+300</f>
        <v>9856.03</v>
      </c>
      <c r="H50" s="36"/>
      <c r="I50" s="188"/>
      <c r="J50" s="63"/>
      <c r="K50" s="148" t="s">
        <v>64</v>
      </c>
      <c r="L50" s="67" t="s">
        <v>43</v>
      </c>
      <c r="M50" s="65"/>
      <c r="N50" s="65"/>
      <c r="O50" s="68">
        <v>43335</v>
      </c>
    </row>
    <row r="51" s="2" customFormat="1" ht="18" customHeight="1" spans="1:15">
      <c r="A51" s="48">
        <v>43435</v>
      </c>
      <c r="B51" s="25">
        <f t="shared" si="3"/>
        <v>53286.79</v>
      </c>
      <c r="C51" s="49"/>
      <c r="D51" s="50" t="s">
        <v>36</v>
      </c>
      <c r="E51" s="46">
        <v>0.06</v>
      </c>
      <c r="F51" s="25">
        <f t="shared" si="4"/>
        <v>3197.21</v>
      </c>
      <c r="G51" s="189">
        <v>56484</v>
      </c>
      <c r="H51" s="36"/>
      <c r="I51" s="188"/>
      <c r="J51" s="63"/>
      <c r="K51" s="148" t="s">
        <v>65</v>
      </c>
      <c r="L51" s="67" t="s">
        <v>66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3"/>
        <v>5825.24</v>
      </c>
      <c r="C52" s="49"/>
      <c r="D52" s="50" t="s">
        <v>36</v>
      </c>
      <c r="E52" s="46">
        <v>0.03</v>
      </c>
      <c r="F52" s="25">
        <f t="shared" si="4"/>
        <v>174.76</v>
      </c>
      <c r="G52" s="189">
        <v>6000</v>
      </c>
      <c r="H52" s="36">
        <v>43369</v>
      </c>
      <c r="I52" s="188">
        <v>6000</v>
      </c>
      <c r="J52" s="63" t="s">
        <v>20</v>
      </c>
      <c r="K52" s="148" t="s">
        <v>51</v>
      </c>
      <c r="L52" s="67" t="s">
        <v>52</v>
      </c>
      <c r="M52" s="65"/>
      <c r="N52" s="65"/>
      <c r="O52" s="67"/>
    </row>
    <row r="53" s="2" customFormat="1" ht="18" customHeight="1" spans="1:15">
      <c r="A53" s="48">
        <v>43313</v>
      </c>
      <c r="B53" s="25">
        <f t="shared" si="3"/>
        <v>4654.31</v>
      </c>
      <c r="C53" s="49"/>
      <c r="D53" s="50" t="s">
        <v>36</v>
      </c>
      <c r="E53" s="46">
        <v>0.16</v>
      </c>
      <c r="F53" s="25">
        <f t="shared" si="4"/>
        <v>744.69</v>
      </c>
      <c r="G53" s="189">
        <v>5399</v>
      </c>
      <c r="H53" s="36">
        <v>43369</v>
      </c>
      <c r="I53" s="188">
        <v>-6000</v>
      </c>
      <c r="J53" s="63" t="s">
        <v>21</v>
      </c>
      <c r="K53" s="148" t="s">
        <v>50</v>
      </c>
      <c r="L53" s="67"/>
      <c r="M53" s="65"/>
      <c r="N53" s="65"/>
      <c r="O53" s="67"/>
    </row>
    <row r="54" s="2" customFormat="1" ht="18" customHeight="1" spans="1:15">
      <c r="A54" s="48">
        <v>43435</v>
      </c>
      <c r="B54" s="25">
        <f t="shared" si="3"/>
        <v>933.96</v>
      </c>
      <c r="C54" s="49"/>
      <c r="D54" s="50" t="s">
        <v>36</v>
      </c>
      <c r="E54" s="46">
        <v>0.06</v>
      </c>
      <c r="F54" s="25">
        <f t="shared" si="4"/>
        <v>56.04</v>
      </c>
      <c r="G54" s="189">
        <f>90+45+855</f>
        <v>990</v>
      </c>
      <c r="H54" s="36"/>
      <c r="I54" s="188"/>
      <c r="J54" s="63"/>
      <c r="K54" s="148" t="s">
        <v>40</v>
      </c>
      <c r="L54" s="67" t="s">
        <v>41</v>
      </c>
      <c r="M54" s="65"/>
      <c r="N54" s="65"/>
      <c r="O54" s="67"/>
    </row>
    <row r="55" s="2" customFormat="1" ht="18" customHeight="1" spans="1:15">
      <c r="A55" s="48">
        <v>43435</v>
      </c>
      <c r="B55" s="25">
        <f t="shared" si="3"/>
        <v>43031</v>
      </c>
      <c r="C55" s="49"/>
      <c r="D55" s="50"/>
      <c r="E55" s="46"/>
      <c r="F55" s="25">
        <f t="shared" si="4"/>
        <v>0</v>
      </c>
      <c r="G55" s="189">
        <v>43031</v>
      </c>
      <c r="H55" s="36"/>
      <c r="I55" s="188"/>
      <c r="J55" s="63"/>
      <c r="K55" s="148" t="s">
        <v>67</v>
      </c>
      <c r="L55" s="67" t="s">
        <v>68</v>
      </c>
      <c r="M55" s="65"/>
      <c r="N55" s="65"/>
      <c r="O55" s="67"/>
    </row>
    <row r="56" s="2" customFormat="1" ht="18" customHeight="1" spans="1:15">
      <c r="A56" s="48">
        <v>43466</v>
      </c>
      <c r="B56" s="25">
        <f t="shared" si="3"/>
        <v>4854368.93</v>
      </c>
      <c r="C56" s="49"/>
      <c r="D56" s="50" t="s">
        <v>36</v>
      </c>
      <c r="E56" s="46">
        <v>0.03</v>
      </c>
      <c r="F56" s="25">
        <f t="shared" si="4"/>
        <v>145631.07</v>
      </c>
      <c r="G56" s="189">
        <f>5*1000000</f>
        <v>5000000</v>
      </c>
      <c r="H56" s="36">
        <v>43339</v>
      </c>
      <c r="I56" s="188">
        <v>2095952</v>
      </c>
      <c r="J56" s="63" t="s">
        <v>20</v>
      </c>
      <c r="K56" s="148" t="s">
        <v>53</v>
      </c>
      <c r="L56" s="67" t="s">
        <v>54</v>
      </c>
      <c r="M56" s="65"/>
      <c r="N56" s="65"/>
      <c r="O56" s="67"/>
    </row>
    <row r="57" s="2" customFormat="1" ht="18" customHeight="1" spans="1:15">
      <c r="A57" s="48"/>
      <c r="B57" s="25">
        <f t="shared" si="3"/>
        <v>0</v>
      </c>
      <c r="C57" s="49"/>
      <c r="D57" s="50"/>
      <c r="E57" s="46"/>
      <c r="F57" s="25">
        <f t="shared" si="4"/>
        <v>0</v>
      </c>
      <c r="G57" s="189"/>
      <c r="H57" s="36">
        <v>43495</v>
      </c>
      <c r="I57" s="188">
        <v>3464800</v>
      </c>
      <c r="J57" s="63" t="s">
        <v>20</v>
      </c>
      <c r="K57" s="148" t="s">
        <v>53</v>
      </c>
      <c r="L57" s="67" t="s">
        <v>54</v>
      </c>
      <c r="M57" s="65"/>
      <c r="N57" s="65"/>
      <c r="O57" s="67"/>
    </row>
    <row r="58" s="2" customFormat="1" ht="18" customHeight="1" spans="1:15">
      <c r="A58" s="48"/>
      <c r="B58" s="25">
        <f t="shared" si="3"/>
        <v>0</v>
      </c>
      <c r="C58" s="49"/>
      <c r="D58" s="50"/>
      <c r="E58" s="46"/>
      <c r="F58" s="25">
        <f t="shared" si="4"/>
        <v>0</v>
      </c>
      <c r="G58" s="189"/>
      <c r="H58" s="36">
        <v>43497</v>
      </c>
      <c r="I58" s="188">
        <v>866800</v>
      </c>
      <c r="J58" s="63" t="s">
        <v>20</v>
      </c>
      <c r="K58" s="148" t="s">
        <v>53</v>
      </c>
      <c r="L58" s="67" t="s">
        <v>54</v>
      </c>
      <c r="M58" s="65"/>
      <c r="N58" s="65"/>
      <c r="O58" s="67"/>
    </row>
    <row r="59" s="2" customFormat="1" ht="18" customHeight="1" spans="1:15">
      <c r="A59" s="48"/>
      <c r="B59" s="25">
        <f t="shared" si="3"/>
        <v>0</v>
      </c>
      <c r="C59" s="49"/>
      <c r="D59" s="50"/>
      <c r="E59" s="46"/>
      <c r="F59" s="25">
        <f t="shared" si="4"/>
        <v>0</v>
      </c>
      <c r="G59" s="189"/>
      <c r="H59" s="36">
        <v>43629</v>
      </c>
      <c r="I59" s="188">
        <v>84810</v>
      </c>
      <c r="J59" s="63" t="s">
        <v>20</v>
      </c>
      <c r="K59" s="148" t="s">
        <v>69</v>
      </c>
      <c r="L59" s="67" t="s">
        <v>70</v>
      </c>
      <c r="M59" s="65"/>
      <c r="N59" s="65"/>
      <c r="O59" s="67"/>
    </row>
    <row r="60" s="2" customFormat="1" ht="18" customHeight="1" spans="1:15">
      <c r="A60" s="48"/>
      <c r="B60" s="25">
        <f t="shared" si="3"/>
        <v>0</v>
      </c>
      <c r="C60" s="49"/>
      <c r="D60" s="50"/>
      <c r="E60" s="46"/>
      <c r="F60" s="25">
        <f t="shared" si="4"/>
        <v>0</v>
      </c>
      <c r="G60" s="189"/>
      <c r="H60" s="36">
        <v>43629</v>
      </c>
      <c r="I60" s="188">
        <v>-84810</v>
      </c>
      <c r="J60" s="63" t="s">
        <v>21</v>
      </c>
      <c r="K60" s="148" t="s">
        <v>50</v>
      </c>
      <c r="L60" s="67"/>
      <c r="M60" s="65"/>
      <c r="N60" s="65"/>
      <c r="O60" s="67"/>
    </row>
    <row r="61" s="2" customFormat="1" ht="18" customHeight="1" spans="1:15">
      <c r="A61" s="48"/>
      <c r="B61" s="25">
        <f t="shared" si="3"/>
        <v>0</v>
      </c>
      <c r="C61" s="49"/>
      <c r="D61" s="50"/>
      <c r="E61" s="46"/>
      <c r="F61" s="25">
        <f t="shared" si="4"/>
        <v>0</v>
      </c>
      <c r="G61" s="189"/>
      <c r="H61" s="36">
        <v>43657</v>
      </c>
      <c r="I61" s="188">
        <v>66753</v>
      </c>
      <c r="J61" s="63" t="s">
        <v>20</v>
      </c>
      <c r="K61" s="148" t="s">
        <v>69</v>
      </c>
      <c r="L61" s="67" t="s">
        <v>70</v>
      </c>
      <c r="M61" s="65"/>
      <c r="N61" s="65"/>
      <c r="O61" s="67"/>
    </row>
    <row r="62" s="2" customFormat="1" ht="18" customHeight="1" spans="1:15">
      <c r="A62" s="48"/>
      <c r="B62" s="25">
        <f t="shared" si="3"/>
        <v>0</v>
      </c>
      <c r="C62" s="49"/>
      <c r="D62" s="50"/>
      <c r="E62" s="46"/>
      <c r="F62" s="25">
        <f t="shared" si="4"/>
        <v>0</v>
      </c>
      <c r="G62" s="189"/>
      <c r="H62" s="36">
        <v>43657</v>
      </c>
      <c r="I62" s="188">
        <v>-66753</v>
      </c>
      <c r="J62" s="63" t="s">
        <v>21</v>
      </c>
      <c r="K62" s="148" t="s">
        <v>50</v>
      </c>
      <c r="L62" s="67"/>
      <c r="M62" s="65"/>
      <c r="N62" s="65"/>
      <c r="O62" s="67"/>
    </row>
    <row r="63" s="2" customFormat="1" ht="18" customHeight="1" spans="1:15">
      <c r="A63" s="48"/>
      <c r="B63" s="25">
        <f t="shared" si="3"/>
        <v>0</v>
      </c>
      <c r="C63" s="49"/>
      <c r="D63" s="50"/>
      <c r="E63" s="46"/>
      <c r="F63" s="25">
        <f t="shared" si="4"/>
        <v>0</v>
      </c>
      <c r="G63" s="189"/>
      <c r="H63" s="36">
        <v>43676</v>
      </c>
      <c r="I63" s="188">
        <v>67731.14</v>
      </c>
      <c r="J63" s="63" t="s">
        <v>20</v>
      </c>
      <c r="K63" s="148" t="s">
        <v>69</v>
      </c>
      <c r="L63" s="67" t="s">
        <v>70</v>
      </c>
      <c r="M63" s="65"/>
      <c r="N63" s="65"/>
      <c r="O63" s="67"/>
    </row>
    <row r="64" s="2" customFormat="1" ht="18" customHeight="1" spans="1:15">
      <c r="A64" s="48"/>
      <c r="B64" s="25">
        <f t="shared" si="3"/>
        <v>0</v>
      </c>
      <c r="C64" s="49"/>
      <c r="D64" s="50"/>
      <c r="E64" s="46"/>
      <c r="F64" s="25">
        <f t="shared" si="4"/>
        <v>0</v>
      </c>
      <c r="G64" s="189"/>
      <c r="H64" s="36">
        <v>43671</v>
      </c>
      <c r="I64" s="188">
        <v>-67731.14</v>
      </c>
      <c r="J64" s="63" t="s">
        <v>20</v>
      </c>
      <c r="K64" s="148" t="s">
        <v>71</v>
      </c>
      <c r="L64" s="67" t="s">
        <v>72</v>
      </c>
      <c r="M64" s="65"/>
      <c r="N64" s="65"/>
      <c r="O64" s="67"/>
    </row>
    <row r="65" s="2" customFormat="1" ht="18" customHeight="1" spans="1:15">
      <c r="A65" s="48">
        <v>43678</v>
      </c>
      <c r="B65" s="25">
        <f t="shared" si="3"/>
        <v>1000020</v>
      </c>
      <c r="C65" s="49"/>
      <c r="D65" s="50" t="s">
        <v>73</v>
      </c>
      <c r="E65" s="46"/>
      <c r="F65" s="25">
        <f t="shared" si="4"/>
        <v>0</v>
      </c>
      <c r="G65" s="189">
        <v>1000020</v>
      </c>
      <c r="H65" s="194">
        <v>43676</v>
      </c>
      <c r="I65" s="196">
        <v>500000</v>
      </c>
      <c r="J65" s="201" t="s">
        <v>21</v>
      </c>
      <c r="K65" s="202" t="s">
        <v>74</v>
      </c>
      <c r="L65" s="203" t="s">
        <v>75</v>
      </c>
      <c r="M65" s="201" t="s">
        <v>76</v>
      </c>
      <c r="N65" s="65"/>
      <c r="O65" s="67"/>
    </row>
    <row r="66" s="2" customFormat="1" ht="18" customHeight="1" spans="1:15">
      <c r="A66" s="48"/>
      <c r="B66" s="25">
        <f t="shared" si="3"/>
        <v>0</v>
      </c>
      <c r="C66" s="49"/>
      <c r="D66" s="50"/>
      <c r="E66" s="46"/>
      <c r="F66" s="25">
        <f t="shared" si="4"/>
        <v>0</v>
      </c>
      <c r="G66" s="189"/>
      <c r="H66" s="194">
        <v>43682</v>
      </c>
      <c r="I66" s="196">
        <v>500000</v>
      </c>
      <c r="J66" s="201" t="s">
        <v>21</v>
      </c>
      <c r="K66" s="202" t="s">
        <v>74</v>
      </c>
      <c r="L66" s="204" t="s">
        <v>77</v>
      </c>
      <c r="M66" s="201" t="s">
        <v>76</v>
      </c>
      <c r="N66" s="65"/>
      <c r="O66" s="67"/>
    </row>
    <row r="67" s="2" customFormat="1" ht="18" customHeight="1" spans="1:15">
      <c r="A67" s="48">
        <v>43678</v>
      </c>
      <c r="B67" s="25">
        <f t="shared" si="3"/>
        <v>1000080</v>
      </c>
      <c r="C67" s="49"/>
      <c r="D67" s="50" t="s">
        <v>73</v>
      </c>
      <c r="E67" s="46"/>
      <c r="F67" s="25">
        <f t="shared" si="4"/>
        <v>0</v>
      </c>
      <c r="G67" s="189">
        <v>1000080</v>
      </c>
      <c r="H67" s="194">
        <v>43691</v>
      </c>
      <c r="I67" s="196">
        <v>1000000</v>
      </c>
      <c r="J67" s="201" t="s">
        <v>21</v>
      </c>
      <c r="K67" s="205" t="s">
        <v>78</v>
      </c>
      <c r="L67" s="206" t="s">
        <v>79</v>
      </c>
      <c r="M67" s="201" t="s">
        <v>76</v>
      </c>
      <c r="N67" s="65"/>
      <c r="O67" s="67"/>
    </row>
    <row r="68" s="2" customFormat="1" ht="18" customHeight="1" spans="1:15">
      <c r="A68" s="48"/>
      <c r="B68" s="25">
        <f t="shared" si="3"/>
        <v>0</v>
      </c>
      <c r="C68" s="49"/>
      <c r="D68" s="50"/>
      <c r="E68" s="46"/>
      <c r="F68" s="25">
        <f t="shared" si="4"/>
        <v>0</v>
      </c>
      <c r="G68" s="189"/>
      <c r="H68" s="36">
        <v>43692</v>
      </c>
      <c r="I68" s="188">
        <v>-100000</v>
      </c>
      <c r="J68" s="63" t="s">
        <v>21</v>
      </c>
      <c r="K68" s="207" t="s">
        <v>50</v>
      </c>
      <c r="L68" s="208"/>
      <c r="M68" s="56"/>
      <c r="N68" s="65"/>
      <c r="O68" s="67"/>
    </row>
    <row r="69" s="2" customFormat="1" ht="18" customHeight="1" spans="1:15">
      <c r="A69" s="48"/>
      <c r="B69" s="25">
        <f t="shared" si="3"/>
        <v>0</v>
      </c>
      <c r="C69" s="49"/>
      <c r="D69" s="50"/>
      <c r="E69" s="46"/>
      <c r="F69" s="25">
        <f t="shared" si="4"/>
        <v>0</v>
      </c>
      <c r="G69" s="189"/>
      <c r="H69" s="36">
        <v>43692</v>
      </c>
      <c r="I69" s="188">
        <v>100000</v>
      </c>
      <c r="J69" s="63" t="s">
        <v>20</v>
      </c>
      <c r="K69" s="207" t="s">
        <v>80</v>
      </c>
      <c r="L69" s="208" t="s">
        <v>81</v>
      </c>
      <c r="M69" s="56"/>
      <c r="N69" s="65"/>
      <c r="O69" s="67"/>
    </row>
    <row r="70" s="2" customFormat="1" ht="18" customHeight="1" spans="1:15">
      <c r="A70" s="48"/>
      <c r="B70" s="25">
        <f t="shared" si="3"/>
        <v>0</v>
      </c>
      <c r="C70" s="49"/>
      <c r="D70" s="50"/>
      <c r="E70" s="46"/>
      <c r="F70" s="25">
        <f t="shared" si="4"/>
        <v>0</v>
      </c>
      <c r="G70" s="189"/>
      <c r="H70" s="36">
        <v>43703</v>
      </c>
      <c r="I70" s="188">
        <v>-100000</v>
      </c>
      <c r="J70" s="63" t="s">
        <v>21</v>
      </c>
      <c r="K70" s="207" t="s">
        <v>50</v>
      </c>
      <c r="L70" s="208"/>
      <c r="M70" s="56"/>
      <c r="N70" s="65"/>
      <c r="O70" s="67"/>
    </row>
    <row r="71" s="2" customFormat="1" ht="18" customHeight="1" spans="1:15">
      <c r="A71" s="48"/>
      <c r="B71" s="25">
        <f t="shared" si="3"/>
        <v>0</v>
      </c>
      <c r="C71" s="49"/>
      <c r="D71" s="50"/>
      <c r="E71" s="46"/>
      <c r="F71" s="25">
        <f t="shared" si="4"/>
        <v>0</v>
      </c>
      <c r="G71" s="189"/>
      <c r="H71" s="36">
        <v>43704</v>
      </c>
      <c r="I71" s="188">
        <v>100000</v>
      </c>
      <c r="J71" s="63" t="s">
        <v>20</v>
      </c>
      <c r="K71" s="207" t="s">
        <v>80</v>
      </c>
      <c r="L71" s="67"/>
      <c r="M71" s="65"/>
      <c r="N71" s="65"/>
      <c r="O71" s="67"/>
    </row>
    <row r="72" s="2" customFormat="1" ht="18" customHeight="1" spans="1:15">
      <c r="A72" s="48"/>
      <c r="B72" s="25">
        <f t="shared" si="3"/>
        <v>0</v>
      </c>
      <c r="C72" s="49"/>
      <c r="D72" s="50"/>
      <c r="E72" s="46"/>
      <c r="F72" s="25">
        <f t="shared" si="4"/>
        <v>0</v>
      </c>
      <c r="G72" s="189"/>
      <c r="H72" s="36">
        <v>43717</v>
      </c>
      <c r="I72" s="188">
        <v>-100000</v>
      </c>
      <c r="J72" s="63" t="s">
        <v>21</v>
      </c>
      <c r="K72" s="207" t="s">
        <v>50</v>
      </c>
      <c r="L72" s="67"/>
      <c r="M72" s="65"/>
      <c r="N72" s="65"/>
      <c r="O72" s="67"/>
    </row>
    <row r="73" s="2" customFormat="1" ht="18" customHeight="1" spans="1:15">
      <c r="A73" s="48"/>
      <c r="B73" s="25">
        <f t="shared" si="3"/>
        <v>0</v>
      </c>
      <c r="C73" s="49"/>
      <c r="D73" s="50"/>
      <c r="E73" s="46"/>
      <c r="F73" s="25">
        <f t="shared" si="4"/>
        <v>0</v>
      </c>
      <c r="G73" s="189"/>
      <c r="H73" s="36">
        <v>43718</v>
      </c>
      <c r="I73" s="188">
        <v>100000</v>
      </c>
      <c r="J73" s="63" t="s">
        <v>20</v>
      </c>
      <c r="K73" s="207" t="s">
        <v>80</v>
      </c>
      <c r="L73" s="67"/>
      <c r="M73" s="65"/>
      <c r="N73" s="65"/>
      <c r="O73" s="67"/>
    </row>
    <row r="74" s="2" customFormat="1" ht="18" customHeight="1" spans="1:15">
      <c r="A74" s="48"/>
      <c r="B74" s="25">
        <f t="shared" si="3"/>
        <v>0</v>
      </c>
      <c r="C74" s="49"/>
      <c r="D74" s="50"/>
      <c r="E74" s="46"/>
      <c r="F74" s="25">
        <f t="shared" si="4"/>
        <v>0</v>
      </c>
      <c r="G74" s="189"/>
      <c r="H74" s="194">
        <v>43734</v>
      </c>
      <c r="I74" s="196">
        <v>300000</v>
      </c>
      <c r="J74" s="201" t="s">
        <v>20</v>
      </c>
      <c r="K74" s="202" t="s">
        <v>80</v>
      </c>
      <c r="L74" s="209"/>
      <c r="M74" s="201" t="s">
        <v>76</v>
      </c>
      <c r="N74" s="65"/>
      <c r="O74" s="67"/>
    </row>
    <row r="75" s="2" customFormat="1" ht="18" customHeight="1" spans="1:15">
      <c r="A75" s="48"/>
      <c r="B75" s="25">
        <f t="shared" si="3"/>
        <v>0</v>
      </c>
      <c r="C75" s="49"/>
      <c r="D75" s="50"/>
      <c r="E75" s="46"/>
      <c r="F75" s="25">
        <f t="shared" si="4"/>
        <v>0</v>
      </c>
      <c r="G75" s="189"/>
      <c r="H75" s="195">
        <v>43749</v>
      </c>
      <c r="I75" s="196">
        <v>500000</v>
      </c>
      <c r="J75" s="201" t="s">
        <v>20</v>
      </c>
      <c r="K75" s="202" t="s">
        <v>80</v>
      </c>
      <c r="L75" s="209"/>
      <c r="M75" s="201" t="s">
        <v>76</v>
      </c>
      <c r="N75" s="65"/>
      <c r="O75" s="67"/>
    </row>
    <row r="76" s="2" customFormat="1" ht="18" customHeight="1" spans="1:15">
      <c r="A76" s="48">
        <v>43709</v>
      </c>
      <c r="B76" s="25">
        <f t="shared" si="3"/>
        <v>12426.15</v>
      </c>
      <c r="C76" s="49"/>
      <c r="D76" s="50" t="s">
        <v>39</v>
      </c>
      <c r="E76" s="46"/>
      <c r="F76" s="25">
        <f t="shared" si="4"/>
        <v>0</v>
      </c>
      <c r="G76" s="189">
        <v>12426.15</v>
      </c>
      <c r="H76" s="36"/>
      <c r="I76" s="210"/>
      <c r="J76" s="56"/>
      <c r="K76" s="207" t="s">
        <v>68</v>
      </c>
      <c r="L76" s="82"/>
      <c r="M76" s="56"/>
      <c r="N76" s="65"/>
      <c r="O76" s="67"/>
    </row>
    <row r="77" s="2" customFormat="1" ht="18" customHeight="1" spans="1:15">
      <c r="A77" s="48">
        <v>43709</v>
      </c>
      <c r="B77" s="25">
        <f t="shared" si="3"/>
        <v>10316.04</v>
      </c>
      <c r="C77" s="49"/>
      <c r="D77" s="50" t="s">
        <v>36</v>
      </c>
      <c r="E77" s="70">
        <v>0.06</v>
      </c>
      <c r="F77" s="25">
        <f t="shared" si="4"/>
        <v>618.96</v>
      </c>
      <c r="G77" s="189">
        <v>10935</v>
      </c>
      <c r="H77" s="36"/>
      <c r="I77" s="210"/>
      <c r="J77" s="56"/>
      <c r="K77" s="207" t="s">
        <v>82</v>
      </c>
      <c r="L77" s="82" t="s">
        <v>41</v>
      </c>
      <c r="M77" s="56"/>
      <c r="N77" s="65"/>
      <c r="O77" s="67"/>
    </row>
    <row r="78" s="2" customFormat="1" ht="18" customHeight="1" spans="1:15">
      <c r="A78" s="48">
        <v>43709</v>
      </c>
      <c r="B78" s="25">
        <f t="shared" si="3"/>
        <v>10424.53</v>
      </c>
      <c r="C78" s="49"/>
      <c r="D78" s="50" t="s">
        <v>36</v>
      </c>
      <c r="E78" s="70">
        <v>0.06</v>
      </c>
      <c r="F78" s="25">
        <f t="shared" si="4"/>
        <v>625.47</v>
      </c>
      <c r="G78" s="189">
        <v>11050</v>
      </c>
      <c r="H78" s="36"/>
      <c r="I78" s="210"/>
      <c r="J78" s="56"/>
      <c r="K78" s="207" t="s">
        <v>82</v>
      </c>
      <c r="L78" s="82" t="s">
        <v>52</v>
      </c>
      <c r="M78" s="56"/>
      <c r="N78" s="65"/>
      <c r="O78" s="67"/>
    </row>
    <row r="79" s="2" customFormat="1" ht="18" customHeight="1" spans="1:15">
      <c r="A79" s="48">
        <v>43709</v>
      </c>
      <c r="B79" s="25">
        <f t="shared" si="3"/>
        <v>80009.43</v>
      </c>
      <c r="C79" s="49"/>
      <c r="D79" s="50" t="s">
        <v>36</v>
      </c>
      <c r="E79" s="70">
        <v>0.06</v>
      </c>
      <c r="F79" s="25">
        <f t="shared" si="4"/>
        <v>4800.57</v>
      </c>
      <c r="G79" s="189">
        <v>84810</v>
      </c>
      <c r="H79" s="36"/>
      <c r="I79" s="210"/>
      <c r="J79" s="56"/>
      <c r="K79" s="207" t="s">
        <v>69</v>
      </c>
      <c r="L79" s="82" t="s">
        <v>83</v>
      </c>
      <c r="M79" s="56"/>
      <c r="N79" s="65"/>
      <c r="O79" s="67"/>
    </row>
    <row r="80" s="2" customFormat="1" ht="18" customHeight="1" spans="1:15">
      <c r="A80" s="48">
        <v>43709</v>
      </c>
      <c r="B80" s="25">
        <f t="shared" si="3"/>
        <v>63897.3</v>
      </c>
      <c r="C80" s="49"/>
      <c r="D80" s="50" t="s">
        <v>36</v>
      </c>
      <c r="E80" s="70">
        <v>0.06</v>
      </c>
      <c r="F80" s="25">
        <f t="shared" si="4"/>
        <v>3833.84</v>
      </c>
      <c r="G80" s="189">
        <v>67731.14</v>
      </c>
      <c r="H80" s="36"/>
      <c r="I80" s="210"/>
      <c r="J80" s="56"/>
      <c r="K80" s="207" t="s">
        <v>69</v>
      </c>
      <c r="L80" s="82" t="s">
        <v>83</v>
      </c>
      <c r="M80" s="56"/>
      <c r="N80" s="65"/>
      <c r="O80" s="67"/>
    </row>
    <row r="81" s="2" customFormat="1" ht="18" customHeight="1" spans="1:15">
      <c r="A81" s="48">
        <v>43739</v>
      </c>
      <c r="B81" s="25">
        <f t="shared" si="3"/>
        <v>443071.38</v>
      </c>
      <c r="C81" s="49"/>
      <c r="D81" s="50" t="s">
        <v>36</v>
      </c>
      <c r="E81" s="70">
        <v>0.13</v>
      </c>
      <c r="F81" s="25">
        <f t="shared" si="4"/>
        <v>57599.28</v>
      </c>
      <c r="G81" s="189">
        <v>500670.66</v>
      </c>
      <c r="H81" s="36">
        <v>43769</v>
      </c>
      <c r="I81" s="188">
        <v>200000</v>
      </c>
      <c r="J81" s="63" t="s">
        <v>20</v>
      </c>
      <c r="K81" s="207" t="s">
        <v>80</v>
      </c>
      <c r="L81" s="82" t="s">
        <v>84</v>
      </c>
      <c r="M81" s="56"/>
      <c r="N81" s="65"/>
      <c r="O81" s="67"/>
    </row>
    <row r="82" s="2" customFormat="1" ht="18" customHeight="1" spans="1:15">
      <c r="A82" s="48">
        <v>43739</v>
      </c>
      <c r="B82" s="25">
        <f t="shared" si="3"/>
        <v>257787.35</v>
      </c>
      <c r="C82" s="49"/>
      <c r="D82" s="50" t="s">
        <v>36</v>
      </c>
      <c r="E82" s="70">
        <v>0.13</v>
      </c>
      <c r="F82" s="196">
        <f t="shared" si="4"/>
        <v>33512.35</v>
      </c>
      <c r="G82" s="189">
        <v>291299.7</v>
      </c>
      <c r="H82" s="36"/>
      <c r="I82" s="210"/>
      <c r="J82" s="63" t="s">
        <v>20</v>
      </c>
      <c r="K82" s="207" t="s">
        <v>80</v>
      </c>
      <c r="L82" s="82" t="s">
        <v>85</v>
      </c>
      <c r="M82" s="56"/>
      <c r="N82" s="65"/>
      <c r="O82" s="67"/>
    </row>
    <row r="83" s="2" customFormat="1" ht="18" customHeight="1" spans="1:15">
      <c r="A83" s="48"/>
      <c r="B83" s="25">
        <f t="shared" si="3"/>
        <v>0</v>
      </c>
      <c r="C83" s="49"/>
      <c r="D83" s="50"/>
      <c r="E83" s="70"/>
      <c r="F83" s="25">
        <f t="shared" si="4"/>
        <v>0</v>
      </c>
      <c r="G83" s="189"/>
      <c r="H83" s="36">
        <v>43769</v>
      </c>
      <c r="I83" s="188">
        <v>600000</v>
      </c>
      <c r="J83" s="63" t="s">
        <v>20</v>
      </c>
      <c r="K83" s="148" t="s">
        <v>53</v>
      </c>
      <c r="L83" s="67" t="s">
        <v>54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3"/>
        <v>500010</v>
      </c>
      <c r="C84" s="49"/>
      <c r="D84" s="50" t="s">
        <v>73</v>
      </c>
      <c r="E84" s="70"/>
      <c r="F84" s="25">
        <f t="shared" si="4"/>
        <v>0</v>
      </c>
      <c r="G84" s="189">
        <v>500010</v>
      </c>
      <c r="H84" s="36">
        <v>43773</v>
      </c>
      <c r="I84" s="188">
        <v>500010</v>
      </c>
      <c r="J84" s="63" t="s">
        <v>21</v>
      </c>
      <c r="K84" s="207" t="s">
        <v>74</v>
      </c>
      <c r="L84" s="82" t="s">
        <v>86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3"/>
        <v>300000</v>
      </c>
      <c r="C85" s="49"/>
      <c r="D85" s="50" t="s">
        <v>73</v>
      </c>
      <c r="E85" s="70"/>
      <c r="F85" s="25">
        <f t="shared" si="4"/>
        <v>0</v>
      </c>
      <c r="G85" s="189">
        <v>300000</v>
      </c>
      <c r="H85" s="36">
        <v>43773</v>
      </c>
      <c r="I85" s="188">
        <v>300000</v>
      </c>
      <c r="J85" s="63" t="s">
        <v>21</v>
      </c>
      <c r="K85" s="207" t="s">
        <v>87</v>
      </c>
      <c r="L85" s="82" t="s">
        <v>88</v>
      </c>
      <c r="M85" s="56"/>
      <c r="N85" s="65"/>
      <c r="O85" s="67"/>
    </row>
    <row r="86" s="2" customFormat="1" ht="18" customHeight="1" spans="1:15">
      <c r="A86" s="48">
        <v>43770</v>
      </c>
      <c r="B86" s="25">
        <f t="shared" si="3"/>
        <v>300000</v>
      </c>
      <c r="C86" s="49"/>
      <c r="D86" s="50" t="s">
        <v>73</v>
      </c>
      <c r="E86" s="70"/>
      <c r="F86" s="25">
        <f t="shared" si="4"/>
        <v>0</v>
      </c>
      <c r="G86" s="189">
        <v>300000</v>
      </c>
      <c r="H86" s="36">
        <v>43773</v>
      </c>
      <c r="I86" s="188">
        <v>300000</v>
      </c>
      <c r="J86" s="63" t="s">
        <v>21</v>
      </c>
      <c r="K86" s="207" t="s">
        <v>89</v>
      </c>
      <c r="L86" s="82" t="s">
        <v>88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3"/>
        <v>300060</v>
      </c>
      <c r="C87" s="49"/>
      <c r="D87" s="50" t="s">
        <v>73</v>
      </c>
      <c r="E87" s="70"/>
      <c r="F87" s="25">
        <f t="shared" si="4"/>
        <v>0</v>
      </c>
      <c r="G87" s="189">
        <v>300060</v>
      </c>
      <c r="H87" s="36">
        <v>43773</v>
      </c>
      <c r="I87" s="188">
        <v>300060</v>
      </c>
      <c r="J87" s="63" t="s">
        <v>21</v>
      </c>
      <c r="K87" s="207" t="s">
        <v>90</v>
      </c>
      <c r="L87" s="82" t="s">
        <v>91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si="3"/>
        <v>0</v>
      </c>
      <c r="C88" s="49"/>
      <c r="D88" s="50"/>
      <c r="E88" s="70"/>
      <c r="F88" s="25">
        <f t="shared" si="4"/>
        <v>0</v>
      </c>
      <c r="G88" s="189"/>
      <c r="H88" s="36">
        <v>43773</v>
      </c>
      <c r="I88" s="188">
        <v>500000</v>
      </c>
      <c r="J88" s="63" t="s">
        <v>20</v>
      </c>
      <c r="K88" s="207" t="s">
        <v>92</v>
      </c>
      <c r="L88" s="82" t="s">
        <v>93</v>
      </c>
      <c r="M88" s="56"/>
      <c r="N88" s="65"/>
      <c r="O88" s="67"/>
    </row>
    <row r="89" s="2" customFormat="1" ht="18" customHeight="1" spans="1:15">
      <c r="A89" s="48"/>
      <c r="B89" s="25">
        <f t="shared" si="3"/>
        <v>0</v>
      </c>
      <c r="C89" s="49"/>
      <c r="D89" s="50"/>
      <c r="E89" s="70"/>
      <c r="F89" s="25">
        <f t="shared" si="4"/>
        <v>0</v>
      </c>
      <c r="G89" s="189"/>
      <c r="H89" s="36">
        <v>43775</v>
      </c>
      <c r="I89" s="188">
        <v>800000</v>
      </c>
      <c r="J89" s="63" t="s">
        <v>20</v>
      </c>
      <c r="K89" s="207" t="s">
        <v>94</v>
      </c>
      <c r="L89" s="82" t="s">
        <v>95</v>
      </c>
      <c r="M89" s="56"/>
      <c r="N89" s="65"/>
      <c r="O89" s="67"/>
    </row>
    <row r="90" s="2" customFormat="1" ht="18" customHeight="1" spans="1:15">
      <c r="A90" s="48">
        <v>43770</v>
      </c>
      <c r="B90" s="25">
        <f t="shared" si="3"/>
        <v>1165048.54</v>
      </c>
      <c r="C90" s="49"/>
      <c r="D90" s="50" t="s">
        <v>36</v>
      </c>
      <c r="E90" s="70">
        <v>0.03</v>
      </c>
      <c r="F90" s="197">
        <f t="shared" si="4"/>
        <v>34951.46</v>
      </c>
      <c r="G90" s="189">
        <f>96000*12+48000</f>
        <v>1200000</v>
      </c>
      <c r="H90" s="36">
        <v>43776</v>
      </c>
      <c r="I90" s="188">
        <v>400000</v>
      </c>
      <c r="J90" s="63" t="s">
        <v>20</v>
      </c>
      <c r="K90" s="207" t="s">
        <v>94</v>
      </c>
      <c r="L90" s="82" t="s">
        <v>95</v>
      </c>
      <c r="M90" s="56"/>
      <c r="N90" s="65"/>
      <c r="O90" s="67"/>
    </row>
    <row r="91" s="2" customFormat="1" ht="18" customHeight="1" spans="1:15">
      <c r="A91" s="48">
        <v>43770</v>
      </c>
      <c r="B91" s="25">
        <f t="shared" ref="B91:B93" si="5">ROUND(G91/(1+E91),2)</f>
        <v>326256.05</v>
      </c>
      <c r="C91" s="49"/>
      <c r="D91" s="50" t="s">
        <v>36</v>
      </c>
      <c r="E91" s="70">
        <v>0.13</v>
      </c>
      <c r="F91" s="197">
        <f t="shared" ref="F91:F93" si="6">ROUND(G91/(1+E91)*E91,2)</f>
        <v>42413.29</v>
      </c>
      <c r="G91" s="189">
        <v>368669.34</v>
      </c>
      <c r="H91" s="36"/>
      <c r="I91" s="210"/>
      <c r="J91" s="56"/>
      <c r="K91" s="207" t="s">
        <v>80</v>
      </c>
      <c r="L91" s="82" t="s">
        <v>96</v>
      </c>
      <c r="M91" s="56"/>
      <c r="N91" s="65"/>
      <c r="O91" s="67"/>
    </row>
    <row r="92" s="2" customFormat="1" ht="18" customHeight="1" spans="1:15">
      <c r="A92" s="48">
        <v>43770</v>
      </c>
      <c r="B92" s="25">
        <f t="shared" si="5"/>
        <v>199980</v>
      </c>
      <c r="C92" s="49"/>
      <c r="D92" s="50" t="s">
        <v>73</v>
      </c>
      <c r="E92" s="70"/>
      <c r="F92" s="25">
        <f t="shared" si="6"/>
        <v>0</v>
      </c>
      <c r="G92" s="189">
        <v>199980</v>
      </c>
      <c r="H92" s="195">
        <v>43784</v>
      </c>
      <c r="I92" s="196">
        <v>199980</v>
      </c>
      <c r="J92" s="201" t="s">
        <v>21</v>
      </c>
      <c r="K92" s="202" t="s">
        <v>97</v>
      </c>
      <c r="L92" s="204" t="s">
        <v>98</v>
      </c>
      <c r="M92" s="56" t="s">
        <v>76</v>
      </c>
      <c r="N92" s="65"/>
      <c r="O92" s="67"/>
    </row>
    <row r="93" s="3" customFormat="1" ht="18" customHeight="1" spans="1:15">
      <c r="A93" s="74">
        <v>43770</v>
      </c>
      <c r="B93" s="25">
        <f t="shared" si="5"/>
        <v>442477.88</v>
      </c>
      <c r="C93" s="75"/>
      <c r="D93" s="76" t="s">
        <v>36</v>
      </c>
      <c r="E93" s="77">
        <v>0.13</v>
      </c>
      <c r="F93" s="197">
        <f t="shared" si="6"/>
        <v>57522.12</v>
      </c>
      <c r="G93" s="198">
        <v>500000</v>
      </c>
      <c r="H93" s="36"/>
      <c r="I93" s="188"/>
      <c r="J93" s="63"/>
      <c r="K93" s="207" t="s">
        <v>92</v>
      </c>
      <c r="L93" s="82" t="s">
        <v>99</v>
      </c>
      <c r="M93" s="63" t="s">
        <v>100</v>
      </c>
      <c r="N93" s="63"/>
      <c r="O93" s="82"/>
    </row>
    <row r="94" s="3" customFormat="1" ht="18" customHeight="1" spans="1:15">
      <c r="A94" s="74"/>
      <c r="B94" s="25"/>
      <c r="C94" s="75"/>
      <c r="D94" s="76"/>
      <c r="E94" s="77"/>
      <c r="F94" s="25"/>
      <c r="G94" s="198"/>
      <c r="H94" s="36">
        <v>43819</v>
      </c>
      <c r="I94" s="188">
        <v>92448</v>
      </c>
      <c r="J94" s="63" t="s">
        <v>20</v>
      </c>
      <c r="K94" s="148" t="s">
        <v>53</v>
      </c>
      <c r="L94" s="67" t="s">
        <v>54</v>
      </c>
      <c r="M94" s="63"/>
      <c r="N94" s="63"/>
      <c r="O94" s="82"/>
    </row>
    <row r="95" s="3" customFormat="1" ht="18" customHeight="1" spans="1:15">
      <c r="A95" s="74"/>
      <c r="B95" s="25">
        <f t="shared" ref="B95:B103" si="7">ROUND(G95/(1+E95),2)</f>
        <v>0</v>
      </c>
      <c r="C95" s="75"/>
      <c r="D95" s="76"/>
      <c r="E95" s="77"/>
      <c r="F95" s="25">
        <f t="shared" ref="F95:F103" si="8">ROUND(G95/(1+E95)*E95,2)</f>
        <v>0</v>
      </c>
      <c r="G95" s="198"/>
      <c r="H95" s="36">
        <v>43829</v>
      </c>
      <c r="I95" s="188">
        <v>800000</v>
      </c>
      <c r="J95" s="63" t="s">
        <v>20</v>
      </c>
      <c r="K95" s="207" t="s">
        <v>80</v>
      </c>
      <c r="L95" s="82" t="s">
        <v>81</v>
      </c>
      <c r="M95" s="63"/>
      <c r="N95" s="63"/>
      <c r="O95" s="82"/>
    </row>
    <row r="96" s="3" customFormat="1" ht="18" customHeight="1" spans="1:15">
      <c r="A96" s="74">
        <v>43800</v>
      </c>
      <c r="B96" s="25">
        <f t="shared" si="7"/>
        <v>650987.86</v>
      </c>
      <c r="C96" s="75"/>
      <c r="D96" s="76" t="s">
        <v>36</v>
      </c>
      <c r="E96" s="77">
        <v>0.13</v>
      </c>
      <c r="F96" s="25">
        <f t="shared" si="8"/>
        <v>84628.42</v>
      </c>
      <c r="G96" s="198">
        <v>735616.28</v>
      </c>
      <c r="H96" s="36"/>
      <c r="I96" s="188"/>
      <c r="J96" s="63"/>
      <c r="K96" s="207" t="s">
        <v>80</v>
      </c>
      <c r="L96" s="82" t="s">
        <v>101</v>
      </c>
      <c r="M96" s="63" t="s">
        <v>100</v>
      </c>
      <c r="N96" s="63"/>
      <c r="O96" s="82"/>
    </row>
    <row r="97" s="3" customFormat="1" ht="18" customHeight="1" spans="1:15">
      <c r="A97" s="74">
        <v>43800</v>
      </c>
      <c r="B97" s="25">
        <f t="shared" si="7"/>
        <v>5825242.72</v>
      </c>
      <c r="C97" s="75"/>
      <c r="D97" s="50" t="s">
        <v>36</v>
      </c>
      <c r="E97" s="70">
        <v>0.03</v>
      </c>
      <c r="F97" s="25">
        <f t="shared" si="8"/>
        <v>174757.28</v>
      </c>
      <c r="G97" s="198">
        <f>1000000*6</f>
        <v>6000000</v>
      </c>
      <c r="H97" s="36">
        <v>43843</v>
      </c>
      <c r="I97" s="188">
        <v>1000000</v>
      </c>
      <c r="J97" s="63" t="s">
        <v>20</v>
      </c>
      <c r="K97" s="207" t="s">
        <v>53</v>
      </c>
      <c r="L97" s="82" t="s">
        <v>54</v>
      </c>
      <c r="M97" s="63" t="s">
        <v>100</v>
      </c>
      <c r="N97" s="63"/>
      <c r="O97" s="82" t="s">
        <v>102</v>
      </c>
    </row>
    <row r="98" s="3" customFormat="1" ht="18" customHeight="1" spans="1:15">
      <c r="A98" s="74">
        <v>43831</v>
      </c>
      <c r="B98" s="25">
        <f t="shared" si="7"/>
        <v>3623633.45</v>
      </c>
      <c r="C98" s="75"/>
      <c r="D98" s="50" t="s">
        <v>36</v>
      </c>
      <c r="E98" s="77">
        <v>0.09</v>
      </c>
      <c r="F98" s="25">
        <f t="shared" si="8"/>
        <v>326127.01</v>
      </c>
      <c r="G98" s="198">
        <f>1000000*3+949760.46</f>
        <v>3949760.46</v>
      </c>
      <c r="H98" s="36">
        <v>43844</v>
      </c>
      <c r="I98" s="188">
        <v>500000</v>
      </c>
      <c r="J98" s="63" t="s">
        <v>20</v>
      </c>
      <c r="K98" s="207" t="s">
        <v>103</v>
      </c>
      <c r="L98" s="82" t="s">
        <v>54</v>
      </c>
      <c r="M98" s="63" t="s">
        <v>100</v>
      </c>
      <c r="N98" s="63"/>
      <c r="O98" s="82"/>
    </row>
    <row r="99" s="3" customFormat="1" ht="18" customHeight="1" spans="1:15">
      <c r="A99" s="74"/>
      <c r="B99" s="25">
        <f t="shared" si="7"/>
        <v>0</v>
      </c>
      <c r="C99" s="75"/>
      <c r="D99" s="76"/>
      <c r="E99" s="77"/>
      <c r="F99" s="25">
        <f t="shared" si="8"/>
        <v>0</v>
      </c>
      <c r="G99" s="198"/>
      <c r="H99" s="36">
        <v>43845</v>
      </c>
      <c r="I99" s="188">
        <v>2000000</v>
      </c>
      <c r="J99" s="63" t="s">
        <v>20</v>
      </c>
      <c r="K99" s="207" t="s">
        <v>103</v>
      </c>
      <c r="L99" s="82" t="s">
        <v>54</v>
      </c>
      <c r="M99" s="63"/>
      <c r="N99" s="63"/>
      <c r="O99" s="82"/>
    </row>
    <row r="100" s="3" customFormat="1" ht="18" customHeight="1" spans="1:15">
      <c r="A100" s="74"/>
      <c r="B100" s="25">
        <f t="shared" si="7"/>
        <v>0</v>
      </c>
      <c r="C100" s="75"/>
      <c r="D100" s="76"/>
      <c r="E100" s="77"/>
      <c r="F100" s="25">
        <f t="shared" si="8"/>
        <v>0</v>
      </c>
      <c r="G100" s="198"/>
      <c r="H100" s="36">
        <v>43849</v>
      </c>
      <c r="I100" s="188">
        <v>1449760.46</v>
      </c>
      <c r="J100" s="63" t="s">
        <v>20</v>
      </c>
      <c r="K100" s="207" t="s">
        <v>103</v>
      </c>
      <c r="L100" s="82" t="s">
        <v>54</v>
      </c>
      <c r="M100" s="63"/>
      <c r="N100" s="63"/>
      <c r="O100" s="82"/>
    </row>
    <row r="101" s="3" customFormat="1" ht="18" customHeight="1" spans="1:15">
      <c r="A101" s="74">
        <v>43831</v>
      </c>
      <c r="B101" s="25">
        <f t="shared" si="7"/>
        <v>600000</v>
      </c>
      <c r="C101" s="75"/>
      <c r="D101" s="50" t="s">
        <v>73</v>
      </c>
      <c r="E101" s="77"/>
      <c r="F101" s="25">
        <f t="shared" si="8"/>
        <v>0</v>
      </c>
      <c r="G101" s="188">
        <v>600000</v>
      </c>
      <c r="H101" s="36">
        <v>43850</v>
      </c>
      <c r="I101" s="188">
        <v>600000</v>
      </c>
      <c r="J101" s="63" t="s">
        <v>21</v>
      </c>
      <c r="K101" s="207" t="s">
        <v>89</v>
      </c>
      <c r="L101" s="82" t="s">
        <v>104</v>
      </c>
      <c r="M101" s="63"/>
      <c r="N101" s="63"/>
      <c r="O101" s="82"/>
    </row>
    <row r="102" s="3" customFormat="1" ht="18" customHeight="1" spans="1:15">
      <c r="A102" s="74">
        <v>43831</v>
      </c>
      <c r="B102" s="25">
        <f t="shared" si="7"/>
        <v>600000</v>
      </c>
      <c r="C102" s="75"/>
      <c r="D102" s="50" t="s">
        <v>73</v>
      </c>
      <c r="E102" s="77"/>
      <c r="F102" s="25">
        <f t="shared" si="8"/>
        <v>0</v>
      </c>
      <c r="G102" s="188">
        <v>600000</v>
      </c>
      <c r="H102" s="36">
        <v>43850</v>
      </c>
      <c r="I102" s="188">
        <v>600000</v>
      </c>
      <c r="J102" s="63" t="s">
        <v>21</v>
      </c>
      <c r="K102" s="207" t="s">
        <v>87</v>
      </c>
      <c r="L102" s="82" t="s">
        <v>104</v>
      </c>
      <c r="M102" s="63"/>
      <c r="N102" s="63"/>
      <c r="O102" s="82"/>
    </row>
    <row r="103" s="3" customFormat="1" ht="18" customHeight="1" spans="1:15">
      <c r="A103" s="74">
        <v>43891</v>
      </c>
      <c r="B103" s="25">
        <f t="shared" si="7"/>
        <v>530100</v>
      </c>
      <c r="C103" s="75"/>
      <c r="D103" s="50" t="s">
        <v>73</v>
      </c>
      <c r="E103" s="77"/>
      <c r="F103" s="25">
        <f t="shared" si="8"/>
        <v>0</v>
      </c>
      <c r="G103" s="188">
        <v>530100</v>
      </c>
      <c r="H103" s="36">
        <v>43903</v>
      </c>
      <c r="I103" s="188">
        <v>530000</v>
      </c>
      <c r="J103" s="63" t="s">
        <v>21</v>
      </c>
      <c r="K103" s="207" t="s">
        <v>105</v>
      </c>
      <c r="L103" s="82" t="s">
        <v>77</v>
      </c>
      <c r="M103" s="63"/>
      <c r="N103" s="63"/>
      <c r="O103" s="82"/>
    </row>
    <row r="104" s="3" customFormat="1" ht="18" customHeight="1" spans="1:15">
      <c r="A104" s="74">
        <v>43952</v>
      </c>
      <c r="B104" s="25">
        <f>298648.6+188837.04+318653.29</f>
        <v>806138.93</v>
      </c>
      <c r="C104" s="75">
        <v>3</v>
      </c>
      <c r="D104" s="50" t="s">
        <v>36</v>
      </c>
      <c r="E104" s="77">
        <v>0.13</v>
      </c>
      <c r="F104" s="25">
        <f>38824.32+24548.82+41424.93</f>
        <v>104798.07</v>
      </c>
      <c r="G104" s="198">
        <f>337472.92+213385.86+360078.22</f>
        <v>910937</v>
      </c>
      <c r="H104" s="36">
        <v>43903</v>
      </c>
      <c r="I104" s="188">
        <v>200000</v>
      </c>
      <c r="J104" s="63" t="s">
        <v>20</v>
      </c>
      <c r="K104" s="207" t="s">
        <v>80</v>
      </c>
      <c r="L104" s="82" t="s">
        <v>169</v>
      </c>
      <c r="M104" s="63" t="s">
        <v>100</v>
      </c>
      <c r="N104" s="63" t="s">
        <v>100</v>
      </c>
      <c r="O104" s="82"/>
    </row>
    <row r="105" s="3" customFormat="1" ht="18" customHeight="1" spans="1:15">
      <c r="A105" s="74"/>
      <c r="B105" s="25">
        <f t="shared" ref="B105:B123" si="9">ROUND(G105/(1+E105),2)</f>
        <v>0</v>
      </c>
      <c r="C105" s="75"/>
      <c r="D105" s="50"/>
      <c r="E105" s="77"/>
      <c r="F105" s="25">
        <f t="shared" ref="F105:F128" si="10">ROUND(G105/(1+E105)*E105,2)</f>
        <v>0</v>
      </c>
      <c r="G105" s="198"/>
      <c r="H105" s="36">
        <v>43950</v>
      </c>
      <c r="I105" s="188">
        <v>400000</v>
      </c>
      <c r="J105" s="63" t="s">
        <v>20</v>
      </c>
      <c r="K105" s="207" t="s">
        <v>155</v>
      </c>
      <c r="L105" s="82" t="s">
        <v>81</v>
      </c>
      <c r="M105" s="63"/>
      <c r="N105"/>
      <c r="O105" s="82"/>
    </row>
    <row r="106" s="3" customFormat="1" ht="18" customHeight="1" spans="1:15">
      <c r="A106" s="74"/>
      <c r="B106" s="25">
        <f t="shared" si="9"/>
        <v>0</v>
      </c>
      <c r="C106" s="75"/>
      <c r="D106" s="50"/>
      <c r="E106" s="77"/>
      <c r="F106" s="25">
        <f t="shared" si="10"/>
        <v>0</v>
      </c>
      <c r="G106" s="198"/>
      <c r="H106" s="36">
        <v>43951</v>
      </c>
      <c r="I106" s="188">
        <v>970000</v>
      </c>
      <c r="J106" s="63" t="s">
        <v>21</v>
      </c>
      <c r="K106" s="207" t="s">
        <v>105</v>
      </c>
      <c r="L106" s="82"/>
      <c r="M106" s="63"/>
      <c r="N106" s="63"/>
      <c r="O106" s="82"/>
    </row>
    <row r="107" s="3" customFormat="1" ht="18" customHeight="1" spans="1:15">
      <c r="A107" s="74"/>
      <c r="B107" s="25">
        <f t="shared" si="9"/>
        <v>0</v>
      </c>
      <c r="C107" s="75"/>
      <c r="D107" s="50"/>
      <c r="E107" s="77"/>
      <c r="F107" s="25">
        <f t="shared" si="10"/>
        <v>0</v>
      </c>
      <c r="G107" s="198"/>
      <c r="H107" s="36">
        <v>43966</v>
      </c>
      <c r="I107" s="188">
        <v>150000</v>
      </c>
      <c r="J107" s="63" t="s">
        <v>20</v>
      </c>
      <c r="K107" s="207" t="s">
        <v>155</v>
      </c>
      <c r="L107" s="82" t="s">
        <v>81</v>
      </c>
      <c r="M107" s="63"/>
      <c r="N107" s="63"/>
      <c r="O107" s="82"/>
    </row>
    <row r="108" s="3" customFormat="1" ht="17.1" customHeight="1" spans="1:15">
      <c r="A108" s="74">
        <v>44013</v>
      </c>
      <c r="B108" s="25">
        <f t="shared" si="9"/>
        <v>2632.08</v>
      </c>
      <c r="C108" s="75">
        <v>1</v>
      </c>
      <c r="D108" s="50" t="s">
        <v>36</v>
      </c>
      <c r="E108" s="77">
        <v>0.06</v>
      </c>
      <c r="F108" s="25">
        <f t="shared" si="10"/>
        <v>157.92</v>
      </c>
      <c r="G108" s="198">
        <v>2790</v>
      </c>
      <c r="H108" s="36"/>
      <c r="I108" s="188"/>
      <c r="J108" s="63"/>
      <c r="K108" s="211" t="s">
        <v>156</v>
      </c>
      <c r="L108" s="212" t="s">
        <v>52</v>
      </c>
      <c r="M108" s="56" t="s">
        <v>171</v>
      </c>
      <c r="N108" s="63"/>
      <c r="O108" s="82"/>
    </row>
    <row r="109" s="3" customFormat="1" ht="17.1" customHeight="1" spans="1:15">
      <c r="A109" s="74"/>
      <c r="B109" s="25">
        <f t="shared" si="9"/>
        <v>0</v>
      </c>
      <c r="C109" s="75"/>
      <c r="D109" s="50"/>
      <c r="E109" s="77"/>
      <c r="F109" s="25">
        <f t="shared" si="10"/>
        <v>0</v>
      </c>
      <c r="G109" s="198"/>
      <c r="H109" s="36">
        <v>43993</v>
      </c>
      <c r="I109" s="188">
        <v>100000</v>
      </c>
      <c r="J109" s="63"/>
      <c r="K109" s="207" t="s">
        <v>155</v>
      </c>
      <c r="L109" s="82"/>
      <c r="M109" s="63"/>
      <c r="N109" s="63"/>
      <c r="O109" s="82"/>
    </row>
    <row r="110" s="3" customFormat="1" ht="17.1" customHeight="1" spans="1:15">
      <c r="A110" s="74"/>
      <c r="B110" s="25">
        <f t="shared" si="9"/>
        <v>0</v>
      </c>
      <c r="C110" s="75"/>
      <c r="D110" s="50"/>
      <c r="E110" s="77"/>
      <c r="F110" s="25">
        <f t="shared" si="10"/>
        <v>0</v>
      </c>
      <c r="G110" s="198"/>
      <c r="H110" s="36">
        <v>43994</v>
      </c>
      <c r="I110" s="188">
        <v>1000000</v>
      </c>
      <c r="J110" s="63"/>
      <c r="K110" s="213" t="s">
        <v>53</v>
      </c>
      <c r="L110" s="82" t="s">
        <v>54</v>
      </c>
      <c r="M110" s="63"/>
      <c r="N110" s="63"/>
      <c r="O110" s="82"/>
    </row>
    <row r="111" s="3" customFormat="1" ht="17.1" customHeight="1" spans="1:15">
      <c r="A111" s="74"/>
      <c r="B111" s="25">
        <f t="shared" si="9"/>
        <v>0</v>
      </c>
      <c r="C111" s="75"/>
      <c r="D111" s="50"/>
      <c r="E111" s="77"/>
      <c r="F111" s="25">
        <f t="shared" si="10"/>
        <v>0</v>
      </c>
      <c r="G111" s="198"/>
      <c r="H111" s="36">
        <v>44000</v>
      </c>
      <c r="I111" s="214">
        <v>500000</v>
      </c>
      <c r="J111" s="63" t="s">
        <v>20</v>
      </c>
      <c r="K111" s="171" t="s">
        <v>166</v>
      </c>
      <c r="L111" s="82"/>
      <c r="M111" s="63"/>
      <c r="N111" s="63"/>
      <c r="O111" s="82"/>
    </row>
    <row r="112" s="3" customFormat="1" ht="17.1" customHeight="1" spans="1:15">
      <c r="A112" s="74">
        <v>44013</v>
      </c>
      <c r="B112" s="25">
        <f t="shared" si="9"/>
        <v>600040</v>
      </c>
      <c r="C112" s="75"/>
      <c r="D112" s="50" t="s">
        <v>173</v>
      </c>
      <c r="E112" s="77"/>
      <c r="F112" s="25">
        <f t="shared" si="10"/>
        <v>0</v>
      </c>
      <c r="G112" s="198">
        <v>600040</v>
      </c>
      <c r="H112" s="36">
        <v>44000</v>
      </c>
      <c r="I112" s="214">
        <v>600040</v>
      </c>
      <c r="J112" s="63" t="s">
        <v>20</v>
      </c>
      <c r="K112" s="171" t="s">
        <v>74</v>
      </c>
      <c r="L112" s="82" t="s">
        <v>174</v>
      </c>
      <c r="M112" s="63"/>
      <c r="N112" s="63"/>
      <c r="O112" s="82" t="s">
        <v>175</v>
      </c>
    </row>
    <row r="113" s="3" customFormat="1" ht="17.1" customHeight="1" spans="1:15">
      <c r="A113" s="74">
        <v>44013</v>
      </c>
      <c r="B113" s="25">
        <f t="shared" si="9"/>
        <v>600120</v>
      </c>
      <c r="C113" s="75"/>
      <c r="D113" s="50" t="s">
        <v>173</v>
      </c>
      <c r="E113" s="77"/>
      <c r="F113" s="25">
        <f t="shared" si="10"/>
        <v>0</v>
      </c>
      <c r="G113" s="198">
        <v>600120</v>
      </c>
      <c r="H113" s="36">
        <v>44000</v>
      </c>
      <c r="I113" s="214">
        <v>600120</v>
      </c>
      <c r="J113" s="63" t="s">
        <v>20</v>
      </c>
      <c r="K113" s="171" t="s">
        <v>78</v>
      </c>
      <c r="L113" s="82" t="s">
        <v>176</v>
      </c>
      <c r="M113" s="63"/>
      <c r="N113" s="63"/>
      <c r="O113" s="82" t="s">
        <v>177</v>
      </c>
    </row>
    <row r="114" s="3" customFormat="1" ht="17.1" customHeight="1" spans="1:15">
      <c r="A114" s="74">
        <v>44013</v>
      </c>
      <c r="B114" s="25">
        <f t="shared" si="9"/>
        <v>300000</v>
      </c>
      <c r="C114" s="75"/>
      <c r="D114" s="50" t="s">
        <v>173</v>
      </c>
      <c r="E114" s="77"/>
      <c r="F114" s="25">
        <f t="shared" si="10"/>
        <v>0</v>
      </c>
      <c r="G114" s="198">
        <v>300000</v>
      </c>
      <c r="H114" s="36">
        <v>44000</v>
      </c>
      <c r="I114" s="214">
        <v>300000</v>
      </c>
      <c r="J114" s="63" t="s">
        <v>20</v>
      </c>
      <c r="K114" s="171" t="s">
        <v>89</v>
      </c>
      <c r="L114" s="82" t="s">
        <v>178</v>
      </c>
      <c r="M114" t="s">
        <v>100</v>
      </c>
      <c r="N114" s="63"/>
      <c r="O114" s="82" t="s">
        <v>179</v>
      </c>
    </row>
    <row r="115" s="3" customFormat="1" ht="17.1" customHeight="1" spans="1:15">
      <c r="A115" s="74">
        <v>44013</v>
      </c>
      <c r="B115" s="25">
        <f t="shared" si="9"/>
        <v>300000</v>
      </c>
      <c r="C115" s="75"/>
      <c r="D115" s="50" t="s">
        <v>173</v>
      </c>
      <c r="E115" s="77"/>
      <c r="F115" s="25">
        <f t="shared" si="10"/>
        <v>0</v>
      </c>
      <c r="G115" s="198">
        <v>300000</v>
      </c>
      <c r="H115" s="36">
        <v>44001</v>
      </c>
      <c r="I115" s="214">
        <v>300000</v>
      </c>
      <c r="J115" s="63" t="s">
        <v>20</v>
      </c>
      <c r="K115" s="171" t="s">
        <v>87</v>
      </c>
      <c r="L115" s="82" t="s">
        <v>178</v>
      </c>
      <c r="M115" t="s">
        <v>100</v>
      </c>
      <c r="N115" s="63"/>
      <c r="O115" s="82" t="s">
        <v>180</v>
      </c>
    </row>
    <row r="116" s="3" customFormat="1" ht="18" customHeight="1" spans="1:15">
      <c r="A116" s="74"/>
      <c r="B116" s="25">
        <f t="shared" si="9"/>
        <v>0</v>
      </c>
      <c r="C116" s="75"/>
      <c r="D116" s="50"/>
      <c r="E116" s="77"/>
      <c r="F116" s="25">
        <f t="shared" si="10"/>
        <v>0</v>
      </c>
      <c r="G116" s="198"/>
      <c r="H116" s="199">
        <v>44005</v>
      </c>
      <c r="I116" s="215">
        <v>170000</v>
      </c>
      <c r="J116" s="216" t="s">
        <v>20</v>
      </c>
      <c r="K116" s="217" t="s">
        <v>155</v>
      </c>
      <c r="L116" s="82"/>
      <c r="M116" s="63"/>
      <c r="N116" s="63"/>
      <c r="O116" s="82"/>
    </row>
    <row r="117" s="3" customFormat="1" ht="18" customHeight="1" spans="1:15">
      <c r="A117" s="74"/>
      <c r="B117" s="25">
        <f t="shared" si="9"/>
        <v>0</v>
      </c>
      <c r="C117" s="75"/>
      <c r="D117" s="50"/>
      <c r="E117" s="77"/>
      <c r="F117" s="25">
        <f t="shared" si="10"/>
        <v>0</v>
      </c>
      <c r="G117" s="198"/>
      <c r="H117" s="200">
        <v>44012</v>
      </c>
      <c r="I117" s="218">
        <v>1000000</v>
      </c>
      <c r="J117" s="219" t="s">
        <v>164</v>
      </c>
      <c r="K117" s="220" t="s">
        <v>80</v>
      </c>
      <c r="L117" s="221" t="s">
        <v>81</v>
      </c>
      <c r="M117" s="219" t="s">
        <v>76</v>
      </c>
      <c r="N117" s="63"/>
      <c r="O117" s="82"/>
    </row>
    <row r="118" s="3" customFormat="1" ht="18" customHeight="1" spans="1:15">
      <c r="A118" s="74"/>
      <c r="B118" s="25">
        <f t="shared" si="9"/>
        <v>0</v>
      </c>
      <c r="C118" s="75"/>
      <c r="D118" s="50"/>
      <c r="E118" s="77"/>
      <c r="F118" s="25">
        <f t="shared" si="10"/>
        <v>0</v>
      </c>
      <c r="G118" s="198"/>
      <c r="H118" s="200">
        <v>44019</v>
      </c>
      <c r="I118" s="218">
        <v>500000</v>
      </c>
      <c r="J118" s="219"/>
      <c r="K118" s="220" t="s">
        <v>80</v>
      </c>
      <c r="L118" s="208"/>
      <c r="M118" s="219" t="s">
        <v>76</v>
      </c>
      <c r="N118" s="63"/>
      <c r="O118" s="82"/>
    </row>
    <row r="119" s="3" customFormat="1" ht="18" customHeight="1" spans="1:15">
      <c r="A119" s="74">
        <v>44013</v>
      </c>
      <c r="B119" s="25">
        <f t="shared" si="9"/>
        <v>505080.8</v>
      </c>
      <c r="C119" s="75"/>
      <c r="D119" s="50" t="s">
        <v>173</v>
      </c>
      <c r="E119" s="77"/>
      <c r="F119" s="25">
        <f t="shared" si="10"/>
        <v>0</v>
      </c>
      <c r="G119" s="198">
        <v>505080.8</v>
      </c>
      <c r="H119" s="200">
        <v>44019</v>
      </c>
      <c r="I119" s="218">
        <v>500000</v>
      </c>
      <c r="J119" s="219" t="s">
        <v>20</v>
      </c>
      <c r="K119" s="222" t="s">
        <v>74</v>
      </c>
      <c r="L119" s="208" t="s">
        <v>181</v>
      </c>
      <c r="M119" s="219" t="s">
        <v>76</v>
      </c>
      <c r="N119" s="63"/>
      <c r="O119" s="82" t="s">
        <v>182</v>
      </c>
    </row>
    <row r="120" s="3" customFormat="1" ht="18" customHeight="1" spans="1:15">
      <c r="A120" s="74">
        <v>44013</v>
      </c>
      <c r="B120" s="25">
        <f t="shared" si="9"/>
        <v>970000</v>
      </c>
      <c r="C120" s="75"/>
      <c r="D120" s="50" t="s">
        <v>173</v>
      </c>
      <c r="E120" s="77"/>
      <c r="F120" s="25">
        <f t="shared" si="10"/>
        <v>0</v>
      </c>
      <c r="G120" s="198">
        <v>970000</v>
      </c>
      <c r="H120" s="200"/>
      <c r="I120" s="218"/>
      <c r="J120" s="219"/>
      <c r="K120" s="207" t="s">
        <v>105</v>
      </c>
      <c r="L120" s="82" t="s">
        <v>183</v>
      </c>
      <c r="M120" s="219"/>
      <c r="N120" s="63"/>
      <c r="O120" s="82" t="s">
        <v>184</v>
      </c>
    </row>
    <row r="121" s="3" customFormat="1" ht="18" customHeight="1" spans="1:15">
      <c r="A121" s="74">
        <v>44013</v>
      </c>
      <c r="B121" s="25">
        <f t="shared" si="9"/>
        <v>458715.6</v>
      </c>
      <c r="C121" s="75"/>
      <c r="D121" s="50" t="s">
        <v>36</v>
      </c>
      <c r="E121" s="77">
        <v>0.09</v>
      </c>
      <c r="F121" s="25">
        <f t="shared" si="10"/>
        <v>41284.4</v>
      </c>
      <c r="G121" s="198">
        <v>500000</v>
      </c>
      <c r="H121" s="200"/>
      <c r="I121" s="218"/>
      <c r="J121" s="219"/>
      <c r="K121" s="171" t="s">
        <v>166</v>
      </c>
      <c r="L121" s="82" t="s">
        <v>185</v>
      </c>
      <c r="M121" t="s">
        <v>100</v>
      </c>
      <c r="N121" s="63"/>
      <c r="O121" s="82"/>
    </row>
    <row r="122" s="3" customFormat="1" ht="18" customHeight="1" spans="1:15">
      <c r="A122" s="74">
        <v>44044</v>
      </c>
      <c r="B122" s="25">
        <f t="shared" si="9"/>
        <v>1039119.43</v>
      </c>
      <c r="C122" s="75"/>
      <c r="D122" s="50" t="s">
        <v>36</v>
      </c>
      <c r="E122" s="77">
        <v>0.13</v>
      </c>
      <c r="F122" s="25">
        <f t="shared" si="10"/>
        <v>135085.53</v>
      </c>
      <c r="G122" s="198">
        <f>304573.99+869630.97</f>
        <v>1174204.96</v>
      </c>
      <c r="H122" s="200"/>
      <c r="I122" s="218"/>
      <c r="J122" s="219"/>
      <c r="K122" s="171" t="s">
        <v>80</v>
      </c>
      <c r="L122" s="82" t="s">
        <v>186</v>
      </c>
      <c r="M122" t="s">
        <v>100</v>
      </c>
      <c r="N122" s="63" t="s">
        <v>100</v>
      </c>
      <c r="O122" s="82"/>
    </row>
    <row r="123" s="3" customFormat="1" ht="18" customHeight="1" spans="1:15">
      <c r="A123" s="74">
        <v>44044</v>
      </c>
      <c r="B123" s="25">
        <f t="shared" si="9"/>
        <v>875700</v>
      </c>
      <c r="C123" s="75"/>
      <c r="D123" s="50" t="s">
        <v>173</v>
      </c>
      <c r="E123" s="77"/>
      <c r="F123" s="25">
        <f t="shared" si="10"/>
        <v>0</v>
      </c>
      <c r="G123" s="198">
        <v>875700</v>
      </c>
      <c r="H123" s="199">
        <v>44068</v>
      </c>
      <c r="I123" s="226">
        <v>875700</v>
      </c>
      <c r="J123" s="227" t="s">
        <v>21</v>
      </c>
      <c r="K123" s="228" t="s">
        <v>78</v>
      </c>
      <c r="L123" s="82" t="s">
        <v>188</v>
      </c>
      <c r="M123"/>
      <c r="N123" s="63" t="s">
        <v>100</v>
      </c>
      <c r="O123" s="82"/>
    </row>
    <row r="124" s="3" customFormat="1" ht="18" customHeight="1" spans="1:15">
      <c r="A124" s="74">
        <v>44044</v>
      </c>
      <c r="B124" s="25">
        <f t="shared" ref="B124:B130" si="11">ROUND(G124/(1+E124),2)</f>
        <v>194850</v>
      </c>
      <c r="C124" s="75"/>
      <c r="D124" s="50" t="s">
        <v>173</v>
      </c>
      <c r="E124" s="77"/>
      <c r="F124" s="25">
        <f t="shared" si="10"/>
        <v>0</v>
      </c>
      <c r="G124" s="198">
        <v>194850</v>
      </c>
      <c r="H124" s="200"/>
      <c r="I124" s="226">
        <v>194850</v>
      </c>
      <c r="J124" s="201"/>
      <c r="K124" s="260" t="s">
        <v>74</v>
      </c>
      <c r="L124" s="208" t="s">
        <v>189</v>
      </c>
      <c r="M124"/>
      <c r="N124" s="63" t="s">
        <v>100</v>
      </c>
      <c r="O124" s="82"/>
    </row>
    <row r="125" s="3" customFormat="1" ht="18" customHeight="1" spans="1:15">
      <c r="A125" s="74"/>
      <c r="B125" s="25">
        <f t="shared" si="11"/>
        <v>0</v>
      </c>
      <c r="C125" s="75"/>
      <c r="D125" s="50"/>
      <c r="E125" s="77"/>
      <c r="F125" s="25">
        <f t="shared" si="10"/>
        <v>0</v>
      </c>
      <c r="G125" s="198"/>
      <c r="H125" s="199">
        <v>44069</v>
      </c>
      <c r="I125" s="226">
        <v>500000</v>
      </c>
      <c r="J125" s="227" t="s">
        <v>20</v>
      </c>
      <c r="K125" s="228" t="s">
        <v>53</v>
      </c>
      <c r="L125" s="208"/>
      <c r="M125"/>
      <c r="N125" s="63"/>
      <c r="O125" s="82"/>
    </row>
    <row r="126" s="3" customFormat="1" ht="18" customHeight="1" spans="1:15">
      <c r="A126" s="74"/>
      <c r="B126" s="25">
        <f t="shared" si="11"/>
        <v>0</v>
      </c>
      <c r="C126" s="75"/>
      <c r="D126" s="50"/>
      <c r="E126" s="77"/>
      <c r="F126" s="25">
        <f t="shared" si="10"/>
        <v>0</v>
      </c>
      <c r="G126" s="198"/>
      <c r="H126" s="199">
        <v>44068</v>
      </c>
      <c r="I126" s="226">
        <v>28242</v>
      </c>
      <c r="J126" s="227" t="s">
        <v>20</v>
      </c>
      <c r="K126" s="228" t="s">
        <v>65</v>
      </c>
      <c r="L126" s="208"/>
      <c r="M126"/>
      <c r="N126" s="63"/>
      <c r="O126" s="82"/>
    </row>
    <row r="127" s="3" customFormat="1" ht="18" customHeight="1" spans="1:15">
      <c r="A127" s="74"/>
      <c r="B127" s="25">
        <f t="shared" si="11"/>
        <v>0</v>
      </c>
      <c r="C127" s="75"/>
      <c r="D127" s="50"/>
      <c r="E127" s="77"/>
      <c r="F127" s="25">
        <f t="shared" si="10"/>
        <v>0</v>
      </c>
      <c r="G127" s="198"/>
      <c r="H127" s="200"/>
      <c r="I127" s="218"/>
      <c r="J127" s="219"/>
      <c r="K127" s="171"/>
      <c r="L127" s="208"/>
      <c r="M127"/>
      <c r="N127" s="63"/>
      <c r="O127" s="82"/>
    </row>
    <row r="128" s="3" customFormat="1" ht="18" customHeight="1" spans="1:15">
      <c r="A128" s="74"/>
      <c r="B128" s="25">
        <f t="shared" si="11"/>
        <v>0</v>
      </c>
      <c r="C128" s="75"/>
      <c r="D128" s="50"/>
      <c r="E128" s="77"/>
      <c r="F128" s="25">
        <f t="shared" si="10"/>
        <v>0</v>
      </c>
      <c r="G128" s="198"/>
      <c r="H128" s="200"/>
      <c r="I128" s="218"/>
      <c r="J128" s="219"/>
      <c r="K128" s="171"/>
      <c r="L128" s="208"/>
      <c r="M128"/>
      <c r="N128" s="63"/>
      <c r="O128" s="82"/>
    </row>
    <row r="129" s="3" customFormat="1" ht="18" customHeight="1" spans="1:15">
      <c r="A129" s="74"/>
      <c r="B129" s="25">
        <f t="shared" si="11"/>
        <v>0</v>
      </c>
      <c r="C129" s="75"/>
      <c r="D129" s="50"/>
      <c r="E129" s="77"/>
      <c r="F129" s="25">
        <f t="shared" ref="F129:F135" si="12">ROUND(G129/(1+E129)*E129,2)</f>
        <v>0</v>
      </c>
      <c r="G129" s="198"/>
      <c r="H129" s="200"/>
      <c r="I129" s="218"/>
      <c r="J129" s="219"/>
      <c r="K129" s="171"/>
      <c r="L129" s="208"/>
      <c r="M129"/>
      <c r="N129" s="63"/>
      <c r="O129" s="82"/>
    </row>
    <row r="130" s="3" customFormat="1" ht="18" customHeight="1" spans="1:15">
      <c r="A130" s="74"/>
      <c r="B130" s="25">
        <f t="shared" si="11"/>
        <v>0</v>
      </c>
      <c r="C130" s="75"/>
      <c r="D130" s="50"/>
      <c r="E130" s="77"/>
      <c r="F130" s="25">
        <f t="shared" si="12"/>
        <v>0</v>
      </c>
      <c r="G130" s="198"/>
      <c r="H130" s="195">
        <v>44060</v>
      </c>
      <c r="I130" s="226">
        <v>350</v>
      </c>
      <c r="J130" s="176" t="s">
        <v>106</v>
      </c>
      <c r="K130" s="260" t="s">
        <v>110</v>
      </c>
      <c r="L130" s="208"/>
      <c r="M130"/>
      <c r="N130" s="63"/>
      <c r="O130" s="82"/>
    </row>
    <row r="131" s="3" customFormat="1" ht="18" customHeight="1" spans="1:15">
      <c r="A131" s="74"/>
      <c r="B131" s="25">
        <f t="shared" ref="B131:B135" si="13">ROUND(G131/(1+E131),2)</f>
        <v>0</v>
      </c>
      <c r="C131" s="75"/>
      <c r="D131" s="50"/>
      <c r="E131" s="77"/>
      <c r="F131" s="25">
        <f t="shared" si="12"/>
        <v>0</v>
      </c>
      <c r="G131" s="198"/>
      <c r="H131" s="195">
        <v>44060</v>
      </c>
      <c r="I131" s="226">
        <v>5480</v>
      </c>
      <c r="J131" s="176" t="s">
        <v>106</v>
      </c>
      <c r="K131" s="261" t="s">
        <v>190</v>
      </c>
      <c r="L131" s="208"/>
      <c r="M131"/>
      <c r="N131" s="63"/>
      <c r="O131" s="82"/>
    </row>
    <row r="132" s="3" customFormat="1" ht="18" customHeight="1" spans="1:15">
      <c r="A132" s="74"/>
      <c r="B132" s="25">
        <f t="shared" si="13"/>
        <v>0</v>
      </c>
      <c r="C132" s="75"/>
      <c r="D132" s="50"/>
      <c r="E132" s="77"/>
      <c r="F132" s="25">
        <f t="shared" si="12"/>
        <v>0</v>
      </c>
      <c r="G132" s="198"/>
      <c r="H132" s="195">
        <v>44060</v>
      </c>
      <c r="I132" s="226">
        <v>34400</v>
      </c>
      <c r="J132" s="176" t="s">
        <v>106</v>
      </c>
      <c r="K132" s="205" t="s">
        <v>191</v>
      </c>
      <c r="L132" s="208"/>
      <c r="M132"/>
      <c r="N132" s="63"/>
      <c r="O132" s="82"/>
    </row>
    <row r="133" s="3" customFormat="1" ht="18" customHeight="1" spans="1:15">
      <c r="A133" s="74"/>
      <c r="B133" s="25">
        <f t="shared" si="13"/>
        <v>0</v>
      </c>
      <c r="C133" s="75"/>
      <c r="D133" s="50"/>
      <c r="E133" s="77"/>
      <c r="F133" s="25">
        <f t="shared" si="12"/>
        <v>0</v>
      </c>
      <c r="G133" s="198"/>
      <c r="H133" s="195">
        <v>44060</v>
      </c>
      <c r="I133" s="226">
        <v>947</v>
      </c>
      <c r="J133" s="227" t="s">
        <v>106</v>
      </c>
      <c r="K133" s="205" t="s">
        <v>123</v>
      </c>
      <c r="L133" s="208"/>
      <c r="M133"/>
      <c r="N133" s="63"/>
      <c r="O133" s="82"/>
    </row>
    <row r="134" s="3" customFormat="1" ht="18" customHeight="1" spans="1:15">
      <c r="A134" s="74"/>
      <c r="B134" s="25">
        <f t="shared" si="13"/>
        <v>1720</v>
      </c>
      <c r="C134" s="75"/>
      <c r="D134" s="50"/>
      <c r="E134" s="77"/>
      <c r="F134" s="25">
        <f t="shared" si="12"/>
        <v>0</v>
      </c>
      <c r="G134" s="198">
        <f>I134</f>
        <v>1720</v>
      </c>
      <c r="H134" s="195">
        <v>44060</v>
      </c>
      <c r="I134" s="262">
        <v>1720</v>
      </c>
      <c r="J134" s="227" t="s">
        <v>106</v>
      </c>
      <c r="K134" s="260" t="s">
        <v>135</v>
      </c>
      <c r="L134" s="82"/>
      <c r="M134" s="63"/>
      <c r="N134" s="63"/>
      <c r="O134" s="82"/>
    </row>
    <row r="135" s="3" customFormat="1" ht="18" customHeight="1" spans="1:15">
      <c r="A135" s="74"/>
      <c r="B135" s="25">
        <f t="shared" si="13"/>
        <v>6880</v>
      </c>
      <c r="C135" s="75"/>
      <c r="D135" s="50"/>
      <c r="E135" s="77"/>
      <c r="F135" s="25">
        <f t="shared" si="12"/>
        <v>0</v>
      </c>
      <c r="G135" s="198">
        <f>I135</f>
        <v>6880</v>
      </c>
      <c r="H135" s="195">
        <v>44060</v>
      </c>
      <c r="I135" s="262">
        <v>6880</v>
      </c>
      <c r="J135" s="227" t="s">
        <v>106</v>
      </c>
      <c r="K135" s="260" t="s">
        <v>135</v>
      </c>
      <c r="L135" s="82"/>
      <c r="M135" s="63"/>
      <c r="N135" s="63"/>
      <c r="O135" s="82"/>
    </row>
    <row r="136" s="3" customFormat="1" ht="18" customHeight="1" spans="1:15">
      <c r="A136" s="74"/>
      <c r="B136" s="25">
        <f t="shared" ref="B136:B175" si="14">ROUND(G136/(1+E136),2)</f>
        <v>0</v>
      </c>
      <c r="C136" s="75"/>
      <c r="D136" s="50"/>
      <c r="E136" s="77"/>
      <c r="F136" s="25">
        <f t="shared" ref="F136:F175" si="15">ROUND(G136/(1+E136)*E136,2)</f>
        <v>0</v>
      </c>
      <c r="G136" s="198"/>
      <c r="H136" s="199">
        <v>44019</v>
      </c>
      <c r="I136" s="215">
        <v>200</v>
      </c>
      <c r="J136" s="230" t="s">
        <v>106</v>
      </c>
      <c r="K136" s="225" t="s">
        <v>110</v>
      </c>
      <c r="L136" s="82"/>
      <c r="M136" s="63"/>
      <c r="N136" s="63"/>
      <c r="O136" s="82"/>
    </row>
    <row r="137" s="3" customFormat="1" ht="18" customHeight="1" spans="1:15">
      <c r="A137" s="74"/>
      <c r="B137" s="25">
        <f t="shared" si="14"/>
        <v>0</v>
      </c>
      <c r="C137" s="75"/>
      <c r="D137" s="50"/>
      <c r="E137" s="77"/>
      <c r="F137" s="25">
        <f t="shared" si="15"/>
        <v>0</v>
      </c>
      <c r="G137" s="198"/>
      <c r="H137" s="200">
        <v>44012</v>
      </c>
      <c r="I137" s="218">
        <v>-2000000</v>
      </c>
      <c r="J137" s="219"/>
      <c r="K137" s="221" t="s">
        <v>162</v>
      </c>
      <c r="L137" s="82"/>
      <c r="M137" s="63"/>
      <c r="N137" s="63"/>
      <c r="O137" s="82"/>
    </row>
    <row r="138" s="3" customFormat="1" ht="18" customHeight="1" spans="1:15">
      <c r="A138" s="74"/>
      <c r="B138" s="25">
        <f t="shared" si="14"/>
        <v>0</v>
      </c>
      <c r="C138" s="75"/>
      <c r="D138" s="50"/>
      <c r="E138" s="77"/>
      <c r="F138" s="25">
        <f t="shared" si="15"/>
        <v>0</v>
      </c>
      <c r="G138" s="198"/>
      <c r="H138" s="199">
        <v>44012</v>
      </c>
      <c r="I138" s="233">
        <v>100</v>
      </c>
      <c r="J138" s="216" t="s">
        <v>106</v>
      </c>
      <c r="K138" s="234" t="s">
        <v>110</v>
      </c>
      <c r="L138" s="82"/>
      <c r="M138" s="63"/>
      <c r="N138" s="63"/>
      <c r="O138" s="82"/>
    </row>
    <row r="139" s="3" customFormat="1" ht="17.1" customHeight="1" spans="1:15">
      <c r="A139" s="74"/>
      <c r="B139" s="25">
        <f t="shared" si="14"/>
        <v>0</v>
      </c>
      <c r="C139" s="75"/>
      <c r="D139" s="50"/>
      <c r="E139" s="77"/>
      <c r="F139" s="25">
        <f t="shared" si="15"/>
        <v>0</v>
      </c>
      <c r="G139" s="198"/>
      <c r="H139" s="199">
        <v>44005</v>
      </c>
      <c r="I139" s="233">
        <v>100</v>
      </c>
      <c r="J139" s="216" t="s">
        <v>106</v>
      </c>
      <c r="K139" s="234" t="s">
        <v>110</v>
      </c>
      <c r="L139" s="82"/>
      <c r="M139" s="63"/>
      <c r="N139" s="63"/>
      <c r="O139" s="82"/>
    </row>
    <row r="140" s="3" customFormat="1" ht="17.1" customHeight="1" spans="1:15">
      <c r="A140" s="74"/>
      <c r="B140" s="25">
        <f t="shared" si="14"/>
        <v>0</v>
      </c>
      <c r="C140" s="75"/>
      <c r="D140" s="50"/>
      <c r="E140" s="77"/>
      <c r="F140" s="25">
        <f t="shared" si="15"/>
        <v>0</v>
      </c>
      <c r="G140" s="198"/>
      <c r="H140" s="36">
        <v>44001</v>
      </c>
      <c r="I140" s="82">
        <v>100</v>
      </c>
      <c r="J140" s="63" t="s">
        <v>106</v>
      </c>
      <c r="K140" s="82" t="s">
        <v>110</v>
      </c>
      <c r="L140" s="82"/>
      <c r="M140" s="63"/>
      <c r="N140" s="63"/>
      <c r="O140" s="82"/>
    </row>
    <row r="141" s="3" customFormat="1" ht="17.1" customHeight="1" spans="1:15">
      <c r="A141" s="74"/>
      <c r="B141" s="25">
        <f t="shared" si="14"/>
        <v>0</v>
      </c>
      <c r="C141" s="75"/>
      <c r="D141" s="50"/>
      <c r="E141" s="77"/>
      <c r="F141" s="25">
        <f t="shared" si="15"/>
        <v>0</v>
      </c>
      <c r="G141" s="198"/>
      <c r="H141" s="36">
        <v>44000</v>
      </c>
      <c r="I141" s="82">
        <v>100</v>
      </c>
      <c r="J141" s="63" t="s">
        <v>106</v>
      </c>
      <c r="K141" s="82" t="s">
        <v>110</v>
      </c>
      <c r="L141" s="82"/>
      <c r="M141" s="63"/>
      <c r="N141" s="63"/>
      <c r="O141" s="82"/>
    </row>
    <row r="142" s="3" customFormat="1" ht="17.1" customHeight="1" spans="1:15">
      <c r="A142" s="74"/>
      <c r="B142" s="25">
        <f t="shared" si="14"/>
        <v>0</v>
      </c>
      <c r="C142" s="75"/>
      <c r="D142" s="50"/>
      <c r="E142" s="77"/>
      <c r="F142" s="25">
        <f t="shared" si="15"/>
        <v>0</v>
      </c>
      <c r="G142" s="198"/>
      <c r="H142" s="36">
        <v>44000</v>
      </c>
      <c r="I142" s="82">
        <v>300</v>
      </c>
      <c r="J142" s="65" t="s">
        <v>106</v>
      </c>
      <c r="K142" s="207" t="s">
        <v>110</v>
      </c>
      <c r="L142" s="82"/>
      <c r="M142" s="63"/>
      <c r="N142" s="63"/>
      <c r="O142" s="82"/>
    </row>
    <row r="143" s="3" customFormat="1" ht="17.1" customHeight="1" spans="1:15">
      <c r="A143" s="74"/>
      <c r="B143" s="25">
        <f t="shared" si="14"/>
        <v>0</v>
      </c>
      <c r="C143" s="75"/>
      <c r="D143" s="50"/>
      <c r="E143" s="77"/>
      <c r="F143" s="25">
        <f t="shared" si="15"/>
        <v>0</v>
      </c>
      <c r="G143" s="198"/>
      <c r="H143" s="36">
        <v>43994</v>
      </c>
      <c r="I143" s="235">
        <v>100</v>
      </c>
      <c r="J143" s="65" t="s">
        <v>106</v>
      </c>
      <c r="K143" s="207" t="s">
        <v>110</v>
      </c>
      <c r="L143" s="82"/>
      <c r="M143" s="63"/>
      <c r="N143" s="63"/>
      <c r="O143" s="82"/>
    </row>
    <row r="144" s="3" customFormat="1" ht="18" customHeight="1" spans="1:15">
      <c r="A144" s="74"/>
      <c r="B144" s="25">
        <f t="shared" si="14"/>
        <v>0</v>
      </c>
      <c r="C144" s="75"/>
      <c r="D144" s="50"/>
      <c r="E144" s="77"/>
      <c r="F144" s="25">
        <f t="shared" si="15"/>
        <v>0</v>
      </c>
      <c r="G144" s="198"/>
      <c r="H144" s="36">
        <v>43994</v>
      </c>
      <c r="I144" s="236">
        <v>72400</v>
      </c>
      <c r="J144" s="65" t="s">
        <v>106</v>
      </c>
      <c r="K144" s="207" t="s">
        <v>121</v>
      </c>
      <c r="L144" s="82"/>
      <c r="M144" s="63"/>
      <c r="N144" s="63"/>
      <c r="O144" s="82"/>
    </row>
    <row r="145" s="3" customFormat="1" ht="18" customHeight="1" spans="1:15">
      <c r="A145" s="74"/>
      <c r="B145" s="25">
        <f t="shared" si="14"/>
        <v>0</v>
      </c>
      <c r="C145" s="75"/>
      <c r="D145" s="50"/>
      <c r="E145" s="77"/>
      <c r="F145" s="25">
        <f t="shared" si="15"/>
        <v>0</v>
      </c>
      <c r="G145" s="198"/>
      <c r="H145" s="36">
        <v>43994</v>
      </c>
      <c r="I145" s="188">
        <v>1992.66055045872</v>
      </c>
      <c r="J145" s="65" t="s">
        <v>106</v>
      </c>
      <c r="K145" s="207" t="s">
        <v>123</v>
      </c>
      <c r="L145" s="82"/>
      <c r="M145" s="63"/>
      <c r="N145" s="63"/>
      <c r="O145" s="82"/>
    </row>
    <row r="146" s="3" customFormat="1" ht="18" customHeight="1" spans="1:15">
      <c r="A146" s="74"/>
      <c r="B146" s="25">
        <f t="shared" si="14"/>
        <v>0</v>
      </c>
      <c r="C146" s="75"/>
      <c r="D146" s="50"/>
      <c r="E146" s="77"/>
      <c r="F146" s="25">
        <f t="shared" si="15"/>
        <v>0</v>
      </c>
      <c r="G146" s="198"/>
      <c r="H146" s="36">
        <v>43994</v>
      </c>
      <c r="I146" s="188">
        <v>18100</v>
      </c>
      <c r="J146" s="65" t="s">
        <v>106</v>
      </c>
      <c r="K146" s="207" t="s">
        <v>157</v>
      </c>
      <c r="L146" s="82"/>
      <c r="M146" s="63"/>
      <c r="N146" s="63"/>
      <c r="O146" s="82"/>
    </row>
    <row r="147" s="3" customFormat="1" ht="18" customHeight="1" spans="1:15">
      <c r="A147" s="74"/>
      <c r="B147" s="25">
        <f t="shared" si="14"/>
        <v>0</v>
      </c>
      <c r="C147" s="75"/>
      <c r="D147" s="50"/>
      <c r="E147" s="77"/>
      <c r="F147" s="25">
        <f t="shared" si="15"/>
        <v>0</v>
      </c>
      <c r="G147" s="198"/>
      <c r="H147" s="36">
        <v>43993</v>
      </c>
      <c r="I147" s="188">
        <v>100</v>
      </c>
      <c r="J147" s="65" t="s">
        <v>106</v>
      </c>
      <c r="K147" s="207" t="s">
        <v>110</v>
      </c>
      <c r="L147" s="82"/>
      <c r="M147" s="63"/>
      <c r="N147" s="63"/>
      <c r="O147" s="82"/>
    </row>
    <row r="148" s="3" customFormat="1" ht="18" customHeight="1" spans="1:15">
      <c r="A148" s="74"/>
      <c r="B148" s="25">
        <f t="shared" si="14"/>
        <v>0</v>
      </c>
      <c r="C148" s="75"/>
      <c r="D148" s="50"/>
      <c r="E148" s="77"/>
      <c r="F148" s="25">
        <f t="shared" si="15"/>
        <v>0</v>
      </c>
      <c r="G148" s="198"/>
      <c r="H148" s="36">
        <v>43966</v>
      </c>
      <c r="I148" s="188">
        <v>100</v>
      </c>
      <c r="J148" s="65" t="s">
        <v>106</v>
      </c>
      <c r="K148" s="207" t="s">
        <v>110</v>
      </c>
      <c r="L148" s="82"/>
      <c r="M148" s="63"/>
      <c r="N148" s="63"/>
      <c r="O148" s="82"/>
    </row>
    <row r="149" s="3" customFormat="1" ht="18" customHeight="1" spans="1:15">
      <c r="A149" s="74"/>
      <c r="B149" s="25">
        <f t="shared" si="14"/>
        <v>0</v>
      </c>
      <c r="C149" s="75"/>
      <c r="D149" s="50"/>
      <c r="E149" s="77"/>
      <c r="F149" s="25">
        <f t="shared" si="15"/>
        <v>0</v>
      </c>
      <c r="G149" s="198"/>
      <c r="H149" s="76">
        <v>10.2</v>
      </c>
      <c r="I149" s="188">
        <v>100</v>
      </c>
      <c r="J149" s="65" t="s">
        <v>106</v>
      </c>
      <c r="K149" s="207" t="s">
        <v>110</v>
      </c>
      <c r="L149" s="82"/>
      <c r="M149" s="63"/>
      <c r="N149" s="63"/>
      <c r="O149" s="82"/>
    </row>
    <row r="150" s="3" customFormat="1" ht="18" customHeight="1" spans="1:15">
      <c r="A150" s="74"/>
      <c r="B150" s="25">
        <f t="shared" si="14"/>
        <v>0</v>
      </c>
      <c r="C150" s="75"/>
      <c r="D150" s="50"/>
      <c r="E150" s="77"/>
      <c r="F150" s="25">
        <f t="shared" si="15"/>
        <v>0</v>
      </c>
      <c r="G150" s="198"/>
      <c r="H150" s="76">
        <v>10.1</v>
      </c>
      <c r="I150" s="188">
        <v>100</v>
      </c>
      <c r="J150" s="65" t="s">
        <v>106</v>
      </c>
      <c r="K150" s="207" t="s">
        <v>110</v>
      </c>
      <c r="L150" s="82"/>
      <c r="M150" s="63"/>
      <c r="N150" s="63"/>
      <c r="O150" s="82"/>
    </row>
    <row r="151" s="3" customFormat="1" ht="18" customHeight="1" spans="1:15">
      <c r="A151" s="74"/>
      <c r="B151" s="25">
        <f t="shared" si="14"/>
        <v>0</v>
      </c>
      <c r="C151" s="75"/>
      <c r="D151" s="50"/>
      <c r="E151" s="77"/>
      <c r="F151" s="25">
        <f t="shared" si="15"/>
        <v>0</v>
      </c>
      <c r="G151" s="198"/>
      <c r="H151" s="76">
        <v>10.1</v>
      </c>
      <c r="I151" s="188">
        <f>B12*0.0006</f>
        <v>853.211009174312</v>
      </c>
      <c r="J151" s="65" t="s">
        <v>106</v>
      </c>
      <c r="K151" s="207" t="s">
        <v>107</v>
      </c>
      <c r="L151" s="82">
        <f>I151+I152+I155+I160+I163+I164+I165+I166+I173+I174+I180+I182+I183</f>
        <v>916149.577981651</v>
      </c>
      <c r="M151" s="63"/>
      <c r="N151" s="63"/>
      <c r="O151" s="82"/>
    </row>
    <row r="152" s="3" customFormat="1" ht="18" customHeight="1" spans="1:15">
      <c r="A152" s="74"/>
      <c r="B152" s="25">
        <f t="shared" si="14"/>
        <v>0</v>
      </c>
      <c r="C152" s="75"/>
      <c r="D152" s="50"/>
      <c r="E152" s="77"/>
      <c r="F152" s="25">
        <f t="shared" si="15"/>
        <v>0</v>
      </c>
      <c r="G152" s="198"/>
      <c r="H152" s="76">
        <v>10.1</v>
      </c>
      <c r="I152" s="188">
        <f>B12*0.02</f>
        <v>28440.3669724771</v>
      </c>
      <c r="J152" s="65" t="s">
        <v>106</v>
      </c>
      <c r="K152" s="207" t="s">
        <v>108</v>
      </c>
      <c r="L152" s="82"/>
      <c r="M152" s="63"/>
      <c r="N152" s="63"/>
      <c r="O152" s="82"/>
    </row>
    <row r="153" s="3" customFormat="1" ht="18" customHeight="1" spans="1:15">
      <c r="A153" s="74"/>
      <c r="B153" s="25">
        <f t="shared" si="14"/>
        <v>0</v>
      </c>
      <c r="C153" s="75"/>
      <c r="D153" s="50"/>
      <c r="E153" s="77"/>
      <c r="F153" s="25">
        <f t="shared" si="15"/>
        <v>0</v>
      </c>
      <c r="G153" s="198"/>
      <c r="H153" s="76">
        <v>10.1</v>
      </c>
      <c r="I153" s="188">
        <f>G12*0.005</f>
        <v>7750</v>
      </c>
      <c r="J153" s="65" t="s">
        <v>106</v>
      </c>
      <c r="K153" s="207" t="s">
        <v>157</v>
      </c>
      <c r="L153" s="82">
        <f>I153+I185</f>
        <v>140600</v>
      </c>
      <c r="M153" s="63"/>
      <c r="N153" s="63"/>
      <c r="O153" s="82"/>
    </row>
    <row r="154" s="3" customFormat="1" ht="18" customHeight="1" spans="1:15">
      <c r="A154" s="74"/>
      <c r="B154" s="25">
        <f t="shared" si="14"/>
        <v>0</v>
      </c>
      <c r="C154" s="75"/>
      <c r="D154" s="50"/>
      <c r="E154" s="77"/>
      <c r="F154" s="25">
        <f t="shared" si="15"/>
        <v>0</v>
      </c>
      <c r="G154" s="198"/>
      <c r="H154" s="36" t="s">
        <v>109</v>
      </c>
      <c r="I154" s="188">
        <v>200</v>
      </c>
      <c r="J154" s="65" t="s">
        <v>106</v>
      </c>
      <c r="K154" s="207" t="s">
        <v>110</v>
      </c>
      <c r="L154" s="82">
        <f>I154+I156+I157+I158+I159+I161+I168+I171+I175+I184+I150</f>
        <v>245132.79</v>
      </c>
      <c r="M154" s="63"/>
      <c r="N154" s="63"/>
      <c r="O154" s="82"/>
    </row>
    <row r="155" s="3" customFormat="1" ht="18" customHeight="1" spans="1:15">
      <c r="A155" s="74"/>
      <c r="B155" s="25">
        <f t="shared" si="14"/>
        <v>0</v>
      </c>
      <c r="C155" s="75"/>
      <c r="D155" s="50"/>
      <c r="E155" s="77"/>
      <c r="F155" s="25">
        <f t="shared" si="15"/>
        <v>0</v>
      </c>
      <c r="G155" s="198"/>
      <c r="H155" s="36" t="s">
        <v>111</v>
      </c>
      <c r="I155" s="237">
        <v>-285325</v>
      </c>
      <c r="J155" s="227" t="s">
        <v>112</v>
      </c>
      <c r="K155" s="205" t="s">
        <v>158</v>
      </c>
      <c r="L155" s="82"/>
      <c r="M155" s="63"/>
      <c r="N155" s="63"/>
      <c r="O155" s="82"/>
    </row>
    <row r="156" s="3" customFormat="1" ht="18" customHeight="1" spans="1:15">
      <c r="A156" s="74"/>
      <c r="B156" s="25">
        <f t="shared" si="14"/>
        <v>0</v>
      </c>
      <c r="C156" s="75"/>
      <c r="D156" s="76"/>
      <c r="E156" s="77"/>
      <c r="F156" s="25">
        <f t="shared" si="15"/>
        <v>0</v>
      </c>
      <c r="G156" s="198"/>
      <c r="H156" s="36" t="s">
        <v>111</v>
      </c>
      <c r="I156" s="188">
        <v>200</v>
      </c>
      <c r="J156" s="65" t="s">
        <v>106</v>
      </c>
      <c r="K156" s="207" t="s">
        <v>110</v>
      </c>
      <c r="L156" s="82"/>
      <c r="M156" s="63"/>
      <c r="N156" s="63"/>
      <c r="O156" s="82"/>
    </row>
    <row r="157" s="3" customFormat="1" ht="18" customHeight="1" spans="1:15">
      <c r="A157" s="74"/>
      <c r="B157" s="25">
        <f t="shared" si="14"/>
        <v>0</v>
      </c>
      <c r="C157" s="75"/>
      <c r="D157" s="76"/>
      <c r="E157" s="77"/>
      <c r="F157" s="25">
        <f t="shared" si="15"/>
        <v>0</v>
      </c>
      <c r="G157" s="198"/>
      <c r="H157" s="36" t="s">
        <v>113</v>
      </c>
      <c r="I157" s="188">
        <v>300</v>
      </c>
      <c r="J157" s="65" t="s">
        <v>106</v>
      </c>
      <c r="K157" s="207" t="s">
        <v>110</v>
      </c>
      <c r="L157" s="82"/>
      <c r="M157" s="63"/>
      <c r="N157" s="63"/>
      <c r="O157" s="82"/>
    </row>
    <row r="158" s="3" customFormat="1" ht="18" customHeight="1" spans="1:15">
      <c r="A158" s="74"/>
      <c r="B158" s="25">
        <f t="shared" si="14"/>
        <v>0</v>
      </c>
      <c r="C158" s="75"/>
      <c r="D158" s="76"/>
      <c r="E158" s="77"/>
      <c r="F158" s="25">
        <f t="shared" si="15"/>
        <v>0</v>
      </c>
      <c r="G158" s="198"/>
      <c r="H158" s="36" t="s">
        <v>114</v>
      </c>
      <c r="I158" s="188">
        <v>9600</v>
      </c>
      <c r="J158" s="65" t="s">
        <v>106</v>
      </c>
      <c r="K158" s="207" t="s">
        <v>115</v>
      </c>
      <c r="L158" s="82"/>
      <c r="M158" s="63"/>
      <c r="N158" s="63"/>
      <c r="O158" s="82"/>
    </row>
    <row r="159" s="3" customFormat="1" ht="18" customHeight="1" spans="1:15">
      <c r="A159" s="74"/>
      <c r="B159" s="25">
        <f t="shared" si="14"/>
        <v>0</v>
      </c>
      <c r="C159" s="75"/>
      <c r="D159" s="76"/>
      <c r="E159" s="77"/>
      <c r="F159" s="25">
        <f t="shared" si="15"/>
        <v>0</v>
      </c>
      <c r="G159" s="198"/>
      <c r="H159" s="36" t="s">
        <v>114</v>
      </c>
      <c r="I159" s="188">
        <v>200</v>
      </c>
      <c r="J159" s="65" t="s">
        <v>106</v>
      </c>
      <c r="K159" s="207" t="s">
        <v>110</v>
      </c>
      <c r="L159" s="82"/>
      <c r="M159" s="63"/>
      <c r="N159" s="63"/>
      <c r="O159" s="82"/>
    </row>
    <row r="160" s="3" customFormat="1" ht="18" customHeight="1" spans="1:15">
      <c r="A160" s="74"/>
      <c r="B160" s="25">
        <f t="shared" si="14"/>
        <v>0</v>
      </c>
      <c r="C160" s="75"/>
      <c r="D160" s="76"/>
      <c r="E160" s="77"/>
      <c r="F160" s="25">
        <f t="shared" si="15"/>
        <v>0</v>
      </c>
      <c r="G160" s="198"/>
      <c r="H160" s="36" t="s">
        <v>114</v>
      </c>
      <c r="I160" s="188">
        <v>-903045</v>
      </c>
      <c r="J160" s="63" t="s">
        <v>112</v>
      </c>
      <c r="K160" s="207" t="s">
        <v>116</v>
      </c>
      <c r="L160" s="82"/>
      <c r="M160" s="63"/>
      <c r="N160" s="63"/>
      <c r="O160" s="82"/>
    </row>
    <row r="161" s="3" customFormat="1" ht="18" customHeight="1" spans="1:15">
      <c r="A161" s="74"/>
      <c r="B161" s="25">
        <f t="shared" si="14"/>
        <v>0</v>
      </c>
      <c r="C161" s="75"/>
      <c r="D161" s="76"/>
      <c r="E161" s="77"/>
      <c r="F161" s="25">
        <f t="shared" si="15"/>
        <v>0</v>
      </c>
      <c r="G161" s="198"/>
      <c r="H161" s="36" t="s">
        <v>117</v>
      </c>
      <c r="I161" s="188">
        <v>232932.79</v>
      </c>
      <c r="J161" s="63" t="s">
        <v>106</v>
      </c>
      <c r="K161" s="207" t="s">
        <v>118</v>
      </c>
      <c r="L161" s="82"/>
      <c r="M161" s="63"/>
      <c r="N161" s="63"/>
      <c r="O161" s="82"/>
    </row>
    <row r="162" s="3" customFormat="1" ht="18" customHeight="1" spans="1:15">
      <c r="A162" s="74"/>
      <c r="B162" s="25">
        <f t="shared" si="14"/>
        <v>0</v>
      </c>
      <c r="C162" s="75"/>
      <c r="D162" s="76"/>
      <c r="E162" s="77"/>
      <c r="F162" s="25">
        <f t="shared" si="15"/>
        <v>0</v>
      </c>
      <c r="G162" s="198"/>
      <c r="H162" s="36" t="s">
        <v>117</v>
      </c>
      <c r="I162" s="188"/>
      <c r="J162" s="63" t="s">
        <v>106</v>
      </c>
      <c r="K162" s="207" t="s">
        <v>119</v>
      </c>
      <c r="L162" s="82"/>
      <c r="M162" s="63"/>
      <c r="N162" s="63"/>
      <c r="O162" s="82"/>
    </row>
    <row r="163" s="3" customFormat="1" ht="18" customHeight="1" spans="1:15">
      <c r="A163" s="74"/>
      <c r="B163" s="25">
        <f t="shared" si="14"/>
        <v>0</v>
      </c>
      <c r="C163" s="75"/>
      <c r="D163" s="76"/>
      <c r="E163" s="77"/>
      <c r="F163" s="25">
        <f t="shared" si="15"/>
        <v>0</v>
      </c>
      <c r="G163" s="198"/>
      <c r="H163" s="36" t="s">
        <v>117</v>
      </c>
      <c r="I163" s="188">
        <v>903045</v>
      </c>
      <c r="J163" s="63" t="s">
        <v>120</v>
      </c>
      <c r="K163" s="207" t="s">
        <v>121</v>
      </c>
      <c r="L163" s="82"/>
      <c r="M163" s="63"/>
      <c r="N163" s="63"/>
      <c r="O163" s="82"/>
    </row>
    <row r="164" s="3" customFormat="1" ht="18" customHeight="1" spans="1:15">
      <c r="A164" s="74"/>
      <c r="B164" s="25">
        <f t="shared" si="14"/>
        <v>0</v>
      </c>
      <c r="C164" s="75"/>
      <c r="D164" s="76"/>
      <c r="E164" s="77"/>
      <c r="F164" s="25">
        <f t="shared" si="15"/>
        <v>0</v>
      </c>
      <c r="G164" s="198"/>
      <c r="H164" s="36" t="s">
        <v>117</v>
      </c>
      <c r="I164" s="188">
        <v>485252</v>
      </c>
      <c r="J164" s="63" t="s">
        <v>106</v>
      </c>
      <c r="K164" s="207" t="s">
        <v>122</v>
      </c>
      <c r="L164" s="82"/>
      <c r="M164" s="63"/>
      <c r="N164" s="63"/>
      <c r="O164" s="82"/>
    </row>
    <row r="165" s="3" customFormat="1" ht="18" customHeight="1" spans="1:15">
      <c r="A165" s="74"/>
      <c r="B165" s="25">
        <f t="shared" si="14"/>
        <v>0</v>
      </c>
      <c r="C165" s="75"/>
      <c r="D165" s="76"/>
      <c r="E165" s="77"/>
      <c r="F165" s="25">
        <f t="shared" si="15"/>
        <v>0</v>
      </c>
      <c r="G165" s="198"/>
      <c r="H165" s="36" t="s">
        <v>117</v>
      </c>
      <c r="I165" s="188">
        <v>4789</v>
      </c>
      <c r="J165" s="63" t="s">
        <v>106</v>
      </c>
      <c r="K165" s="207" t="s">
        <v>123</v>
      </c>
      <c r="L165" s="82"/>
      <c r="M165" s="63"/>
      <c r="N165" s="63"/>
      <c r="O165" s="82"/>
    </row>
    <row r="166" s="3" customFormat="1" ht="18" customHeight="1" spans="1:15">
      <c r="A166" s="74"/>
      <c r="B166" s="25">
        <f t="shared" si="14"/>
        <v>0</v>
      </c>
      <c r="C166" s="75"/>
      <c r="D166" s="76"/>
      <c r="E166" s="77"/>
      <c r="F166" s="25">
        <f t="shared" si="15"/>
        <v>0</v>
      </c>
      <c r="G166" s="198"/>
      <c r="H166" s="36" t="s">
        <v>117</v>
      </c>
      <c r="I166" s="237">
        <v>429349</v>
      </c>
      <c r="J166" s="227" t="s">
        <v>106</v>
      </c>
      <c r="K166" s="205" t="s">
        <v>124</v>
      </c>
      <c r="L166" s="82"/>
      <c r="M166" s="63"/>
      <c r="N166" s="63"/>
      <c r="O166" s="82"/>
    </row>
    <row r="167" s="3" customFormat="1" ht="18" customHeight="1" spans="1:15">
      <c r="A167" s="74"/>
      <c r="B167" s="25">
        <f t="shared" si="14"/>
        <v>0</v>
      </c>
      <c r="C167" s="75"/>
      <c r="D167" s="76"/>
      <c r="E167" s="77"/>
      <c r="F167" s="25">
        <f t="shared" si="15"/>
        <v>0</v>
      </c>
      <c r="G167" s="198"/>
      <c r="H167" s="36" t="s">
        <v>117</v>
      </c>
      <c r="I167" s="188">
        <v>87000</v>
      </c>
      <c r="J167" s="63" t="s">
        <v>125</v>
      </c>
      <c r="K167" s="207" t="s">
        <v>126</v>
      </c>
      <c r="L167" s="82"/>
      <c r="M167" s="63"/>
      <c r="N167" s="63"/>
      <c r="O167" s="82"/>
    </row>
    <row r="168" s="2" customFormat="1" ht="18" customHeight="1" spans="1:15">
      <c r="A168" s="48"/>
      <c r="B168" s="25">
        <f t="shared" si="14"/>
        <v>0</v>
      </c>
      <c r="C168" s="49"/>
      <c r="D168" s="50"/>
      <c r="E168" s="70"/>
      <c r="F168" s="25">
        <f t="shared" si="15"/>
        <v>0</v>
      </c>
      <c r="G168" s="189"/>
      <c r="H168" s="36" t="s">
        <v>117</v>
      </c>
      <c r="I168" s="188">
        <v>100</v>
      </c>
      <c r="J168" s="65" t="s">
        <v>106</v>
      </c>
      <c r="K168" s="207" t="s">
        <v>110</v>
      </c>
      <c r="L168" s="82"/>
      <c r="M168" s="56"/>
      <c r="N168" s="65"/>
      <c r="O168" s="67"/>
    </row>
    <row r="169" s="2" customFormat="1" ht="18" customHeight="1" spans="1:15">
      <c r="A169" s="48"/>
      <c r="B169" s="25">
        <f t="shared" si="14"/>
        <v>0</v>
      </c>
      <c r="C169" s="49"/>
      <c r="D169" s="50"/>
      <c r="E169" s="70"/>
      <c r="F169" s="25">
        <f t="shared" si="15"/>
        <v>0</v>
      </c>
      <c r="G169" s="189"/>
      <c r="H169" s="36" t="s">
        <v>117</v>
      </c>
      <c r="I169" s="188"/>
      <c r="J169" s="63"/>
      <c r="K169" s="207"/>
      <c r="L169" s="82"/>
      <c r="M169" s="56"/>
      <c r="N169" s="65"/>
      <c r="O169" s="67"/>
    </row>
    <row r="170" s="2" customFormat="1" ht="18" customHeight="1" spans="1:15">
      <c r="A170" s="48"/>
      <c r="B170" s="25">
        <f t="shared" si="14"/>
        <v>0</v>
      </c>
      <c r="C170" s="49"/>
      <c r="D170" s="50"/>
      <c r="E170" s="70"/>
      <c r="F170" s="25">
        <f t="shared" si="15"/>
        <v>0</v>
      </c>
      <c r="G170" s="189"/>
      <c r="H170" s="36" t="s">
        <v>127</v>
      </c>
      <c r="I170" s="188">
        <v>-93700</v>
      </c>
      <c r="J170" s="63" t="s">
        <v>125</v>
      </c>
      <c r="K170" s="148" t="s">
        <v>126</v>
      </c>
      <c r="L170" s="82"/>
      <c r="M170" s="56"/>
      <c r="N170" s="65"/>
      <c r="O170" s="67"/>
    </row>
    <row r="171" s="2" customFormat="1" ht="18" customHeight="1" spans="1:16">
      <c r="A171" s="48"/>
      <c r="B171" s="25">
        <f t="shared" si="14"/>
        <v>0</v>
      </c>
      <c r="C171" s="49"/>
      <c r="D171" s="50"/>
      <c r="E171" s="70"/>
      <c r="F171" s="25">
        <f t="shared" si="15"/>
        <v>0</v>
      </c>
      <c r="G171" s="189"/>
      <c r="H171" s="36" t="s">
        <v>127</v>
      </c>
      <c r="I171" s="71">
        <v>50</v>
      </c>
      <c r="J171" s="65" t="s">
        <v>106</v>
      </c>
      <c r="K171" s="148" t="s">
        <v>110</v>
      </c>
      <c r="L171" s="82"/>
      <c r="M171" s="56"/>
      <c r="N171" s="65"/>
      <c r="O171" s="67"/>
      <c r="P171" s="2">
        <f>I173+I166+I155</f>
        <v>387045</v>
      </c>
    </row>
    <row r="172" s="2" customFormat="1" ht="18" customHeight="1" spans="1:15">
      <c r="A172" s="48"/>
      <c r="B172" s="25">
        <f t="shared" si="14"/>
        <v>0</v>
      </c>
      <c r="C172" s="49"/>
      <c r="D172" s="50"/>
      <c r="E172" s="70"/>
      <c r="F172" s="25">
        <f t="shared" si="15"/>
        <v>0</v>
      </c>
      <c r="G172" s="189"/>
      <c r="H172" s="36" t="s">
        <v>127</v>
      </c>
      <c r="I172" s="210">
        <v>-21725</v>
      </c>
      <c r="J172" s="56" t="s">
        <v>112</v>
      </c>
      <c r="K172" s="238" t="s">
        <v>159</v>
      </c>
      <c r="L172" s="82"/>
      <c r="M172" s="56"/>
      <c r="N172" s="65"/>
      <c r="O172" s="67"/>
    </row>
    <row r="173" s="2" customFormat="1" ht="18" customHeight="1" spans="1:15">
      <c r="A173" s="48"/>
      <c r="B173" s="25">
        <f t="shared" si="14"/>
        <v>0</v>
      </c>
      <c r="C173" s="49"/>
      <c r="D173" s="50"/>
      <c r="E173" s="46"/>
      <c r="F173" s="25">
        <f t="shared" si="15"/>
        <v>0</v>
      </c>
      <c r="G173" s="189"/>
      <c r="H173" s="36" t="s">
        <v>129</v>
      </c>
      <c r="I173" s="237">
        <v>243021</v>
      </c>
      <c r="J173" s="227" t="s">
        <v>106</v>
      </c>
      <c r="K173" s="205" t="s">
        <v>124</v>
      </c>
      <c r="L173" s="67"/>
      <c r="M173" s="65"/>
      <c r="N173" s="65"/>
      <c r="O173" s="67"/>
    </row>
    <row r="174" s="2" customFormat="1" ht="18" customHeight="1" spans="1:15">
      <c r="A174" s="48"/>
      <c r="B174" s="25">
        <f t="shared" si="14"/>
        <v>0</v>
      </c>
      <c r="C174" s="49"/>
      <c r="D174" s="50"/>
      <c r="E174" s="46"/>
      <c r="F174" s="25">
        <f t="shared" si="15"/>
        <v>0</v>
      </c>
      <c r="G174" s="189"/>
      <c r="H174" s="36" t="s">
        <v>129</v>
      </c>
      <c r="I174" s="188">
        <v>2340</v>
      </c>
      <c r="J174" s="63" t="s">
        <v>106</v>
      </c>
      <c r="K174" s="207" t="s">
        <v>123</v>
      </c>
      <c r="L174" s="67"/>
      <c r="M174" s="65"/>
      <c r="N174" s="65"/>
      <c r="O174" s="67"/>
    </row>
    <row r="175" s="2" customFormat="1" ht="18" customHeight="1" spans="1:15">
      <c r="A175" s="48"/>
      <c r="B175" s="25">
        <f t="shared" si="14"/>
        <v>0</v>
      </c>
      <c r="C175" s="49"/>
      <c r="D175" s="50"/>
      <c r="E175" s="46"/>
      <c r="F175" s="25">
        <f t="shared" si="15"/>
        <v>0</v>
      </c>
      <c r="G175" s="189"/>
      <c r="H175" s="36" t="s">
        <v>129</v>
      </c>
      <c r="I175" s="188">
        <v>500</v>
      </c>
      <c r="J175" s="63" t="s">
        <v>106</v>
      </c>
      <c r="K175" s="148" t="s">
        <v>130</v>
      </c>
      <c r="L175" s="67"/>
      <c r="M175" s="65"/>
      <c r="N175" s="65"/>
      <c r="O175" s="67"/>
    </row>
    <row r="176" s="2" customFormat="1" ht="18" customHeight="1" spans="1:15">
      <c r="A176" s="48"/>
      <c r="B176" s="25"/>
      <c r="C176" s="49"/>
      <c r="D176" s="50"/>
      <c r="E176" s="46"/>
      <c r="F176" s="25"/>
      <c r="G176" s="189"/>
      <c r="H176" s="36" t="s">
        <v>129</v>
      </c>
      <c r="I176" s="210">
        <v>55725</v>
      </c>
      <c r="J176" s="56" t="s">
        <v>120</v>
      </c>
      <c r="K176" s="238" t="s">
        <v>121</v>
      </c>
      <c r="L176" s="67"/>
      <c r="M176" s="65"/>
      <c r="N176" s="65"/>
      <c r="O176" s="67"/>
    </row>
    <row r="177" s="2" customFormat="1" ht="18" customHeight="1" spans="1:15">
      <c r="A177" s="48"/>
      <c r="B177" s="25">
        <f t="shared" ref="B177:B182" si="16">ROUND(G177/(1+E177),2)</f>
        <v>0</v>
      </c>
      <c r="C177" s="49"/>
      <c r="D177" s="50"/>
      <c r="E177" s="46"/>
      <c r="F177" s="25">
        <f t="shared" ref="F177:F182" si="17">ROUND(G177/(1+E177)*E177,2)</f>
        <v>0</v>
      </c>
      <c r="G177" s="189"/>
      <c r="H177" s="36" t="s">
        <v>129</v>
      </c>
      <c r="I177" s="188">
        <v>8500</v>
      </c>
      <c r="J177" s="63" t="s">
        <v>125</v>
      </c>
      <c r="K177" s="148" t="s">
        <v>126</v>
      </c>
      <c r="L177" s="67"/>
      <c r="M177" s="65"/>
      <c r="N177" s="65"/>
      <c r="O177" s="67"/>
    </row>
    <row r="178" s="2" customFormat="1" ht="18" customHeight="1" spans="1:15">
      <c r="A178" s="48"/>
      <c r="B178" s="25">
        <f t="shared" si="16"/>
        <v>0</v>
      </c>
      <c r="C178" s="49"/>
      <c r="D178" s="50"/>
      <c r="E178" s="46"/>
      <c r="F178" s="25">
        <f t="shared" si="17"/>
        <v>0</v>
      </c>
      <c r="G178" s="189"/>
      <c r="H178" s="36" t="s">
        <v>131</v>
      </c>
      <c r="I178" s="188">
        <v>8800</v>
      </c>
      <c r="J178" s="63" t="s">
        <v>125</v>
      </c>
      <c r="K178" s="148" t="s">
        <v>126</v>
      </c>
      <c r="L178" s="67"/>
      <c r="M178" s="65"/>
      <c r="N178" s="65"/>
      <c r="O178" s="67"/>
    </row>
    <row r="179" s="2" customFormat="1" ht="18" customHeight="1" spans="1:15">
      <c r="A179" s="48"/>
      <c r="B179" s="25">
        <f t="shared" si="16"/>
        <v>0</v>
      </c>
      <c r="C179" s="49"/>
      <c r="D179" s="50"/>
      <c r="E179" s="46"/>
      <c r="F179" s="25">
        <f t="shared" si="17"/>
        <v>0</v>
      </c>
      <c r="G179" s="189"/>
      <c r="H179" s="36" t="s">
        <v>131</v>
      </c>
      <c r="I179" s="188">
        <v>35200</v>
      </c>
      <c r="J179" s="63" t="s">
        <v>125</v>
      </c>
      <c r="K179" s="148" t="s">
        <v>126</v>
      </c>
      <c r="L179" s="67"/>
      <c r="M179" s="65"/>
      <c r="N179" s="65"/>
      <c r="O179" s="67"/>
    </row>
    <row r="180" s="2" customFormat="1" ht="18" customHeight="1" spans="1:15">
      <c r="A180" s="48"/>
      <c r="B180" s="25">
        <f t="shared" si="16"/>
        <v>0</v>
      </c>
      <c r="C180" s="49"/>
      <c r="D180" s="50"/>
      <c r="E180" s="46"/>
      <c r="F180" s="25">
        <f t="shared" si="17"/>
        <v>0</v>
      </c>
      <c r="G180" s="189"/>
      <c r="H180" s="36" t="s">
        <v>131</v>
      </c>
      <c r="I180" s="188">
        <f>B9*E197</f>
        <v>2400</v>
      </c>
      <c r="J180" s="63" t="s">
        <v>106</v>
      </c>
      <c r="K180" s="148" t="s">
        <v>132</v>
      </c>
      <c r="L180" s="67"/>
      <c r="M180" s="65"/>
      <c r="N180" s="65"/>
      <c r="O180" s="67"/>
    </row>
    <row r="181" s="1" customFormat="1" ht="18" customHeight="1" spans="1:15">
      <c r="A181" s="43"/>
      <c r="B181" s="25">
        <f t="shared" si="16"/>
        <v>0</v>
      </c>
      <c r="C181" s="44"/>
      <c r="D181" s="45"/>
      <c r="E181" s="46"/>
      <c r="F181" s="25">
        <f t="shared" si="17"/>
        <v>0</v>
      </c>
      <c r="G181" s="189"/>
      <c r="H181" s="31" t="s">
        <v>133</v>
      </c>
      <c r="I181" s="188">
        <v>41200</v>
      </c>
      <c r="J181" s="63" t="s">
        <v>125</v>
      </c>
      <c r="K181" s="148" t="s">
        <v>126</v>
      </c>
      <c r="L181" s="60"/>
      <c r="M181" s="61"/>
      <c r="N181" s="61"/>
      <c r="O181" s="60"/>
    </row>
    <row r="182" s="1" customFormat="1" ht="18" customHeight="1" spans="1:15">
      <c r="A182" s="43"/>
      <c r="B182" s="25">
        <f t="shared" si="16"/>
        <v>0</v>
      </c>
      <c r="C182" s="44"/>
      <c r="D182" s="45"/>
      <c r="E182" s="46"/>
      <c r="F182" s="25">
        <f t="shared" si="17"/>
        <v>0</v>
      </c>
      <c r="G182" s="189"/>
      <c r="H182" s="31" t="s">
        <v>133</v>
      </c>
      <c r="I182" s="188">
        <v>2248</v>
      </c>
      <c r="J182" s="63" t="s">
        <v>106</v>
      </c>
      <c r="K182" s="148" t="s">
        <v>160</v>
      </c>
      <c r="L182" s="60"/>
      <c r="M182" s="61"/>
      <c r="N182" s="61"/>
      <c r="O182" s="60"/>
    </row>
    <row r="183" s="1" customFormat="1" ht="18" customHeight="1" spans="1:15">
      <c r="A183" s="43"/>
      <c r="B183" s="25"/>
      <c r="C183" s="44"/>
      <c r="D183" s="45"/>
      <c r="E183" s="46"/>
      <c r="F183" s="25"/>
      <c r="G183" s="189"/>
      <c r="H183" s="36" t="s">
        <v>134</v>
      </c>
      <c r="I183" s="188">
        <v>2782</v>
      </c>
      <c r="J183" s="63" t="s">
        <v>106</v>
      </c>
      <c r="K183" s="148" t="s">
        <v>160</v>
      </c>
      <c r="L183" s="60"/>
      <c r="M183" s="61"/>
      <c r="N183" s="61"/>
      <c r="O183" s="60"/>
    </row>
    <row r="184" s="1" customFormat="1" ht="18" customHeight="1" spans="1:15">
      <c r="A184" s="43"/>
      <c r="B184" s="25">
        <f>ROUND(G184/(1+E184),2)</f>
        <v>0</v>
      </c>
      <c r="C184" s="44"/>
      <c r="D184" s="45"/>
      <c r="E184" s="46"/>
      <c r="F184" s="25">
        <f>ROUND(G184/(1+E184)*E184,2)</f>
        <v>0</v>
      </c>
      <c r="G184" s="189"/>
      <c r="H184" s="36" t="s">
        <v>134</v>
      </c>
      <c r="I184" s="188">
        <v>950</v>
      </c>
      <c r="J184" s="63" t="s">
        <v>106</v>
      </c>
      <c r="K184" s="148" t="s">
        <v>130</v>
      </c>
      <c r="L184" s="60"/>
      <c r="M184" s="61"/>
      <c r="N184" s="61"/>
      <c r="O184" s="60"/>
    </row>
    <row r="185" s="1" customFormat="1" ht="18" customHeight="1" spans="1:15">
      <c r="A185" s="43"/>
      <c r="B185" s="25">
        <f>ROUND(G185/(1+E185),2)</f>
        <v>132850</v>
      </c>
      <c r="C185" s="44"/>
      <c r="D185" s="45"/>
      <c r="E185" s="46"/>
      <c r="F185" s="25">
        <f>ROUND(G185/(1+E185)*E185,2)</f>
        <v>0</v>
      </c>
      <c r="G185" s="189">
        <f>46100+17600+4400+17000+4250+34800+8700</f>
        <v>132850</v>
      </c>
      <c r="H185" s="31"/>
      <c r="I185" s="32">
        <f>G185</f>
        <v>132850</v>
      </c>
      <c r="J185" s="63" t="s">
        <v>106</v>
      </c>
      <c r="K185" s="148" t="s">
        <v>161</v>
      </c>
      <c r="L185" s="60"/>
      <c r="M185" s="61"/>
      <c r="N185" s="61"/>
      <c r="O185" s="60"/>
    </row>
    <row r="186" s="1" customFormat="1" ht="18" customHeight="1" spans="1:15">
      <c r="A186" s="43"/>
      <c r="B186" s="25"/>
      <c r="C186" s="44"/>
      <c r="D186" s="45"/>
      <c r="E186" s="46"/>
      <c r="F186" s="25"/>
      <c r="G186" s="239"/>
      <c r="H186" s="31"/>
      <c r="I186" s="141">
        <v>-3000000</v>
      </c>
      <c r="J186" s="249"/>
      <c r="K186" s="250" t="s">
        <v>162</v>
      </c>
      <c r="L186" s="60"/>
      <c r="M186" s="61"/>
      <c r="N186" s="61"/>
      <c r="O186" s="60"/>
    </row>
    <row r="187" ht="18" customHeight="1" spans="1:15">
      <c r="A187" s="39" t="s">
        <v>22</v>
      </c>
      <c r="B187" s="38">
        <f>SUM(B27:B185)</f>
        <v>38520085.23</v>
      </c>
      <c r="C187" s="39"/>
      <c r="D187" s="240"/>
      <c r="E187" s="240"/>
      <c r="F187" s="241">
        <f>SUM(F27:F185)</f>
        <v>2077791.11</v>
      </c>
      <c r="G187" s="242">
        <f>SUM(G27:G185)</f>
        <v>40597876.34</v>
      </c>
      <c r="H187" s="243"/>
      <c r="I187" s="190">
        <f>SUM(I27:I186)</f>
        <v>33385982.4885321</v>
      </c>
      <c r="J187" s="251"/>
      <c r="K187" s="252"/>
      <c r="L187" s="191"/>
      <c r="M187" s="40"/>
      <c r="N187" s="40"/>
      <c r="O187" s="191"/>
    </row>
    <row r="188" ht="18" customHeight="1" spans="1:14">
      <c r="A188" s="99"/>
      <c r="B188" s="100">
        <f>B24*0.92-B187</f>
        <v>-6019454.70456213</v>
      </c>
      <c r="C188" s="99"/>
      <c r="D188" s="244"/>
      <c r="E188" s="244"/>
      <c r="F188" s="100">
        <f>F24-F187</f>
        <v>518901.13353628</v>
      </c>
      <c r="G188" s="100"/>
      <c r="H188" s="30" t="s">
        <v>136</v>
      </c>
      <c r="I188" s="190">
        <f>I24-I187</f>
        <v>74017.511467889</v>
      </c>
      <c r="J188" s="14"/>
      <c r="K188" s="253"/>
      <c r="M188" s="13"/>
      <c r="N188" s="13"/>
    </row>
    <row r="189" ht="18" customHeight="1" spans="1:3">
      <c r="A189" s="6" t="s">
        <v>137</v>
      </c>
      <c r="C189" s="6"/>
    </row>
    <row r="190" ht="18" customHeight="1" spans="1:18">
      <c r="A190" s="30" t="s">
        <v>138</v>
      </c>
      <c r="B190" s="28" t="s">
        <v>139</v>
      </c>
      <c r="C190" s="191"/>
      <c r="D190" s="30" t="s">
        <v>138</v>
      </c>
      <c r="E190" s="27" t="s">
        <v>15</v>
      </c>
      <c r="F190" s="28" t="s">
        <v>139</v>
      </c>
      <c r="G190" s="28" t="s">
        <v>140</v>
      </c>
      <c r="H190" s="28" t="s">
        <v>141</v>
      </c>
      <c r="I190" s="28" t="s">
        <v>142</v>
      </c>
      <c r="K190" s="28" t="s">
        <v>143</v>
      </c>
      <c r="L190" s="254"/>
      <c r="M190" s="28" t="s">
        <v>144</v>
      </c>
      <c r="N190" s="134" t="s">
        <v>144</v>
      </c>
      <c r="O190" s="255"/>
      <c r="P190" s="242" t="s">
        <v>145</v>
      </c>
      <c r="Q190" s="242" t="s">
        <v>163</v>
      </c>
      <c r="R190" s="263" t="s">
        <v>187</v>
      </c>
    </row>
    <row r="191" ht="18" customHeight="1" spans="1:18">
      <c r="A191" s="191" t="s">
        <v>146</v>
      </c>
      <c r="B191" s="25">
        <f>(B24-B187)*0.25</f>
        <v>-798328.229935361</v>
      </c>
      <c r="C191" s="191"/>
      <c r="D191" s="18" t="s">
        <v>147</v>
      </c>
      <c r="E191" s="40" t="s">
        <v>148</v>
      </c>
      <c r="F191" s="245">
        <f>F24-F187</f>
        <v>518901.13353628</v>
      </c>
      <c r="G191" s="245">
        <f>F7-F27-F29-F32-F33-F36</f>
        <v>-333763.749090909</v>
      </c>
      <c r="H191" s="245">
        <f>F8-F41</f>
        <v>299461.603636364</v>
      </c>
      <c r="I191" s="245">
        <f>F9-F43-F44-F46-F51-F52-F53-F54-F56</f>
        <v>49772.4599999999</v>
      </c>
      <c r="K191" s="245">
        <f>F10-F77-F78-F79-F80-F81</f>
        <v>205457.659816514</v>
      </c>
      <c r="L191" s="254"/>
      <c r="M191" s="245">
        <f>F11-F82-F90-F91-F93</f>
        <v>390316.376330275</v>
      </c>
      <c r="N191" s="134">
        <v>-259385.7</v>
      </c>
      <c r="O191" s="255"/>
      <c r="P191" s="242"/>
      <c r="Q191" s="258"/>
      <c r="R191" s="206"/>
    </row>
    <row r="192" ht="18" customHeight="1" spans="1:18">
      <c r="A192" s="191" t="s">
        <v>149</v>
      </c>
      <c r="B192" s="21" t="s">
        <v>150</v>
      </c>
      <c r="C192" s="191"/>
      <c r="D192" s="246" t="s">
        <v>151</v>
      </c>
      <c r="E192" s="22">
        <v>0.05</v>
      </c>
      <c r="F192" s="32">
        <f>F191*E192</f>
        <v>25945.056676814</v>
      </c>
      <c r="G192" s="32">
        <v>0</v>
      </c>
      <c r="H192" s="32">
        <v>0</v>
      </c>
      <c r="I192" s="32">
        <v>0</v>
      </c>
      <c r="K192" s="32">
        <f>K191*E192</f>
        <v>10272.8829908257</v>
      </c>
      <c r="L192" s="254"/>
      <c r="M192" s="32">
        <f>M191*E192</f>
        <v>19515.8188165138</v>
      </c>
      <c r="N192" s="134">
        <f>N191*E192</f>
        <v>-12969.285</v>
      </c>
      <c r="O192" s="255"/>
      <c r="P192" s="242"/>
      <c r="Q192" s="258"/>
      <c r="R192" s="206"/>
    </row>
    <row r="193" ht="18" customHeight="1" spans="1:18">
      <c r="A193" s="191" t="s">
        <v>123</v>
      </c>
      <c r="B193" s="247">
        <f>B24*0.0006</f>
        <v>21196.0633861551</v>
      </c>
      <c r="C193" s="191"/>
      <c r="D193" s="246" t="s">
        <v>152</v>
      </c>
      <c r="E193" s="22">
        <v>0.03</v>
      </c>
      <c r="F193" s="32">
        <f>F191*E193</f>
        <v>15567.0340060884</v>
      </c>
      <c r="G193" s="32">
        <v>0</v>
      </c>
      <c r="H193" s="32">
        <v>0</v>
      </c>
      <c r="I193" s="32">
        <v>0</v>
      </c>
      <c r="K193" s="32">
        <f>K191*E193</f>
        <v>6163.72979449541</v>
      </c>
      <c r="L193" s="254"/>
      <c r="M193" s="32">
        <f>M191*E193</f>
        <v>11709.4912899083</v>
      </c>
      <c r="N193" s="134">
        <f>N191*E193</f>
        <v>-7781.571</v>
      </c>
      <c r="O193" s="255"/>
      <c r="P193" s="242"/>
      <c r="Q193" s="258"/>
      <c r="R193" s="206"/>
    </row>
    <row r="194" ht="18" customHeight="1" spans="1:18">
      <c r="A194" s="191"/>
      <c r="B194" s="32"/>
      <c r="C194" s="191"/>
      <c r="D194" s="246" t="s">
        <v>153</v>
      </c>
      <c r="E194" s="22">
        <v>0.02</v>
      </c>
      <c r="F194" s="32">
        <f>F191*E194</f>
        <v>10378.0226707256</v>
      </c>
      <c r="G194" s="32">
        <v>0</v>
      </c>
      <c r="H194" s="32">
        <v>0</v>
      </c>
      <c r="I194" s="32">
        <v>0</v>
      </c>
      <c r="K194" s="32">
        <f>K191*E194</f>
        <v>4109.15319633028</v>
      </c>
      <c r="L194" s="254"/>
      <c r="M194" s="32">
        <f>M191*E194</f>
        <v>7806.32752660551</v>
      </c>
      <c r="N194" s="134">
        <f>N191*E194</f>
        <v>-5187.714</v>
      </c>
      <c r="O194" s="255"/>
      <c r="P194" s="242"/>
      <c r="Q194" s="258"/>
      <c r="R194" s="206"/>
    </row>
    <row r="195" ht="18" customHeight="1" spans="1:18">
      <c r="A195" s="37" t="s">
        <v>154</v>
      </c>
      <c r="B195" s="38">
        <f>SUM(B191:B194)</f>
        <v>-777132.166549206</v>
      </c>
      <c r="C195" s="191"/>
      <c r="D195" s="37" t="s">
        <v>154</v>
      </c>
      <c r="E195" s="37"/>
      <c r="F195" s="241">
        <f>SUM(F191:F194)</f>
        <v>570791.246889908</v>
      </c>
      <c r="G195" s="241">
        <v>0</v>
      </c>
      <c r="H195" s="241">
        <v>0</v>
      </c>
      <c r="I195" s="241">
        <v>0</v>
      </c>
      <c r="K195" s="241">
        <f t="shared" ref="K195:N195" si="18">SUM(K191:K194)</f>
        <v>226003.425798165</v>
      </c>
      <c r="L195" s="254"/>
      <c r="M195" s="241">
        <f t="shared" si="18"/>
        <v>429348.013963303</v>
      </c>
      <c r="N195" s="134">
        <f t="shared" si="18"/>
        <v>-285324.27</v>
      </c>
      <c r="O195" s="255"/>
      <c r="P195" s="242"/>
      <c r="Q195" s="258"/>
      <c r="R195" s="206"/>
    </row>
    <row r="196" ht="18" customHeight="1" spans="3:18">
      <c r="C196" s="6"/>
      <c r="D196" s="20" t="s">
        <v>149</v>
      </c>
      <c r="E196" s="248">
        <v>0.0003</v>
      </c>
      <c r="F196" s="32">
        <v>0</v>
      </c>
      <c r="G196" s="32"/>
      <c r="H196" s="32"/>
      <c r="I196" s="32">
        <v>0</v>
      </c>
      <c r="K196" s="32"/>
      <c r="M196" s="32"/>
      <c r="N196" s="134"/>
      <c r="O196" s="255"/>
      <c r="P196" s="242"/>
      <c r="Q196" s="258"/>
      <c r="R196" s="206"/>
    </row>
    <row r="197" ht="18" customHeight="1" spans="3:18">
      <c r="C197" s="6"/>
      <c r="D197" s="20" t="s">
        <v>123</v>
      </c>
      <c r="E197" s="248">
        <v>0.0006</v>
      </c>
      <c r="F197" s="32">
        <f>B24*E197</f>
        <v>21196.0633861551</v>
      </c>
      <c r="G197" s="32">
        <f>B7*E197</f>
        <v>2781.81818181818</v>
      </c>
      <c r="H197" s="32">
        <f>B8*E197</f>
        <v>2247.27272727273</v>
      </c>
      <c r="I197" s="32">
        <f>B9*E197</f>
        <v>2400</v>
      </c>
      <c r="K197" s="32">
        <f>B10*E197</f>
        <v>2339.4495412844</v>
      </c>
      <c r="L197" s="254"/>
      <c r="M197" s="32">
        <f>B11*E197</f>
        <v>4788.99082568807</v>
      </c>
      <c r="N197" s="134"/>
      <c r="O197" s="255"/>
      <c r="P197" s="242">
        <v>853.21</v>
      </c>
      <c r="Q197" s="258">
        <f>E197*B13</f>
        <v>1992.66055045872</v>
      </c>
      <c r="R197" s="263">
        <f>E197*B14</f>
        <v>946.788990825688</v>
      </c>
    </row>
    <row r="198" ht="18" customHeight="1" spans="3:18">
      <c r="C198" s="6"/>
      <c r="D198" s="39" t="s">
        <v>22</v>
      </c>
      <c r="E198" s="39"/>
      <c r="F198" s="190">
        <f>F195+F196+F197</f>
        <v>591987.310276063</v>
      </c>
      <c r="G198" s="190"/>
      <c r="H198" s="190"/>
      <c r="I198" s="190"/>
      <c r="K198" s="190"/>
      <c r="M198" s="191">
        <f>M195+M197</f>
        <v>434137.004788991</v>
      </c>
      <c r="N198" s="134"/>
      <c r="O198" s="255"/>
      <c r="P198" s="242"/>
      <c r="Q198" s="258"/>
      <c r="R198" s="206"/>
    </row>
    <row r="199" ht="18" customHeight="1" spans="3:18">
      <c r="C199" s="6"/>
      <c r="D199" s="20" t="s">
        <v>121</v>
      </c>
      <c r="E199" s="248">
        <v>0.02</v>
      </c>
      <c r="F199" s="32">
        <f>B24*E199</f>
        <v>706535.446205171</v>
      </c>
      <c r="G199" s="32"/>
      <c r="H199" s="32"/>
      <c r="I199" s="32"/>
      <c r="K199" s="190"/>
      <c r="M199" s="32">
        <f>(SUM(B7:B11))*E199</f>
        <v>485251.042535446</v>
      </c>
      <c r="N199" s="134"/>
      <c r="O199" s="255"/>
      <c r="P199" s="242">
        <f>B12*0.02</f>
        <v>28440.3669724771</v>
      </c>
      <c r="Q199" s="258">
        <f>G13*E199</f>
        <v>72400</v>
      </c>
      <c r="R199" s="263">
        <f>G14*E199</f>
        <v>34400</v>
      </c>
    </row>
    <row r="200" ht="18" customHeight="1" spans="3:3">
      <c r="C200" s="6"/>
    </row>
    <row r="201" ht="18" customHeight="1" spans="3:3">
      <c r="C201" s="6"/>
    </row>
    <row r="202" ht="18" customHeight="1" spans="3:3">
      <c r="C202" s="6"/>
    </row>
    <row r="203" spans="3:3">
      <c r="C203" s="6"/>
    </row>
    <row r="204" spans="3:3">
      <c r="C204" s="6"/>
    </row>
    <row r="205" spans="3:3">
      <c r="C205" s="6"/>
    </row>
    <row r="206" spans="3:3">
      <c r="C206" s="6"/>
    </row>
    <row r="207" spans="3:3">
      <c r="C207" s="6"/>
    </row>
    <row r="208" spans="3:3">
      <c r="C208" s="6"/>
    </row>
    <row r="209" spans="3:3">
      <c r="C209" s="6"/>
    </row>
    <row r="210" spans="3:3">
      <c r="C210" s="6"/>
    </row>
    <row r="211" spans="3:3">
      <c r="C211" s="6"/>
    </row>
    <row r="212" spans="3:3">
      <c r="C212" s="6"/>
    </row>
    <row r="213" spans="3:3">
      <c r="C213" s="6"/>
    </row>
    <row r="214" spans="3:3">
      <c r="C214" s="6"/>
    </row>
    <row r="215" spans="3:3">
      <c r="C215" s="6"/>
    </row>
    <row r="216" spans="3:3">
      <c r="C216" s="6"/>
    </row>
    <row r="217" spans="3:3">
      <c r="C217" s="6"/>
    </row>
    <row r="218" spans="3:3">
      <c r="C218" s="6"/>
    </row>
  </sheetData>
  <autoFilter ref="A26:Q199">
    <extLst/>
  </autoFilter>
  <mergeCells count="18">
    <mergeCell ref="A1:J1"/>
    <mergeCell ref="H2:J2"/>
    <mergeCell ref="C5:D5"/>
    <mergeCell ref="E5:F5"/>
    <mergeCell ref="H5:J5"/>
    <mergeCell ref="N190:O190"/>
    <mergeCell ref="N191:O191"/>
    <mergeCell ref="N192:O192"/>
    <mergeCell ref="N193:O193"/>
    <mergeCell ref="N194:O194"/>
    <mergeCell ref="N195:O195"/>
    <mergeCell ref="N196:O196"/>
    <mergeCell ref="N197:O197"/>
    <mergeCell ref="N198:O198"/>
    <mergeCell ref="N199:O199"/>
    <mergeCell ref="A5:A6"/>
    <mergeCell ref="B5:B6"/>
    <mergeCell ref="G5:G6"/>
  </mergeCells>
  <pageMargins left="0.75" right="0.75" top="1" bottom="1" header="0.5" footer="0.5"/>
  <pageSetup paperSize="9" orientation="portrait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8"/>
  <sheetViews>
    <sheetView topLeftCell="E178" workbookViewId="0">
      <selection activeCell="S191" sqref="S191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9" width="11.1333333333333" style="14"/>
    <col min="20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 t="s">
        <v>172</v>
      </c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>
        <v>44049</v>
      </c>
      <c r="B14" s="32">
        <f t="shared" si="0"/>
        <v>1577981.65137615</v>
      </c>
      <c r="C14" s="35">
        <v>0.02</v>
      </c>
      <c r="D14" s="188">
        <f t="shared" si="1"/>
        <v>31559.6330275229</v>
      </c>
      <c r="E14" s="35">
        <v>0.07</v>
      </c>
      <c r="F14" s="32">
        <f t="shared" si="2"/>
        <v>110458.71559633</v>
      </c>
      <c r="G14" s="189">
        <v>1720000</v>
      </c>
      <c r="H14" s="31">
        <v>43824</v>
      </c>
      <c r="I14" s="32">
        <v>6960000</v>
      </c>
      <c r="J14" s="40" t="s">
        <v>20</v>
      </c>
    </row>
    <row r="15" ht="18" customHeight="1" spans="1:10">
      <c r="A15" s="31">
        <v>44077</v>
      </c>
      <c r="B15" s="32">
        <f t="shared" si="0"/>
        <v>4743119.26605505</v>
      </c>
      <c r="C15" s="35">
        <v>0.02</v>
      </c>
      <c r="D15" s="188">
        <f t="shared" si="1"/>
        <v>94862.3853211009</v>
      </c>
      <c r="E15" s="35">
        <v>0.07</v>
      </c>
      <c r="F15" s="32">
        <f t="shared" si="2"/>
        <v>332018.348623853</v>
      </c>
      <c r="G15" s="189">
        <v>5170000</v>
      </c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/>
      <c r="C20" s="33"/>
      <c r="D20" s="188"/>
      <c r="E20" s="33"/>
      <c r="F20" s="32"/>
      <c r="G20" s="189"/>
      <c r="H20" s="31">
        <v>44057</v>
      </c>
      <c r="I20" s="32">
        <v>1376000</v>
      </c>
      <c r="J20" s="40" t="s">
        <v>20</v>
      </c>
    </row>
    <row r="21" ht="18" customHeight="1" spans="1:10">
      <c r="A21" s="31"/>
      <c r="B21" s="32"/>
      <c r="C21" s="33"/>
      <c r="D21" s="188"/>
      <c r="E21" s="33"/>
      <c r="F21" s="32"/>
      <c r="G21" s="189"/>
      <c r="H21" s="31">
        <v>44057</v>
      </c>
      <c r="I21" s="32">
        <v>344000</v>
      </c>
      <c r="J21" s="40" t="s">
        <v>164</v>
      </c>
    </row>
    <row r="22" ht="18" customHeight="1" spans="1:10">
      <c r="A22" s="31"/>
      <c r="B22" s="32"/>
      <c r="C22" s="33"/>
      <c r="D22" s="188"/>
      <c r="E22" s="33"/>
      <c r="F22" s="32"/>
      <c r="G22" s="189"/>
      <c r="H22" s="31"/>
      <c r="I22" s="32"/>
      <c r="J22" s="40"/>
    </row>
    <row r="23" ht="18" customHeight="1" spans="1:10">
      <c r="A23" s="31"/>
      <c r="B23" s="32">
        <f>G23/(1+C23+E23)</f>
        <v>0</v>
      </c>
      <c r="C23" s="33"/>
      <c r="D23" s="188">
        <f>G23/(1+E23+C23)*C23</f>
        <v>0</v>
      </c>
      <c r="E23" s="33"/>
      <c r="F23" s="32">
        <f>G23/(1+C23+E23)*E23</f>
        <v>0</v>
      </c>
      <c r="G23" s="189"/>
      <c r="H23" s="31"/>
      <c r="I23" s="32"/>
      <c r="J23" s="40"/>
    </row>
    <row r="24" ht="18" customHeight="1" spans="1:10">
      <c r="A24" s="37" t="s">
        <v>22</v>
      </c>
      <c r="B24" s="38">
        <f t="shared" ref="B24:G24" si="3">SUM(B7:B23)</f>
        <v>35326772.3102585</v>
      </c>
      <c r="C24" s="39"/>
      <c r="D24" s="190">
        <f t="shared" si="3"/>
        <v>706535.446205171</v>
      </c>
      <c r="E24" s="39"/>
      <c r="F24" s="190">
        <f t="shared" si="3"/>
        <v>2596692.24353628</v>
      </c>
      <c r="G24" s="190">
        <f t="shared" si="3"/>
        <v>38630000</v>
      </c>
      <c r="H24" s="191"/>
      <c r="I24" s="190">
        <f>SUM(I7:I23)</f>
        <v>33460000</v>
      </c>
      <c r="J24" s="191"/>
    </row>
    <row r="25" ht="18" customHeight="1" spans="1:12">
      <c r="A25" s="6" t="s">
        <v>23</v>
      </c>
      <c r="J25" s="8"/>
      <c r="K25" s="8"/>
      <c r="L25" s="186"/>
    </row>
    <row r="26" ht="18" customHeight="1" spans="1:15">
      <c r="A26" s="41" t="s">
        <v>24</v>
      </c>
      <c r="B26" s="28" t="s">
        <v>25</v>
      </c>
      <c r="C26" s="27" t="s">
        <v>26</v>
      </c>
      <c r="D26" s="27" t="s">
        <v>27</v>
      </c>
      <c r="E26" s="27" t="s">
        <v>15</v>
      </c>
      <c r="F26" s="28" t="s">
        <v>28</v>
      </c>
      <c r="G26" s="28" t="s">
        <v>13</v>
      </c>
      <c r="H26" s="27" t="s">
        <v>29</v>
      </c>
      <c r="I26" s="28" t="s">
        <v>30</v>
      </c>
      <c r="J26" s="27" t="s">
        <v>19</v>
      </c>
      <c r="K26" s="54" t="s">
        <v>31</v>
      </c>
      <c r="L26" s="30" t="s">
        <v>32</v>
      </c>
      <c r="M26" s="30" t="s">
        <v>33</v>
      </c>
      <c r="N26" s="30" t="s">
        <v>34</v>
      </c>
      <c r="O26" s="30" t="s">
        <v>35</v>
      </c>
    </row>
    <row r="27" s="1" customFormat="1" ht="18" customHeight="1" spans="1:15">
      <c r="A27" s="43">
        <v>43070</v>
      </c>
      <c r="B27" s="25">
        <f t="shared" ref="B27:B90" si="4">ROUND(G27/(1+E27),2)</f>
        <v>2830.19</v>
      </c>
      <c r="C27" s="44"/>
      <c r="D27" s="45" t="s">
        <v>36</v>
      </c>
      <c r="E27" s="46">
        <v>0.06</v>
      </c>
      <c r="F27" s="25">
        <f t="shared" ref="F27:F90" si="5">ROUND(G27/(1+E27)*E27,2)</f>
        <v>169.81</v>
      </c>
      <c r="G27" s="189">
        <v>3000</v>
      </c>
      <c r="H27" s="31"/>
      <c r="I27" s="32"/>
      <c r="J27" s="40"/>
      <c r="K27" s="147" t="s">
        <v>37</v>
      </c>
      <c r="L27" s="60" t="s">
        <v>38</v>
      </c>
      <c r="M27" s="61"/>
      <c r="N27" s="61"/>
      <c r="O27" s="60"/>
    </row>
    <row r="28" s="1" customFormat="1" ht="18" customHeight="1" spans="1:15">
      <c r="A28" s="43">
        <v>43071</v>
      </c>
      <c r="B28" s="25">
        <f t="shared" si="4"/>
        <v>3000</v>
      </c>
      <c r="C28" s="44"/>
      <c r="D28" s="45" t="s">
        <v>39</v>
      </c>
      <c r="E28" s="46"/>
      <c r="F28" s="25">
        <f t="shared" si="5"/>
        <v>0</v>
      </c>
      <c r="G28" s="189">
        <v>3000</v>
      </c>
      <c r="H28" s="31"/>
      <c r="I28" s="32"/>
      <c r="J28" s="40"/>
      <c r="K28" s="147"/>
      <c r="L28" s="60" t="s">
        <v>38</v>
      </c>
      <c r="M28" s="61"/>
      <c r="N28" s="61"/>
      <c r="O28" s="60"/>
    </row>
    <row r="29" s="1" customFormat="1" ht="18" customHeight="1" spans="1:15">
      <c r="A29" s="43">
        <v>43072</v>
      </c>
      <c r="B29" s="25">
        <f t="shared" si="4"/>
        <v>12824.53</v>
      </c>
      <c r="C29" s="44"/>
      <c r="D29" s="45" t="s">
        <v>36</v>
      </c>
      <c r="E29" s="46">
        <v>0.06</v>
      </c>
      <c r="F29" s="25">
        <f t="shared" si="5"/>
        <v>769.47</v>
      </c>
      <c r="G29" s="189">
        <v>13594</v>
      </c>
      <c r="H29" s="31"/>
      <c r="I29" s="32"/>
      <c r="J29" s="40"/>
      <c r="K29" s="147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43073</v>
      </c>
      <c r="B30" s="25">
        <f t="shared" si="4"/>
        <v>1206</v>
      </c>
      <c r="C30" s="44"/>
      <c r="D30" s="45" t="s">
        <v>39</v>
      </c>
      <c r="E30" s="46"/>
      <c r="F30" s="25">
        <f t="shared" si="5"/>
        <v>0</v>
      </c>
      <c r="G30" s="189">
        <v>1206</v>
      </c>
      <c r="H30" s="31"/>
      <c r="I30" s="32"/>
      <c r="J30" s="40"/>
      <c r="K30" s="147"/>
      <c r="L30" s="60" t="s">
        <v>42</v>
      </c>
      <c r="M30" s="61"/>
      <c r="N30" s="61"/>
      <c r="O30" s="60"/>
    </row>
    <row r="31" s="1" customFormat="1" ht="18" customHeight="1" spans="1:15">
      <c r="A31" s="43">
        <v>43074</v>
      </c>
      <c r="B31" s="25">
        <f t="shared" si="4"/>
        <v>13191.34</v>
      </c>
      <c r="C31" s="44"/>
      <c r="D31" s="45" t="s">
        <v>39</v>
      </c>
      <c r="E31" s="46"/>
      <c r="F31" s="25">
        <f t="shared" si="5"/>
        <v>0</v>
      </c>
      <c r="G31" s="189">
        <v>13191.34</v>
      </c>
      <c r="H31" s="31"/>
      <c r="I31" s="32"/>
      <c r="J31" s="40"/>
      <c r="K31" s="147"/>
      <c r="L31" s="60" t="s">
        <v>43</v>
      </c>
      <c r="M31" s="61"/>
      <c r="N31" s="61"/>
      <c r="O31" s="60"/>
    </row>
    <row r="32" s="1" customFormat="1" ht="18" customHeight="1" spans="1:15">
      <c r="A32" s="43">
        <v>43149</v>
      </c>
      <c r="B32" s="25">
        <f t="shared" si="4"/>
        <v>1924.53</v>
      </c>
      <c r="C32" s="44"/>
      <c r="D32" s="45" t="s">
        <v>36</v>
      </c>
      <c r="E32" s="46">
        <v>0.06</v>
      </c>
      <c r="F32" s="25">
        <f t="shared" si="5"/>
        <v>115.47</v>
      </c>
      <c r="G32" s="189">
        <v>2040</v>
      </c>
      <c r="H32" s="31"/>
      <c r="I32" s="32"/>
      <c r="J32" s="40"/>
      <c r="K32" s="147" t="s">
        <v>40</v>
      </c>
      <c r="L32" s="60" t="s">
        <v>41</v>
      </c>
      <c r="M32" s="61"/>
      <c r="N32" s="61"/>
      <c r="O32" s="60"/>
    </row>
    <row r="33" s="1" customFormat="1" ht="18" customHeight="1" spans="1:15">
      <c r="A33" s="43">
        <v>43177</v>
      </c>
      <c r="B33" s="25">
        <f t="shared" si="4"/>
        <v>2830.19</v>
      </c>
      <c r="C33" s="44"/>
      <c r="D33" s="45" t="s">
        <v>36</v>
      </c>
      <c r="E33" s="46">
        <v>0.06</v>
      </c>
      <c r="F33" s="25">
        <f t="shared" si="5"/>
        <v>169.81</v>
      </c>
      <c r="G33" s="189">
        <v>3000</v>
      </c>
      <c r="H33" s="31"/>
      <c r="I33" s="32"/>
      <c r="J33" s="40"/>
      <c r="K33" s="147" t="s">
        <v>44</v>
      </c>
      <c r="L33" s="60" t="s">
        <v>45</v>
      </c>
      <c r="M33" s="61"/>
      <c r="N33" s="61"/>
      <c r="O33" s="60"/>
    </row>
    <row r="34" s="1" customFormat="1" ht="18" customHeight="1" spans="1:15">
      <c r="A34" s="43">
        <v>43178</v>
      </c>
      <c r="B34" s="25">
        <f t="shared" si="4"/>
        <v>12529.12</v>
      </c>
      <c r="C34" s="44"/>
      <c r="D34" s="45" t="s">
        <v>39</v>
      </c>
      <c r="E34" s="46"/>
      <c r="F34" s="25">
        <f t="shared" si="5"/>
        <v>0</v>
      </c>
      <c r="G34" s="189">
        <v>12529.12</v>
      </c>
      <c r="H34" s="31"/>
      <c r="I34" s="32"/>
      <c r="J34" s="40"/>
      <c r="K34" s="147"/>
      <c r="L34" s="60" t="s">
        <v>46</v>
      </c>
      <c r="M34" s="61"/>
      <c r="N34" s="61"/>
      <c r="O34" s="60"/>
    </row>
    <row r="35" s="1" customFormat="1" ht="18" customHeight="1" spans="1:15">
      <c r="A35" s="43">
        <v>43177</v>
      </c>
      <c r="B35" s="25">
        <f t="shared" si="4"/>
        <v>7575</v>
      </c>
      <c r="C35" s="44"/>
      <c r="D35" s="45" t="s">
        <v>39</v>
      </c>
      <c r="E35" s="46"/>
      <c r="F35" s="25">
        <f t="shared" si="5"/>
        <v>0</v>
      </c>
      <c r="G35" s="189">
        <v>7575</v>
      </c>
      <c r="H35" s="31"/>
      <c r="I35" s="32"/>
      <c r="J35" s="40"/>
      <c r="K35" s="147"/>
      <c r="L35" s="60" t="s">
        <v>46</v>
      </c>
      <c r="M35" s="61"/>
      <c r="N35" s="61"/>
      <c r="O35" s="60"/>
    </row>
    <row r="36" s="1" customFormat="1" ht="18" customHeight="1" spans="1:15">
      <c r="A36" s="43">
        <v>43238</v>
      </c>
      <c r="B36" s="25">
        <f t="shared" si="4"/>
        <v>4396551.72</v>
      </c>
      <c r="C36" s="44"/>
      <c r="D36" s="45" t="s">
        <v>36</v>
      </c>
      <c r="E36" s="46">
        <v>0.16</v>
      </c>
      <c r="F36" s="25">
        <f t="shared" si="5"/>
        <v>703448.28</v>
      </c>
      <c r="G36" s="189">
        <v>5100000</v>
      </c>
      <c r="H36" s="31">
        <v>43251</v>
      </c>
      <c r="I36" s="32">
        <v>2500000</v>
      </c>
      <c r="J36" s="40" t="s">
        <v>20</v>
      </c>
      <c r="K36" s="147" t="s">
        <v>47</v>
      </c>
      <c r="L36" s="60" t="s">
        <v>48</v>
      </c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 t="s">
        <v>49</v>
      </c>
      <c r="I37" s="32">
        <v>2530768</v>
      </c>
      <c r="J37" s="40" t="s">
        <v>20</v>
      </c>
      <c r="K37" s="147" t="s">
        <v>47</v>
      </c>
      <c r="L37" s="60"/>
      <c r="M37" s="61"/>
      <c r="N37" s="61"/>
      <c r="O37" s="60"/>
    </row>
    <row r="38" s="1" customFormat="1" ht="18" customHeight="1" spans="1:15">
      <c r="A38" s="43"/>
      <c r="B38" s="25">
        <f t="shared" si="4"/>
        <v>0</v>
      </c>
      <c r="C38" s="44"/>
      <c r="D38" s="45"/>
      <c r="E38" s="46"/>
      <c r="F38" s="25">
        <f t="shared" si="5"/>
        <v>0</v>
      </c>
      <c r="G38" s="189"/>
      <c r="H38" s="31" t="s">
        <v>49</v>
      </c>
      <c r="I38" s="32">
        <v>69232</v>
      </c>
      <c r="J38" s="40" t="s">
        <v>20</v>
      </c>
      <c r="K38" s="147" t="s">
        <v>47</v>
      </c>
      <c r="L38" s="60"/>
      <c r="M38" s="61"/>
      <c r="N38" s="61"/>
      <c r="O38" s="60"/>
    </row>
    <row r="39" s="1" customFormat="1" ht="18" customHeight="1" spans="1:15">
      <c r="A39" s="43"/>
      <c r="B39" s="25">
        <f t="shared" si="4"/>
        <v>0</v>
      </c>
      <c r="C39" s="44"/>
      <c r="D39" s="45"/>
      <c r="E39" s="46"/>
      <c r="F39" s="25">
        <f t="shared" si="5"/>
        <v>0</v>
      </c>
      <c r="G39" s="189"/>
      <c r="H39" s="31">
        <v>43252</v>
      </c>
      <c r="I39" s="32">
        <v>-29323</v>
      </c>
      <c r="J39" s="40" t="s">
        <v>21</v>
      </c>
      <c r="K39" s="147" t="s">
        <v>50</v>
      </c>
      <c r="L39" s="60"/>
      <c r="M39" s="61"/>
      <c r="N39" s="61"/>
      <c r="O39" s="60"/>
    </row>
    <row r="40" s="1" customFormat="1" ht="18" customHeight="1" spans="1:15">
      <c r="A40" s="43"/>
      <c r="B40" s="25">
        <f t="shared" si="4"/>
        <v>0</v>
      </c>
      <c r="C40" s="44"/>
      <c r="D40" s="45"/>
      <c r="E40" s="46"/>
      <c r="F40" s="25">
        <f t="shared" si="5"/>
        <v>0</v>
      </c>
      <c r="G40" s="189"/>
      <c r="H40" s="31">
        <v>43255</v>
      </c>
      <c r="I40" s="32">
        <v>-39909</v>
      </c>
      <c r="J40" s="40" t="s">
        <v>21</v>
      </c>
      <c r="K40" s="147" t="s">
        <v>50</v>
      </c>
      <c r="L40" s="60"/>
      <c r="M40" s="61"/>
      <c r="N40" s="61"/>
      <c r="O40" s="60"/>
    </row>
    <row r="41" s="1" customFormat="1" ht="18" customHeight="1" spans="1:15">
      <c r="A41" s="43">
        <v>43269</v>
      </c>
      <c r="B41" s="25">
        <f t="shared" si="4"/>
        <v>5825.24</v>
      </c>
      <c r="C41" s="44"/>
      <c r="D41" s="45" t="s">
        <v>36</v>
      </c>
      <c r="E41" s="46">
        <v>0.03</v>
      </c>
      <c r="F41" s="25">
        <f t="shared" si="5"/>
        <v>174.76</v>
      </c>
      <c r="G41" s="189">
        <v>6000</v>
      </c>
      <c r="H41" s="31">
        <v>43264</v>
      </c>
      <c r="I41" s="32">
        <v>6000</v>
      </c>
      <c r="J41" s="40" t="s">
        <v>20</v>
      </c>
      <c r="K41" s="147" t="s">
        <v>51</v>
      </c>
      <c r="L41" s="60" t="s">
        <v>52</v>
      </c>
      <c r="M41" s="61"/>
      <c r="N41" s="61"/>
      <c r="O41" s="60"/>
    </row>
    <row r="42" s="1" customFormat="1" ht="18" customHeight="1" spans="1:15">
      <c r="A42" s="43"/>
      <c r="B42" s="25">
        <f t="shared" si="4"/>
        <v>0</v>
      </c>
      <c r="C42" s="44"/>
      <c r="D42" s="45"/>
      <c r="E42" s="46"/>
      <c r="F42" s="25">
        <f t="shared" si="5"/>
        <v>0</v>
      </c>
      <c r="G42" s="189"/>
      <c r="H42" s="31">
        <v>43263</v>
      </c>
      <c r="I42" s="32">
        <v>-6000</v>
      </c>
      <c r="J42" s="40" t="s">
        <v>21</v>
      </c>
      <c r="K42" s="147" t="s">
        <v>50</v>
      </c>
      <c r="L42" s="60"/>
      <c r="M42" s="61"/>
      <c r="N42" s="61"/>
      <c r="O42" s="60"/>
    </row>
    <row r="43" s="2" customFormat="1" ht="18" customHeight="1" spans="1:15">
      <c r="A43" s="48">
        <v>43335</v>
      </c>
      <c r="B43" s="25">
        <f t="shared" si="4"/>
        <v>4000000</v>
      </c>
      <c r="C43" s="49"/>
      <c r="D43" s="50" t="s">
        <v>36</v>
      </c>
      <c r="E43" s="46">
        <v>0.03</v>
      </c>
      <c r="F43" s="25">
        <f t="shared" si="5"/>
        <v>120000</v>
      </c>
      <c r="G43" s="189">
        <v>4120000</v>
      </c>
      <c r="H43" s="36">
        <v>43335</v>
      </c>
      <c r="I43" s="188">
        <v>2000000</v>
      </c>
      <c r="J43" s="63" t="s">
        <v>20</v>
      </c>
      <c r="K43" s="148" t="s">
        <v>53</v>
      </c>
      <c r="L43" s="67" t="s">
        <v>54</v>
      </c>
      <c r="M43" s="65"/>
      <c r="N43" s="65"/>
      <c r="O43" s="67"/>
    </row>
    <row r="44" s="2" customFormat="1" ht="18" customHeight="1" spans="1:15">
      <c r="A44" s="48"/>
      <c r="B44" s="25">
        <f t="shared" si="4"/>
        <v>1344.34</v>
      </c>
      <c r="C44" s="49">
        <v>3</v>
      </c>
      <c r="D44" s="50" t="s">
        <v>36</v>
      </c>
      <c r="E44" s="46">
        <v>0.06</v>
      </c>
      <c r="F44" s="25">
        <f t="shared" si="5"/>
        <v>80.66</v>
      </c>
      <c r="G44" s="189">
        <f>285+690+450</f>
        <v>1425</v>
      </c>
      <c r="H44" s="36"/>
      <c r="I44" s="188"/>
      <c r="J44" s="63"/>
      <c r="K44" s="148" t="s">
        <v>55</v>
      </c>
      <c r="L44" s="67" t="s">
        <v>41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6510</v>
      </c>
      <c r="C45" s="49"/>
      <c r="D45" s="50" t="s">
        <v>39</v>
      </c>
      <c r="E45" s="46"/>
      <c r="F45" s="25">
        <f t="shared" si="5"/>
        <v>0</v>
      </c>
      <c r="G45" s="189">
        <v>6510</v>
      </c>
      <c r="H45" s="36"/>
      <c r="I45" s="188"/>
      <c r="J45" s="63"/>
      <c r="K45" s="148" t="s">
        <v>56</v>
      </c>
      <c r="L45" s="67" t="s">
        <v>57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4"/>
        <v>11436.89</v>
      </c>
      <c r="C46" s="49">
        <v>2</v>
      </c>
      <c r="D46" s="50" t="s">
        <v>36</v>
      </c>
      <c r="E46" s="46">
        <v>0.03</v>
      </c>
      <c r="F46" s="25">
        <f t="shared" si="5"/>
        <v>343.11</v>
      </c>
      <c r="G46" s="189">
        <f>7740+4040</f>
        <v>11780</v>
      </c>
      <c r="H46" s="36"/>
      <c r="I46" s="188"/>
      <c r="J46" s="63"/>
      <c r="K46" s="148" t="s">
        <v>58</v>
      </c>
      <c r="L46" s="67" t="s">
        <v>59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4"/>
        <v>1800</v>
      </c>
      <c r="C47" s="49"/>
      <c r="D47" s="50" t="s">
        <v>39</v>
      </c>
      <c r="E47" s="46"/>
      <c r="F47" s="25">
        <f t="shared" si="5"/>
        <v>0</v>
      </c>
      <c r="G47" s="189">
        <v>1800</v>
      </c>
      <c r="H47" s="36"/>
      <c r="I47" s="188"/>
      <c r="J47" s="63"/>
      <c r="K47" s="148" t="s">
        <v>56</v>
      </c>
      <c r="L47" s="67" t="s">
        <v>60</v>
      </c>
      <c r="M47" s="65"/>
      <c r="N47" s="65"/>
      <c r="O47" s="68">
        <v>43335</v>
      </c>
    </row>
    <row r="48" s="2" customFormat="1" ht="18" customHeight="1" spans="1:15">
      <c r="A48" s="48"/>
      <c r="B48" s="25">
        <f t="shared" si="4"/>
        <v>26788.86</v>
      </c>
      <c r="C48" s="49"/>
      <c r="D48" s="50" t="s">
        <v>61</v>
      </c>
      <c r="E48" s="46"/>
      <c r="F48" s="25">
        <f t="shared" si="5"/>
        <v>0</v>
      </c>
      <c r="G48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8" s="36"/>
      <c r="I48" s="188"/>
      <c r="J48" s="63"/>
      <c r="K48" s="148" t="s">
        <v>62</v>
      </c>
      <c r="L48" s="67" t="s">
        <v>63</v>
      </c>
      <c r="M48" s="65"/>
      <c r="N48" s="65"/>
      <c r="O48" s="68">
        <v>43335</v>
      </c>
    </row>
    <row r="49" s="2" customFormat="1" ht="18" customHeight="1" spans="1:15">
      <c r="A49" s="48"/>
      <c r="B49" s="25">
        <f t="shared" si="4"/>
        <v>4285.5</v>
      </c>
      <c r="C49" s="49"/>
      <c r="D49" s="50" t="s">
        <v>61</v>
      </c>
      <c r="E49" s="46"/>
      <c r="F49" s="25">
        <f t="shared" si="5"/>
        <v>0</v>
      </c>
      <c r="G49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9" s="36"/>
      <c r="I49" s="188"/>
      <c r="J49" s="63"/>
      <c r="K49" s="148" t="s">
        <v>62</v>
      </c>
      <c r="L49" s="67" t="s">
        <v>63</v>
      </c>
      <c r="M49" s="65"/>
      <c r="N49" s="65"/>
      <c r="O49" s="68">
        <v>43335</v>
      </c>
    </row>
    <row r="50" s="2" customFormat="1" ht="18" customHeight="1" spans="1:15">
      <c r="A50" s="48"/>
      <c r="B50" s="25">
        <f t="shared" si="4"/>
        <v>9856.03</v>
      </c>
      <c r="C50" s="49"/>
      <c r="D50" s="50" t="s">
        <v>39</v>
      </c>
      <c r="E50" s="46"/>
      <c r="F50" s="25">
        <f t="shared" si="5"/>
        <v>0</v>
      </c>
      <c r="G50" s="189">
        <f>200.03+500+400+286+300+410+910+405+530+300+500+230+280+295+285+400+380+405+200+200+400+425+405+300+310+300+300</f>
        <v>9856.03</v>
      </c>
      <c r="H50" s="36"/>
      <c r="I50" s="188"/>
      <c r="J50" s="63"/>
      <c r="K50" s="148" t="s">
        <v>64</v>
      </c>
      <c r="L50" s="67" t="s">
        <v>43</v>
      </c>
      <c r="M50" s="65"/>
      <c r="N50" s="65"/>
      <c r="O50" s="68">
        <v>43335</v>
      </c>
    </row>
    <row r="51" s="2" customFormat="1" ht="18" customHeight="1" spans="1:15">
      <c r="A51" s="48">
        <v>43435</v>
      </c>
      <c r="B51" s="25">
        <f t="shared" si="4"/>
        <v>53286.79</v>
      </c>
      <c r="C51" s="49"/>
      <c r="D51" s="50" t="s">
        <v>36</v>
      </c>
      <c r="E51" s="46">
        <v>0.06</v>
      </c>
      <c r="F51" s="25">
        <f t="shared" si="5"/>
        <v>3197.21</v>
      </c>
      <c r="G51" s="189">
        <v>56484</v>
      </c>
      <c r="H51" s="36"/>
      <c r="I51" s="188"/>
      <c r="J51" s="63"/>
      <c r="K51" s="148" t="s">
        <v>65</v>
      </c>
      <c r="L51" s="67" t="s">
        <v>66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4"/>
        <v>5825.24</v>
      </c>
      <c r="C52" s="49"/>
      <c r="D52" s="50" t="s">
        <v>36</v>
      </c>
      <c r="E52" s="46">
        <v>0.03</v>
      </c>
      <c r="F52" s="25">
        <f t="shared" si="5"/>
        <v>174.76</v>
      </c>
      <c r="G52" s="189">
        <v>6000</v>
      </c>
      <c r="H52" s="36">
        <v>43369</v>
      </c>
      <c r="I52" s="188">
        <v>6000</v>
      </c>
      <c r="J52" s="63" t="s">
        <v>20</v>
      </c>
      <c r="K52" s="148" t="s">
        <v>51</v>
      </c>
      <c r="L52" s="67" t="s">
        <v>52</v>
      </c>
      <c r="M52" s="65"/>
      <c r="N52" s="65"/>
      <c r="O52" s="67"/>
    </row>
    <row r="53" s="2" customFormat="1" ht="18" customHeight="1" spans="1:15">
      <c r="A53" s="48">
        <v>43313</v>
      </c>
      <c r="B53" s="25">
        <f t="shared" si="4"/>
        <v>4654.31</v>
      </c>
      <c r="C53" s="49"/>
      <c r="D53" s="50" t="s">
        <v>36</v>
      </c>
      <c r="E53" s="46">
        <v>0.16</v>
      </c>
      <c r="F53" s="25">
        <f t="shared" si="5"/>
        <v>744.69</v>
      </c>
      <c r="G53" s="189">
        <v>5399</v>
      </c>
      <c r="H53" s="36">
        <v>43369</v>
      </c>
      <c r="I53" s="188">
        <v>-6000</v>
      </c>
      <c r="J53" s="63" t="s">
        <v>21</v>
      </c>
      <c r="K53" s="148" t="s">
        <v>50</v>
      </c>
      <c r="L53" s="67"/>
      <c r="M53" s="65"/>
      <c r="N53" s="65"/>
      <c r="O53" s="67"/>
    </row>
    <row r="54" s="2" customFormat="1" ht="18" customHeight="1" spans="1:15">
      <c r="A54" s="48">
        <v>43435</v>
      </c>
      <c r="B54" s="25">
        <f t="shared" si="4"/>
        <v>933.96</v>
      </c>
      <c r="C54" s="49"/>
      <c r="D54" s="50" t="s">
        <v>36</v>
      </c>
      <c r="E54" s="46">
        <v>0.06</v>
      </c>
      <c r="F54" s="25">
        <f t="shared" si="5"/>
        <v>56.04</v>
      </c>
      <c r="G54" s="189">
        <f>90+45+855</f>
        <v>990</v>
      </c>
      <c r="H54" s="36"/>
      <c r="I54" s="188"/>
      <c r="J54" s="63"/>
      <c r="K54" s="148" t="s">
        <v>40</v>
      </c>
      <c r="L54" s="67" t="s">
        <v>41</v>
      </c>
      <c r="M54" s="65"/>
      <c r="N54" s="65"/>
      <c r="O54" s="67"/>
    </row>
    <row r="55" s="2" customFormat="1" ht="18" customHeight="1" spans="1:15">
      <c r="A55" s="48">
        <v>43435</v>
      </c>
      <c r="B55" s="25">
        <f t="shared" si="4"/>
        <v>43031</v>
      </c>
      <c r="C55" s="49"/>
      <c r="D55" s="50"/>
      <c r="E55" s="46"/>
      <c r="F55" s="25">
        <f t="shared" si="5"/>
        <v>0</v>
      </c>
      <c r="G55" s="189">
        <v>43031</v>
      </c>
      <c r="H55" s="36"/>
      <c r="I55" s="188"/>
      <c r="J55" s="63"/>
      <c r="K55" s="148" t="s">
        <v>67</v>
      </c>
      <c r="L55" s="67" t="s">
        <v>68</v>
      </c>
      <c r="M55" s="65"/>
      <c r="N55" s="65"/>
      <c r="O55" s="67"/>
    </row>
    <row r="56" s="2" customFormat="1" ht="18" customHeight="1" spans="1:15">
      <c r="A56" s="48">
        <v>43466</v>
      </c>
      <c r="B56" s="25">
        <f t="shared" si="4"/>
        <v>4854368.93</v>
      </c>
      <c r="C56" s="49"/>
      <c r="D56" s="50" t="s">
        <v>36</v>
      </c>
      <c r="E56" s="46">
        <v>0.03</v>
      </c>
      <c r="F56" s="25">
        <f t="shared" si="5"/>
        <v>145631.07</v>
      </c>
      <c r="G56" s="189">
        <f>5*1000000</f>
        <v>5000000</v>
      </c>
      <c r="H56" s="36">
        <v>43339</v>
      </c>
      <c r="I56" s="188">
        <v>2095952</v>
      </c>
      <c r="J56" s="63" t="s">
        <v>20</v>
      </c>
      <c r="K56" s="148" t="s">
        <v>53</v>
      </c>
      <c r="L56" s="67" t="s">
        <v>54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43495</v>
      </c>
      <c r="I57" s="188">
        <v>3464800</v>
      </c>
      <c r="J57" s="63" t="s">
        <v>20</v>
      </c>
      <c r="K57" s="148" t="s">
        <v>53</v>
      </c>
      <c r="L57" s="67" t="s">
        <v>54</v>
      </c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43497</v>
      </c>
      <c r="I58" s="188">
        <v>866800</v>
      </c>
      <c r="J58" s="63" t="s">
        <v>20</v>
      </c>
      <c r="K58" s="148" t="s">
        <v>53</v>
      </c>
      <c r="L58" s="67" t="s">
        <v>54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43629</v>
      </c>
      <c r="I59" s="188">
        <v>84810</v>
      </c>
      <c r="J59" s="63" t="s">
        <v>20</v>
      </c>
      <c r="K59" s="148" t="s">
        <v>69</v>
      </c>
      <c r="L59" s="67" t="s">
        <v>70</v>
      </c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43629</v>
      </c>
      <c r="I60" s="188">
        <v>-84810</v>
      </c>
      <c r="J60" s="63" t="s">
        <v>21</v>
      </c>
      <c r="K60" s="148" t="s">
        <v>50</v>
      </c>
      <c r="L60" s="67"/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43657</v>
      </c>
      <c r="I61" s="188">
        <v>66753</v>
      </c>
      <c r="J61" s="63" t="s">
        <v>20</v>
      </c>
      <c r="K61" s="148" t="s">
        <v>69</v>
      </c>
      <c r="L61" s="67" t="s">
        <v>70</v>
      </c>
      <c r="M61" s="65"/>
      <c r="N61" s="65"/>
      <c r="O61" s="67"/>
    </row>
    <row r="62" s="2" customFormat="1" ht="18" customHeight="1" spans="1:15">
      <c r="A62" s="48"/>
      <c r="B62" s="25">
        <f t="shared" si="4"/>
        <v>0</v>
      </c>
      <c r="C62" s="49"/>
      <c r="D62" s="50"/>
      <c r="E62" s="46"/>
      <c r="F62" s="25">
        <f t="shared" si="5"/>
        <v>0</v>
      </c>
      <c r="G62" s="189"/>
      <c r="H62" s="36">
        <v>43657</v>
      </c>
      <c r="I62" s="188">
        <v>-66753</v>
      </c>
      <c r="J62" s="63" t="s">
        <v>21</v>
      </c>
      <c r="K62" s="148" t="s">
        <v>50</v>
      </c>
      <c r="L62" s="67"/>
      <c r="M62" s="65"/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36">
        <v>43676</v>
      </c>
      <c r="I63" s="188">
        <v>67731.14</v>
      </c>
      <c r="J63" s="63" t="s">
        <v>20</v>
      </c>
      <c r="K63" s="148" t="s">
        <v>69</v>
      </c>
      <c r="L63" s="67" t="s">
        <v>70</v>
      </c>
      <c r="M63" s="65"/>
      <c r="N63" s="65"/>
      <c r="O63" s="67"/>
    </row>
    <row r="64" s="2" customFormat="1" ht="18" customHeight="1" spans="1:15">
      <c r="A64" s="48"/>
      <c r="B64" s="25">
        <f t="shared" si="4"/>
        <v>0</v>
      </c>
      <c r="C64" s="49"/>
      <c r="D64" s="50"/>
      <c r="E64" s="46"/>
      <c r="F64" s="25">
        <f t="shared" si="5"/>
        <v>0</v>
      </c>
      <c r="G64" s="189"/>
      <c r="H64" s="36">
        <v>43671</v>
      </c>
      <c r="I64" s="188">
        <v>-67731.14</v>
      </c>
      <c r="J64" s="63" t="s">
        <v>20</v>
      </c>
      <c r="K64" s="148" t="s">
        <v>71</v>
      </c>
      <c r="L64" s="67" t="s">
        <v>72</v>
      </c>
      <c r="M64" s="65"/>
      <c r="N64" s="65"/>
      <c r="O64" s="67"/>
    </row>
    <row r="65" s="2" customFormat="1" ht="18" customHeight="1" spans="1:15">
      <c r="A65" s="48">
        <v>43678</v>
      </c>
      <c r="B65" s="25">
        <f t="shared" si="4"/>
        <v>1000020</v>
      </c>
      <c r="C65" s="49"/>
      <c r="D65" s="50" t="s">
        <v>73</v>
      </c>
      <c r="E65" s="46"/>
      <c r="F65" s="25">
        <f t="shared" si="5"/>
        <v>0</v>
      </c>
      <c r="G65" s="189">
        <v>1000020</v>
      </c>
      <c r="H65" s="194">
        <v>43676</v>
      </c>
      <c r="I65" s="196">
        <v>500000</v>
      </c>
      <c r="J65" s="201" t="s">
        <v>21</v>
      </c>
      <c r="K65" s="202" t="s">
        <v>74</v>
      </c>
      <c r="L65" s="203" t="s">
        <v>75</v>
      </c>
      <c r="M65" s="201" t="s">
        <v>76</v>
      </c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194">
        <v>43682</v>
      </c>
      <c r="I66" s="196">
        <v>500000</v>
      </c>
      <c r="J66" s="201" t="s">
        <v>21</v>
      </c>
      <c r="K66" s="202" t="s">
        <v>74</v>
      </c>
      <c r="L66" s="204" t="s">
        <v>77</v>
      </c>
      <c r="M66" s="201" t="s">
        <v>76</v>
      </c>
      <c r="N66" s="65"/>
      <c r="O66" s="67"/>
    </row>
    <row r="67" s="2" customFormat="1" ht="18" customHeight="1" spans="1:15">
      <c r="A67" s="48">
        <v>43678</v>
      </c>
      <c r="B67" s="25">
        <f t="shared" si="4"/>
        <v>1000080</v>
      </c>
      <c r="C67" s="49"/>
      <c r="D67" s="50" t="s">
        <v>73</v>
      </c>
      <c r="E67" s="46"/>
      <c r="F67" s="25">
        <f t="shared" si="5"/>
        <v>0</v>
      </c>
      <c r="G67" s="189">
        <v>1000080</v>
      </c>
      <c r="H67" s="194">
        <v>43691</v>
      </c>
      <c r="I67" s="196">
        <v>1000000</v>
      </c>
      <c r="J67" s="201" t="s">
        <v>21</v>
      </c>
      <c r="K67" s="205" t="s">
        <v>78</v>
      </c>
      <c r="L67" s="206" t="s">
        <v>79</v>
      </c>
      <c r="M67" s="201" t="s">
        <v>76</v>
      </c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43692</v>
      </c>
      <c r="I68" s="188">
        <v>-100000</v>
      </c>
      <c r="J68" s="63" t="s">
        <v>21</v>
      </c>
      <c r="K68" s="207" t="s">
        <v>50</v>
      </c>
      <c r="L68" s="208"/>
      <c r="M68" s="56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36">
        <v>43692</v>
      </c>
      <c r="I69" s="188">
        <v>100000</v>
      </c>
      <c r="J69" s="63" t="s">
        <v>20</v>
      </c>
      <c r="K69" s="207" t="s">
        <v>80</v>
      </c>
      <c r="L69" s="208" t="s">
        <v>81</v>
      </c>
      <c r="M69" s="56"/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36">
        <v>43703</v>
      </c>
      <c r="I70" s="188">
        <v>-100000</v>
      </c>
      <c r="J70" s="63" t="s">
        <v>21</v>
      </c>
      <c r="K70" s="207" t="s">
        <v>50</v>
      </c>
      <c r="L70" s="208"/>
      <c r="M70" s="56"/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36">
        <v>43704</v>
      </c>
      <c r="I71" s="188">
        <v>100000</v>
      </c>
      <c r="J71" s="63" t="s">
        <v>20</v>
      </c>
      <c r="K71" s="207" t="s">
        <v>80</v>
      </c>
      <c r="L71" s="67"/>
      <c r="M71" s="65"/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36">
        <v>43717</v>
      </c>
      <c r="I72" s="188">
        <v>-100000</v>
      </c>
      <c r="J72" s="63" t="s">
        <v>21</v>
      </c>
      <c r="K72" s="207" t="s">
        <v>50</v>
      </c>
      <c r="L72" s="67"/>
      <c r="M72" s="65"/>
      <c r="N72" s="65"/>
      <c r="O72" s="67"/>
    </row>
    <row r="73" s="2" customFormat="1" ht="18" customHeight="1" spans="1:15">
      <c r="A73" s="48"/>
      <c r="B73" s="25">
        <f t="shared" si="4"/>
        <v>0</v>
      </c>
      <c r="C73" s="49"/>
      <c r="D73" s="50"/>
      <c r="E73" s="46"/>
      <c r="F73" s="25">
        <f t="shared" si="5"/>
        <v>0</v>
      </c>
      <c r="G73" s="189"/>
      <c r="H73" s="36">
        <v>43718</v>
      </c>
      <c r="I73" s="188">
        <v>100000</v>
      </c>
      <c r="J73" s="63" t="s">
        <v>20</v>
      </c>
      <c r="K73" s="207" t="s">
        <v>80</v>
      </c>
      <c r="L73" s="67"/>
      <c r="M73" s="65"/>
      <c r="N73" s="65"/>
      <c r="O73" s="67"/>
    </row>
    <row r="74" s="2" customFormat="1" ht="18" customHeight="1" spans="1:15">
      <c r="A74" s="48"/>
      <c r="B74" s="25">
        <f t="shared" si="4"/>
        <v>0</v>
      </c>
      <c r="C74" s="49"/>
      <c r="D74" s="50"/>
      <c r="E74" s="46"/>
      <c r="F74" s="25">
        <f t="shared" si="5"/>
        <v>0</v>
      </c>
      <c r="G74" s="189"/>
      <c r="H74" s="194">
        <v>43734</v>
      </c>
      <c r="I74" s="196">
        <v>300000</v>
      </c>
      <c r="J74" s="201" t="s">
        <v>20</v>
      </c>
      <c r="K74" s="202" t="s">
        <v>80</v>
      </c>
      <c r="L74" s="209"/>
      <c r="M74" s="201" t="s">
        <v>76</v>
      </c>
      <c r="N74" s="65"/>
      <c r="O74" s="67"/>
    </row>
    <row r="75" s="2" customFormat="1" ht="18" customHeight="1" spans="1:15">
      <c r="A75" s="48"/>
      <c r="B75" s="25">
        <f t="shared" si="4"/>
        <v>0</v>
      </c>
      <c r="C75" s="49"/>
      <c r="D75" s="50"/>
      <c r="E75" s="46"/>
      <c r="F75" s="25">
        <f t="shared" si="5"/>
        <v>0</v>
      </c>
      <c r="G75" s="189"/>
      <c r="H75" s="195">
        <v>43749</v>
      </c>
      <c r="I75" s="196">
        <v>500000</v>
      </c>
      <c r="J75" s="201" t="s">
        <v>20</v>
      </c>
      <c r="K75" s="202" t="s">
        <v>80</v>
      </c>
      <c r="L75" s="209"/>
      <c r="M75" s="201" t="s">
        <v>76</v>
      </c>
      <c r="N75" s="65"/>
      <c r="O75" s="67"/>
    </row>
    <row r="76" s="2" customFormat="1" ht="18" customHeight="1" spans="1:15">
      <c r="A76" s="48">
        <v>43709</v>
      </c>
      <c r="B76" s="25">
        <f t="shared" si="4"/>
        <v>12426.15</v>
      </c>
      <c r="C76" s="49"/>
      <c r="D76" s="50" t="s">
        <v>39</v>
      </c>
      <c r="E76" s="46"/>
      <c r="F76" s="25">
        <f t="shared" si="5"/>
        <v>0</v>
      </c>
      <c r="G76" s="189">
        <v>12426.15</v>
      </c>
      <c r="H76" s="36"/>
      <c r="I76" s="210"/>
      <c r="J76" s="56"/>
      <c r="K76" s="207" t="s">
        <v>68</v>
      </c>
      <c r="L76" s="82"/>
      <c r="M76" s="56"/>
      <c r="N76" s="65"/>
      <c r="O76" s="67"/>
    </row>
    <row r="77" s="2" customFormat="1" ht="18" customHeight="1" spans="1:15">
      <c r="A77" s="48">
        <v>43709</v>
      </c>
      <c r="B77" s="25">
        <f t="shared" si="4"/>
        <v>10316.04</v>
      </c>
      <c r="C77" s="49"/>
      <c r="D77" s="50" t="s">
        <v>36</v>
      </c>
      <c r="E77" s="70">
        <v>0.06</v>
      </c>
      <c r="F77" s="25">
        <f t="shared" si="5"/>
        <v>618.96</v>
      </c>
      <c r="G77" s="189">
        <v>10935</v>
      </c>
      <c r="H77" s="36"/>
      <c r="I77" s="210"/>
      <c r="J77" s="56"/>
      <c r="K77" s="207" t="s">
        <v>82</v>
      </c>
      <c r="L77" s="82" t="s">
        <v>41</v>
      </c>
      <c r="M77" s="56"/>
      <c r="N77" s="65"/>
      <c r="O77" s="67"/>
    </row>
    <row r="78" s="2" customFormat="1" ht="18" customHeight="1" spans="1:15">
      <c r="A78" s="48">
        <v>43709</v>
      </c>
      <c r="B78" s="25">
        <f t="shared" si="4"/>
        <v>10424.53</v>
      </c>
      <c r="C78" s="49"/>
      <c r="D78" s="50" t="s">
        <v>36</v>
      </c>
      <c r="E78" s="70">
        <v>0.06</v>
      </c>
      <c r="F78" s="25">
        <f t="shared" si="5"/>
        <v>625.47</v>
      </c>
      <c r="G78" s="189">
        <v>11050</v>
      </c>
      <c r="H78" s="36"/>
      <c r="I78" s="210"/>
      <c r="J78" s="56"/>
      <c r="K78" s="207" t="s">
        <v>82</v>
      </c>
      <c r="L78" s="82" t="s">
        <v>52</v>
      </c>
      <c r="M78" s="56"/>
      <c r="N78" s="65"/>
      <c r="O78" s="67"/>
    </row>
    <row r="79" s="2" customFormat="1" ht="18" customHeight="1" spans="1:15">
      <c r="A79" s="48">
        <v>43709</v>
      </c>
      <c r="B79" s="25">
        <f t="shared" si="4"/>
        <v>80009.43</v>
      </c>
      <c r="C79" s="49"/>
      <c r="D79" s="50" t="s">
        <v>36</v>
      </c>
      <c r="E79" s="70">
        <v>0.06</v>
      </c>
      <c r="F79" s="25">
        <f t="shared" si="5"/>
        <v>4800.57</v>
      </c>
      <c r="G79" s="189">
        <v>84810</v>
      </c>
      <c r="H79" s="36"/>
      <c r="I79" s="210"/>
      <c r="J79" s="56"/>
      <c r="K79" s="207" t="s">
        <v>69</v>
      </c>
      <c r="L79" s="82" t="s">
        <v>83</v>
      </c>
      <c r="M79" s="56"/>
      <c r="N79" s="65"/>
      <c r="O79" s="67"/>
    </row>
    <row r="80" s="2" customFormat="1" ht="18" customHeight="1" spans="1:15">
      <c r="A80" s="48">
        <v>43709</v>
      </c>
      <c r="B80" s="25">
        <f t="shared" si="4"/>
        <v>63897.3</v>
      </c>
      <c r="C80" s="49"/>
      <c r="D80" s="50" t="s">
        <v>36</v>
      </c>
      <c r="E80" s="70">
        <v>0.06</v>
      </c>
      <c r="F80" s="25">
        <f t="shared" si="5"/>
        <v>3833.84</v>
      </c>
      <c r="G80" s="189">
        <v>67731.14</v>
      </c>
      <c r="H80" s="36"/>
      <c r="I80" s="210"/>
      <c r="J80" s="56"/>
      <c r="K80" s="207" t="s">
        <v>69</v>
      </c>
      <c r="L80" s="82" t="s">
        <v>83</v>
      </c>
      <c r="M80" s="56"/>
      <c r="N80" s="65"/>
      <c r="O80" s="67"/>
    </row>
    <row r="81" s="2" customFormat="1" ht="18" customHeight="1" spans="1:15">
      <c r="A81" s="48">
        <v>43739</v>
      </c>
      <c r="B81" s="25">
        <f t="shared" si="4"/>
        <v>443071.38</v>
      </c>
      <c r="C81" s="49"/>
      <c r="D81" s="50" t="s">
        <v>36</v>
      </c>
      <c r="E81" s="70">
        <v>0.13</v>
      </c>
      <c r="F81" s="25">
        <f t="shared" si="5"/>
        <v>57599.28</v>
      </c>
      <c r="G81" s="189">
        <v>500670.66</v>
      </c>
      <c r="H81" s="36">
        <v>43769</v>
      </c>
      <c r="I81" s="188">
        <v>200000</v>
      </c>
      <c r="J81" s="63" t="s">
        <v>20</v>
      </c>
      <c r="K81" s="207" t="s">
        <v>80</v>
      </c>
      <c r="L81" s="82" t="s">
        <v>84</v>
      </c>
      <c r="M81" s="56"/>
      <c r="N81" s="65"/>
      <c r="O81" s="67"/>
    </row>
    <row r="82" s="2" customFormat="1" ht="18" customHeight="1" spans="1:15">
      <c r="A82" s="48">
        <v>43739</v>
      </c>
      <c r="B82" s="25">
        <f t="shared" si="4"/>
        <v>257787.35</v>
      </c>
      <c r="C82" s="49"/>
      <c r="D82" s="50" t="s">
        <v>36</v>
      </c>
      <c r="E82" s="70">
        <v>0.13</v>
      </c>
      <c r="F82" s="196">
        <f t="shared" si="5"/>
        <v>33512.35</v>
      </c>
      <c r="G82" s="189">
        <v>291299.7</v>
      </c>
      <c r="H82" s="36"/>
      <c r="I82" s="210"/>
      <c r="J82" s="63" t="s">
        <v>20</v>
      </c>
      <c r="K82" s="207" t="s">
        <v>80</v>
      </c>
      <c r="L82" s="82" t="s">
        <v>85</v>
      </c>
      <c r="M82" s="56"/>
      <c r="N82" s="65"/>
      <c r="O82" s="67"/>
    </row>
    <row r="83" s="2" customFormat="1" ht="18" customHeight="1" spans="1:15">
      <c r="A83" s="48"/>
      <c r="B83" s="25">
        <f t="shared" si="4"/>
        <v>0</v>
      </c>
      <c r="C83" s="49"/>
      <c r="D83" s="50"/>
      <c r="E83" s="70"/>
      <c r="F83" s="25">
        <f t="shared" si="5"/>
        <v>0</v>
      </c>
      <c r="G83" s="189"/>
      <c r="H83" s="36">
        <v>43769</v>
      </c>
      <c r="I83" s="188">
        <v>600000</v>
      </c>
      <c r="J83" s="63" t="s">
        <v>20</v>
      </c>
      <c r="K83" s="148" t="s">
        <v>53</v>
      </c>
      <c r="L83" s="67" t="s">
        <v>54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4"/>
        <v>500010</v>
      </c>
      <c r="C84" s="49"/>
      <c r="D84" s="50" t="s">
        <v>73</v>
      </c>
      <c r="E84" s="70"/>
      <c r="F84" s="25">
        <f t="shared" si="5"/>
        <v>0</v>
      </c>
      <c r="G84" s="189">
        <v>500010</v>
      </c>
      <c r="H84" s="36">
        <v>43773</v>
      </c>
      <c r="I84" s="188">
        <v>500010</v>
      </c>
      <c r="J84" s="63" t="s">
        <v>21</v>
      </c>
      <c r="K84" s="207" t="s">
        <v>74</v>
      </c>
      <c r="L84" s="82" t="s">
        <v>86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300000</v>
      </c>
      <c r="C85" s="49"/>
      <c r="D85" s="50" t="s">
        <v>73</v>
      </c>
      <c r="E85" s="70"/>
      <c r="F85" s="25">
        <f t="shared" si="5"/>
        <v>0</v>
      </c>
      <c r="G85" s="189">
        <v>300000</v>
      </c>
      <c r="H85" s="36">
        <v>43773</v>
      </c>
      <c r="I85" s="188">
        <v>300000</v>
      </c>
      <c r="J85" s="63" t="s">
        <v>21</v>
      </c>
      <c r="K85" s="207" t="s">
        <v>87</v>
      </c>
      <c r="L85" s="82" t="s">
        <v>88</v>
      </c>
      <c r="M85" s="56"/>
      <c r="N85" s="65"/>
      <c r="O85" s="67"/>
    </row>
    <row r="86" s="2" customFormat="1" ht="18" customHeight="1" spans="1:15">
      <c r="A86" s="48">
        <v>43770</v>
      </c>
      <c r="B86" s="25">
        <f t="shared" si="4"/>
        <v>300000</v>
      </c>
      <c r="C86" s="49"/>
      <c r="D86" s="50" t="s">
        <v>73</v>
      </c>
      <c r="E86" s="70"/>
      <c r="F86" s="25">
        <f t="shared" si="5"/>
        <v>0</v>
      </c>
      <c r="G86" s="189">
        <v>300000</v>
      </c>
      <c r="H86" s="36">
        <v>43773</v>
      </c>
      <c r="I86" s="188">
        <v>300000</v>
      </c>
      <c r="J86" s="63" t="s">
        <v>21</v>
      </c>
      <c r="K86" s="207" t="s">
        <v>89</v>
      </c>
      <c r="L86" s="82" t="s">
        <v>88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300060</v>
      </c>
      <c r="C87" s="49"/>
      <c r="D87" s="50" t="s">
        <v>73</v>
      </c>
      <c r="E87" s="70"/>
      <c r="F87" s="25">
        <f t="shared" si="5"/>
        <v>0</v>
      </c>
      <c r="G87" s="189">
        <v>300060</v>
      </c>
      <c r="H87" s="36">
        <v>43773</v>
      </c>
      <c r="I87" s="188">
        <v>300060</v>
      </c>
      <c r="J87" s="63" t="s">
        <v>21</v>
      </c>
      <c r="K87" s="207" t="s">
        <v>90</v>
      </c>
      <c r="L87" s="82" t="s">
        <v>91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si="4"/>
        <v>0</v>
      </c>
      <c r="C88" s="49"/>
      <c r="D88" s="50"/>
      <c r="E88" s="70"/>
      <c r="F88" s="25">
        <f t="shared" si="5"/>
        <v>0</v>
      </c>
      <c r="G88" s="189"/>
      <c r="H88" s="36">
        <v>43773</v>
      </c>
      <c r="I88" s="188">
        <v>500000</v>
      </c>
      <c r="J88" s="63" t="s">
        <v>20</v>
      </c>
      <c r="K88" s="207" t="s">
        <v>92</v>
      </c>
      <c r="L88" s="82" t="s">
        <v>93</v>
      </c>
      <c r="M88" s="56"/>
      <c r="N88" s="65"/>
      <c r="O88" s="67"/>
    </row>
    <row r="89" s="2" customFormat="1" ht="18" customHeight="1" spans="1:15">
      <c r="A89" s="48"/>
      <c r="B89" s="25">
        <f t="shared" si="4"/>
        <v>0</v>
      </c>
      <c r="C89" s="49"/>
      <c r="D89" s="50"/>
      <c r="E89" s="70"/>
      <c r="F89" s="25">
        <f t="shared" si="5"/>
        <v>0</v>
      </c>
      <c r="G89" s="189"/>
      <c r="H89" s="36">
        <v>43775</v>
      </c>
      <c r="I89" s="188">
        <v>800000</v>
      </c>
      <c r="J89" s="63" t="s">
        <v>20</v>
      </c>
      <c r="K89" s="207" t="s">
        <v>94</v>
      </c>
      <c r="L89" s="82" t="s">
        <v>95</v>
      </c>
      <c r="M89" s="56"/>
      <c r="N89" s="65"/>
      <c r="O89" s="67"/>
    </row>
    <row r="90" s="2" customFormat="1" ht="18" customHeight="1" spans="1:15">
      <c r="A90" s="48">
        <v>43770</v>
      </c>
      <c r="B90" s="25">
        <f t="shared" si="4"/>
        <v>1165048.54</v>
      </c>
      <c r="C90" s="49"/>
      <c r="D90" s="50" t="s">
        <v>36</v>
      </c>
      <c r="E90" s="70">
        <v>0.03</v>
      </c>
      <c r="F90" s="197">
        <f t="shared" si="5"/>
        <v>34951.46</v>
      </c>
      <c r="G90" s="189">
        <f>96000*12+48000</f>
        <v>1200000</v>
      </c>
      <c r="H90" s="36">
        <v>43776</v>
      </c>
      <c r="I90" s="188">
        <v>400000</v>
      </c>
      <c r="J90" s="63" t="s">
        <v>20</v>
      </c>
      <c r="K90" s="207" t="s">
        <v>94</v>
      </c>
      <c r="L90" s="82" t="s">
        <v>95</v>
      </c>
      <c r="M90" s="56"/>
      <c r="N90" s="65"/>
      <c r="O90" s="67"/>
    </row>
    <row r="91" s="2" customFormat="1" ht="18" customHeight="1" spans="1:15">
      <c r="A91" s="48">
        <v>43770</v>
      </c>
      <c r="B91" s="25">
        <f t="shared" ref="B91:B93" si="6">ROUND(G91/(1+E91),2)</f>
        <v>326256.05</v>
      </c>
      <c r="C91" s="49"/>
      <c r="D91" s="50" t="s">
        <v>36</v>
      </c>
      <c r="E91" s="70">
        <v>0.13</v>
      </c>
      <c r="F91" s="197">
        <f t="shared" ref="F91:F93" si="7">ROUND(G91/(1+E91)*E91,2)</f>
        <v>42413.29</v>
      </c>
      <c r="G91" s="189">
        <v>368669.34</v>
      </c>
      <c r="H91" s="36"/>
      <c r="I91" s="210"/>
      <c r="J91" s="56"/>
      <c r="K91" s="207" t="s">
        <v>80</v>
      </c>
      <c r="L91" s="82" t="s">
        <v>96</v>
      </c>
      <c r="M91" s="56"/>
      <c r="N91" s="65"/>
      <c r="O91" s="67"/>
    </row>
    <row r="92" s="2" customFormat="1" ht="18" customHeight="1" spans="1:15">
      <c r="A92" s="48">
        <v>43770</v>
      </c>
      <c r="B92" s="25">
        <f t="shared" si="6"/>
        <v>199980</v>
      </c>
      <c r="C92" s="49"/>
      <c r="D92" s="50" t="s">
        <v>73</v>
      </c>
      <c r="E92" s="70"/>
      <c r="F92" s="25">
        <f t="shared" si="7"/>
        <v>0</v>
      </c>
      <c r="G92" s="189">
        <v>199980</v>
      </c>
      <c r="H92" s="195">
        <v>43784</v>
      </c>
      <c r="I92" s="196">
        <v>199980</v>
      </c>
      <c r="J92" s="201" t="s">
        <v>21</v>
      </c>
      <c r="K92" s="202" t="s">
        <v>97</v>
      </c>
      <c r="L92" s="204" t="s">
        <v>98</v>
      </c>
      <c r="M92" s="56" t="s">
        <v>76</v>
      </c>
      <c r="N92" s="65"/>
      <c r="O92" s="67"/>
    </row>
    <row r="93" s="3" customFormat="1" ht="18" customHeight="1" spans="1:15">
      <c r="A93" s="74">
        <v>43770</v>
      </c>
      <c r="B93" s="25">
        <f t="shared" si="6"/>
        <v>442477.88</v>
      </c>
      <c r="C93" s="75"/>
      <c r="D93" s="76" t="s">
        <v>36</v>
      </c>
      <c r="E93" s="77">
        <v>0.13</v>
      </c>
      <c r="F93" s="197">
        <f t="shared" si="7"/>
        <v>57522.12</v>
      </c>
      <c r="G93" s="198">
        <v>500000</v>
      </c>
      <c r="H93" s="36"/>
      <c r="I93" s="188"/>
      <c r="J93" s="63"/>
      <c r="K93" s="207" t="s">
        <v>92</v>
      </c>
      <c r="L93" s="82" t="s">
        <v>99</v>
      </c>
      <c r="M93" s="63" t="s">
        <v>100</v>
      </c>
      <c r="N93" s="63"/>
      <c r="O93" s="82"/>
    </row>
    <row r="94" s="3" customFormat="1" ht="18" customHeight="1" spans="1:15">
      <c r="A94" s="74"/>
      <c r="B94" s="25"/>
      <c r="C94" s="75"/>
      <c r="D94" s="76"/>
      <c r="E94" s="77"/>
      <c r="F94" s="25"/>
      <c r="G94" s="198"/>
      <c r="H94" s="36">
        <v>43819</v>
      </c>
      <c r="I94" s="188">
        <v>92448</v>
      </c>
      <c r="J94" s="63" t="s">
        <v>20</v>
      </c>
      <c r="K94" s="148" t="s">
        <v>53</v>
      </c>
      <c r="L94" s="67" t="s">
        <v>54</v>
      </c>
      <c r="M94" s="63"/>
      <c r="N94" s="63"/>
      <c r="O94" s="82"/>
    </row>
    <row r="95" s="3" customFormat="1" ht="18" customHeight="1" spans="1:15">
      <c r="A95" s="74"/>
      <c r="B95" s="25">
        <f t="shared" ref="B95:B103" si="8">ROUND(G95/(1+E95),2)</f>
        <v>0</v>
      </c>
      <c r="C95" s="75"/>
      <c r="D95" s="76"/>
      <c r="E95" s="77"/>
      <c r="F95" s="25">
        <f t="shared" ref="F95:F103" si="9">ROUND(G95/(1+E95)*E95,2)</f>
        <v>0</v>
      </c>
      <c r="G95" s="198"/>
      <c r="H95" s="36">
        <v>43829</v>
      </c>
      <c r="I95" s="188">
        <v>800000</v>
      </c>
      <c r="J95" s="63" t="s">
        <v>20</v>
      </c>
      <c r="K95" s="207" t="s">
        <v>80</v>
      </c>
      <c r="L95" s="82" t="s">
        <v>81</v>
      </c>
      <c r="M95" s="63"/>
      <c r="N95" s="63"/>
      <c r="O95" s="82"/>
    </row>
    <row r="96" s="3" customFormat="1" ht="18" customHeight="1" spans="1:15">
      <c r="A96" s="74">
        <v>43800</v>
      </c>
      <c r="B96" s="25">
        <f t="shared" si="8"/>
        <v>650987.86</v>
      </c>
      <c r="C96" s="75"/>
      <c r="D96" s="76" t="s">
        <v>36</v>
      </c>
      <c r="E96" s="77">
        <v>0.13</v>
      </c>
      <c r="F96" s="25">
        <f t="shared" si="9"/>
        <v>84628.42</v>
      </c>
      <c r="G96" s="198">
        <v>735616.28</v>
      </c>
      <c r="H96" s="36"/>
      <c r="I96" s="188"/>
      <c r="J96" s="63"/>
      <c r="K96" s="207" t="s">
        <v>80</v>
      </c>
      <c r="L96" s="82" t="s">
        <v>101</v>
      </c>
      <c r="M96" s="63" t="s">
        <v>100</v>
      </c>
      <c r="N96" s="63"/>
      <c r="O96" s="82"/>
    </row>
    <row r="97" s="3" customFormat="1" ht="18" customHeight="1" spans="1:15">
      <c r="A97" s="74">
        <v>43800</v>
      </c>
      <c r="B97" s="25">
        <f t="shared" si="8"/>
        <v>5825242.72</v>
      </c>
      <c r="C97" s="75"/>
      <c r="D97" s="50" t="s">
        <v>36</v>
      </c>
      <c r="E97" s="70">
        <v>0.03</v>
      </c>
      <c r="F97" s="25">
        <f t="shared" si="9"/>
        <v>174757.28</v>
      </c>
      <c r="G97" s="198">
        <f>1000000*6</f>
        <v>6000000</v>
      </c>
      <c r="H97" s="36">
        <v>43843</v>
      </c>
      <c r="I97" s="188">
        <v>1000000</v>
      </c>
      <c r="J97" s="63" t="s">
        <v>20</v>
      </c>
      <c r="K97" s="207" t="s">
        <v>53</v>
      </c>
      <c r="L97" s="82" t="s">
        <v>54</v>
      </c>
      <c r="M97" s="63" t="s">
        <v>100</v>
      </c>
      <c r="N97" s="63"/>
      <c r="O97" s="82" t="s">
        <v>102</v>
      </c>
    </row>
    <row r="98" s="3" customFormat="1" ht="18" customHeight="1" spans="1:15">
      <c r="A98" s="74">
        <v>43831</v>
      </c>
      <c r="B98" s="25">
        <f t="shared" si="8"/>
        <v>3623633.45</v>
      </c>
      <c r="C98" s="75"/>
      <c r="D98" s="50" t="s">
        <v>36</v>
      </c>
      <c r="E98" s="77">
        <v>0.09</v>
      </c>
      <c r="F98" s="25">
        <f t="shared" si="9"/>
        <v>326127.01</v>
      </c>
      <c r="G98" s="198">
        <f>1000000*3+949760.46</f>
        <v>3949760.46</v>
      </c>
      <c r="H98" s="36">
        <v>43844</v>
      </c>
      <c r="I98" s="188">
        <v>500000</v>
      </c>
      <c r="J98" s="63" t="s">
        <v>20</v>
      </c>
      <c r="K98" s="207" t="s">
        <v>103</v>
      </c>
      <c r="L98" s="82" t="s">
        <v>54</v>
      </c>
      <c r="M98" s="63" t="s">
        <v>100</v>
      </c>
      <c r="N98" s="63"/>
      <c r="O98" s="82"/>
    </row>
    <row r="99" s="3" customFormat="1" ht="18" customHeight="1" spans="1:15">
      <c r="A99" s="74"/>
      <c r="B99" s="25">
        <f t="shared" si="8"/>
        <v>0</v>
      </c>
      <c r="C99" s="75"/>
      <c r="D99" s="76"/>
      <c r="E99" s="77"/>
      <c r="F99" s="25">
        <f t="shared" si="9"/>
        <v>0</v>
      </c>
      <c r="G99" s="198"/>
      <c r="H99" s="36">
        <v>43845</v>
      </c>
      <c r="I99" s="188">
        <v>2000000</v>
      </c>
      <c r="J99" s="63" t="s">
        <v>20</v>
      </c>
      <c r="K99" s="207" t="s">
        <v>103</v>
      </c>
      <c r="L99" s="82" t="s">
        <v>54</v>
      </c>
      <c r="M99" s="63"/>
      <c r="N99" s="63"/>
      <c r="O99" s="82"/>
    </row>
    <row r="100" s="3" customFormat="1" ht="18" customHeight="1" spans="1:15">
      <c r="A100" s="74"/>
      <c r="B100" s="25">
        <f t="shared" si="8"/>
        <v>0</v>
      </c>
      <c r="C100" s="75"/>
      <c r="D100" s="76"/>
      <c r="E100" s="77"/>
      <c r="F100" s="25">
        <f t="shared" si="9"/>
        <v>0</v>
      </c>
      <c r="G100" s="198"/>
      <c r="H100" s="36">
        <v>43849</v>
      </c>
      <c r="I100" s="188">
        <v>1449760.46</v>
      </c>
      <c r="J100" s="63" t="s">
        <v>20</v>
      </c>
      <c r="K100" s="207" t="s">
        <v>103</v>
      </c>
      <c r="L100" s="82" t="s">
        <v>54</v>
      </c>
      <c r="M100" s="63"/>
      <c r="N100" s="63"/>
      <c r="O100" s="82"/>
    </row>
    <row r="101" s="3" customFormat="1" ht="18" customHeight="1" spans="1:15">
      <c r="A101" s="74">
        <v>43831</v>
      </c>
      <c r="B101" s="25">
        <f t="shared" si="8"/>
        <v>600000</v>
      </c>
      <c r="C101" s="75"/>
      <c r="D101" s="50" t="s">
        <v>73</v>
      </c>
      <c r="E101" s="77"/>
      <c r="F101" s="25">
        <f t="shared" si="9"/>
        <v>0</v>
      </c>
      <c r="G101" s="188">
        <v>600000</v>
      </c>
      <c r="H101" s="36">
        <v>43850</v>
      </c>
      <c r="I101" s="188">
        <v>600000</v>
      </c>
      <c r="J101" s="63" t="s">
        <v>21</v>
      </c>
      <c r="K101" s="207" t="s">
        <v>89</v>
      </c>
      <c r="L101" s="82" t="s">
        <v>104</v>
      </c>
      <c r="M101" s="63"/>
      <c r="N101" s="63"/>
      <c r="O101" s="82"/>
    </row>
    <row r="102" s="3" customFormat="1" ht="18" customHeight="1" spans="1:15">
      <c r="A102" s="74">
        <v>43831</v>
      </c>
      <c r="B102" s="25">
        <f t="shared" si="8"/>
        <v>600000</v>
      </c>
      <c r="C102" s="75"/>
      <c r="D102" s="50" t="s">
        <v>73</v>
      </c>
      <c r="E102" s="77"/>
      <c r="F102" s="25">
        <f t="shared" si="9"/>
        <v>0</v>
      </c>
      <c r="G102" s="188">
        <v>600000</v>
      </c>
      <c r="H102" s="36">
        <v>43850</v>
      </c>
      <c r="I102" s="188">
        <v>600000</v>
      </c>
      <c r="J102" s="63" t="s">
        <v>21</v>
      </c>
      <c r="K102" s="207" t="s">
        <v>87</v>
      </c>
      <c r="L102" s="82" t="s">
        <v>104</v>
      </c>
      <c r="M102" s="63"/>
      <c r="N102" s="63"/>
      <c r="O102" s="82"/>
    </row>
    <row r="103" s="3" customFormat="1" ht="18" customHeight="1" spans="1:15">
      <c r="A103" s="74">
        <v>43891</v>
      </c>
      <c r="B103" s="25">
        <f t="shared" si="8"/>
        <v>530100</v>
      </c>
      <c r="C103" s="75"/>
      <c r="D103" s="50" t="s">
        <v>73</v>
      </c>
      <c r="E103" s="77"/>
      <c r="F103" s="25">
        <f t="shared" si="9"/>
        <v>0</v>
      </c>
      <c r="G103" s="188">
        <v>530100</v>
      </c>
      <c r="H103" s="36">
        <v>43903</v>
      </c>
      <c r="I103" s="188">
        <v>530000</v>
      </c>
      <c r="J103" s="63" t="s">
        <v>21</v>
      </c>
      <c r="K103" s="207" t="s">
        <v>105</v>
      </c>
      <c r="L103" s="82" t="s">
        <v>77</v>
      </c>
      <c r="M103" s="63"/>
      <c r="N103" s="63"/>
      <c r="O103" s="82"/>
    </row>
    <row r="104" s="3" customFormat="1" ht="18" customHeight="1" spans="1:15">
      <c r="A104" s="74">
        <v>43952</v>
      </c>
      <c r="B104" s="25">
        <f>298648.6+188837.04+318653.29</f>
        <v>806138.93</v>
      </c>
      <c r="C104" s="75">
        <v>3</v>
      </c>
      <c r="D104" s="50" t="s">
        <v>36</v>
      </c>
      <c r="E104" s="77">
        <v>0.13</v>
      </c>
      <c r="F104" s="25">
        <f>38824.32+24548.82+41424.93</f>
        <v>104798.07</v>
      </c>
      <c r="G104" s="198">
        <f>337472.92+213385.86+360078.22</f>
        <v>910937</v>
      </c>
      <c r="H104" s="36">
        <v>43903</v>
      </c>
      <c r="I104" s="188">
        <v>200000</v>
      </c>
      <c r="J104" s="63" t="s">
        <v>20</v>
      </c>
      <c r="K104" s="207" t="s">
        <v>80</v>
      </c>
      <c r="L104" s="82" t="s">
        <v>169</v>
      </c>
      <c r="M104" s="63" t="s">
        <v>100</v>
      </c>
      <c r="N104" s="63" t="s">
        <v>100</v>
      </c>
      <c r="O104" s="82"/>
    </row>
    <row r="105" s="3" customFormat="1" ht="18" customHeight="1" spans="1:15">
      <c r="A105" s="74"/>
      <c r="B105" s="25">
        <f t="shared" ref="B105:B168" si="10">ROUND(G105/(1+E105),2)</f>
        <v>0</v>
      </c>
      <c r="C105" s="75"/>
      <c r="D105" s="50"/>
      <c r="E105" s="77"/>
      <c r="F105" s="25">
        <f t="shared" ref="F105:F168" si="11">ROUND(G105/(1+E105)*E105,2)</f>
        <v>0</v>
      </c>
      <c r="G105" s="198"/>
      <c r="H105" s="36">
        <v>43950</v>
      </c>
      <c r="I105" s="188">
        <v>400000</v>
      </c>
      <c r="J105" s="63" t="s">
        <v>20</v>
      </c>
      <c r="K105" s="207" t="s">
        <v>155</v>
      </c>
      <c r="L105" s="82" t="s">
        <v>81</v>
      </c>
      <c r="M105" s="63"/>
      <c r="N105"/>
      <c r="O105" s="82"/>
    </row>
    <row r="106" s="3" customFormat="1" ht="18" customHeight="1" spans="1:15">
      <c r="A106" s="74"/>
      <c r="B106" s="25">
        <f t="shared" si="10"/>
        <v>0</v>
      </c>
      <c r="C106" s="75"/>
      <c r="D106" s="50"/>
      <c r="E106" s="77"/>
      <c r="F106" s="25">
        <f t="shared" si="11"/>
        <v>0</v>
      </c>
      <c r="G106" s="198"/>
      <c r="H106" s="36">
        <v>43951</v>
      </c>
      <c r="I106" s="188">
        <v>970000</v>
      </c>
      <c r="J106" s="63" t="s">
        <v>21</v>
      </c>
      <c r="K106" s="207" t="s">
        <v>105</v>
      </c>
      <c r="L106" s="82"/>
      <c r="M106" s="63"/>
      <c r="N106" s="63"/>
      <c r="O106" s="82"/>
    </row>
    <row r="107" s="3" customFormat="1" ht="18" customHeight="1" spans="1:15">
      <c r="A107" s="74"/>
      <c r="B107" s="25">
        <f t="shared" si="10"/>
        <v>0</v>
      </c>
      <c r="C107" s="75"/>
      <c r="D107" s="50"/>
      <c r="E107" s="77"/>
      <c r="F107" s="25">
        <f t="shared" si="11"/>
        <v>0</v>
      </c>
      <c r="G107" s="198"/>
      <c r="H107" s="36">
        <v>43966</v>
      </c>
      <c r="I107" s="188">
        <v>150000</v>
      </c>
      <c r="J107" s="63" t="s">
        <v>20</v>
      </c>
      <c r="K107" s="207" t="s">
        <v>155</v>
      </c>
      <c r="L107" s="82" t="s">
        <v>81</v>
      </c>
      <c r="M107" s="63"/>
      <c r="N107" s="63"/>
      <c r="O107" s="82"/>
    </row>
    <row r="108" s="3" customFormat="1" ht="17.1" customHeight="1" spans="1:15">
      <c r="A108" s="74">
        <v>44013</v>
      </c>
      <c r="B108" s="25">
        <f t="shared" si="10"/>
        <v>2632.08</v>
      </c>
      <c r="C108" s="75">
        <v>1</v>
      </c>
      <c r="D108" s="50" t="s">
        <v>36</v>
      </c>
      <c r="E108" s="77">
        <v>0.06</v>
      </c>
      <c r="F108" s="25">
        <f t="shared" si="11"/>
        <v>157.92</v>
      </c>
      <c r="G108" s="198">
        <v>2790</v>
      </c>
      <c r="H108" s="36"/>
      <c r="I108" s="188"/>
      <c r="J108" s="63"/>
      <c r="K108" s="211" t="s">
        <v>156</v>
      </c>
      <c r="L108" s="212" t="s">
        <v>52</v>
      </c>
      <c r="M108" s="56" t="s">
        <v>171</v>
      </c>
      <c r="N108" s="63"/>
      <c r="O108" s="82"/>
    </row>
    <row r="109" s="3" customFormat="1" ht="17.1" customHeight="1" spans="1:15">
      <c r="A109" s="74"/>
      <c r="B109" s="25">
        <f t="shared" si="10"/>
        <v>0</v>
      </c>
      <c r="C109" s="75"/>
      <c r="D109" s="50"/>
      <c r="E109" s="77"/>
      <c r="F109" s="25">
        <f t="shared" si="11"/>
        <v>0</v>
      </c>
      <c r="G109" s="198"/>
      <c r="H109" s="36">
        <v>43993</v>
      </c>
      <c r="I109" s="188">
        <v>100000</v>
      </c>
      <c r="J109" s="63"/>
      <c r="K109" s="207" t="s">
        <v>155</v>
      </c>
      <c r="L109" s="82"/>
      <c r="M109" s="63"/>
      <c r="N109" s="63"/>
      <c r="O109" s="82"/>
    </row>
    <row r="110" s="3" customFormat="1" ht="17.1" customHeight="1" spans="1:15">
      <c r="A110" s="74"/>
      <c r="B110" s="25">
        <f t="shared" si="10"/>
        <v>0</v>
      </c>
      <c r="C110" s="75"/>
      <c r="D110" s="50"/>
      <c r="E110" s="77"/>
      <c r="F110" s="25">
        <f t="shared" si="11"/>
        <v>0</v>
      </c>
      <c r="G110" s="198"/>
      <c r="H110" s="36">
        <v>43994</v>
      </c>
      <c r="I110" s="188">
        <v>1000000</v>
      </c>
      <c r="J110" s="63"/>
      <c r="K110" s="213" t="s">
        <v>53</v>
      </c>
      <c r="L110" s="82" t="s">
        <v>54</v>
      </c>
      <c r="M110" s="63"/>
      <c r="N110" s="63"/>
      <c r="O110" s="82"/>
    </row>
    <row r="111" s="3" customFormat="1" ht="17.1" customHeight="1" spans="1:15">
      <c r="A111" s="74"/>
      <c r="B111" s="25">
        <f t="shared" si="10"/>
        <v>0</v>
      </c>
      <c r="C111" s="75"/>
      <c r="D111" s="50"/>
      <c r="E111" s="77"/>
      <c r="F111" s="25">
        <f t="shared" si="11"/>
        <v>0</v>
      </c>
      <c r="G111" s="198"/>
      <c r="H111" s="36">
        <v>44000</v>
      </c>
      <c r="I111" s="214">
        <v>500000</v>
      </c>
      <c r="J111" s="63" t="s">
        <v>20</v>
      </c>
      <c r="K111" s="171" t="s">
        <v>166</v>
      </c>
      <c r="L111" s="82"/>
      <c r="M111" s="63"/>
      <c r="N111" s="63"/>
      <c r="O111" s="82"/>
    </row>
    <row r="112" s="3" customFormat="1" ht="17.1" customHeight="1" spans="1:15">
      <c r="A112" s="74">
        <v>44013</v>
      </c>
      <c r="B112" s="25">
        <f t="shared" si="10"/>
        <v>600040</v>
      </c>
      <c r="C112" s="75"/>
      <c r="D112" s="50" t="s">
        <v>173</v>
      </c>
      <c r="E112" s="77"/>
      <c r="F112" s="25">
        <f t="shared" si="11"/>
        <v>0</v>
      </c>
      <c r="G112" s="198">
        <v>600040</v>
      </c>
      <c r="H112" s="36">
        <v>44000</v>
      </c>
      <c r="I112" s="214">
        <v>600040</v>
      </c>
      <c r="J112" s="63" t="s">
        <v>20</v>
      </c>
      <c r="K112" s="171" t="s">
        <v>74</v>
      </c>
      <c r="L112" s="82" t="s">
        <v>174</v>
      </c>
      <c r="M112" s="63"/>
      <c r="N112" s="63"/>
      <c r="O112" s="82" t="s">
        <v>175</v>
      </c>
    </row>
    <row r="113" s="3" customFormat="1" ht="17.1" customHeight="1" spans="1:15">
      <c r="A113" s="74">
        <v>44013</v>
      </c>
      <c r="B113" s="25">
        <f t="shared" si="10"/>
        <v>600120</v>
      </c>
      <c r="C113" s="75"/>
      <c r="D113" s="50" t="s">
        <v>173</v>
      </c>
      <c r="E113" s="77"/>
      <c r="F113" s="25">
        <f t="shared" si="11"/>
        <v>0</v>
      </c>
      <c r="G113" s="198">
        <v>600120</v>
      </c>
      <c r="H113" s="36">
        <v>44000</v>
      </c>
      <c r="I113" s="214">
        <v>600120</v>
      </c>
      <c r="J113" s="63" t="s">
        <v>20</v>
      </c>
      <c r="K113" s="171" t="s">
        <v>78</v>
      </c>
      <c r="L113" s="82" t="s">
        <v>176</v>
      </c>
      <c r="M113" s="63"/>
      <c r="N113" s="63"/>
      <c r="O113" s="82" t="s">
        <v>177</v>
      </c>
    </row>
    <row r="114" s="3" customFormat="1" ht="17.1" customHeight="1" spans="1:15">
      <c r="A114" s="74">
        <v>44013</v>
      </c>
      <c r="B114" s="25">
        <f t="shared" si="10"/>
        <v>300000</v>
      </c>
      <c r="C114" s="75"/>
      <c r="D114" s="50" t="s">
        <v>173</v>
      </c>
      <c r="E114" s="77"/>
      <c r="F114" s="25">
        <f t="shared" si="11"/>
        <v>0</v>
      </c>
      <c r="G114" s="198">
        <v>300000</v>
      </c>
      <c r="H114" s="36">
        <v>44000</v>
      </c>
      <c r="I114" s="214">
        <v>300000</v>
      </c>
      <c r="J114" s="63" t="s">
        <v>20</v>
      </c>
      <c r="K114" s="171" t="s">
        <v>89</v>
      </c>
      <c r="L114" s="82" t="s">
        <v>178</v>
      </c>
      <c r="M114" t="s">
        <v>100</v>
      </c>
      <c r="N114" s="63"/>
      <c r="O114" s="82" t="s">
        <v>179</v>
      </c>
    </row>
    <row r="115" s="3" customFormat="1" ht="17.1" customHeight="1" spans="1:15">
      <c r="A115" s="74">
        <v>44013</v>
      </c>
      <c r="B115" s="25">
        <f t="shared" si="10"/>
        <v>300000</v>
      </c>
      <c r="C115" s="75"/>
      <c r="D115" s="50" t="s">
        <v>173</v>
      </c>
      <c r="E115" s="77"/>
      <c r="F115" s="25">
        <f t="shared" si="11"/>
        <v>0</v>
      </c>
      <c r="G115" s="198">
        <v>300000</v>
      </c>
      <c r="H115" s="36">
        <v>44001</v>
      </c>
      <c r="I115" s="214">
        <v>300000</v>
      </c>
      <c r="J115" s="63" t="s">
        <v>20</v>
      </c>
      <c r="K115" s="171" t="s">
        <v>87</v>
      </c>
      <c r="L115" s="82" t="s">
        <v>178</v>
      </c>
      <c r="M115" t="s">
        <v>100</v>
      </c>
      <c r="N115" s="63"/>
      <c r="O115" s="82" t="s">
        <v>180</v>
      </c>
    </row>
    <row r="116" s="3" customFormat="1" ht="18" customHeight="1" spans="1:15">
      <c r="A116" s="74"/>
      <c r="B116" s="25">
        <f t="shared" si="10"/>
        <v>0</v>
      </c>
      <c r="C116" s="75"/>
      <c r="D116" s="50"/>
      <c r="E116" s="77"/>
      <c r="F116" s="25">
        <f t="shared" si="11"/>
        <v>0</v>
      </c>
      <c r="G116" s="198"/>
      <c r="H116" s="199">
        <v>44005</v>
      </c>
      <c r="I116" s="215">
        <v>170000</v>
      </c>
      <c r="J116" s="216" t="s">
        <v>20</v>
      </c>
      <c r="K116" s="217" t="s">
        <v>155</v>
      </c>
      <c r="L116" s="82"/>
      <c r="M116" s="63"/>
      <c r="N116" s="63"/>
      <c r="O116" s="82"/>
    </row>
    <row r="117" s="3" customFormat="1" ht="18" customHeight="1" spans="1:15">
      <c r="A117" s="74"/>
      <c r="B117" s="25">
        <f t="shared" si="10"/>
        <v>0</v>
      </c>
      <c r="C117" s="75"/>
      <c r="D117" s="50"/>
      <c r="E117" s="77"/>
      <c r="F117" s="25">
        <f t="shared" si="11"/>
        <v>0</v>
      </c>
      <c r="G117" s="198"/>
      <c r="H117" s="200">
        <v>44012</v>
      </c>
      <c r="I117" s="218">
        <v>1000000</v>
      </c>
      <c r="J117" s="219" t="s">
        <v>164</v>
      </c>
      <c r="K117" s="220" t="s">
        <v>80</v>
      </c>
      <c r="L117" s="221" t="s">
        <v>81</v>
      </c>
      <c r="M117" s="219" t="s">
        <v>76</v>
      </c>
      <c r="N117" s="63"/>
      <c r="O117" s="82"/>
    </row>
    <row r="118" s="3" customFormat="1" ht="18" customHeight="1" spans="1:15">
      <c r="A118" s="74"/>
      <c r="B118" s="25">
        <f t="shared" si="10"/>
        <v>0</v>
      </c>
      <c r="C118" s="75"/>
      <c r="D118" s="50"/>
      <c r="E118" s="77"/>
      <c r="F118" s="25">
        <f t="shared" si="11"/>
        <v>0</v>
      </c>
      <c r="G118" s="198"/>
      <c r="H118" s="200">
        <v>44019</v>
      </c>
      <c r="I118" s="218">
        <v>500000</v>
      </c>
      <c r="J118" s="219"/>
      <c r="K118" s="220" t="s">
        <v>80</v>
      </c>
      <c r="L118" s="208"/>
      <c r="M118" s="219" t="s">
        <v>76</v>
      </c>
      <c r="N118" s="63"/>
      <c r="O118" s="82"/>
    </row>
    <row r="119" s="3" customFormat="1" ht="18" customHeight="1" spans="1:15">
      <c r="A119" s="74">
        <v>44013</v>
      </c>
      <c r="B119" s="25">
        <f t="shared" si="10"/>
        <v>505080.8</v>
      </c>
      <c r="C119" s="75"/>
      <c r="D119" s="50" t="s">
        <v>173</v>
      </c>
      <c r="E119" s="77"/>
      <c r="F119" s="25">
        <f t="shared" si="11"/>
        <v>0</v>
      </c>
      <c r="G119" s="198">
        <v>505080.8</v>
      </c>
      <c r="H119" s="200">
        <v>44019</v>
      </c>
      <c r="I119" s="218">
        <v>500000</v>
      </c>
      <c r="J119" s="219" t="s">
        <v>20</v>
      </c>
      <c r="K119" s="222" t="s">
        <v>74</v>
      </c>
      <c r="L119" s="208" t="s">
        <v>181</v>
      </c>
      <c r="M119" s="219" t="s">
        <v>76</v>
      </c>
      <c r="N119" s="63"/>
      <c r="O119" s="82" t="s">
        <v>182</v>
      </c>
    </row>
    <row r="120" s="3" customFormat="1" ht="18" customHeight="1" spans="1:15">
      <c r="A120" s="74">
        <v>44013</v>
      </c>
      <c r="B120" s="25">
        <f t="shared" si="10"/>
        <v>970000</v>
      </c>
      <c r="C120" s="75"/>
      <c r="D120" s="50" t="s">
        <v>173</v>
      </c>
      <c r="E120" s="77"/>
      <c r="F120" s="25">
        <f t="shared" si="11"/>
        <v>0</v>
      </c>
      <c r="G120" s="198">
        <v>970000</v>
      </c>
      <c r="H120" s="200"/>
      <c r="I120" s="218"/>
      <c r="J120" s="219"/>
      <c r="K120" s="207" t="s">
        <v>105</v>
      </c>
      <c r="L120" s="82" t="s">
        <v>183</v>
      </c>
      <c r="M120" s="219"/>
      <c r="N120" s="63"/>
      <c r="O120" s="82" t="s">
        <v>184</v>
      </c>
    </row>
    <row r="121" s="3" customFormat="1" ht="18" customHeight="1" spans="1:15">
      <c r="A121" s="74">
        <v>44013</v>
      </c>
      <c r="B121" s="25">
        <f t="shared" si="10"/>
        <v>458715.6</v>
      </c>
      <c r="C121" s="75"/>
      <c r="D121" s="50" t="s">
        <v>36</v>
      </c>
      <c r="E121" s="77">
        <v>0.09</v>
      </c>
      <c r="F121" s="25">
        <f t="shared" si="11"/>
        <v>41284.4</v>
      </c>
      <c r="G121" s="198">
        <v>500000</v>
      </c>
      <c r="H121" s="200"/>
      <c r="I121" s="218"/>
      <c r="J121" s="219"/>
      <c r="K121" s="171" t="s">
        <v>166</v>
      </c>
      <c r="L121" s="82" t="s">
        <v>185</v>
      </c>
      <c r="M121" t="s">
        <v>100</v>
      </c>
      <c r="N121" s="63"/>
      <c r="O121" s="82"/>
    </row>
    <row r="122" s="3" customFormat="1" ht="18" customHeight="1" spans="1:15">
      <c r="A122" s="74">
        <v>44044</v>
      </c>
      <c r="B122" s="25">
        <f t="shared" si="10"/>
        <v>1039119.43</v>
      </c>
      <c r="C122" s="75"/>
      <c r="D122" s="50" t="s">
        <v>36</v>
      </c>
      <c r="E122" s="77">
        <v>0.13</v>
      </c>
      <c r="F122" s="25">
        <f t="shared" si="11"/>
        <v>135085.53</v>
      </c>
      <c r="G122" s="198">
        <f>304573.99+869630.97</f>
        <v>1174204.96</v>
      </c>
      <c r="H122" s="200"/>
      <c r="I122" s="218"/>
      <c r="J122" s="219"/>
      <c r="K122" s="171" t="s">
        <v>80</v>
      </c>
      <c r="L122" s="82" t="s">
        <v>186</v>
      </c>
      <c r="M122" t="s">
        <v>100</v>
      </c>
      <c r="N122" s="63" t="s">
        <v>100</v>
      </c>
      <c r="O122" s="82"/>
    </row>
    <row r="123" s="3" customFormat="1" ht="18" customHeight="1" spans="1:15">
      <c r="A123" s="74">
        <v>44044</v>
      </c>
      <c r="B123" s="25">
        <f t="shared" si="10"/>
        <v>875700</v>
      </c>
      <c r="C123" s="75"/>
      <c r="D123" s="50" t="s">
        <v>173</v>
      </c>
      <c r="E123" s="77"/>
      <c r="F123" s="25">
        <f t="shared" si="11"/>
        <v>0</v>
      </c>
      <c r="G123" s="198">
        <v>875700</v>
      </c>
      <c r="H123" s="199">
        <v>44068</v>
      </c>
      <c r="I123" s="226">
        <v>875700</v>
      </c>
      <c r="J123" s="227" t="s">
        <v>21</v>
      </c>
      <c r="K123" s="228" t="s">
        <v>78</v>
      </c>
      <c r="L123" s="82" t="s">
        <v>188</v>
      </c>
      <c r="M123"/>
      <c r="N123" s="63" t="s">
        <v>100</v>
      </c>
      <c r="O123" s="82"/>
    </row>
    <row r="124" s="3" customFormat="1" ht="18" customHeight="1" spans="1:15">
      <c r="A124" s="74">
        <v>44044</v>
      </c>
      <c r="B124" s="25">
        <f t="shared" si="10"/>
        <v>194850</v>
      </c>
      <c r="C124" s="75"/>
      <c r="D124" s="50" t="s">
        <v>173</v>
      </c>
      <c r="E124" s="77"/>
      <c r="F124" s="25">
        <f t="shared" si="11"/>
        <v>0</v>
      </c>
      <c r="G124" s="198">
        <v>194850</v>
      </c>
      <c r="H124" s="200"/>
      <c r="I124" s="226">
        <v>194850</v>
      </c>
      <c r="J124" s="201"/>
      <c r="K124" s="260" t="s">
        <v>74</v>
      </c>
      <c r="L124" s="208" t="s">
        <v>189</v>
      </c>
      <c r="M124"/>
      <c r="N124" s="63" t="s">
        <v>100</v>
      </c>
      <c r="O124" s="82"/>
    </row>
    <row r="125" s="3" customFormat="1" ht="18" customHeight="1" spans="1:15">
      <c r="A125" s="74"/>
      <c r="B125" s="25">
        <f t="shared" si="10"/>
        <v>0</v>
      </c>
      <c r="C125" s="75"/>
      <c r="D125" s="50"/>
      <c r="E125" s="77"/>
      <c r="F125" s="25">
        <f t="shared" si="11"/>
        <v>0</v>
      </c>
      <c r="G125" s="198"/>
      <c r="H125" s="199">
        <v>44069</v>
      </c>
      <c r="I125" s="226">
        <v>500000</v>
      </c>
      <c r="J125" s="227" t="s">
        <v>20</v>
      </c>
      <c r="K125" s="228" t="s">
        <v>53</v>
      </c>
      <c r="L125" s="208"/>
      <c r="M125"/>
      <c r="N125" s="63"/>
      <c r="O125" s="82"/>
    </row>
    <row r="126" s="3" customFormat="1" ht="18" customHeight="1" spans="1:15">
      <c r="A126" s="74"/>
      <c r="B126" s="25">
        <f t="shared" si="10"/>
        <v>0</v>
      </c>
      <c r="C126" s="75"/>
      <c r="D126" s="50"/>
      <c r="E126" s="77"/>
      <c r="F126" s="25">
        <f t="shared" si="11"/>
        <v>0</v>
      </c>
      <c r="G126" s="198"/>
      <c r="H126" s="199">
        <v>44068</v>
      </c>
      <c r="I126" s="226">
        <v>28242</v>
      </c>
      <c r="J126" s="227" t="s">
        <v>20</v>
      </c>
      <c r="K126" s="228" t="s">
        <v>65</v>
      </c>
      <c r="L126" s="208"/>
      <c r="M126"/>
      <c r="N126" s="63"/>
      <c r="O126" s="82"/>
    </row>
    <row r="127" s="3" customFormat="1" ht="18" customHeight="1" spans="1:15">
      <c r="A127" s="74"/>
      <c r="B127" s="25">
        <f t="shared" si="10"/>
        <v>0</v>
      </c>
      <c r="C127" s="75"/>
      <c r="D127" s="50"/>
      <c r="E127" s="77"/>
      <c r="F127" s="25">
        <f t="shared" si="11"/>
        <v>0</v>
      </c>
      <c r="G127" s="198"/>
      <c r="H127" s="200"/>
      <c r="I127" s="218"/>
      <c r="J127" s="219"/>
      <c r="K127" s="171"/>
      <c r="L127" s="208"/>
      <c r="M127"/>
      <c r="N127" s="63"/>
      <c r="O127" s="82"/>
    </row>
    <row r="128" s="3" customFormat="1" ht="18" customHeight="1" spans="1:15">
      <c r="A128" s="74"/>
      <c r="B128" s="25">
        <f t="shared" si="10"/>
        <v>0</v>
      </c>
      <c r="C128" s="75"/>
      <c r="D128" s="50"/>
      <c r="E128" s="77"/>
      <c r="F128" s="25">
        <f t="shared" si="11"/>
        <v>0</v>
      </c>
      <c r="G128" s="198"/>
      <c r="H128" s="200"/>
      <c r="I128" s="218"/>
      <c r="J128" s="219"/>
      <c r="K128" s="171"/>
      <c r="L128" s="208"/>
      <c r="M128"/>
      <c r="N128" s="63"/>
      <c r="O128" s="82"/>
    </row>
    <row r="129" s="3" customFormat="1" ht="18" customHeight="1" spans="1:15">
      <c r="A129" s="74"/>
      <c r="B129" s="25">
        <f t="shared" si="10"/>
        <v>0</v>
      </c>
      <c r="C129" s="75"/>
      <c r="D129" s="50"/>
      <c r="E129" s="77"/>
      <c r="F129" s="25">
        <f t="shared" si="11"/>
        <v>0</v>
      </c>
      <c r="G129" s="198"/>
      <c r="H129" s="200"/>
      <c r="I129" s="218"/>
      <c r="J129" s="219"/>
      <c r="K129" s="171"/>
      <c r="L129" s="208"/>
      <c r="M129"/>
      <c r="N129" s="63"/>
      <c r="O129" s="82"/>
    </row>
    <row r="130" s="3" customFormat="1" ht="18" customHeight="1" spans="1:15">
      <c r="A130" s="74"/>
      <c r="B130" s="25">
        <f t="shared" si="10"/>
        <v>0</v>
      </c>
      <c r="C130" s="75"/>
      <c r="D130" s="50"/>
      <c r="E130" s="77"/>
      <c r="F130" s="25">
        <f t="shared" si="11"/>
        <v>0</v>
      </c>
      <c r="G130" s="198"/>
      <c r="H130" s="195">
        <v>44060</v>
      </c>
      <c r="I130" s="226">
        <v>350</v>
      </c>
      <c r="J130" s="176" t="s">
        <v>106</v>
      </c>
      <c r="K130" s="260" t="s">
        <v>110</v>
      </c>
      <c r="L130" s="208"/>
      <c r="M130"/>
      <c r="N130" s="63"/>
      <c r="O130" s="82"/>
    </row>
    <row r="131" s="3" customFormat="1" ht="18" customHeight="1" spans="1:15">
      <c r="A131" s="74"/>
      <c r="B131" s="25">
        <f t="shared" si="10"/>
        <v>0</v>
      </c>
      <c r="C131" s="75"/>
      <c r="D131" s="50"/>
      <c r="E131" s="77"/>
      <c r="F131" s="25">
        <f t="shared" si="11"/>
        <v>0</v>
      </c>
      <c r="G131" s="198"/>
      <c r="H131" s="195">
        <v>44060</v>
      </c>
      <c r="I131" s="226">
        <v>5480</v>
      </c>
      <c r="J131" s="176" t="s">
        <v>106</v>
      </c>
      <c r="K131" s="261" t="s">
        <v>190</v>
      </c>
      <c r="L131" s="208"/>
      <c r="M131"/>
      <c r="N131" s="63"/>
      <c r="O131" s="82"/>
    </row>
    <row r="132" s="3" customFormat="1" ht="18" customHeight="1" spans="1:15">
      <c r="A132" s="74"/>
      <c r="B132" s="25">
        <f t="shared" si="10"/>
        <v>0</v>
      </c>
      <c r="C132" s="75"/>
      <c r="D132" s="50"/>
      <c r="E132" s="77"/>
      <c r="F132" s="25">
        <f t="shared" si="11"/>
        <v>0</v>
      </c>
      <c r="G132" s="198"/>
      <c r="H132" s="195">
        <v>44060</v>
      </c>
      <c r="I132" s="226">
        <v>34400</v>
      </c>
      <c r="J132" s="176" t="s">
        <v>106</v>
      </c>
      <c r="K132" s="205" t="s">
        <v>191</v>
      </c>
      <c r="L132" s="208"/>
      <c r="M132"/>
      <c r="N132" s="63"/>
      <c r="O132" s="82"/>
    </row>
    <row r="133" s="3" customFormat="1" ht="18" customHeight="1" spans="1:15">
      <c r="A133" s="74"/>
      <c r="B133" s="25">
        <f t="shared" si="10"/>
        <v>0</v>
      </c>
      <c r="C133" s="75"/>
      <c r="D133" s="50"/>
      <c r="E133" s="77"/>
      <c r="F133" s="25">
        <f t="shared" si="11"/>
        <v>0</v>
      </c>
      <c r="G133" s="198"/>
      <c r="H133" s="195">
        <v>44060</v>
      </c>
      <c r="I133" s="226">
        <v>947</v>
      </c>
      <c r="J133" s="227" t="s">
        <v>106</v>
      </c>
      <c r="K133" s="205" t="s">
        <v>123</v>
      </c>
      <c r="L133" s="208"/>
      <c r="M133"/>
      <c r="N133" s="63"/>
      <c r="O133" s="82"/>
    </row>
    <row r="134" s="3" customFormat="1" ht="18" customHeight="1" spans="1:15">
      <c r="A134" s="74"/>
      <c r="B134" s="25">
        <f t="shared" si="10"/>
        <v>1720</v>
      </c>
      <c r="C134" s="75"/>
      <c r="D134" s="50"/>
      <c r="E134" s="77"/>
      <c r="F134" s="25">
        <f t="shared" si="11"/>
        <v>0</v>
      </c>
      <c r="G134" s="198">
        <f>I134</f>
        <v>1720</v>
      </c>
      <c r="H134" s="195">
        <v>44060</v>
      </c>
      <c r="I134" s="262">
        <v>1720</v>
      </c>
      <c r="J134" s="227" t="s">
        <v>106</v>
      </c>
      <c r="K134" s="260" t="s">
        <v>135</v>
      </c>
      <c r="L134" s="82"/>
      <c r="M134" s="63"/>
      <c r="N134" s="63"/>
      <c r="O134" s="82"/>
    </row>
    <row r="135" s="3" customFormat="1" ht="18" customHeight="1" spans="1:15">
      <c r="A135" s="74"/>
      <c r="B135" s="25">
        <f t="shared" si="10"/>
        <v>6880</v>
      </c>
      <c r="C135" s="75"/>
      <c r="D135" s="50"/>
      <c r="E135" s="77"/>
      <c r="F135" s="25">
        <f t="shared" si="11"/>
        <v>0</v>
      </c>
      <c r="G135" s="198">
        <f>I135</f>
        <v>6880</v>
      </c>
      <c r="H135" s="195">
        <v>44060</v>
      </c>
      <c r="I135" s="262">
        <v>6880</v>
      </c>
      <c r="J135" s="227" t="s">
        <v>106</v>
      </c>
      <c r="K135" s="260" t="s">
        <v>135</v>
      </c>
      <c r="L135" s="82"/>
      <c r="M135" s="63"/>
      <c r="N135" s="63"/>
      <c r="O135" s="82"/>
    </row>
    <row r="136" s="3" customFormat="1" ht="18" customHeight="1" spans="1:15">
      <c r="A136" s="74"/>
      <c r="B136" s="25">
        <f t="shared" si="10"/>
        <v>0</v>
      </c>
      <c r="C136" s="75"/>
      <c r="D136" s="50"/>
      <c r="E136" s="77"/>
      <c r="F136" s="25">
        <f t="shared" si="11"/>
        <v>0</v>
      </c>
      <c r="G136" s="198"/>
      <c r="H136" s="199">
        <v>44019</v>
      </c>
      <c r="I136" s="215">
        <v>200</v>
      </c>
      <c r="J136" s="230" t="s">
        <v>106</v>
      </c>
      <c r="K136" s="225" t="s">
        <v>110</v>
      </c>
      <c r="L136" s="82"/>
      <c r="M136" s="63"/>
      <c r="N136" s="63"/>
      <c r="O136" s="82"/>
    </row>
    <row r="137" s="3" customFormat="1" ht="18" customHeight="1" spans="1:15">
      <c r="A137" s="74"/>
      <c r="B137" s="25">
        <f t="shared" si="10"/>
        <v>0</v>
      </c>
      <c r="C137" s="75"/>
      <c r="D137" s="50"/>
      <c r="E137" s="77"/>
      <c r="F137" s="25">
        <f t="shared" si="11"/>
        <v>0</v>
      </c>
      <c r="G137" s="198"/>
      <c r="H137" s="200">
        <v>44012</v>
      </c>
      <c r="I137" s="218">
        <v>-2000000</v>
      </c>
      <c r="J137" s="219"/>
      <c r="K137" s="221" t="s">
        <v>162</v>
      </c>
      <c r="L137" s="82"/>
      <c r="M137" s="63"/>
      <c r="N137" s="63"/>
      <c r="O137" s="82"/>
    </row>
    <row r="138" s="3" customFormat="1" ht="18" customHeight="1" spans="1:15">
      <c r="A138" s="74"/>
      <c r="B138" s="25">
        <f t="shared" si="10"/>
        <v>0</v>
      </c>
      <c r="C138" s="75"/>
      <c r="D138" s="50"/>
      <c r="E138" s="77"/>
      <c r="F138" s="25">
        <f t="shared" si="11"/>
        <v>0</v>
      </c>
      <c r="G138" s="198"/>
      <c r="H138" s="199">
        <v>44012</v>
      </c>
      <c r="I138" s="233">
        <v>100</v>
      </c>
      <c r="J138" s="216" t="s">
        <v>106</v>
      </c>
      <c r="K138" s="234" t="s">
        <v>110</v>
      </c>
      <c r="L138" s="82"/>
      <c r="M138" s="63"/>
      <c r="N138" s="63"/>
      <c r="O138" s="82"/>
    </row>
    <row r="139" s="3" customFormat="1" ht="17.1" customHeight="1" spans="1:15">
      <c r="A139" s="74"/>
      <c r="B139" s="25">
        <f t="shared" si="10"/>
        <v>0</v>
      </c>
      <c r="C139" s="75"/>
      <c r="D139" s="50"/>
      <c r="E139" s="77"/>
      <c r="F139" s="25">
        <f t="shared" si="11"/>
        <v>0</v>
      </c>
      <c r="G139" s="198"/>
      <c r="H139" s="199">
        <v>44005</v>
      </c>
      <c r="I139" s="233">
        <v>100</v>
      </c>
      <c r="J139" s="216" t="s">
        <v>106</v>
      </c>
      <c r="K139" s="234" t="s">
        <v>110</v>
      </c>
      <c r="L139" s="82"/>
      <c r="M139" s="63"/>
      <c r="N139" s="63"/>
      <c r="O139" s="82"/>
    </row>
    <row r="140" s="3" customFormat="1" ht="17.1" customHeight="1" spans="1:15">
      <c r="A140" s="74"/>
      <c r="B140" s="25">
        <f t="shared" si="10"/>
        <v>0</v>
      </c>
      <c r="C140" s="75"/>
      <c r="D140" s="50"/>
      <c r="E140" s="77"/>
      <c r="F140" s="25">
        <f t="shared" si="11"/>
        <v>0</v>
      </c>
      <c r="G140" s="198"/>
      <c r="H140" s="36">
        <v>44001</v>
      </c>
      <c r="I140" s="82">
        <v>100</v>
      </c>
      <c r="J140" s="63" t="s">
        <v>106</v>
      </c>
      <c r="K140" s="82" t="s">
        <v>110</v>
      </c>
      <c r="L140" s="82"/>
      <c r="M140" s="63"/>
      <c r="N140" s="63"/>
      <c r="O140" s="82"/>
    </row>
    <row r="141" s="3" customFormat="1" ht="17.1" customHeight="1" spans="1:15">
      <c r="A141" s="74"/>
      <c r="B141" s="25">
        <f t="shared" si="10"/>
        <v>0</v>
      </c>
      <c r="C141" s="75"/>
      <c r="D141" s="50"/>
      <c r="E141" s="77"/>
      <c r="F141" s="25">
        <f t="shared" si="11"/>
        <v>0</v>
      </c>
      <c r="G141" s="198"/>
      <c r="H141" s="36">
        <v>44000</v>
      </c>
      <c r="I141" s="82">
        <v>100</v>
      </c>
      <c r="J141" s="63" t="s">
        <v>106</v>
      </c>
      <c r="K141" s="82" t="s">
        <v>110</v>
      </c>
      <c r="L141" s="82"/>
      <c r="M141" s="63"/>
      <c r="N141" s="63"/>
      <c r="O141" s="82"/>
    </row>
    <row r="142" s="3" customFormat="1" ht="17.1" customHeight="1" spans="1:15">
      <c r="A142" s="74"/>
      <c r="B142" s="25">
        <f t="shared" si="10"/>
        <v>0</v>
      </c>
      <c r="C142" s="75"/>
      <c r="D142" s="50"/>
      <c r="E142" s="77"/>
      <c r="F142" s="25">
        <f t="shared" si="11"/>
        <v>0</v>
      </c>
      <c r="G142" s="198"/>
      <c r="H142" s="36">
        <v>44000</v>
      </c>
      <c r="I142" s="82">
        <v>300</v>
      </c>
      <c r="J142" s="65" t="s">
        <v>106</v>
      </c>
      <c r="K142" s="207" t="s">
        <v>110</v>
      </c>
      <c r="L142" s="82"/>
      <c r="M142" s="63"/>
      <c r="N142" s="63"/>
      <c r="O142" s="82"/>
    </row>
    <row r="143" s="3" customFormat="1" ht="17.1" customHeight="1" spans="1:15">
      <c r="A143" s="74"/>
      <c r="B143" s="25">
        <f t="shared" si="10"/>
        <v>0</v>
      </c>
      <c r="C143" s="75"/>
      <c r="D143" s="50"/>
      <c r="E143" s="77"/>
      <c r="F143" s="25">
        <f t="shared" si="11"/>
        <v>0</v>
      </c>
      <c r="G143" s="198"/>
      <c r="H143" s="36">
        <v>43994</v>
      </c>
      <c r="I143" s="235">
        <v>100</v>
      </c>
      <c r="J143" s="65" t="s">
        <v>106</v>
      </c>
      <c r="K143" s="207" t="s">
        <v>110</v>
      </c>
      <c r="L143" s="82"/>
      <c r="M143" s="63"/>
      <c r="N143" s="63"/>
      <c r="O143" s="82"/>
    </row>
    <row r="144" s="3" customFormat="1" ht="18" customHeight="1" spans="1:15">
      <c r="A144" s="74"/>
      <c r="B144" s="25">
        <f t="shared" si="10"/>
        <v>0</v>
      </c>
      <c r="C144" s="75"/>
      <c r="D144" s="50"/>
      <c r="E144" s="77"/>
      <c r="F144" s="25">
        <f t="shared" si="11"/>
        <v>0</v>
      </c>
      <c r="G144" s="198"/>
      <c r="H144" s="36">
        <v>43994</v>
      </c>
      <c r="I144" s="236">
        <v>72400</v>
      </c>
      <c r="J144" s="65" t="s">
        <v>106</v>
      </c>
      <c r="K144" s="207" t="s">
        <v>121</v>
      </c>
      <c r="L144" s="82"/>
      <c r="M144" s="63"/>
      <c r="N144" s="63"/>
      <c r="O144" s="82"/>
    </row>
    <row r="145" s="3" customFormat="1" ht="18" customHeight="1" spans="1:15">
      <c r="A145" s="74"/>
      <c r="B145" s="25">
        <f t="shared" si="10"/>
        <v>0</v>
      </c>
      <c r="C145" s="75"/>
      <c r="D145" s="50"/>
      <c r="E145" s="77"/>
      <c r="F145" s="25">
        <f t="shared" si="11"/>
        <v>0</v>
      </c>
      <c r="G145" s="198"/>
      <c r="H145" s="36">
        <v>43994</v>
      </c>
      <c r="I145" s="188">
        <v>1992.66055045872</v>
      </c>
      <c r="J145" s="65" t="s">
        <v>106</v>
      </c>
      <c r="K145" s="207" t="s">
        <v>123</v>
      </c>
      <c r="L145" s="82"/>
      <c r="M145" s="63"/>
      <c r="N145" s="63"/>
      <c r="O145" s="82"/>
    </row>
    <row r="146" s="3" customFormat="1" ht="18" customHeight="1" spans="1:15">
      <c r="A146" s="74"/>
      <c r="B146" s="25">
        <f t="shared" si="10"/>
        <v>0</v>
      </c>
      <c r="C146" s="75"/>
      <c r="D146" s="50"/>
      <c r="E146" s="77"/>
      <c r="F146" s="25">
        <f t="shared" si="11"/>
        <v>0</v>
      </c>
      <c r="G146" s="198"/>
      <c r="H146" s="36">
        <v>43994</v>
      </c>
      <c r="I146" s="188">
        <v>18100</v>
      </c>
      <c r="J146" s="65" t="s">
        <v>106</v>
      </c>
      <c r="K146" s="207" t="s">
        <v>157</v>
      </c>
      <c r="L146" s="82"/>
      <c r="M146" s="63"/>
      <c r="N146" s="63"/>
      <c r="O146" s="82"/>
    </row>
    <row r="147" s="3" customFormat="1" ht="18" customHeight="1" spans="1:15">
      <c r="A147" s="74"/>
      <c r="B147" s="25">
        <f t="shared" si="10"/>
        <v>0</v>
      </c>
      <c r="C147" s="75"/>
      <c r="D147" s="50"/>
      <c r="E147" s="77"/>
      <c r="F147" s="25">
        <f t="shared" si="11"/>
        <v>0</v>
      </c>
      <c r="G147" s="198"/>
      <c r="H147" s="36">
        <v>43993</v>
      </c>
      <c r="I147" s="188">
        <v>100</v>
      </c>
      <c r="J147" s="65" t="s">
        <v>106</v>
      </c>
      <c r="K147" s="207" t="s">
        <v>110</v>
      </c>
      <c r="L147" s="82"/>
      <c r="M147" s="63"/>
      <c r="N147" s="63"/>
      <c r="O147" s="82"/>
    </row>
    <row r="148" s="3" customFormat="1" ht="18" customHeight="1" spans="1:15">
      <c r="A148" s="74"/>
      <c r="B148" s="25">
        <f t="shared" si="10"/>
        <v>0</v>
      </c>
      <c r="C148" s="75"/>
      <c r="D148" s="50"/>
      <c r="E148" s="77"/>
      <c r="F148" s="25">
        <f t="shared" si="11"/>
        <v>0</v>
      </c>
      <c r="G148" s="198"/>
      <c r="H148" s="36">
        <v>43966</v>
      </c>
      <c r="I148" s="188">
        <v>100</v>
      </c>
      <c r="J148" s="65" t="s">
        <v>106</v>
      </c>
      <c r="K148" s="207" t="s">
        <v>110</v>
      </c>
      <c r="L148" s="82"/>
      <c r="M148" s="63"/>
      <c r="N148" s="63"/>
      <c r="O148" s="82"/>
    </row>
    <row r="149" s="3" customFormat="1" ht="18" customHeight="1" spans="1:15">
      <c r="A149" s="74"/>
      <c r="B149" s="25">
        <f t="shared" si="10"/>
        <v>0</v>
      </c>
      <c r="C149" s="75"/>
      <c r="D149" s="50"/>
      <c r="E149" s="77"/>
      <c r="F149" s="25">
        <f t="shared" si="11"/>
        <v>0</v>
      </c>
      <c r="G149" s="198"/>
      <c r="H149" s="76">
        <v>10.2</v>
      </c>
      <c r="I149" s="188">
        <v>100</v>
      </c>
      <c r="J149" s="65" t="s">
        <v>106</v>
      </c>
      <c r="K149" s="207" t="s">
        <v>110</v>
      </c>
      <c r="L149" s="82"/>
      <c r="M149" s="63"/>
      <c r="N149" s="63"/>
      <c r="O149" s="82"/>
    </row>
    <row r="150" s="3" customFormat="1" ht="18" customHeight="1" spans="1:15">
      <c r="A150" s="74"/>
      <c r="B150" s="25">
        <f t="shared" si="10"/>
        <v>0</v>
      </c>
      <c r="C150" s="75"/>
      <c r="D150" s="50"/>
      <c r="E150" s="77"/>
      <c r="F150" s="25">
        <f t="shared" si="11"/>
        <v>0</v>
      </c>
      <c r="G150" s="198"/>
      <c r="H150" s="76">
        <v>10.1</v>
      </c>
      <c r="I150" s="188">
        <v>100</v>
      </c>
      <c r="J150" s="65" t="s">
        <v>106</v>
      </c>
      <c r="K150" s="207" t="s">
        <v>110</v>
      </c>
      <c r="L150" s="82"/>
      <c r="M150" s="63"/>
      <c r="N150" s="63"/>
      <c r="O150" s="82"/>
    </row>
    <row r="151" s="3" customFormat="1" ht="18" customHeight="1" spans="1:15">
      <c r="A151" s="74"/>
      <c r="B151" s="25">
        <f t="shared" si="10"/>
        <v>0</v>
      </c>
      <c r="C151" s="75"/>
      <c r="D151" s="50"/>
      <c r="E151" s="77"/>
      <c r="F151" s="25">
        <f t="shared" si="11"/>
        <v>0</v>
      </c>
      <c r="G151" s="198"/>
      <c r="H151" s="76">
        <v>10.1</v>
      </c>
      <c r="I151" s="188">
        <f>B12*0.0006</f>
        <v>853.211009174312</v>
      </c>
      <c r="J151" s="65" t="s">
        <v>106</v>
      </c>
      <c r="K151" s="207" t="s">
        <v>107</v>
      </c>
      <c r="L151" s="82">
        <f>I151+I152+I155+I160+I163+I164+I165+I166+I173+I174+I180+I182+I183</f>
        <v>916149.577981651</v>
      </c>
      <c r="M151" s="63"/>
      <c r="N151" s="63"/>
      <c r="O151" s="82"/>
    </row>
    <row r="152" s="3" customFormat="1" ht="18" customHeight="1" spans="1:15">
      <c r="A152" s="74"/>
      <c r="B152" s="25">
        <f t="shared" si="10"/>
        <v>0</v>
      </c>
      <c r="C152" s="75"/>
      <c r="D152" s="50"/>
      <c r="E152" s="77"/>
      <c r="F152" s="25">
        <f t="shared" si="11"/>
        <v>0</v>
      </c>
      <c r="G152" s="198"/>
      <c r="H152" s="76">
        <v>10.1</v>
      </c>
      <c r="I152" s="188">
        <f>B12*0.02</f>
        <v>28440.3669724771</v>
      </c>
      <c r="J152" s="65" t="s">
        <v>106</v>
      </c>
      <c r="K152" s="207" t="s">
        <v>108</v>
      </c>
      <c r="L152" s="82"/>
      <c r="M152" s="63"/>
      <c r="N152" s="63"/>
      <c r="O152" s="82"/>
    </row>
    <row r="153" s="3" customFormat="1" ht="18" customHeight="1" spans="1:15">
      <c r="A153" s="74"/>
      <c r="B153" s="25">
        <f t="shared" si="10"/>
        <v>0</v>
      </c>
      <c r="C153" s="75"/>
      <c r="D153" s="50"/>
      <c r="E153" s="77"/>
      <c r="F153" s="25">
        <f t="shared" si="11"/>
        <v>0</v>
      </c>
      <c r="G153" s="198"/>
      <c r="H153" s="76">
        <v>10.1</v>
      </c>
      <c r="I153" s="188">
        <f>G12*0.005</f>
        <v>7750</v>
      </c>
      <c r="J153" s="65" t="s">
        <v>106</v>
      </c>
      <c r="K153" s="207" t="s">
        <v>157</v>
      </c>
      <c r="L153" s="82">
        <f>I153+I185</f>
        <v>140600</v>
      </c>
      <c r="M153" s="63"/>
      <c r="N153" s="63"/>
      <c r="O153" s="82"/>
    </row>
    <row r="154" s="3" customFormat="1" ht="18" customHeight="1" spans="1:15">
      <c r="A154" s="74"/>
      <c r="B154" s="25">
        <f t="shared" si="10"/>
        <v>0</v>
      </c>
      <c r="C154" s="75"/>
      <c r="D154" s="50"/>
      <c r="E154" s="77"/>
      <c r="F154" s="25">
        <f t="shared" si="11"/>
        <v>0</v>
      </c>
      <c r="G154" s="198"/>
      <c r="H154" s="36" t="s">
        <v>109</v>
      </c>
      <c r="I154" s="188">
        <v>200</v>
      </c>
      <c r="J154" s="65" t="s">
        <v>106</v>
      </c>
      <c r="K154" s="207" t="s">
        <v>110</v>
      </c>
      <c r="L154" s="82">
        <f>I154+I156+I157+I158+I159+I161+I168+I171+I175+I184+I150</f>
        <v>245132.79</v>
      </c>
      <c r="M154" s="63"/>
      <c r="N154" s="63"/>
      <c r="O154" s="82"/>
    </row>
    <row r="155" s="3" customFormat="1" ht="18" customHeight="1" spans="1:15">
      <c r="A155" s="74"/>
      <c r="B155" s="25">
        <f t="shared" si="10"/>
        <v>0</v>
      </c>
      <c r="C155" s="75"/>
      <c r="D155" s="50"/>
      <c r="E155" s="77"/>
      <c r="F155" s="25">
        <f t="shared" si="11"/>
        <v>0</v>
      </c>
      <c r="G155" s="198"/>
      <c r="H155" s="36" t="s">
        <v>111</v>
      </c>
      <c r="I155" s="237">
        <v>-285325</v>
      </c>
      <c r="J155" s="227" t="s">
        <v>112</v>
      </c>
      <c r="K155" s="205" t="s">
        <v>158</v>
      </c>
      <c r="L155" s="82"/>
      <c r="M155" s="63"/>
      <c r="N155" s="63"/>
      <c r="O155" s="82"/>
    </row>
    <row r="156" s="3" customFormat="1" ht="18" customHeight="1" spans="1:15">
      <c r="A156" s="74"/>
      <c r="B156" s="25">
        <f t="shared" si="10"/>
        <v>0</v>
      </c>
      <c r="C156" s="75"/>
      <c r="D156" s="76"/>
      <c r="E156" s="77"/>
      <c r="F156" s="25">
        <f t="shared" si="11"/>
        <v>0</v>
      </c>
      <c r="G156" s="198"/>
      <c r="H156" s="36" t="s">
        <v>111</v>
      </c>
      <c r="I156" s="188">
        <v>200</v>
      </c>
      <c r="J156" s="65" t="s">
        <v>106</v>
      </c>
      <c r="K156" s="207" t="s">
        <v>110</v>
      </c>
      <c r="L156" s="82"/>
      <c r="M156" s="63"/>
      <c r="N156" s="63"/>
      <c r="O156" s="82"/>
    </row>
    <row r="157" s="3" customFormat="1" ht="18" customHeight="1" spans="1:15">
      <c r="A157" s="74"/>
      <c r="B157" s="25">
        <f t="shared" si="10"/>
        <v>0</v>
      </c>
      <c r="C157" s="75"/>
      <c r="D157" s="76"/>
      <c r="E157" s="77"/>
      <c r="F157" s="25">
        <f t="shared" si="11"/>
        <v>0</v>
      </c>
      <c r="G157" s="198"/>
      <c r="H157" s="36" t="s">
        <v>113</v>
      </c>
      <c r="I157" s="188">
        <v>300</v>
      </c>
      <c r="J157" s="65" t="s">
        <v>106</v>
      </c>
      <c r="K157" s="207" t="s">
        <v>110</v>
      </c>
      <c r="L157" s="82"/>
      <c r="M157" s="63"/>
      <c r="N157" s="63"/>
      <c r="O157" s="82"/>
    </row>
    <row r="158" s="3" customFormat="1" ht="18" customHeight="1" spans="1:15">
      <c r="A158" s="74"/>
      <c r="B158" s="25">
        <f t="shared" si="10"/>
        <v>0</v>
      </c>
      <c r="C158" s="75"/>
      <c r="D158" s="76"/>
      <c r="E158" s="77"/>
      <c r="F158" s="25">
        <f t="shared" si="11"/>
        <v>0</v>
      </c>
      <c r="G158" s="198"/>
      <c r="H158" s="36" t="s">
        <v>114</v>
      </c>
      <c r="I158" s="188">
        <v>9600</v>
      </c>
      <c r="J158" s="65" t="s">
        <v>106</v>
      </c>
      <c r="K158" s="207" t="s">
        <v>115</v>
      </c>
      <c r="L158" s="82"/>
      <c r="M158" s="63"/>
      <c r="N158" s="63"/>
      <c r="O158" s="82"/>
    </row>
    <row r="159" s="3" customFormat="1" ht="18" customHeight="1" spans="1:15">
      <c r="A159" s="74"/>
      <c r="B159" s="25">
        <f t="shared" si="10"/>
        <v>0</v>
      </c>
      <c r="C159" s="75"/>
      <c r="D159" s="76"/>
      <c r="E159" s="77"/>
      <c r="F159" s="25">
        <f t="shared" si="11"/>
        <v>0</v>
      </c>
      <c r="G159" s="198"/>
      <c r="H159" s="36" t="s">
        <v>114</v>
      </c>
      <c r="I159" s="188">
        <v>200</v>
      </c>
      <c r="J159" s="65" t="s">
        <v>106</v>
      </c>
      <c r="K159" s="207" t="s">
        <v>110</v>
      </c>
      <c r="L159" s="82"/>
      <c r="M159" s="63"/>
      <c r="N159" s="63"/>
      <c r="O159" s="82"/>
    </row>
    <row r="160" s="3" customFormat="1" ht="18" customHeight="1" spans="1:15">
      <c r="A160" s="74"/>
      <c r="B160" s="25">
        <f t="shared" si="10"/>
        <v>0</v>
      </c>
      <c r="C160" s="75"/>
      <c r="D160" s="76"/>
      <c r="E160" s="77"/>
      <c r="F160" s="25">
        <f t="shared" si="11"/>
        <v>0</v>
      </c>
      <c r="G160" s="198"/>
      <c r="H160" s="36" t="s">
        <v>114</v>
      </c>
      <c r="I160" s="188">
        <v>-903045</v>
      </c>
      <c r="J160" s="63" t="s">
        <v>112</v>
      </c>
      <c r="K160" s="207" t="s">
        <v>116</v>
      </c>
      <c r="L160" s="82"/>
      <c r="M160" s="63"/>
      <c r="N160" s="63"/>
      <c r="O160" s="82"/>
    </row>
    <row r="161" s="3" customFormat="1" ht="18" customHeight="1" spans="1:15">
      <c r="A161" s="74"/>
      <c r="B161" s="25">
        <f t="shared" si="10"/>
        <v>0</v>
      </c>
      <c r="C161" s="75"/>
      <c r="D161" s="76"/>
      <c r="E161" s="77"/>
      <c r="F161" s="25">
        <f t="shared" si="11"/>
        <v>0</v>
      </c>
      <c r="G161" s="198"/>
      <c r="H161" s="36" t="s">
        <v>117</v>
      </c>
      <c r="I161" s="188">
        <v>232932.79</v>
      </c>
      <c r="J161" s="63" t="s">
        <v>106</v>
      </c>
      <c r="K161" s="207" t="s">
        <v>118</v>
      </c>
      <c r="L161" s="82"/>
      <c r="M161" s="63"/>
      <c r="N161" s="63"/>
      <c r="O161" s="82"/>
    </row>
    <row r="162" s="3" customFormat="1" ht="18" customHeight="1" spans="1:15">
      <c r="A162" s="74"/>
      <c r="B162" s="25">
        <f t="shared" si="10"/>
        <v>0</v>
      </c>
      <c r="C162" s="75"/>
      <c r="D162" s="76"/>
      <c r="E162" s="77"/>
      <c r="F162" s="25">
        <f t="shared" si="11"/>
        <v>0</v>
      </c>
      <c r="G162" s="198"/>
      <c r="H162" s="36" t="s">
        <v>117</v>
      </c>
      <c r="I162" s="188"/>
      <c r="J162" s="63" t="s">
        <v>106</v>
      </c>
      <c r="K162" s="207" t="s">
        <v>119</v>
      </c>
      <c r="L162" s="82"/>
      <c r="M162" s="63"/>
      <c r="N162" s="63"/>
      <c r="O162" s="82"/>
    </row>
    <row r="163" s="3" customFormat="1" ht="18" customHeight="1" spans="1:15">
      <c r="A163" s="74"/>
      <c r="B163" s="25">
        <f t="shared" si="10"/>
        <v>0</v>
      </c>
      <c r="C163" s="75"/>
      <c r="D163" s="76"/>
      <c r="E163" s="77"/>
      <c r="F163" s="25">
        <f t="shared" si="11"/>
        <v>0</v>
      </c>
      <c r="G163" s="198"/>
      <c r="H163" s="36" t="s">
        <v>117</v>
      </c>
      <c r="I163" s="188">
        <v>903045</v>
      </c>
      <c r="J163" s="63" t="s">
        <v>120</v>
      </c>
      <c r="K163" s="207" t="s">
        <v>121</v>
      </c>
      <c r="L163" s="82"/>
      <c r="M163" s="63"/>
      <c r="N163" s="63"/>
      <c r="O163" s="82"/>
    </row>
    <row r="164" s="3" customFormat="1" ht="18" customHeight="1" spans="1:15">
      <c r="A164" s="74"/>
      <c r="B164" s="25">
        <f t="shared" si="10"/>
        <v>0</v>
      </c>
      <c r="C164" s="75"/>
      <c r="D164" s="76"/>
      <c r="E164" s="77"/>
      <c r="F164" s="25">
        <f t="shared" si="11"/>
        <v>0</v>
      </c>
      <c r="G164" s="198"/>
      <c r="H164" s="36" t="s">
        <v>117</v>
      </c>
      <c r="I164" s="188">
        <v>485252</v>
      </c>
      <c r="J164" s="63" t="s">
        <v>106</v>
      </c>
      <c r="K164" s="207" t="s">
        <v>122</v>
      </c>
      <c r="L164" s="82"/>
      <c r="M164" s="63"/>
      <c r="N164" s="63"/>
      <c r="O164" s="82"/>
    </row>
    <row r="165" s="3" customFormat="1" ht="18" customHeight="1" spans="1:15">
      <c r="A165" s="74"/>
      <c r="B165" s="25">
        <f t="shared" si="10"/>
        <v>0</v>
      </c>
      <c r="C165" s="75"/>
      <c r="D165" s="76"/>
      <c r="E165" s="77"/>
      <c r="F165" s="25">
        <f t="shared" si="11"/>
        <v>0</v>
      </c>
      <c r="G165" s="198"/>
      <c r="H165" s="36" t="s">
        <v>117</v>
      </c>
      <c r="I165" s="188">
        <v>4789</v>
      </c>
      <c r="J165" s="63" t="s">
        <v>106</v>
      </c>
      <c r="K165" s="207" t="s">
        <v>123</v>
      </c>
      <c r="L165" s="82"/>
      <c r="M165" s="63"/>
      <c r="N165" s="63"/>
      <c r="O165" s="82"/>
    </row>
    <row r="166" s="3" customFormat="1" ht="18" customHeight="1" spans="1:15">
      <c r="A166" s="74"/>
      <c r="B166" s="25">
        <f t="shared" si="10"/>
        <v>0</v>
      </c>
      <c r="C166" s="75"/>
      <c r="D166" s="76"/>
      <c r="E166" s="77"/>
      <c r="F166" s="25">
        <f t="shared" si="11"/>
        <v>0</v>
      </c>
      <c r="G166" s="198"/>
      <c r="H166" s="36" t="s">
        <v>117</v>
      </c>
      <c r="I166" s="237">
        <v>429349</v>
      </c>
      <c r="J166" s="227" t="s">
        <v>106</v>
      </c>
      <c r="K166" s="205" t="s">
        <v>124</v>
      </c>
      <c r="L166" s="82"/>
      <c r="M166" s="63"/>
      <c r="N166" s="63"/>
      <c r="O166" s="82"/>
    </row>
    <row r="167" s="3" customFormat="1" ht="18" customHeight="1" spans="1:15">
      <c r="A167" s="74"/>
      <c r="B167" s="25">
        <f t="shared" si="10"/>
        <v>0</v>
      </c>
      <c r="C167" s="75"/>
      <c r="D167" s="76"/>
      <c r="E167" s="77"/>
      <c r="F167" s="25">
        <f t="shared" si="11"/>
        <v>0</v>
      </c>
      <c r="G167" s="198"/>
      <c r="H167" s="36" t="s">
        <v>117</v>
      </c>
      <c r="I167" s="188">
        <v>87000</v>
      </c>
      <c r="J167" s="63" t="s">
        <v>125</v>
      </c>
      <c r="K167" s="207" t="s">
        <v>126</v>
      </c>
      <c r="L167" s="82"/>
      <c r="M167" s="63"/>
      <c r="N167" s="63"/>
      <c r="O167" s="82"/>
    </row>
    <row r="168" s="2" customFormat="1" ht="18" customHeight="1" spans="1:15">
      <c r="A168" s="48"/>
      <c r="B168" s="25">
        <f t="shared" si="10"/>
        <v>0</v>
      </c>
      <c r="C168" s="49"/>
      <c r="D168" s="50"/>
      <c r="E168" s="70"/>
      <c r="F168" s="25">
        <f t="shared" si="11"/>
        <v>0</v>
      </c>
      <c r="G168" s="189"/>
      <c r="H168" s="36" t="s">
        <v>117</v>
      </c>
      <c r="I168" s="188">
        <v>100</v>
      </c>
      <c r="J168" s="65" t="s">
        <v>106</v>
      </c>
      <c r="K168" s="207" t="s">
        <v>110</v>
      </c>
      <c r="L168" s="82"/>
      <c r="M168" s="56"/>
      <c r="N168" s="65"/>
      <c r="O168" s="67"/>
    </row>
    <row r="169" s="2" customFormat="1" ht="18" customHeight="1" spans="1:15">
      <c r="A169" s="48"/>
      <c r="B169" s="25">
        <f t="shared" ref="B169:B175" si="12">ROUND(G169/(1+E169),2)</f>
        <v>0</v>
      </c>
      <c r="C169" s="49"/>
      <c r="D169" s="50"/>
      <c r="E169" s="70"/>
      <c r="F169" s="25">
        <f t="shared" ref="F169:F175" si="13">ROUND(G169/(1+E169)*E169,2)</f>
        <v>0</v>
      </c>
      <c r="G169" s="189"/>
      <c r="H169" s="36" t="s">
        <v>117</v>
      </c>
      <c r="I169" s="188"/>
      <c r="J169" s="63"/>
      <c r="K169" s="207"/>
      <c r="L169" s="82"/>
      <c r="M169" s="56"/>
      <c r="N169" s="65"/>
      <c r="O169" s="67"/>
    </row>
    <row r="170" s="2" customFormat="1" ht="18" customHeight="1" spans="1:15">
      <c r="A170" s="48"/>
      <c r="B170" s="25">
        <f t="shared" si="12"/>
        <v>0</v>
      </c>
      <c r="C170" s="49"/>
      <c r="D170" s="50"/>
      <c r="E170" s="70"/>
      <c r="F170" s="25">
        <f t="shared" si="13"/>
        <v>0</v>
      </c>
      <c r="G170" s="189"/>
      <c r="H170" s="36" t="s">
        <v>127</v>
      </c>
      <c r="I170" s="188">
        <v>-93700</v>
      </c>
      <c r="J170" s="63" t="s">
        <v>125</v>
      </c>
      <c r="K170" s="148" t="s">
        <v>126</v>
      </c>
      <c r="L170" s="82"/>
      <c r="M170" s="56"/>
      <c r="N170" s="65"/>
      <c r="O170" s="67"/>
    </row>
    <row r="171" s="2" customFormat="1" ht="18" customHeight="1" spans="1:16">
      <c r="A171" s="48"/>
      <c r="B171" s="25">
        <f t="shared" si="12"/>
        <v>0</v>
      </c>
      <c r="C171" s="49"/>
      <c r="D171" s="50"/>
      <c r="E171" s="70"/>
      <c r="F171" s="25">
        <f t="shared" si="13"/>
        <v>0</v>
      </c>
      <c r="G171" s="189"/>
      <c r="H171" s="36" t="s">
        <v>127</v>
      </c>
      <c r="I171" s="71">
        <v>50</v>
      </c>
      <c r="J171" s="65" t="s">
        <v>106</v>
      </c>
      <c r="K171" s="148" t="s">
        <v>110</v>
      </c>
      <c r="L171" s="82"/>
      <c r="M171" s="56"/>
      <c r="N171" s="65"/>
      <c r="O171" s="67"/>
      <c r="P171" s="2">
        <f>I173+I166+I155</f>
        <v>387045</v>
      </c>
    </row>
    <row r="172" s="2" customFormat="1" ht="18" customHeight="1" spans="1:15">
      <c r="A172" s="48"/>
      <c r="B172" s="25">
        <f t="shared" si="12"/>
        <v>0</v>
      </c>
      <c r="C172" s="49"/>
      <c r="D172" s="50"/>
      <c r="E172" s="70"/>
      <c r="F172" s="25">
        <f t="shared" si="13"/>
        <v>0</v>
      </c>
      <c r="G172" s="189"/>
      <c r="H172" s="36" t="s">
        <v>127</v>
      </c>
      <c r="I172" s="210">
        <v>-21725</v>
      </c>
      <c r="J172" s="56" t="s">
        <v>112</v>
      </c>
      <c r="K172" s="238" t="s">
        <v>159</v>
      </c>
      <c r="L172" s="82"/>
      <c r="M172" s="56"/>
      <c r="N172" s="65"/>
      <c r="O172" s="67"/>
    </row>
    <row r="173" s="2" customFormat="1" ht="18" customHeight="1" spans="1:15">
      <c r="A173" s="48"/>
      <c r="B173" s="25">
        <f t="shared" si="12"/>
        <v>0</v>
      </c>
      <c r="C173" s="49"/>
      <c r="D173" s="50"/>
      <c r="E173" s="46"/>
      <c r="F173" s="25">
        <f t="shared" si="13"/>
        <v>0</v>
      </c>
      <c r="G173" s="189"/>
      <c r="H173" s="36" t="s">
        <v>129</v>
      </c>
      <c r="I173" s="237">
        <v>243021</v>
      </c>
      <c r="J173" s="227" t="s">
        <v>106</v>
      </c>
      <c r="K173" s="205" t="s">
        <v>124</v>
      </c>
      <c r="L173" s="67"/>
      <c r="M173" s="65"/>
      <c r="N173" s="65"/>
      <c r="O173" s="67"/>
    </row>
    <row r="174" s="2" customFormat="1" ht="18" customHeight="1" spans="1:15">
      <c r="A174" s="48"/>
      <c r="B174" s="25">
        <f t="shared" si="12"/>
        <v>0</v>
      </c>
      <c r="C174" s="49"/>
      <c r="D174" s="50"/>
      <c r="E174" s="46"/>
      <c r="F174" s="25">
        <f t="shared" si="13"/>
        <v>0</v>
      </c>
      <c r="G174" s="189"/>
      <c r="H174" s="36" t="s">
        <v>129</v>
      </c>
      <c r="I174" s="188">
        <v>2340</v>
      </c>
      <c r="J174" s="63" t="s">
        <v>106</v>
      </c>
      <c r="K174" s="207" t="s">
        <v>123</v>
      </c>
      <c r="L174" s="67"/>
      <c r="M174" s="65"/>
      <c r="N174" s="65"/>
      <c r="O174" s="67"/>
    </row>
    <row r="175" s="2" customFormat="1" ht="18" customHeight="1" spans="1:15">
      <c r="A175" s="48"/>
      <c r="B175" s="25">
        <f t="shared" si="12"/>
        <v>0</v>
      </c>
      <c r="C175" s="49"/>
      <c r="D175" s="50"/>
      <c r="E175" s="46"/>
      <c r="F175" s="25">
        <f t="shared" si="13"/>
        <v>0</v>
      </c>
      <c r="G175" s="189"/>
      <c r="H175" s="36" t="s">
        <v>129</v>
      </c>
      <c r="I175" s="188">
        <v>500</v>
      </c>
      <c r="J175" s="63" t="s">
        <v>106</v>
      </c>
      <c r="K175" s="148" t="s">
        <v>130</v>
      </c>
      <c r="L175" s="67"/>
      <c r="M175" s="65"/>
      <c r="N175" s="65"/>
      <c r="O175" s="67"/>
    </row>
    <row r="176" s="2" customFormat="1" ht="18" customHeight="1" spans="1:15">
      <c r="A176" s="48"/>
      <c r="B176" s="25"/>
      <c r="C176" s="49"/>
      <c r="D176" s="50"/>
      <c r="E176" s="46"/>
      <c r="F176" s="25"/>
      <c r="G176" s="189"/>
      <c r="H176" s="36" t="s">
        <v>129</v>
      </c>
      <c r="I176" s="210">
        <v>55725</v>
      </c>
      <c r="J176" s="56" t="s">
        <v>120</v>
      </c>
      <c r="K176" s="238" t="s">
        <v>121</v>
      </c>
      <c r="L176" s="67"/>
      <c r="M176" s="65"/>
      <c r="N176" s="65"/>
      <c r="O176" s="67"/>
    </row>
    <row r="177" s="2" customFormat="1" ht="18" customHeight="1" spans="1:15">
      <c r="A177" s="48"/>
      <c r="B177" s="25">
        <f t="shared" ref="B177:B182" si="14">ROUND(G177/(1+E177),2)</f>
        <v>0</v>
      </c>
      <c r="C177" s="49"/>
      <c r="D177" s="50"/>
      <c r="E177" s="46"/>
      <c r="F177" s="25">
        <f t="shared" ref="F177:F182" si="15">ROUND(G177/(1+E177)*E177,2)</f>
        <v>0</v>
      </c>
      <c r="G177" s="189"/>
      <c r="H177" s="36" t="s">
        <v>129</v>
      </c>
      <c r="I177" s="188">
        <v>8500</v>
      </c>
      <c r="J177" s="63" t="s">
        <v>125</v>
      </c>
      <c r="K177" s="148" t="s">
        <v>126</v>
      </c>
      <c r="L177" s="67"/>
      <c r="M177" s="65"/>
      <c r="N177" s="65"/>
      <c r="O177" s="67"/>
    </row>
    <row r="178" s="2" customFormat="1" ht="18" customHeight="1" spans="1:15">
      <c r="A178" s="48"/>
      <c r="B178" s="25">
        <f t="shared" si="14"/>
        <v>0</v>
      </c>
      <c r="C178" s="49"/>
      <c r="D178" s="50"/>
      <c r="E178" s="46"/>
      <c r="F178" s="25">
        <f t="shared" si="15"/>
        <v>0</v>
      </c>
      <c r="G178" s="189"/>
      <c r="H178" s="36" t="s">
        <v>131</v>
      </c>
      <c r="I178" s="188">
        <v>8800</v>
      </c>
      <c r="J178" s="63" t="s">
        <v>125</v>
      </c>
      <c r="K178" s="148" t="s">
        <v>126</v>
      </c>
      <c r="L178" s="67"/>
      <c r="M178" s="65"/>
      <c r="N178" s="65"/>
      <c r="O178" s="67"/>
    </row>
    <row r="179" s="2" customFormat="1" ht="18" customHeight="1" spans="1:15">
      <c r="A179" s="48"/>
      <c r="B179" s="25">
        <f t="shared" si="14"/>
        <v>0</v>
      </c>
      <c r="C179" s="49"/>
      <c r="D179" s="50"/>
      <c r="E179" s="46"/>
      <c r="F179" s="25">
        <f t="shared" si="15"/>
        <v>0</v>
      </c>
      <c r="G179" s="189"/>
      <c r="H179" s="36" t="s">
        <v>131</v>
      </c>
      <c r="I179" s="188">
        <v>35200</v>
      </c>
      <c r="J179" s="63" t="s">
        <v>125</v>
      </c>
      <c r="K179" s="148" t="s">
        <v>126</v>
      </c>
      <c r="L179" s="67"/>
      <c r="M179" s="65"/>
      <c r="N179" s="65"/>
      <c r="O179" s="67"/>
    </row>
    <row r="180" s="2" customFormat="1" ht="18" customHeight="1" spans="1:15">
      <c r="A180" s="48"/>
      <c r="B180" s="25">
        <f t="shared" si="14"/>
        <v>0</v>
      </c>
      <c r="C180" s="49"/>
      <c r="D180" s="50"/>
      <c r="E180" s="46"/>
      <c r="F180" s="25">
        <f t="shared" si="15"/>
        <v>0</v>
      </c>
      <c r="G180" s="189"/>
      <c r="H180" s="36" t="s">
        <v>131</v>
      </c>
      <c r="I180" s="188">
        <f>B9*E197</f>
        <v>2400</v>
      </c>
      <c r="J180" s="63" t="s">
        <v>106</v>
      </c>
      <c r="K180" s="148" t="s">
        <v>132</v>
      </c>
      <c r="L180" s="67"/>
      <c r="M180" s="65"/>
      <c r="N180" s="65"/>
      <c r="O180" s="67"/>
    </row>
    <row r="181" s="1" customFormat="1" ht="18" customHeight="1" spans="1:15">
      <c r="A181" s="43"/>
      <c r="B181" s="25">
        <f t="shared" si="14"/>
        <v>0</v>
      </c>
      <c r="C181" s="44"/>
      <c r="D181" s="45"/>
      <c r="E181" s="46"/>
      <c r="F181" s="25">
        <f t="shared" si="15"/>
        <v>0</v>
      </c>
      <c r="G181" s="189"/>
      <c r="H181" s="31" t="s">
        <v>133</v>
      </c>
      <c r="I181" s="188">
        <v>41200</v>
      </c>
      <c r="J181" s="63" t="s">
        <v>125</v>
      </c>
      <c r="K181" s="148" t="s">
        <v>126</v>
      </c>
      <c r="L181" s="60"/>
      <c r="M181" s="61"/>
      <c r="N181" s="61"/>
      <c r="O181" s="60"/>
    </row>
    <row r="182" s="1" customFormat="1" ht="18" customHeight="1" spans="1:15">
      <c r="A182" s="43"/>
      <c r="B182" s="25">
        <f t="shared" si="14"/>
        <v>0</v>
      </c>
      <c r="C182" s="44"/>
      <c r="D182" s="45"/>
      <c r="E182" s="46"/>
      <c r="F182" s="25">
        <f t="shared" si="15"/>
        <v>0</v>
      </c>
      <c r="G182" s="189"/>
      <c r="H182" s="31" t="s">
        <v>133</v>
      </c>
      <c r="I182" s="188">
        <v>2248</v>
      </c>
      <c r="J182" s="63" t="s">
        <v>106</v>
      </c>
      <c r="K182" s="148" t="s">
        <v>160</v>
      </c>
      <c r="L182" s="60"/>
      <c r="M182" s="61"/>
      <c r="N182" s="61"/>
      <c r="O182" s="60"/>
    </row>
    <row r="183" s="1" customFormat="1" ht="18" customHeight="1" spans="1:15">
      <c r="A183" s="43"/>
      <c r="B183" s="25"/>
      <c r="C183" s="44"/>
      <c r="D183" s="45"/>
      <c r="E183" s="46"/>
      <c r="F183" s="25"/>
      <c r="G183" s="189"/>
      <c r="H183" s="36" t="s">
        <v>134</v>
      </c>
      <c r="I183" s="188">
        <v>2782</v>
      </c>
      <c r="J183" s="63" t="s">
        <v>106</v>
      </c>
      <c r="K183" s="148" t="s">
        <v>160</v>
      </c>
      <c r="L183" s="60"/>
      <c r="M183" s="61"/>
      <c r="N183" s="61"/>
      <c r="O183" s="60"/>
    </row>
    <row r="184" s="1" customFormat="1" ht="18" customHeight="1" spans="1:15">
      <c r="A184" s="43"/>
      <c r="B184" s="25">
        <f>ROUND(G184/(1+E184),2)</f>
        <v>0</v>
      </c>
      <c r="C184" s="44"/>
      <c r="D184" s="45"/>
      <c r="E184" s="46"/>
      <c r="F184" s="25">
        <f>ROUND(G184/(1+E184)*E184,2)</f>
        <v>0</v>
      </c>
      <c r="G184" s="189"/>
      <c r="H184" s="36" t="s">
        <v>134</v>
      </c>
      <c r="I184" s="188">
        <v>950</v>
      </c>
      <c r="J184" s="63" t="s">
        <v>106</v>
      </c>
      <c r="K184" s="148" t="s">
        <v>130</v>
      </c>
      <c r="L184" s="60"/>
      <c r="M184" s="61"/>
      <c r="N184" s="61"/>
      <c r="O184" s="60"/>
    </row>
    <row r="185" s="1" customFormat="1" ht="18" customHeight="1" spans="1:15">
      <c r="A185" s="43"/>
      <c r="B185" s="25">
        <f>ROUND(G185/(1+E185),2)</f>
        <v>132850</v>
      </c>
      <c r="C185" s="44"/>
      <c r="D185" s="45"/>
      <c r="E185" s="46"/>
      <c r="F185" s="25">
        <f>ROUND(G185/(1+E185)*E185,2)</f>
        <v>0</v>
      </c>
      <c r="G185" s="189">
        <f>46100+17600+4400+17000+4250+34800+8700</f>
        <v>132850</v>
      </c>
      <c r="H185" s="31"/>
      <c r="I185" s="32">
        <f>G185</f>
        <v>132850</v>
      </c>
      <c r="J185" s="63" t="s">
        <v>106</v>
      </c>
      <c r="K185" s="148" t="s">
        <v>161</v>
      </c>
      <c r="L185" s="60"/>
      <c r="M185" s="61"/>
      <c r="N185" s="61"/>
      <c r="O185" s="60"/>
    </row>
    <row r="186" s="1" customFormat="1" ht="18" customHeight="1" spans="1:15">
      <c r="A186" s="43"/>
      <c r="B186" s="25"/>
      <c r="C186" s="44"/>
      <c r="D186" s="45"/>
      <c r="E186" s="46"/>
      <c r="F186" s="25"/>
      <c r="G186" s="239"/>
      <c r="H186" s="31"/>
      <c r="I186" s="141">
        <v>-3000000</v>
      </c>
      <c r="J186" s="249"/>
      <c r="K186" s="250" t="s">
        <v>162</v>
      </c>
      <c r="L186" s="60"/>
      <c r="M186" s="61"/>
      <c r="N186" s="61"/>
      <c r="O186" s="60"/>
    </row>
    <row r="187" ht="18" customHeight="1" spans="1:15">
      <c r="A187" s="39" t="s">
        <v>22</v>
      </c>
      <c r="B187" s="38">
        <f t="shared" ref="B187:G187" si="16">SUM(B27:B185)</f>
        <v>38520085.23</v>
      </c>
      <c r="C187" s="39"/>
      <c r="D187" s="240"/>
      <c r="E187" s="240"/>
      <c r="F187" s="241">
        <f t="shared" si="16"/>
        <v>2077791.11</v>
      </c>
      <c r="G187" s="242">
        <f t="shared" si="16"/>
        <v>40597876.34</v>
      </c>
      <c r="H187" s="243"/>
      <c r="I187" s="190">
        <f>SUM(I27:I186)</f>
        <v>33385982.4885321</v>
      </c>
      <c r="J187" s="251"/>
      <c r="K187" s="252"/>
      <c r="L187" s="191"/>
      <c r="M187" s="40"/>
      <c r="N187" s="40"/>
      <c r="O187" s="191"/>
    </row>
    <row r="188" ht="18" customHeight="1" spans="1:14">
      <c r="A188" s="99"/>
      <c r="B188" s="100">
        <f>B24*0.92-B187</f>
        <v>-6019454.70456213</v>
      </c>
      <c r="C188" s="99"/>
      <c r="D188" s="244"/>
      <c r="E188" s="244"/>
      <c r="F188" s="100">
        <f>F24-F187</f>
        <v>518901.13353628</v>
      </c>
      <c r="G188" s="100"/>
      <c r="H188" s="30" t="s">
        <v>136</v>
      </c>
      <c r="I188" s="190">
        <f>I24-I187</f>
        <v>74017.511467889</v>
      </c>
      <c r="J188" s="14"/>
      <c r="K188" s="253"/>
      <c r="M188" s="13"/>
      <c r="N188" s="13"/>
    </row>
    <row r="189" ht="18" customHeight="1" spans="1:3">
      <c r="A189" s="6" t="s">
        <v>137</v>
      </c>
      <c r="C189" s="6"/>
    </row>
    <row r="190" ht="18" customHeight="1" spans="1:19">
      <c r="A190" s="30" t="s">
        <v>138</v>
      </c>
      <c r="B190" s="28" t="s">
        <v>139</v>
      </c>
      <c r="C190" s="191"/>
      <c r="D190" s="30" t="s">
        <v>138</v>
      </c>
      <c r="E190" s="27" t="s">
        <v>15</v>
      </c>
      <c r="F190" s="28" t="s">
        <v>139</v>
      </c>
      <c r="G190" s="28" t="s">
        <v>140</v>
      </c>
      <c r="H190" s="28" t="s">
        <v>141</v>
      </c>
      <c r="I190" s="28" t="s">
        <v>142</v>
      </c>
      <c r="K190" s="28" t="s">
        <v>143</v>
      </c>
      <c r="L190" s="254"/>
      <c r="M190" s="28" t="s">
        <v>144</v>
      </c>
      <c r="N190" s="134" t="s">
        <v>144</v>
      </c>
      <c r="O190" s="255"/>
      <c r="P190" s="242" t="s">
        <v>145</v>
      </c>
      <c r="Q190" s="242" t="s">
        <v>163</v>
      </c>
      <c r="R190" s="256" t="s">
        <v>187</v>
      </c>
      <c r="S190" s="257" t="s">
        <v>192</v>
      </c>
    </row>
    <row r="191" ht="18" customHeight="1" spans="1:19">
      <c r="A191" s="191" t="s">
        <v>146</v>
      </c>
      <c r="B191" s="25">
        <f>(B24-B187)*0.25</f>
        <v>-798328.229935361</v>
      </c>
      <c r="C191" s="191"/>
      <c r="D191" s="18" t="s">
        <v>147</v>
      </c>
      <c r="E191" s="40" t="s">
        <v>148</v>
      </c>
      <c r="F191" s="245">
        <f>F24-F187</f>
        <v>518901.13353628</v>
      </c>
      <c r="G191" s="245">
        <f>F7-F27-F29-F32-F33-F36</f>
        <v>-333763.749090909</v>
      </c>
      <c r="H191" s="245">
        <f>F8-F41</f>
        <v>299461.603636364</v>
      </c>
      <c r="I191" s="245">
        <f>F9-F43-F44-F46-F51-F52-F53-F54-F56</f>
        <v>49772.4599999999</v>
      </c>
      <c r="K191" s="245">
        <f>F10-F77-F78-F79-F80-F81</f>
        <v>205457.659816514</v>
      </c>
      <c r="L191" s="254"/>
      <c r="M191" s="245">
        <f>F11-F82-F90-F91-F93</f>
        <v>390316.376330275</v>
      </c>
      <c r="N191" s="134">
        <v>-259385.7</v>
      </c>
      <c r="O191" s="255"/>
      <c r="P191" s="242"/>
      <c r="Q191" s="258"/>
      <c r="R191" s="234"/>
      <c r="S191" s="259">
        <f>F191-K191-(M191+N191)</f>
        <v>182512.797389491</v>
      </c>
    </row>
    <row r="192" ht="18" customHeight="1" spans="1:19">
      <c r="A192" s="191" t="s">
        <v>149</v>
      </c>
      <c r="B192" s="21" t="s">
        <v>150</v>
      </c>
      <c r="C192" s="191"/>
      <c r="D192" s="246" t="s">
        <v>151</v>
      </c>
      <c r="E192" s="22">
        <v>0.05</v>
      </c>
      <c r="F192" s="32">
        <f>F191*E192</f>
        <v>25945.056676814</v>
      </c>
      <c r="G192" s="32">
        <v>0</v>
      </c>
      <c r="H192" s="32">
        <v>0</v>
      </c>
      <c r="I192" s="32">
        <v>0</v>
      </c>
      <c r="K192" s="32">
        <f>K191*E192</f>
        <v>10272.8829908257</v>
      </c>
      <c r="L192" s="254"/>
      <c r="M192" s="32">
        <f>M191*E192</f>
        <v>19515.8188165138</v>
      </c>
      <c r="N192" s="134">
        <f>N191*E192</f>
        <v>-12969.285</v>
      </c>
      <c r="O192" s="255"/>
      <c r="P192" s="242"/>
      <c r="Q192" s="258"/>
      <c r="R192" s="234"/>
      <c r="S192" s="259">
        <f>S191*0.07</f>
        <v>12775.8958172644</v>
      </c>
    </row>
    <row r="193" ht="18" customHeight="1" spans="1:19">
      <c r="A193" s="191" t="s">
        <v>123</v>
      </c>
      <c r="B193" s="247">
        <f>B24*0.0006</f>
        <v>21196.0633861551</v>
      </c>
      <c r="C193" s="191"/>
      <c r="D193" s="246" t="s">
        <v>152</v>
      </c>
      <c r="E193" s="22">
        <v>0.03</v>
      </c>
      <c r="F193" s="32">
        <f>F191*E193</f>
        <v>15567.0340060884</v>
      </c>
      <c r="G193" s="32">
        <v>0</v>
      </c>
      <c r="H193" s="32">
        <v>0</v>
      </c>
      <c r="I193" s="32">
        <v>0</v>
      </c>
      <c r="K193" s="32">
        <f>K191*E193</f>
        <v>6163.72979449541</v>
      </c>
      <c r="L193" s="254"/>
      <c r="M193" s="32">
        <f>M191*E193</f>
        <v>11709.4912899083</v>
      </c>
      <c r="N193" s="134">
        <f>N191*E193</f>
        <v>-7781.571</v>
      </c>
      <c r="O193" s="255"/>
      <c r="P193" s="242"/>
      <c r="Q193" s="258"/>
      <c r="R193" s="234"/>
      <c r="S193" s="259">
        <f>S191*0.03</f>
        <v>5475.38392168473</v>
      </c>
    </row>
    <row r="194" ht="18" customHeight="1" spans="1:19">
      <c r="A194" s="191"/>
      <c r="B194" s="32"/>
      <c r="C194" s="191"/>
      <c r="D194" s="246" t="s">
        <v>153</v>
      </c>
      <c r="E194" s="22">
        <v>0.02</v>
      </c>
      <c r="F194" s="32">
        <f>F191*E194</f>
        <v>10378.0226707256</v>
      </c>
      <c r="G194" s="32">
        <v>0</v>
      </c>
      <c r="H194" s="32">
        <v>0</v>
      </c>
      <c r="I194" s="32">
        <v>0</v>
      </c>
      <c r="K194" s="32">
        <f>K191*E194</f>
        <v>4109.15319633028</v>
      </c>
      <c r="L194" s="254"/>
      <c r="M194" s="32">
        <f>M191*E194</f>
        <v>7806.32752660551</v>
      </c>
      <c r="N194" s="134">
        <f>N191*E194</f>
        <v>-5187.714</v>
      </c>
      <c r="O194" s="255"/>
      <c r="P194" s="242"/>
      <c r="Q194" s="258"/>
      <c r="R194" s="234"/>
      <c r="S194" s="259">
        <f>S191*0.02</f>
        <v>3650.25594778982</v>
      </c>
    </row>
    <row r="195" ht="18" customHeight="1" spans="1:19">
      <c r="A195" s="37" t="s">
        <v>154</v>
      </c>
      <c r="B195" s="38">
        <f>SUM(B191:B194)</f>
        <v>-777132.166549206</v>
      </c>
      <c r="C195" s="191"/>
      <c r="D195" s="37" t="s">
        <v>154</v>
      </c>
      <c r="E195" s="37"/>
      <c r="F195" s="241">
        <f>SUM(F191:F194)</f>
        <v>570791.246889908</v>
      </c>
      <c r="G195" s="241">
        <v>0</v>
      </c>
      <c r="H195" s="241">
        <v>0</v>
      </c>
      <c r="I195" s="241">
        <v>0</v>
      </c>
      <c r="K195" s="241">
        <f t="shared" ref="K195:N195" si="17">SUM(K191:K194)</f>
        <v>226003.425798165</v>
      </c>
      <c r="L195" s="254"/>
      <c r="M195" s="241">
        <f t="shared" si="17"/>
        <v>429348.013963303</v>
      </c>
      <c r="N195" s="134">
        <f t="shared" si="17"/>
        <v>-285324.27</v>
      </c>
      <c r="O195" s="255"/>
      <c r="P195" s="242"/>
      <c r="Q195" s="258"/>
      <c r="R195" s="234"/>
      <c r="S195" s="257">
        <f>SUM(S191:S194)</f>
        <v>204414.33307623</v>
      </c>
    </row>
    <row r="196" ht="18" customHeight="1" spans="3:19">
      <c r="C196" s="6"/>
      <c r="D196" s="20" t="s">
        <v>149</v>
      </c>
      <c r="E196" s="248">
        <v>0.0003</v>
      </c>
      <c r="F196" s="32">
        <v>0</v>
      </c>
      <c r="G196" s="32"/>
      <c r="H196" s="32"/>
      <c r="I196" s="32">
        <v>0</v>
      </c>
      <c r="K196" s="32"/>
      <c r="M196" s="32"/>
      <c r="N196" s="134"/>
      <c r="O196" s="255"/>
      <c r="P196" s="242"/>
      <c r="Q196" s="258"/>
      <c r="R196" s="234"/>
      <c r="S196" s="259"/>
    </row>
    <row r="197" ht="18" customHeight="1" spans="3:19">
      <c r="C197" s="6"/>
      <c r="D197" s="20" t="s">
        <v>123</v>
      </c>
      <c r="E197" s="248">
        <v>0.0006</v>
      </c>
      <c r="F197" s="32">
        <f>B24*E197</f>
        <v>21196.0633861551</v>
      </c>
      <c r="G197" s="32">
        <f>B7*E197</f>
        <v>2781.81818181818</v>
      </c>
      <c r="H197" s="32">
        <f>B8*E197</f>
        <v>2247.27272727273</v>
      </c>
      <c r="I197" s="32">
        <f>B9*E197</f>
        <v>2400</v>
      </c>
      <c r="K197" s="32">
        <f>B10*E197</f>
        <v>2339.4495412844</v>
      </c>
      <c r="L197" s="254"/>
      <c r="M197" s="32">
        <f>B11*E197</f>
        <v>4788.99082568807</v>
      </c>
      <c r="N197" s="134"/>
      <c r="O197" s="255"/>
      <c r="P197" s="242">
        <v>853.21</v>
      </c>
      <c r="Q197" s="258">
        <f>E197*B13</f>
        <v>1992.66055045872</v>
      </c>
      <c r="R197" s="256">
        <f>E197*B14</f>
        <v>946.788990825688</v>
      </c>
      <c r="S197" s="259">
        <f>B15*E197</f>
        <v>2845.87155963303</v>
      </c>
    </row>
    <row r="198" ht="18" customHeight="1" spans="3:19">
      <c r="C198" s="6"/>
      <c r="D198" s="39" t="s">
        <v>22</v>
      </c>
      <c r="E198" s="39"/>
      <c r="F198" s="190">
        <f>F195+F196+F197</f>
        <v>591987.310276063</v>
      </c>
      <c r="G198" s="190"/>
      <c r="H198" s="190"/>
      <c r="I198" s="190"/>
      <c r="K198" s="190"/>
      <c r="M198" s="191">
        <f>M195+M197</f>
        <v>434137.004788991</v>
      </c>
      <c r="N198" s="134"/>
      <c r="O198" s="255"/>
      <c r="P198" s="242"/>
      <c r="Q198" s="258"/>
      <c r="R198" s="234"/>
      <c r="S198" s="259"/>
    </row>
    <row r="199" ht="18" customHeight="1" spans="3:19">
      <c r="C199" s="6"/>
      <c r="D199" s="20" t="s">
        <v>121</v>
      </c>
      <c r="E199" s="248">
        <v>0.02</v>
      </c>
      <c r="F199" s="32">
        <f>B24*E199</f>
        <v>706535.446205171</v>
      </c>
      <c r="G199" s="32"/>
      <c r="H199" s="32"/>
      <c r="I199" s="32"/>
      <c r="K199" s="190"/>
      <c r="M199" s="32">
        <f>(SUM(B7:B11))*E199</f>
        <v>485251.042535446</v>
      </c>
      <c r="N199" s="134"/>
      <c r="O199" s="255"/>
      <c r="P199" s="242">
        <f>B12*0.02</f>
        <v>28440.3669724771</v>
      </c>
      <c r="Q199" s="258">
        <f>G13*E199</f>
        <v>72400</v>
      </c>
      <c r="R199" s="256">
        <f>G14*E199</f>
        <v>34400</v>
      </c>
      <c r="S199" s="259"/>
    </row>
    <row r="200" ht="18" customHeight="1" spans="3:3">
      <c r="C200" s="6"/>
    </row>
    <row r="201" ht="18" customHeight="1" spans="3:3">
      <c r="C201" s="6"/>
    </row>
    <row r="202" ht="18" customHeight="1" spans="3:3">
      <c r="C202" s="6"/>
    </row>
    <row r="203" spans="3:3">
      <c r="C203" s="6"/>
    </row>
    <row r="204" spans="3:3">
      <c r="C204" s="6"/>
    </row>
    <row r="205" spans="3:3">
      <c r="C205" s="6"/>
    </row>
    <row r="206" spans="3:3">
      <c r="C206" s="6"/>
    </row>
    <row r="207" spans="3:3">
      <c r="C207" s="6"/>
    </row>
    <row r="208" spans="3:3">
      <c r="C208" s="6"/>
    </row>
    <row r="209" spans="3:3">
      <c r="C209" s="6"/>
    </row>
    <row r="210" spans="3:3">
      <c r="C210" s="6"/>
    </row>
    <row r="211" spans="3:3">
      <c r="C211" s="6"/>
    </row>
    <row r="212" spans="3:3">
      <c r="C212" s="6"/>
    </row>
    <row r="213" spans="3:3">
      <c r="C213" s="6"/>
    </row>
    <row r="214" spans="3:3">
      <c r="C214" s="6"/>
    </row>
    <row r="215" spans="3:3">
      <c r="C215" s="6"/>
    </row>
    <row r="216" spans="3:3">
      <c r="C216" s="6"/>
    </row>
    <row r="217" spans="3:3">
      <c r="C217" s="6"/>
    </row>
    <row r="218" spans="3:3">
      <c r="C218" s="6"/>
    </row>
  </sheetData>
  <autoFilter ref="A26:Q199">
    <extLst/>
  </autoFilter>
  <mergeCells count="18">
    <mergeCell ref="A1:J1"/>
    <mergeCell ref="H2:J2"/>
    <mergeCell ref="C5:D5"/>
    <mergeCell ref="E5:F5"/>
    <mergeCell ref="H5:J5"/>
    <mergeCell ref="N190:O190"/>
    <mergeCell ref="N191:O191"/>
    <mergeCell ref="N192:O192"/>
    <mergeCell ref="N193:O193"/>
    <mergeCell ref="N194:O194"/>
    <mergeCell ref="N195:O195"/>
    <mergeCell ref="N196:O196"/>
    <mergeCell ref="N197:O197"/>
    <mergeCell ref="N198:O198"/>
    <mergeCell ref="N199:O199"/>
    <mergeCell ref="A5:A6"/>
    <mergeCell ref="B5:B6"/>
    <mergeCell ref="G5:G6"/>
  </mergeCells>
  <pageMargins left="0.75" right="0.75" top="1" bottom="1" header="0.5" footer="0.5"/>
  <pageSetup paperSize="9" orientation="portrait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0"/>
  <sheetViews>
    <sheetView topLeftCell="D190" workbookViewId="0">
      <selection activeCell="H127" sqref="H127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9" width="11.1333333333333" style="14"/>
    <col min="20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 t="s">
        <v>172</v>
      </c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>
        <v>44049</v>
      </c>
      <c r="B14" s="32">
        <f t="shared" si="0"/>
        <v>1577981.65137615</v>
      </c>
      <c r="C14" s="35">
        <v>0.02</v>
      </c>
      <c r="D14" s="188">
        <f t="shared" si="1"/>
        <v>31559.6330275229</v>
      </c>
      <c r="E14" s="35">
        <v>0.07</v>
      </c>
      <c r="F14" s="32">
        <f t="shared" si="2"/>
        <v>110458.71559633</v>
      </c>
      <c r="G14" s="189">
        <v>1720000</v>
      </c>
      <c r="H14" s="31">
        <v>43824</v>
      </c>
      <c r="I14" s="32">
        <v>6960000</v>
      </c>
      <c r="J14" s="40" t="s">
        <v>20</v>
      </c>
    </row>
    <row r="15" ht="18" customHeight="1" spans="1:10">
      <c r="A15" s="31">
        <v>44077</v>
      </c>
      <c r="B15" s="32">
        <f t="shared" si="0"/>
        <v>4743119.26605505</v>
      </c>
      <c r="C15" s="35">
        <v>0.02</v>
      </c>
      <c r="D15" s="188">
        <f t="shared" si="1"/>
        <v>94862.3853211009</v>
      </c>
      <c r="E15" s="35">
        <v>0.07</v>
      </c>
      <c r="F15" s="32">
        <f t="shared" si="2"/>
        <v>332018.348623853</v>
      </c>
      <c r="G15" s="189">
        <v>5170000</v>
      </c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/>
      <c r="C20" s="33"/>
      <c r="D20" s="188"/>
      <c r="E20" s="33"/>
      <c r="F20" s="32"/>
      <c r="G20" s="189"/>
      <c r="H20" s="31">
        <v>44057</v>
      </c>
      <c r="I20" s="32">
        <v>1376000</v>
      </c>
      <c r="J20" s="40" t="s">
        <v>20</v>
      </c>
    </row>
    <row r="21" ht="18" customHeight="1" spans="1:10">
      <c r="A21" s="31"/>
      <c r="B21" s="32"/>
      <c r="C21" s="33"/>
      <c r="D21" s="188"/>
      <c r="E21" s="33"/>
      <c r="F21" s="32"/>
      <c r="G21" s="189"/>
      <c r="H21" s="31">
        <v>44057</v>
      </c>
      <c r="I21" s="32">
        <v>344000</v>
      </c>
      <c r="J21" s="40" t="s">
        <v>164</v>
      </c>
    </row>
    <row r="22" ht="18" customHeight="1" spans="1:10">
      <c r="A22" s="31"/>
      <c r="B22" s="32"/>
      <c r="C22" s="33"/>
      <c r="D22" s="188"/>
      <c r="E22" s="33"/>
      <c r="F22" s="32"/>
      <c r="G22" s="189"/>
      <c r="H22" s="31"/>
      <c r="I22" s="32"/>
      <c r="J22" s="40"/>
    </row>
    <row r="23" ht="18" customHeight="1" spans="1:10">
      <c r="A23" s="31"/>
      <c r="B23" s="32">
        <f>G23/(1+C23+E23)</f>
        <v>0</v>
      </c>
      <c r="C23" s="33"/>
      <c r="D23" s="188">
        <f>G23/(1+E23+C23)*C23</f>
        <v>0</v>
      </c>
      <c r="E23" s="33"/>
      <c r="F23" s="32">
        <f>G23/(1+C23+E23)*E23</f>
        <v>0</v>
      </c>
      <c r="G23" s="189"/>
      <c r="H23" s="31"/>
      <c r="I23" s="32"/>
      <c r="J23" s="40"/>
    </row>
    <row r="24" ht="18" customHeight="1" spans="1:10">
      <c r="A24" s="37" t="s">
        <v>22</v>
      </c>
      <c r="B24" s="38">
        <f t="shared" ref="B24:G24" si="3">SUM(B7:B23)</f>
        <v>35326772.3102585</v>
      </c>
      <c r="C24" s="39"/>
      <c r="D24" s="190">
        <f t="shared" si="3"/>
        <v>706535.446205171</v>
      </c>
      <c r="E24" s="39"/>
      <c r="F24" s="190">
        <f t="shared" si="3"/>
        <v>2596692.24353628</v>
      </c>
      <c r="G24" s="190">
        <f t="shared" si="3"/>
        <v>38630000</v>
      </c>
      <c r="H24" s="191"/>
      <c r="I24" s="190">
        <f>SUM(I7:I23)</f>
        <v>33460000</v>
      </c>
      <c r="J24" s="191"/>
    </row>
    <row r="25" ht="18" customHeight="1" spans="1:12">
      <c r="A25" s="6" t="s">
        <v>23</v>
      </c>
      <c r="J25" s="8"/>
      <c r="K25" s="8"/>
      <c r="L25" s="186"/>
    </row>
    <row r="26" ht="18" customHeight="1" spans="1:15">
      <c r="A26" s="41" t="s">
        <v>24</v>
      </c>
      <c r="B26" s="28" t="s">
        <v>25</v>
      </c>
      <c r="C26" s="27" t="s">
        <v>26</v>
      </c>
      <c r="D26" s="27" t="s">
        <v>27</v>
      </c>
      <c r="E26" s="27" t="s">
        <v>15</v>
      </c>
      <c r="F26" s="28" t="s">
        <v>28</v>
      </c>
      <c r="G26" s="28" t="s">
        <v>13</v>
      </c>
      <c r="H26" s="27" t="s">
        <v>29</v>
      </c>
      <c r="I26" s="28" t="s">
        <v>30</v>
      </c>
      <c r="J26" s="27" t="s">
        <v>19</v>
      </c>
      <c r="K26" s="54" t="s">
        <v>31</v>
      </c>
      <c r="L26" s="30" t="s">
        <v>32</v>
      </c>
      <c r="M26" s="30" t="s">
        <v>33</v>
      </c>
      <c r="N26" s="30" t="s">
        <v>34</v>
      </c>
      <c r="O26" s="30" t="s">
        <v>35</v>
      </c>
    </row>
    <row r="27" s="1" customFormat="1" ht="18" customHeight="1" spans="1:15">
      <c r="A27" s="43">
        <v>43070</v>
      </c>
      <c r="B27" s="25">
        <f t="shared" ref="B27:B90" si="4">ROUND(G27/(1+E27),2)</f>
        <v>2830.19</v>
      </c>
      <c r="C27" s="44"/>
      <c r="D27" s="45" t="s">
        <v>36</v>
      </c>
      <c r="E27" s="46">
        <v>0.06</v>
      </c>
      <c r="F27" s="25">
        <f t="shared" ref="F27:F90" si="5">ROUND(G27/(1+E27)*E27,2)</f>
        <v>169.81</v>
      </c>
      <c r="G27" s="189">
        <v>3000</v>
      </c>
      <c r="H27" s="31"/>
      <c r="I27" s="32"/>
      <c r="J27" s="40"/>
      <c r="K27" s="147" t="s">
        <v>37</v>
      </c>
      <c r="L27" s="60" t="s">
        <v>38</v>
      </c>
      <c r="M27" s="61"/>
      <c r="N27" s="61"/>
      <c r="O27" s="60"/>
    </row>
    <row r="28" s="1" customFormat="1" ht="18" customHeight="1" spans="1:15">
      <c r="A28" s="43">
        <v>43071</v>
      </c>
      <c r="B28" s="25">
        <f t="shared" si="4"/>
        <v>3000</v>
      </c>
      <c r="C28" s="44"/>
      <c r="D28" s="45" t="s">
        <v>39</v>
      </c>
      <c r="E28" s="46"/>
      <c r="F28" s="25">
        <f t="shared" si="5"/>
        <v>0</v>
      </c>
      <c r="G28" s="189">
        <v>3000</v>
      </c>
      <c r="H28" s="31"/>
      <c r="I28" s="32"/>
      <c r="J28" s="40"/>
      <c r="K28" s="147"/>
      <c r="L28" s="60" t="s">
        <v>38</v>
      </c>
      <c r="M28" s="61"/>
      <c r="N28" s="61"/>
      <c r="O28" s="60"/>
    </row>
    <row r="29" s="1" customFormat="1" ht="18" customHeight="1" spans="1:15">
      <c r="A29" s="43">
        <v>43072</v>
      </c>
      <c r="B29" s="25">
        <f t="shared" si="4"/>
        <v>12824.53</v>
      </c>
      <c r="C29" s="44"/>
      <c r="D29" s="45" t="s">
        <v>36</v>
      </c>
      <c r="E29" s="46">
        <v>0.06</v>
      </c>
      <c r="F29" s="25">
        <f t="shared" si="5"/>
        <v>769.47</v>
      </c>
      <c r="G29" s="189">
        <v>13594</v>
      </c>
      <c r="H29" s="31"/>
      <c r="I29" s="32"/>
      <c r="J29" s="40"/>
      <c r="K29" s="147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43073</v>
      </c>
      <c r="B30" s="25">
        <f t="shared" si="4"/>
        <v>1206</v>
      </c>
      <c r="C30" s="44"/>
      <c r="D30" s="45" t="s">
        <v>39</v>
      </c>
      <c r="E30" s="46"/>
      <c r="F30" s="25">
        <f t="shared" si="5"/>
        <v>0</v>
      </c>
      <c r="G30" s="189">
        <v>1206</v>
      </c>
      <c r="H30" s="31"/>
      <c r="I30" s="32"/>
      <c r="J30" s="40"/>
      <c r="K30" s="147"/>
      <c r="L30" s="60" t="s">
        <v>42</v>
      </c>
      <c r="M30" s="61"/>
      <c r="N30" s="61"/>
      <c r="O30" s="60"/>
    </row>
    <row r="31" s="1" customFormat="1" ht="18" customHeight="1" spans="1:15">
      <c r="A31" s="43">
        <v>43074</v>
      </c>
      <c r="B31" s="25">
        <f t="shared" si="4"/>
        <v>13191.34</v>
      </c>
      <c r="C31" s="44"/>
      <c r="D31" s="45" t="s">
        <v>39</v>
      </c>
      <c r="E31" s="46"/>
      <c r="F31" s="25">
        <f t="shared" si="5"/>
        <v>0</v>
      </c>
      <c r="G31" s="189">
        <v>13191.34</v>
      </c>
      <c r="H31" s="31"/>
      <c r="I31" s="32"/>
      <c r="J31" s="40"/>
      <c r="K31" s="147"/>
      <c r="L31" s="60" t="s">
        <v>43</v>
      </c>
      <c r="M31" s="61"/>
      <c r="N31" s="61"/>
      <c r="O31" s="60"/>
    </row>
    <row r="32" s="1" customFormat="1" ht="18" customHeight="1" spans="1:15">
      <c r="A32" s="43">
        <v>43149</v>
      </c>
      <c r="B32" s="25">
        <f t="shared" si="4"/>
        <v>1924.53</v>
      </c>
      <c r="C32" s="44"/>
      <c r="D32" s="45" t="s">
        <v>36</v>
      </c>
      <c r="E32" s="46">
        <v>0.06</v>
      </c>
      <c r="F32" s="25">
        <f t="shared" si="5"/>
        <v>115.47</v>
      </c>
      <c r="G32" s="189">
        <v>2040</v>
      </c>
      <c r="H32" s="31"/>
      <c r="I32" s="32"/>
      <c r="J32" s="40"/>
      <c r="K32" s="147" t="s">
        <v>40</v>
      </c>
      <c r="L32" s="60" t="s">
        <v>41</v>
      </c>
      <c r="M32" s="61"/>
      <c r="N32" s="61"/>
      <c r="O32" s="60"/>
    </row>
    <row r="33" s="1" customFormat="1" ht="18" customHeight="1" spans="1:15">
      <c r="A33" s="43">
        <v>43177</v>
      </c>
      <c r="B33" s="25">
        <f t="shared" si="4"/>
        <v>2830.19</v>
      </c>
      <c r="C33" s="44"/>
      <c r="D33" s="45" t="s">
        <v>36</v>
      </c>
      <c r="E33" s="46">
        <v>0.06</v>
      </c>
      <c r="F33" s="25">
        <f t="shared" si="5"/>
        <v>169.81</v>
      </c>
      <c r="G33" s="189">
        <v>3000</v>
      </c>
      <c r="H33" s="31"/>
      <c r="I33" s="32"/>
      <c r="J33" s="40"/>
      <c r="K33" s="147" t="s">
        <v>44</v>
      </c>
      <c r="L33" s="60" t="s">
        <v>45</v>
      </c>
      <c r="M33" s="61"/>
      <c r="N33" s="61"/>
      <c r="O33" s="60"/>
    </row>
    <row r="34" s="1" customFormat="1" ht="18" customHeight="1" spans="1:15">
      <c r="A34" s="43">
        <v>43178</v>
      </c>
      <c r="B34" s="25">
        <f t="shared" si="4"/>
        <v>12529.12</v>
      </c>
      <c r="C34" s="44"/>
      <c r="D34" s="45" t="s">
        <v>39</v>
      </c>
      <c r="E34" s="46"/>
      <c r="F34" s="25">
        <f t="shared" si="5"/>
        <v>0</v>
      </c>
      <c r="G34" s="189">
        <v>12529.12</v>
      </c>
      <c r="H34" s="31"/>
      <c r="I34" s="32"/>
      <c r="J34" s="40"/>
      <c r="K34" s="147"/>
      <c r="L34" s="60" t="s">
        <v>46</v>
      </c>
      <c r="M34" s="61"/>
      <c r="N34" s="61"/>
      <c r="O34" s="60"/>
    </row>
    <row r="35" s="1" customFormat="1" ht="18" customHeight="1" spans="1:15">
      <c r="A35" s="43">
        <v>43177</v>
      </c>
      <c r="B35" s="25">
        <f t="shared" si="4"/>
        <v>7575</v>
      </c>
      <c r="C35" s="44"/>
      <c r="D35" s="45" t="s">
        <v>39</v>
      </c>
      <c r="E35" s="46"/>
      <c r="F35" s="25">
        <f t="shared" si="5"/>
        <v>0</v>
      </c>
      <c r="G35" s="189">
        <v>7575</v>
      </c>
      <c r="H35" s="31"/>
      <c r="I35" s="32"/>
      <c r="J35" s="40"/>
      <c r="K35" s="147"/>
      <c r="L35" s="60" t="s">
        <v>46</v>
      </c>
      <c r="M35" s="61"/>
      <c r="N35" s="61"/>
      <c r="O35" s="60"/>
    </row>
    <row r="36" s="1" customFormat="1" ht="18" customHeight="1" spans="1:15">
      <c r="A36" s="43">
        <v>43238</v>
      </c>
      <c r="B36" s="25">
        <f t="shared" si="4"/>
        <v>4396551.72</v>
      </c>
      <c r="C36" s="44"/>
      <c r="D36" s="45" t="s">
        <v>36</v>
      </c>
      <c r="E36" s="46">
        <v>0.16</v>
      </c>
      <c r="F36" s="25">
        <f t="shared" si="5"/>
        <v>703448.28</v>
      </c>
      <c r="G36" s="189">
        <v>5100000</v>
      </c>
      <c r="H36" s="31">
        <v>43251</v>
      </c>
      <c r="I36" s="32">
        <v>2500000</v>
      </c>
      <c r="J36" s="40" t="s">
        <v>20</v>
      </c>
      <c r="K36" s="147" t="s">
        <v>47</v>
      </c>
      <c r="L36" s="60" t="s">
        <v>48</v>
      </c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 t="s">
        <v>49</v>
      </c>
      <c r="I37" s="32">
        <v>2530768</v>
      </c>
      <c r="J37" s="40" t="s">
        <v>20</v>
      </c>
      <c r="K37" s="147" t="s">
        <v>47</v>
      </c>
      <c r="L37" s="60"/>
      <c r="M37" s="61"/>
      <c r="N37" s="61"/>
      <c r="O37" s="60"/>
    </row>
    <row r="38" s="1" customFormat="1" ht="18" customHeight="1" spans="1:15">
      <c r="A38" s="43"/>
      <c r="B38" s="25">
        <f t="shared" si="4"/>
        <v>0</v>
      </c>
      <c r="C38" s="44"/>
      <c r="D38" s="45"/>
      <c r="E38" s="46"/>
      <c r="F38" s="25">
        <f t="shared" si="5"/>
        <v>0</v>
      </c>
      <c r="G38" s="189"/>
      <c r="H38" s="31" t="s">
        <v>49</v>
      </c>
      <c r="I38" s="32">
        <v>69232</v>
      </c>
      <c r="J38" s="40" t="s">
        <v>20</v>
      </c>
      <c r="K38" s="147" t="s">
        <v>47</v>
      </c>
      <c r="L38" s="60"/>
      <c r="M38" s="61"/>
      <c r="N38" s="61"/>
      <c r="O38" s="60"/>
    </row>
    <row r="39" s="1" customFormat="1" ht="18" customHeight="1" spans="1:15">
      <c r="A39" s="43"/>
      <c r="B39" s="25">
        <f t="shared" si="4"/>
        <v>0</v>
      </c>
      <c r="C39" s="44"/>
      <c r="D39" s="45"/>
      <c r="E39" s="46"/>
      <c r="F39" s="25">
        <f t="shared" si="5"/>
        <v>0</v>
      </c>
      <c r="G39" s="189"/>
      <c r="H39" s="31">
        <v>43252</v>
      </c>
      <c r="I39" s="32">
        <v>-29323</v>
      </c>
      <c r="J39" s="40" t="s">
        <v>21</v>
      </c>
      <c r="K39" s="147" t="s">
        <v>50</v>
      </c>
      <c r="L39" s="60"/>
      <c r="M39" s="61"/>
      <c r="N39" s="61"/>
      <c r="O39" s="60"/>
    </row>
    <row r="40" s="1" customFormat="1" ht="18" customHeight="1" spans="1:15">
      <c r="A40" s="43"/>
      <c r="B40" s="25">
        <f t="shared" si="4"/>
        <v>0</v>
      </c>
      <c r="C40" s="44"/>
      <c r="D40" s="45"/>
      <c r="E40" s="46"/>
      <c r="F40" s="25">
        <f t="shared" si="5"/>
        <v>0</v>
      </c>
      <c r="G40" s="189"/>
      <c r="H40" s="31">
        <v>43255</v>
      </c>
      <c r="I40" s="32">
        <v>-39909</v>
      </c>
      <c r="J40" s="40" t="s">
        <v>21</v>
      </c>
      <c r="K40" s="147" t="s">
        <v>50</v>
      </c>
      <c r="L40" s="60"/>
      <c r="M40" s="61"/>
      <c r="N40" s="61"/>
      <c r="O40" s="60"/>
    </row>
    <row r="41" s="1" customFormat="1" ht="18" customHeight="1" spans="1:15">
      <c r="A41" s="43">
        <v>43269</v>
      </c>
      <c r="B41" s="25">
        <f t="shared" si="4"/>
        <v>5825.24</v>
      </c>
      <c r="C41" s="44"/>
      <c r="D41" s="45" t="s">
        <v>36</v>
      </c>
      <c r="E41" s="46">
        <v>0.03</v>
      </c>
      <c r="F41" s="25">
        <f t="shared" si="5"/>
        <v>174.76</v>
      </c>
      <c r="G41" s="189">
        <v>6000</v>
      </c>
      <c r="H41" s="31">
        <v>43264</v>
      </c>
      <c r="I41" s="32">
        <v>6000</v>
      </c>
      <c r="J41" s="40" t="s">
        <v>20</v>
      </c>
      <c r="K41" s="147" t="s">
        <v>51</v>
      </c>
      <c r="L41" s="60" t="s">
        <v>52</v>
      </c>
      <c r="M41" s="61"/>
      <c r="N41" s="61"/>
      <c r="O41" s="60"/>
    </row>
    <row r="42" s="1" customFormat="1" ht="18" customHeight="1" spans="1:15">
      <c r="A42" s="43"/>
      <c r="B42" s="25">
        <f t="shared" si="4"/>
        <v>0</v>
      </c>
      <c r="C42" s="44"/>
      <c r="D42" s="45"/>
      <c r="E42" s="46"/>
      <c r="F42" s="25">
        <f t="shared" si="5"/>
        <v>0</v>
      </c>
      <c r="G42" s="189"/>
      <c r="H42" s="31">
        <v>43263</v>
      </c>
      <c r="I42" s="32">
        <v>-6000</v>
      </c>
      <c r="J42" s="40" t="s">
        <v>21</v>
      </c>
      <c r="K42" s="147" t="s">
        <v>50</v>
      </c>
      <c r="L42" s="60"/>
      <c r="M42" s="61"/>
      <c r="N42" s="61"/>
      <c r="O42" s="60"/>
    </row>
    <row r="43" s="2" customFormat="1" ht="18" customHeight="1" spans="1:15">
      <c r="A43" s="48">
        <v>43335</v>
      </c>
      <c r="B43" s="25">
        <f t="shared" si="4"/>
        <v>4000000</v>
      </c>
      <c r="C43" s="49"/>
      <c r="D43" s="50" t="s">
        <v>36</v>
      </c>
      <c r="E43" s="46">
        <v>0.03</v>
      </c>
      <c r="F43" s="25">
        <f t="shared" si="5"/>
        <v>120000</v>
      </c>
      <c r="G43" s="189">
        <v>4120000</v>
      </c>
      <c r="H43" s="36">
        <v>43335</v>
      </c>
      <c r="I43" s="188">
        <v>2000000</v>
      </c>
      <c r="J43" s="63" t="s">
        <v>20</v>
      </c>
      <c r="K43" s="148" t="s">
        <v>53</v>
      </c>
      <c r="L43" s="67" t="s">
        <v>54</v>
      </c>
      <c r="M43" s="65"/>
      <c r="N43" s="65"/>
      <c r="O43" s="67"/>
    </row>
    <row r="44" s="2" customFormat="1" ht="18" customHeight="1" spans="1:15">
      <c r="A44" s="48"/>
      <c r="B44" s="25">
        <f t="shared" si="4"/>
        <v>1344.34</v>
      </c>
      <c r="C44" s="49">
        <v>3</v>
      </c>
      <c r="D44" s="50" t="s">
        <v>36</v>
      </c>
      <c r="E44" s="46">
        <v>0.06</v>
      </c>
      <c r="F44" s="25">
        <f t="shared" si="5"/>
        <v>80.66</v>
      </c>
      <c r="G44" s="189">
        <f>285+690+450</f>
        <v>1425</v>
      </c>
      <c r="H44" s="36"/>
      <c r="I44" s="188"/>
      <c r="J44" s="63"/>
      <c r="K44" s="148" t="s">
        <v>55</v>
      </c>
      <c r="L44" s="67" t="s">
        <v>41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6510</v>
      </c>
      <c r="C45" s="49"/>
      <c r="D45" s="50" t="s">
        <v>39</v>
      </c>
      <c r="E45" s="46"/>
      <c r="F45" s="25">
        <f t="shared" si="5"/>
        <v>0</v>
      </c>
      <c r="G45" s="189">
        <v>6510</v>
      </c>
      <c r="H45" s="36"/>
      <c r="I45" s="188"/>
      <c r="J45" s="63"/>
      <c r="K45" s="148" t="s">
        <v>56</v>
      </c>
      <c r="L45" s="67" t="s">
        <v>57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4"/>
        <v>11436.89</v>
      </c>
      <c r="C46" s="49">
        <v>2</v>
      </c>
      <c r="D46" s="50" t="s">
        <v>36</v>
      </c>
      <c r="E46" s="46">
        <v>0.03</v>
      </c>
      <c r="F46" s="25">
        <f t="shared" si="5"/>
        <v>343.11</v>
      </c>
      <c r="G46" s="189">
        <f>7740+4040</f>
        <v>11780</v>
      </c>
      <c r="H46" s="36"/>
      <c r="I46" s="188"/>
      <c r="J46" s="63"/>
      <c r="K46" s="148" t="s">
        <v>58</v>
      </c>
      <c r="L46" s="67" t="s">
        <v>59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4"/>
        <v>1800</v>
      </c>
      <c r="C47" s="49"/>
      <c r="D47" s="50" t="s">
        <v>39</v>
      </c>
      <c r="E47" s="46"/>
      <c r="F47" s="25">
        <f t="shared" si="5"/>
        <v>0</v>
      </c>
      <c r="G47" s="189">
        <v>1800</v>
      </c>
      <c r="H47" s="36"/>
      <c r="I47" s="188"/>
      <c r="J47" s="63"/>
      <c r="K47" s="148" t="s">
        <v>56</v>
      </c>
      <c r="L47" s="67" t="s">
        <v>60</v>
      </c>
      <c r="M47" s="65"/>
      <c r="N47" s="65"/>
      <c r="O47" s="68">
        <v>43335</v>
      </c>
    </row>
    <row r="48" s="2" customFormat="1" ht="18" customHeight="1" spans="1:15">
      <c r="A48" s="48"/>
      <c r="B48" s="25">
        <f t="shared" si="4"/>
        <v>26788.86</v>
      </c>
      <c r="C48" s="49"/>
      <c r="D48" s="50" t="s">
        <v>61</v>
      </c>
      <c r="E48" s="46"/>
      <c r="F48" s="25">
        <f t="shared" si="5"/>
        <v>0</v>
      </c>
      <c r="G48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8" s="36"/>
      <c r="I48" s="188"/>
      <c r="J48" s="63"/>
      <c r="K48" s="148" t="s">
        <v>62</v>
      </c>
      <c r="L48" s="67" t="s">
        <v>63</v>
      </c>
      <c r="M48" s="65"/>
      <c r="N48" s="65"/>
      <c r="O48" s="68">
        <v>43335</v>
      </c>
    </row>
    <row r="49" s="2" customFormat="1" ht="18" customHeight="1" spans="1:15">
      <c r="A49" s="48"/>
      <c r="B49" s="25">
        <f t="shared" si="4"/>
        <v>4285.5</v>
      </c>
      <c r="C49" s="49"/>
      <c r="D49" s="50" t="s">
        <v>61</v>
      </c>
      <c r="E49" s="46"/>
      <c r="F49" s="25">
        <f t="shared" si="5"/>
        <v>0</v>
      </c>
      <c r="G49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9" s="36"/>
      <c r="I49" s="188"/>
      <c r="J49" s="63"/>
      <c r="K49" s="148" t="s">
        <v>62</v>
      </c>
      <c r="L49" s="67" t="s">
        <v>63</v>
      </c>
      <c r="M49" s="65"/>
      <c r="N49" s="65"/>
      <c r="O49" s="68">
        <v>43335</v>
      </c>
    </row>
    <row r="50" s="2" customFormat="1" ht="18" customHeight="1" spans="1:15">
      <c r="A50" s="48"/>
      <c r="B50" s="25">
        <f t="shared" si="4"/>
        <v>9856.03</v>
      </c>
      <c r="C50" s="49"/>
      <c r="D50" s="50" t="s">
        <v>39</v>
      </c>
      <c r="E50" s="46"/>
      <c r="F50" s="25">
        <f t="shared" si="5"/>
        <v>0</v>
      </c>
      <c r="G50" s="189">
        <f>200.03+500+400+286+300+410+910+405+530+300+500+230+280+295+285+400+380+405+200+200+400+425+405+300+310+300+300</f>
        <v>9856.03</v>
      </c>
      <c r="H50" s="36"/>
      <c r="I50" s="188"/>
      <c r="J50" s="63"/>
      <c r="K50" s="148" t="s">
        <v>64</v>
      </c>
      <c r="L50" s="67" t="s">
        <v>43</v>
      </c>
      <c r="M50" s="65"/>
      <c r="N50" s="65"/>
      <c r="O50" s="68">
        <v>43335</v>
      </c>
    </row>
    <row r="51" s="2" customFormat="1" ht="18" customHeight="1" spans="1:15">
      <c r="A51" s="48">
        <v>43435</v>
      </c>
      <c r="B51" s="25">
        <f t="shared" si="4"/>
        <v>53286.79</v>
      </c>
      <c r="C51" s="49"/>
      <c r="D51" s="50" t="s">
        <v>36</v>
      </c>
      <c r="E51" s="46">
        <v>0.06</v>
      </c>
      <c r="F51" s="25">
        <f t="shared" si="5"/>
        <v>3197.21</v>
      </c>
      <c r="G51" s="189">
        <v>56484</v>
      </c>
      <c r="H51" s="36"/>
      <c r="I51" s="188"/>
      <c r="J51" s="63"/>
      <c r="K51" s="148" t="s">
        <v>65</v>
      </c>
      <c r="L51" s="67" t="s">
        <v>66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4"/>
        <v>5825.24</v>
      </c>
      <c r="C52" s="49"/>
      <c r="D52" s="50" t="s">
        <v>36</v>
      </c>
      <c r="E52" s="46">
        <v>0.03</v>
      </c>
      <c r="F52" s="25">
        <f t="shared" si="5"/>
        <v>174.76</v>
      </c>
      <c r="G52" s="189">
        <v>6000</v>
      </c>
      <c r="H52" s="36">
        <v>43369</v>
      </c>
      <c r="I52" s="188">
        <v>6000</v>
      </c>
      <c r="J52" s="63" t="s">
        <v>20</v>
      </c>
      <c r="K52" s="148" t="s">
        <v>51</v>
      </c>
      <c r="L52" s="67" t="s">
        <v>52</v>
      </c>
      <c r="M52" s="65"/>
      <c r="N52" s="65"/>
      <c r="O52" s="67"/>
    </row>
    <row r="53" s="2" customFormat="1" ht="18" customHeight="1" spans="1:15">
      <c r="A53" s="48">
        <v>43313</v>
      </c>
      <c r="B53" s="25">
        <f t="shared" si="4"/>
        <v>4654.31</v>
      </c>
      <c r="C53" s="49"/>
      <c r="D53" s="50" t="s">
        <v>36</v>
      </c>
      <c r="E53" s="46">
        <v>0.16</v>
      </c>
      <c r="F53" s="25">
        <f t="shared" si="5"/>
        <v>744.69</v>
      </c>
      <c r="G53" s="189">
        <v>5399</v>
      </c>
      <c r="H53" s="36">
        <v>43369</v>
      </c>
      <c r="I53" s="188">
        <v>-6000</v>
      </c>
      <c r="J53" s="63" t="s">
        <v>21</v>
      </c>
      <c r="K53" s="148" t="s">
        <v>50</v>
      </c>
      <c r="L53" s="67"/>
      <c r="M53" s="65"/>
      <c r="N53" s="65"/>
      <c r="O53" s="67"/>
    </row>
    <row r="54" s="2" customFormat="1" ht="18" customHeight="1" spans="1:15">
      <c r="A54" s="48">
        <v>43435</v>
      </c>
      <c r="B54" s="25">
        <f t="shared" si="4"/>
        <v>933.96</v>
      </c>
      <c r="C54" s="49"/>
      <c r="D54" s="50" t="s">
        <v>36</v>
      </c>
      <c r="E54" s="46">
        <v>0.06</v>
      </c>
      <c r="F54" s="25">
        <f t="shared" si="5"/>
        <v>56.04</v>
      </c>
      <c r="G54" s="189">
        <f>90+45+855</f>
        <v>990</v>
      </c>
      <c r="H54" s="36"/>
      <c r="I54" s="188"/>
      <c r="J54" s="63"/>
      <c r="K54" s="148" t="s">
        <v>40</v>
      </c>
      <c r="L54" s="67" t="s">
        <v>41</v>
      </c>
      <c r="M54" s="65"/>
      <c r="N54" s="65"/>
      <c r="O54" s="67"/>
    </row>
    <row r="55" s="2" customFormat="1" ht="18" customHeight="1" spans="1:15">
      <c r="A55" s="48">
        <v>43435</v>
      </c>
      <c r="B55" s="25">
        <f t="shared" si="4"/>
        <v>43031</v>
      </c>
      <c r="C55" s="49"/>
      <c r="D55" s="50"/>
      <c r="E55" s="46"/>
      <c r="F55" s="25">
        <f t="shared" si="5"/>
        <v>0</v>
      </c>
      <c r="G55" s="189">
        <v>43031</v>
      </c>
      <c r="H55" s="36"/>
      <c r="I55" s="188"/>
      <c r="J55" s="63"/>
      <c r="K55" s="148" t="s">
        <v>67</v>
      </c>
      <c r="L55" s="67" t="s">
        <v>68</v>
      </c>
      <c r="M55" s="65"/>
      <c r="N55" s="65"/>
      <c r="O55" s="67"/>
    </row>
    <row r="56" s="2" customFormat="1" ht="18" customHeight="1" spans="1:15">
      <c r="A56" s="48">
        <v>43466</v>
      </c>
      <c r="B56" s="25">
        <f t="shared" si="4"/>
        <v>4854368.93</v>
      </c>
      <c r="C56" s="49"/>
      <c r="D56" s="50" t="s">
        <v>36</v>
      </c>
      <c r="E56" s="46">
        <v>0.03</v>
      </c>
      <c r="F56" s="25">
        <f t="shared" si="5"/>
        <v>145631.07</v>
      </c>
      <c r="G56" s="189">
        <f>5*1000000</f>
        <v>5000000</v>
      </c>
      <c r="H56" s="36">
        <v>43339</v>
      </c>
      <c r="I56" s="188">
        <v>2095952</v>
      </c>
      <c r="J56" s="63" t="s">
        <v>20</v>
      </c>
      <c r="K56" s="148" t="s">
        <v>53</v>
      </c>
      <c r="L56" s="67" t="s">
        <v>54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43495</v>
      </c>
      <c r="I57" s="188">
        <v>3464800</v>
      </c>
      <c r="J57" s="63" t="s">
        <v>20</v>
      </c>
      <c r="K57" s="148" t="s">
        <v>53</v>
      </c>
      <c r="L57" s="67" t="s">
        <v>54</v>
      </c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43497</v>
      </c>
      <c r="I58" s="188">
        <v>866800</v>
      </c>
      <c r="J58" s="63" t="s">
        <v>20</v>
      </c>
      <c r="K58" s="148" t="s">
        <v>53</v>
      </c>
      <c r="L58" s="67" t="s">
        <v>54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43629</v>
      </c>
      <c r="I59" s="188">
        <v>84810</v>
      </c>
      <c r="J59" s="63" t="s">
        <v>20</v>
      </c>
      <c r="K59" s="148" t="s">
        <v>69</v>
      </c>
      <c r="L59" s="67" t="s">
        <v>70</v>
      </c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43629</v>
      </c>
      <c r="I60" s="188">
        <v>-84810</v>
      </c>
      <c r="J60" s="63" t="s">
        <v>21</v>
      </c>
      <c r="K60" s="148" t="s">
        <v>50</v>
      </c>
      <c r="L60" s="67"/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43657</v>
      </c>
      <c r="I61" s="188">
        <v>66753</v>
      </c>
      <c r="J61" s="63" t="s">
        <v>20</v>
      </c>
      <c r="K61" s="148" t="s">
        <v>69</v>
      </c>
      <c r="L61" s="67" t="s">
        <v>70</v>
      </c>
      <c r="M61" s="65"/>
      <c r="N61" s="65"/>
      <c r="O61" s="67"/>
    </row>
    <row r="62" s="2" customFormat="1" ht="18" customHeight="1" spans="1:15">
      <c r="A62" s="48"/>
      <c r="B62" s="25">
        <f t="shared" si="4"/>
        <v>0</v>
      </c>
      <c r="C62" s="49"/>
      <c r="D62" s="50"/>
      <c r="E62" s="46"/>
      <c r="F62" s="25">
        <f t="shared" si="5"/>
        <v>0</v>
      </c>
      <c r="G62" s="189"/>
      <c r="H62" s="36">
        <v>43657</v>
      </c>
      <c r="I62" s="188">
        <v>-66753</v>
      </c>
      <c r="J62" s="63" t="s">
        <v>21</v>
      </c>
      <c r="K62" s="148" t="s">
        <v>50</v>
      </c>
      <c r="L62" s="67"/>
      <c r="M62" s="65"/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36">
        <v>43676</v>
      </c>
      <c r="I63" s="188">
        <v>67731.14</v>
      </c>
      <c r="J63" s="63" t="s">
        <v>20</v>
      </c>
      <c r="K63" s="148" t="s">
        <v>69</v>
      </c>
      <c r="L63" s="67" t="s">
        <v>70</v>
      </c>
      <c r="M63" s="65"/>
      <c r="N63" s="65"/>
      <c r="O63" s="67"/>
    </row>
    <row r="64" s="2" customFormat="1" ht="18" customHeight="1" spans="1:15">
      <c r="A64" s="48"/>
      <c r="B64" s="25">
        <f t="shared" si="4"/>
        <v>0</v>
      </c>
      <c r="C64" s="49"/>
      <c r="D64" s="50"/>
      <c r="E64" s="46"/>
      <c r="F64" s="25">
        <f t="shared" si="5"/>
        <v>0</v>
      </c>
      <c r="G64" s="189"/>
      <c r="H64" s="36">
        <v>43671</v>
      </c>
      <c r="I64" s="188">
        <v>-67731.14</v>
      </c>
      <c r="J64" s="63" t="s">
        <v>20</v>
      </c>
      <c r="K64" s="148" t="s">
        <v>71</v>
      </c>
      <c r="L64" s="67" t="s">
        <v>72</v>
      </c>
      <c r="M64" s="65"/>
      <c r="N64" s="65"/>
      <c r="O64" s="67"/>
    </row>
    <row r="65" s="2" customFormat="1" ht="18" customHeight="1" spans="1:15">
      <c r="A65" s="48">
        <v>43678</v>
      </c>
      <c r="B65" s="25">
        <f t="shared" si="4"/>
        <v>1000020</v>
      </c>
      <c r="C65" s="49"/>
      <c r="D65" s="50" t="s">
        <v>73</v>
      </c>
      <c r="E65" s="46"/>
      <c r="F65" s="25">
        <f t="shared" si="5"/>
        <v>0</v>
      </c>
      <c r="G65" s="189">
        <v>1000020</v>
      </c>
      <c r="H65" s="194">
        <v>43676</v>
      </c>
      <c r="I65" s="196">
        <v>500000</v>
      </c>
      <c r="J65" s="201" t="s">
        <v>21</v>
      </c>
      <c r="K65" s="202" t="s">
        <v>74</v>
      </c>
      <c r="L65" s="203" t="s">
        <v>75</v>
      </c>
      <c r="M65" s="201" t="s">
        <v>76</v>
      </c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194">
        <v>43682</v>
      </c>
      <c r="I66" s="196">
        <v>500000</v>
      </c>
      <c r="J66" s="201" t="s">
        <v>21</v>
      </c>
      <c r="K66" s="202" t="s">
        <v>74</v>
      </c>
      <c r="L66" s="204" t="s">
        <v>77</v>
      </c>
      <c r="M66" s="201" t="s">
        <v>76</v>
      </c>
      <c r="N66" s="65"/>
      <c r="O66" s="67"/>
    </row>
    <row r="67" s="2" customFormat="1" ht="18" customHeight="1" spans="1:15">
      <c r="A67" s="48">
        <v>43678</v>
      </c>
      <c r="B67" s="25">
        <f t="shared" si="4"/>
        <v>1000080</v>
      </c>
      <c r="C67" s="49"/>
      <c r="D67" s="50" t="s">
        <v>73</v>
      </c>
      <c r="E67" s="46"/>
      <c r="F67" s="25">
        <f t="shared" si="5"/>
        <v>0</v>
      </c>
      <c r="G67" s="189">
        <v>1000080</v>
      </c>
      <c r="H67" s="194">
        <v>43691</v>
      </c>
      <c r="I67" s="196">
        <v>1000000</v>
      </c>
      <c r="J67" s="201" t="s">
        <v>21</v>
      </c>
      <c r="K67" s="205" t="s">
        <v>78</v>
      </c>
      <c r="L67" s="206" t="s">
        <v>79</v>
      </c>
      <c r="M67" s="201" t="s">
        <v>76</v>
      </c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43692</v>
      </c>
      <c r="I68" s="188">
        <v>-100000</v>
      </c>
      <c r="J68" s="63" t="s">
        <v>21</v>
      </c>
      <c r="K68" s="207" t="s">
        <v>50</v>
      </c>
      <c r="L68" s="208"/>
      <c r="M68" s="56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36">
        <v>43692</v>
      </c>
      <c r="I69" s="188">
        <v>100000</v>
      </c>
      <c r="J69" s="63" t="s">
        <v>20</v>
      </c>
      <c r="K69" s="207" t="s">
        <v>80</v>
      </c>
      <c r="L69" s="208" t="s">
        <v>81</v>
      </c>
      <c r="M69" s="56"/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36">
        <v>43703</v>
      </c>
      <c r="I70" s="188">
        <v>-100000</v>
      </c>
      <c r="J70" s="63" t="s">
        <v>21</v>
      </c>
      <c r="K70" s="207" t="s">
        <v>50</v>
      </c>
      <c r="L70" s="208"/>
      <c r="M70" s="56"/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36">
        <v>43704</v>
      </c>
      <c r="I71" s="188">
        <v>100000</v>
      </c>
      <c r="J71" s="63" t="s">
        <v>20</v>
      </c>
      <c r="K71" s="207" t="s">
        <v>80</v>
      </c>
      <c r="L71" s="67"/>
      <c r="M71" s="65"/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36">
        <v>43717</v>
      </c>
      <c r="I72" s="188">
        <v>-100000</v>
      </c>
      <c r="J72" s="63" t="s">
        <v>21</v>
      </c>
      <c r="K72" s="207" t="s">
        <v>50</v>
      </c>
      <c r="L72" s="67"/>
      <c r="M72" s="65"/>
      <c r="N72" s="65"/>
      <c r="O72" s="67"/>
    </row>
    <row r="73" s="2" customFormat="1" ht="18" customHeight="1" spans="1:15">
      <c r="A73" s="48"/>
      <c r="B73" s="25">
        <f t="shared" si="4"/>
        <v>0</v>
      </c>
      <c r="C73" s="49"/>
      <c r="D73" s="50"/>
      <c r="E73" s="46"/>
      <c r="F73" s="25">
        <f t="shared" si="5"/>
        <v>0</v>
      </c>
      <c r="G73" s="189"/>
      <c r="H73" s="36">
        <v>43718</v>
      </c>
      <c r="I73" s="188">
        <v>100000</v>
      </c>
      <c r="J73" s="63" t="s">
        <v>20</v>
      </c>
      <c r="K73" s="207" t="s">
        <v>80</v>
      </c>
      <c r="L73" s="67"/>
      <c r="M73" s="65"/>
      <c r="N73" s="65"/>
      <c r="O73" s="67"/>
    </row>
    <row r="74" s="2" customFormat="1" ht="18" customHeight="1" spans="1:15">
      <c r="A74" s="48"/>
      <c r="B74" s="25">
        <f t="shared" si="4"/>
        <v>0</v>
      </c>
      <c r="C74" s="49"/>
      <c r="D74" s="50"/>
      <c r="E74" s="46"/>
      <c r="F74" s="25">
        <f t="shared" si="5"/>
        <v>0</v>
      </c>
      <c r="G74" s="189"/>
      <c r="H74" s="194">
        <v>43734</v>
      </c>
      <c r="I74" s="196">
        <v>300000</v>
      </c>
      <c r="J74" s="201" t="s">
        <v>20</v>
      </c>
      <c r="K74" s="202" t="s">
        <v>80</v>
      </c>
      <c r="L74" s="209"/>
      <c r="M74" s="201" t="s">
        <v>76</v>
      </c>
      <c r="N74" s="65"/>
      <c r="O74" s="67"/>
    </row>
    <row r="75" s="2" customFormat="1" ht="18" customHeight="1" spans="1:15">
      <c r="A75" s="48"/>
      <c r="B75" s="25">
        <f t="shared" si="4"/>
        <v>0</v>
      </c>
      <c r="C75" s="49"/>
      <c r="D75" s="50"/>
      <c r="E75" s="46"/>
      <c r="F75" s="25">
        <f t="shared" si="5"/>
        <v>0</v>
      </c>
      <c r="G75" s="189"/>
      <c r="H75" s="195">
        <v>43749</v>
      </c>
      <c r="I75" s="196">
        <v>500000</v>
      </c>
      <c r="J75" s="201" t="s">
        <v>20</v>
      </c>
      <c r="K75" s="202" t="s">
        <v>80</v>
      </c>
      <c r="L75" s="209"/>
      <c r="M75" s="201" t="s">
        <v>76</v>
      </c>
      <c r="N75" s="65"/>
      <c r="O75" s="67"/>
    </row>
    <row r="76" s="2" customFormat="1" ht="18" customHeight="1" spans="1:15">
      <c r="A76" s="48">
        <v>43709</v>
      </c>
      <c r="B76" s="25">
        <f t="shared" si="4"/>
        <v>12426.15</v>
      </c>
      <c r="C76" s="49"/>
      <c r="D76" s="50" t="s">
        <v>39</v>
      </c>
      <c r="E76" s="46"/>
      <c r="F76" s="25">
        <f t="shared" si="5"/>
        <v>0</v>
      </c>
      <c r="G76" s="189">
        <v>12426.15</v>
      </c>
      <c r="H76" s="36"/>
      <c r="I76" s="210"/>
      <c r="J76" s="56"/>
      <c r="K76" s="207" t="s">
        <v>68</v>
      </c>
      <c r="L76" s="82"/>
      <c r="M76" s="56"/>
      <c r="N76" s="65"/>
      <c r="O76" s="67"/>
    </row>
    <row r="77" s="2" customFormat="1" ht="18" customHeight="1" spans="1:15">
      <c r="A77" s="48">
        <v>43709</v>
      </c>
      <c r="B77" s="25">
        <f t="shared" si="4"/>
        <v>10316.04</v>
      </c>
      <c r="C77" s="49"/>
      <c r="D77" s="50" t="s">
        <v>36</v>
      </c>
      <c r="E77" s="70">
        <v>0.06</v>
      </c>
      <c r="F77" s="25">
        <f t="shared" si="5"/>
        <v>618.96</v>
      </c>
      <c r="G77" s="189">
        <v>10935</v>
      </c>
      <c r="H77" s="36"/>
      <c r="I77" s="210"/>
      <c r="J77" s="56"/>
      <c r="K77" s="207" t="s">
        <v>82</v>
      </c>
      <c r="L77" s="82" t="s">
        <v>41</v>
      </c>
      <c r="M77" s="56"/>
      <c r="N77" s="65"/>
      <c r="O77" s="67"/>
    </row>
    <row r="78" s="2" customFormat="1" ht="18" customHeight="1" spans="1:15">
      <c r="A78" s="48">
        <v>43709</v>
      </c>
      <c r="B78" s="25">
        <f t="shared" si="4"/>
        <v>10424.53</v>
      </c>
      <c r="C78" s="49"/>
      <c r="D78" s="50" t="s">
        <v>36</v>
      </c>
      <c r="E78" s="70">
        <v>0.06</v>
      </c>
      <c r="F78" s="25">
        <f t="shared" si="5"/>
        <v>625.47</v>
      </c>
      <c r="G78" s="189">
        <v>11050</v>
      </c>
      <c r="H78" s="36"/>
      <c r="I78" s="210"/>
      <c r="J78" s="56"/>
      <c r="K78" s="207" t="s">
        <v>82</v>
      </c>
      <c r="L78" s="82" t="s">
        <v>52</v>
      </c>
      <c r="M78" s="56"/>
      <c r="N78" s="65"/>
      <c r="O78" s="67"/>
    </row>
    <row r="79" s="2" customFormat="1" ht="18" customHeight="1" spans="1:15">
      <c r="A79" s="48">
        <v>43709</v>
      </c>
      <c r="B79" s="25">
        <f t="shared" si="4"/>
        <v>80009.43</v>
      </c>
      <c r="C79" s="49"/>
      <c r="D79" s="50" t="s">
        <v>36</v>
      </c>
      <c r="E79" s="70">
        <v>0.06</v>
      </c>
      <c r="F79" s="25">
        <f t="shared" si="5"/>
        <v>4800.57</v>
      </c>
      <c r="G79" s="189">
        <v>84810</v>
      </c>
      <c r="H79" s="36"/>
      <c r="I79" s="210"/>
      <c r="J79" s="56"/>
      <c r="K79" s="207" t="s">
        <v>69</v>
      </c>
      <c r="L79" s="82" t="s">
        <v>83</v>
      </c>
      <c r="M79" s="56"/>
      <c r="N79" s="65"/>
      <c r="O79" s="67"/>
    </row>
    <row r="80" s="2" customFormat="1" ht="18" customHeight="1" spans="1:15">
      <c r="A80" s="48">
        <v>43709</v>
      </c>
      <c r="B80" s="25">
        <f t="shared" si="4"/>
        <v>63897.3</v>
      </c>
      <c r="C80" s="49"/>
      <c r="D80" s="50" t="s">
        <v>36</v>
      </c>
      <c r="E80" s="70">
        <v>0.06</v>
      </c>
      <c r="F80" s="25">
        <f t="shared" si="5"/>
        <v>3833.84</v>
      </c>
      <c r="G80" s="189">
        <v>67731.14</v>
      </c>
      <c r="H80" s="36"/>
      <c r="I80" s="210"/>
      <c r="J80" s="56"/>
      <c r="K80" s="207" t="s">
        <v>69</v>
      </c>
      <c r="L80" s="82" t="s">
        <v>83</v>
      </c>
      <c r="M80" s="56"/>
      <c r="N80" s="65"/>
      <c r="O80" s="67"/>
    </row>
    <row r="81" s="2" customFormat="1" ht="18" customHeight="1" spans="1:15">
      <c r="A81" s="48">
        <v>43739</v>
      </c>
      <c r="B81" s="25">
        <f t="shared" si="4"/>
        <v>443071.38</v>
      </c>
      <c r="C81" s="49"/>
      <c r="D81" s="50" t="s">
        <v>36</v>
      </c>
      <c r="E81" s="70">
        <v>0.13</v>
      </c>
      <c r="F81" s="25">
        <f t="shared" si="5"/>
        <v>57599.28</v>
      </c>
      <c r="G81" s="189">
        <v>500670.66</v>
      </c>
      <c r="H81" s="36">
        <v>43769</v>
      </c>
      <c r="I81" s="188">
        <v>200000</v>
      </c>
      <c r="J81" s="63" t="s">
        <v>20</v>
      </c>
      <c r="K81" s="207" t="s">
        <v>80</v>
      </c>
      <c r="L81" s="82" t="s">
        <v>84</v>
      </c>
      <c r="M81" s="56"/>
      <c r="N81" s="65"/>
      <c r="O81" s="67"/>
    </row>
    <row r="82" s="2" customFormat="1" ht="18" customHeight="1" spans="1:15">
      <c r="A82" s="48">
        <v>43739</v>
      </c>
      <c r="B82" s="25">
        <f t="shared" si="4"/>
        <v>257787.35</v>
      </c>
      <c r="C82" s="49"/>
      <c r="D82" s="50" t="s">
        <v>36</v>
      </c>
      <c r="E82" s="70">
        <v>0.13</v>
      </c>
      <c r="F82" s="196">
        <f t="shared" si="5"/>
        <v>33512.35</v>
      </c>
      <c r="G82" s="189">
        <v>291299.7</v>
      </c>
      <c r="H82" s="36"/>
      <c r="I82" s="210"/>
      <c r="J82" s="63" t="s">
        <v>20</v>
      </c>
      <c r="K82" s="207" t="s">
        <v>80</v>
      </c>
      <c r="L82" s="82" t="s">
        <v>85</v>
      </c>
      <c r="M82" s="56"/>
      <c r="N82" s="65"/>
      <c r="O82" s="67"/>
    </row>
    <row r="83" s="2" customFormat="1" ht="18" customHeight="1" spans="1:15">
      <c r="A83" s="48"/>
      <c r="B83" s="25">
        <f t="shared" si="4"/>
        <v>0</v>
      </c>
      <c r="C83" s="49"/>
      <c r="D83" s="50"/>
      <c r="E83" s="70"/>
      <c r="F83" s="25">
        <f t="shared" si="5"/>
        <v>0</v>
      </c>
      <c r="G83" s="189"/>
      <c r="H83" s="36">
        <v>43769</v>
      </c>
      <c r="I83" s="188">
        <v>600000</v>
      </c>
      <c r="J83" s="63" t="s">
        <v>20</v>
      </c>
      <c r="K83" s="148" t="s">
        <v>53</v>
      </c>
      <c r="L83" s="67" t="s">
        <v>54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4"/>
        <v>500010</v>
      </c>
      <c r="C84" s="49"/>
      <c r="D84" s="50" t="s">
        <v>73</v>
      </c>
      <c r="E84" s="70"/>
      <c r="F84" s="25">
        <f t="shared" si="5"/>
        <v>0</v>
      </c>
      <c r="G84" s="189">
        <v>500010</v>
      </c>
      <c r="H84" s="36">
        <v>43773</v>
      </c>
      <c r="I84" s="188">
        <v>500010</v>
      </c>
      <c r="J84" s="63" t="s">
        <v>21</v>
      </c>
      <c r="K84" s="207" t="s">
        <v>74</v>
      </c>
      <c r="L84" s="82" t="s">
        <v>86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300000</v>
      </c>
      <c r="C85" s="49"/>
      <c r="D85" s="50" t="s">
        <v>73</v>
      </c>
      <c r="E85" s="70"/>
      <c r="F85" s="25">
        <f t="shared" si="5"/>
        <v>0</v>
      </c>
      <c r="G85" s="189">
        <v>300000</v>
      </c>
      <c r="H85" s="36">
        <v>43773</v>
      </c>
      <c r="I85" s="188">
        <v>300000</v>
      </c>
      <c r="J85" s="63" t="s">
        <v>21</v>
      </c>
      <c r="K85" s="207" t="s">
        <v>87</v>
      </c>
      <c r="L85" s="82" t="s">
        <v>88</v>
      </c>
      <c r="M85" s="56"/>
      <c r="N85" s="65"/>
      <c r="O85" s="67"/>
    </row>
    <row r="86" s="2" customFormat="1" ht="18" customHeight="1" spans="1:15">
      <c r="A86" s="48">
        <v>43770</v>
      </c>
      <c r="B86" s="25">
        <f t="shared" si="4"/>
        <v>300000</v>
      </c>
      <c r="C86" s="49"/>
      <c r="D86" s="50" t="s">
        <v>73</v>
      </c>
      <c r="E86" s="70"/>
      <c r="F86" s="25">
        <f t="shared" si="5"/>
        <v>0</v>
      </c>
      <c r="G86" s="189">
        <v>300000</v>
      </c>
      <c r="H86" s="36">
        <v>43773</v>
      </c>
      <c r="I86" s="188">
        <v>300000</v>
      </c>
      <c r="J86" s="63" t="s">
        <v>21</v>
      </c>
      <c r="K86" s="207" t="s">
        <v>89</v>
      </c>
      <c r="L86" s="82" t="s">
        <v>88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300060</v>
      </c>
      <c r="C87" s="49"/>
      <c r="D87" s="50" t="s">
        <v>73</v>
      </c>
      <c r="E87" s="70"/>
      <c r="F87" s="25">
        <f t="shared" si="5"/>
        <v>0</v>
      </c>
      <c r="G87" s="189">
        <v>300060</v>
      </c>
      <c r="H87" s="36">
        <v>43773</v>
      </c>
      <c r="I87" s="188">
        <v>300060</v>
      </c>
      <c r="J87" s="63" t="s">
        <v>21</v>
      </c>
      <c r="K87" s="207" t="s">
        <v>90</v>
      </c>
      <c r="L87" s="82" t="s">
        <v>91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si="4"/>
        <v>0</v>
      </c>
      <c r="C88" s="49"/>
      <c r="D88" s="50"/>
      <c r="E88" s="70"/>
      <c r="F88" s="25">
        <f t="shared" si="5"/>
        <v>0</v>
      </c>
      <c r="G88" s="189"/>
      <c r="H88" s="36">
        <v>43773</v>
      </c>
      <c r="I88" s="188">
        <v>500000</v>
      </c>
      <c r="J88" s="63" t="s">
        <v>20</v>
      </c>
      <c r="K88" s="207" t="s">
        <v>92</v>
      </c>
      <c r="L88" s="82" t="s">
        <v>93</v>
      </c>
      <c r="M88" s="56"/>
      <c r="N88" s="65"/>
      <c r="O88" s="67"/>
    </row>
    <row r="89" s="2" customFormat="1" ht="18" customHeight="1" spans="1:15">
      <c r="A89" s="48"/>
      <c r="B89" s="25">
        <f t="shared" si="4"/>
        <v>0</v>
      </c>
      <c r="C89" s="49"/>
      <c r="D89" s="50"/>
      <c r="E89" s="70"/>
      <c r="F89" s="25">
        <f t="shared" si="5"/>
        <v>0</v>
      </c>
      <c r="G89" s="189"/>
      <c r="H89" s="36">
        <v>43775</v>
      </c>
      <c r="I89" s="188">
        <v>800000</v>
      </c>
      <c r="J89" s="63" t="s">
        <v>20</v>
      </c>
      <c r="K89" s="207" t="s">
        <v>94</v>
      </c>
      <c r="L89" s="82" t="s">
        <v>95</v>
      </c>
      <c r="M89" s="56"/>
      <c r="N89" s="65"/>
      <c r="O89" s="67"/>
    </row>
    <row r="90" s="2" customFormat="1" ht="18" customHeight="1" spans="1:15">
      <c r="A90" s="48">
        <v>43770</v>
      </c>
      <c r="B90" s="25">
        <f t="shared" si="4"/>
        <v>1165048.54</v>
      </c>
      <c r="C90" s="49"/>
      <c r="D90" s="50" t="s">
        <v>36</v>
      </c>
      <c r="E90" s="70">
        <v>0.03</v>
      </c>
      <c r="F90" s="197">
        <f t="shared" si="5"/>
        <v>34951.46</v>
      </c>
      <c r="G90" s="189">
        <f>96000*12+48000</f>
        <v>1200000</v>
      </c>
      <c r="H90" s="36">
        <v>43776</v>
      </c>
      <c r="I90" s="188">
        <v>400000</v>
      </c>
      <c r="J90" s="63" t="s">
        <v>20</v>
      </c>
      <c r="K90" s="207" t="s">
        <v>94</v>
      </c>
      <c r="L90" s="82" t="s">
        <v>95</v>
      </c>
      <c r="M90" s="56"/>
      <c r="N90" s="65"/>
      <c r="O90" s="67"/>
    </row>
    <row r="91" s="2" customFormat="1" ht="18" customHeight="1" spans="1:15">
      <c r="A91" s="48">
        <v>43770</v>
      </c>
      <c r="B91" s="25">
        <f t="shared" ref="B91:B93" si="6">ROUND(G91/(1+E91),2)</f>
        <v>326256.05</v>
      </c>
      <c r="C91" s="49"/>
      <c r="D91" s="50" t="s">
        <v>36</v>
      </c>
      <c r="E91" s="70">
        <v>0.13</v>
      </c>
      <c r="F91" s="197">
        <f t="shared" ref="F91:F93" si="7">ROUND(G91/(1+E91)*E91,2)</f>
        <v>42413.29</v>
      </c>
      <c r="G91" s="189">
        <v>368669.34</v>
      </c>
      <c r="H91" s="36"/>
      <c r="I91" s="210"/>
      <c r="J91" s="56"/>
      <c r="K91" s="207" t="s">
        <v>80</v>
      </c>
      <c r="L91" s="82" t="s">
        <v>96</v>
      </c>
      <c r="M91" s="56"/>
      <c r="N91" s="65"/>
      <c r="O91" s="67"/>
    </row>
    <row r="92" s="2" customFormat="1" ht="18" customHeight="1" spans="1:15">
      <c r="A92" s="48">
        <v>43770</v>
      </c>
      <c r="B92" s="25">
        <f t="shared" si="6"/>
        <v>199980</v>
      </c>
      <c r="C92" s="49"/>
      <c r="D92" s="50" t="s">
        <v>73</v>
      </c>
      <c r="E92" s="70"/>
      <c r="F92" s="25">
        <f t="shared" si="7"/>
        <v>0</v>
      </c>
      <c r="G92" s="189">
        <v>199980</v>
      </c>
      <c r="H92" s="195">
        <v>43784</v>
      </c>
      <c r="I92" s="196">
        <v>199980</v>
      </c>
      <c r="J92" s="201" t="s">
        <v>21</v>
      </c>
      <c r="K92" s="202" t="s">
        <v>97</v>
      </c>
      <c r="L92" s="204" t="s">
        <v>98</v>
      </c>
      <c r="M92" s="56" t="s">
        <v>76</v>
      </c>
      <c r="N92" s="65"/>
      <c r="O92" s="67"/>
    </row>
    <row r="93" s="3" customFormat="1" ht="18" customHeight="1" spans="1:15">
      <c r="A93" s="74">
        <v>43770</v>
      </c>
      <c r="B93" s="25">
        <f t="shared" si="6"/>
        <v>442477.88</v>
      </c>
      <c r="C93" s="75"/>
      <c r="D93" s="76" t="s">
        <v>36</v>
      </c>
      <c r="E93" s="77">
        <v>0.13</v>
      </c>
      <c r="F93" s="197">
        <f t="shared" si="7"/>
        <v>57522.12</v>
      </c>
      <c r="G93" s="198">
        <v>500000</v>
      </c>
      <c r="H93" s="36"/>
      <c r="I93" s="188"/>
      <c r="J93" s="63"/>
      <c r="K93" s="207" t="s">
        <v>92</v>
      </c>
      <c r="L93" s="82" t="s">
        <v>99</v>
      </c>
      <c r="M93" s="63" t="s">
        <v>100</v>
      </c>
      <c r="N93" s="63"/>
      <c r="O93" s="82"/>
    </row>
    <row r="94" s="3" customFormat="1" ht="18" customHeight="1" spans="1:15">
      <c r="A94" s="74"/>
      <c r="B94" s="25"/>
      <c r="C94" s="75"/>
      <c r="D94" s="76"/>
      <c r="E94" s="77"/>
      <c r="F94" s="25"/>
      <c r="G94" s="198"/>
      <c r="H94" s="36">
        <v>43819</v>
      </c>
      <c r="I94" s="188">
        <v>92448</v>
      </c>
      <c r="J94" s="63" t="s">
        <v>20</v>
      </c>
      <c r="K94" s="148" t="s">
        <v>53</v>
      </c>
      <c r="L94" s="67" t="s">
        <v>54</v>
      </c>
      <c r="M94" s="63"/>
      <c r="N94" s="63"/>
      <c r="O94" s="82"/>
    </row>
    <row r="95" s="3" customFormat="1" ht="18" customHeight="1" spans="1:15">
      <c r="A95" s="74"/>
      <c r="B95" s="25">
        <f t="shared" ref="B95:B103" si="8">ROUND(G95/(1+E95),2)</f>
        <v>0</v>
      </c>
      <c r="C95" s="75"/>
      <c r="D95" s="76"/>
      <c r="E95" s="77"/>
      <c r="F95" s="25">
        <f t="shared" ref="F95:F103" si="9">ROUND(G95/(1+E95)*E95,2)</f>
        <v>0</v>
      </c>
      <c r="G95" s="198"/>
      <c r="H95" s="36">
        <v>43829</v>
      </c>
      <c r="I95" s="188">
        <v>800000</v>
      </c>
      <c r="J95" s="63" t="s">
        <v>20</v>
      </c>
      <c r="K95" s="207" t="s">
        <v>80</v>
      </c>
      <c r="L95" s="82" t="s">
        <v>81</v>
      </c>
      <c r="M95" s="63"/>
      <c r="N95" s="63"/>
      <c r="O95" s="82"/>
    </row>
    <row r="96" s="3" customFormat="1" ht="18" customHeight="1" spans="1:15">
      <c r="A96" s="74">
        <v>43800</v>
      </c>
      <c r="B96" s="25">
        <f t="shared" si="8"/>
        <v>650987.86</v>
      </c>
      <c r="C96" s="75"/>
      <c r="D96" s="76" t="s">
        <v>36</v>
      </c>
      <c r="E96" s="77">
        <v>0.13</v>
      </c>
      <c r="F96" s="25">
        <f t="shared" si="9"/>
        <v>84628.42</v>
      </c>
      <c r="G96" s="198">
        <v>735616.28</v>
      </c>
      <c r="H96" s="36"/>
      <c r="I96" s="188"/>
      <c r="J96" s="63"/>
      <c r="K96" s="207" t="s">
        <v>80</v>
      </c>
      <c r="L96" s="82" t="s">
        <v>101</v>
      </c>
      <c r="M96" s="63" t="s">
        <v>100</v>
      </c>
      <c r="N96" s="63"/>
      <c r="O96" s="82"/>
    </row>
    <row r="97" s="3" customFormat="1" ht="18" customHeight="1" spans="1:15">
      <c r="A97" s="74">
        <v>43800</v>
      </c>
      <c r="B97" s="25">
        <f t="shared" si="8"/>
        <v>5825242.72</v>
      </c>
      <c r="C97" s="75"/>
      <c r="D97" s="50" t="s">
        <v>36</v>
      </c>
      <c r="E97" s="70">
        <v>0.03</v>
      </c>
      <c r="F97" s="25">
        <f t="shared" si="9"/>
        <v>174757.28</v>
      </c>
      <c r="G97" s="198">
        <f>1000000*6</f>
        <v>6000000</v>
      </c>
      <c r="H97" s="36">
        <v>43843</v>
      </c>
      <c r="I97" s="188">
        <v>1000000</v>
      </c>
      <c r="J97" s="63" t="s">
        <v>20</v>
      </c>
      <c r="K97" s="207" t="s">
        <v>53</v>
      </c>
      <c r="L97" s="82" t="s">
        <v>54</v>
      </c>
      <c r="M97" s="63" t="s">
        <v>100</v>
      </c>
      <c r="N97" s="63"/>
      <c r="O97" s="82" t="s">
        <v>102</v>
      </c>
    </row>
    <row r="98" s="3" customFormat="1" ht="18" customHeight="1" spans="1:15">
      <c r="A98" s="74">
        <v>43831</v>
      </c>
      <c r="B98" s="25">
        <f t="shared" si="8"/>
        <v>3623633.45</v>
      </c>
      <c r="C98" s="75"/>
      <c r="D98" s="50" t="s">
        <v>36</v>
      </c>
      <c r="E98" s="77">
        <v>0.09</v>
      </c>
      <c r="F98" s="25">
        <f t="shared" si="9"/>
        <v>326127.01</v>
      </c>
      <c r="G98" s="198">
        <f>1000000*3+949760.46</f>
        <v>3949760.46</v>
      </c>
      <c r="H98" s="36">
        <v>43844</v>
      </c>
      <c r="I98" s="188">
        <v>500000</v>
      </c>
      <c r="J98" s="63" t="s">
        <v>20</v>
      </c>
      <c r="K98" s="207" t="s">
        <v>103</v>
      </c>
      <c r="L98" s="82" t="s">
        <v>54</v>
      </c>
      <c r="M98" s="63" t="s">
        <v>100</v>
      </c>
      <c r="N98" s="63"/>
      <c r="O98" s="82"/>
    </row>
    <row r="99" s="3" customFormat="1" ht="18" customHeight="1" spans="1:15">
      <c r="A99" s="74"/>
      <c r="B99" s="25">
        <f t="shared" si="8"/>
        <v>0</v>
      </c>
      <c r="C99" s="75"/>
      <c r="D99" s="76"/>
      <c r="E99" s="77"/>
      <c r="F99" s="25">
        <f t="shared" si="9"/>
        <v>0</v>
      </c>
      <c r="G99" s="198"/>
      <c r="H99" s="36">
        <v>43845</v>
      </c>
      <c r="I99" s="188">
        <v>2000000</v>
      </c>
      <c r="J99" s="63" t="s">
        <v>20</v>
      </c>
      <c r="K99" s="207" t="s">
        <v>103</v>
      </c>
      <c r="L99" s="82" t="s">
        <v>54</v>
      </c>
      <c r="M99" s="63"/>
      <c r="N99" s="63"/>
      <c r="O99" s="82"/>
    </row>
    <row r="100" s="3" customFormat="1" ht="18" customHeight="1" spans="1:15">
      <c r="A100" s="74"/>
      <c r="B100" s="25">
        <f t="shared" si="8"/>
        <v>0</v>
      </c>
      <c r="C100" s="75"/>
      <c r="D100" s="76"/>
      <c r="E100" s="77"/>
      <c r="F100" s="25">
        <f t="shared" si="9"/>
        <v>0</v>
      </c>
      <c r="G100" s="198"/>
      <c r="H100" s="36">
        <v>43849</v>
      </c>
      <c r="I100" s="188">
        <v>1449760.46</v>
      </c>
      <c r="J100" s="63" t="s">
        <v>20</v>
      </c>
      <c r="K100" s="207" t="s">
        <v>103</v>
      </c>
      <c r="L100" s="82" t="s">
        <v>54</v>
      </c>
      <c r="M100" s="63"/>
      <c r="N100" s="63"/>
      <c r="O100" s="82"/>
    </row>
    <row r="101" s="3" customFormat="1" ht="18" customHeight="1" spans="1:15">
      <c r="A101" s="74">
        <v>43831</v>
      </c>
      <c r="B101" s="25">
        <f t="shared" si="8"/>
        <v>600000</v>
      </c>
      <c r="C101" s="75"/>
      <c r="D101" s="50" t="s">
        <v>73</v>
      </c>
      <c r="E101" s="77"/>
      <c r="F101" s="25">
        <f t="shared" si="9"/>
        <v>0</v>
      </c>
      <c r="G101" s="188">
        <v>600000</v>
      </c>
      <c r="H101" s="36">
        <v>43850</v>
      </c>
      <c r="I101" s="188">
        <v>600000</v>
      </c>
      <c r="J101" s="63" t="s">
        <v>21</v>
      </c>
      <c r="K101" s="207" t="s">
        <v>89</v>
      </c>
      <c r="L101" s="82" t="s">
        <v>104</v>
      </c>
      <c r="M101" s="63"/>
      <c r="N101" s="63"/>
      <c r="O101" s="82"/>
    </row>
    <row r="102" s="3" customFormat="1" ht="18" customHeight="1" spans="1:15">
      <c r="A102" s="74">
        <v>43831</v>
      </c>
      <c r="B102" s="25">
        <f t="shared" si="8"/>
        <v>600000</v>
      </c>
      <c r="C102" s="75"/>
      <c r="D102" s="50" t="s">
        <v>73</v>
      </c>
      <c r="E102" s="77"/>
      <c r="F102" s="25">
        <f t="shared" si="9"/>
        <v>0</v>
      </c>
      <c r="G102" s="188">
        <v>600000</v>
      </c>
      <c r="H102" s="36">
        <v>43850</v>
      </c>
      <c r="I102" s="188">
        <v>600000</v>
      </c>
      <c r="J102" s="63" t="s">
        <v>21</v>
      </c>
      <c r="K102" s="207" t="s">
        <v>87</v>
      </c>
      <c r="L102" s="82" t="s">
        <v>104</v>
      </c>
      <c r="M102" s="63"/>
      <c r="N102" s="63"/>
      <c r="O102" s="82"/>
    </row>
    <row r="103" s="3" customFormat="1" ht="18" customHeight="1" spans="1:15">
      <c r="A103" s="74">
        <v>43891</v>
      </c>
      <c r="B103" s="25">
        <f t="shared" si="8"/>
        <v>530100</v>
      </c>
      <c r="C103" s="75"/>
      <c r="D103" s="50" t="s">
        <v>73</v>
      </c>
      <c r="E103" s="77"/>
      <c r="F103" s="25">
        <f t="shared" si="9"/>
        <v>0</v>
      </c>
      <c r="G103" s="188">
        <v>530100</v>
      </c>
      <c r="H103" s="36">
        <v>43903</v>
      </c>
      <c r="I103" s="188">
        <v>530000</v>
      </c>
      <c r="J103" s="63" t="s">
        <v>21</v>
      </c>
      <c r="K103" s="207" t="s">
        <v>105</v>
      </c>
      <c r="L103" s="82" t="s">
        <v>77</v>
      </c>
      <c r="M103" s="63"/>
      <c r="N103" s="63"/>
      <c r="O103" s="82"/>
    </row>
    <row r="104" s="3" customFormat="1" ht="18" customHeight="1" spans="1:15">
      <c r="A104" s="74">
        <v>43952</v>
      </c>
      <c r="B104" s="25">
        <f>298648.6+188837.04+318653.29</f>
        <v>806138.93</v>
      </c>
      <c r="C104" s="75">
        <v>3</v>
      </c>
      <c r="D104" s="50" t="s">
        <v>36</v>
      </c>
      <c r="E104" s="77">
        <v>0.13</v>
      </c>
      <c r="F104" s="25">
        <f>38824.32+24548.82+41424.93</f>
        <v>104798.07</v>
      </c>
      <c r="G104" s="198">
        <f>337472.92+213385.86+360078.22</f>
        <v>910937</v>
      </c>
      <c r="H104" s="36">
        <v>43903</v>
      </c>
      <c r="I104" s="188">
        <v>200000</v>
      </c>
      <c r="J104" s="63" t="s">
        <v>20</v>
      </c>
      <c r="K104" s="207" t="s">
        <v>80</v>
      </c>
      <c r="L104" s="82" t="s">
        <v>169</v>
      </c>
      <c r="M104" s="63" t="s">
        <v>100</v>
      </c>
      <c r="N104" s="63" t="s">
        <v>100</v>
      </c>
      <c r="O104" s="82"/>
    </row>
    <row r="105" s="3" customFormat="1" ht="18" customHeight="1" spans="1:15">
      <c r="A105" s="74"/>
      <c r="B105" s="25">
        <f t="shared" ref="B105:B131" si="10">ROUND(G105/(1+E105),2)</f>
        <v>0</v>
      </c>
      <c r="C105" s="75"/>
      <c r="D105" s="50"/>
      <c r="E105" s="77"/>
      <c r="F105" s="25">
        <f t="shared" ref="F105:F130" si="11">ROUND(G105/(1+E105)*E105,2)</f>
        <v>0</v>
      </c>
      <c r="G105" s="198"/>
      <c r="H105" s="36">
        <v>43950</v>
      </c>
      <c r="I105" s="188">
        <v>400000</v>
      </c>
      <c r="J105" s="63" t="s">
        <v>20</v>
      </c>
      <c r="K105" s="207" t="s">
        <v>155</v>
      </c>
      <c r="L105" s="82" t="s">
        <v>81</v>
      </c>
      <c r="M105" s="63"/>
      <c r="N105"/>
      <c r="O105" s="82"/>
    </row>
    <row r="106" s="3" customFormat="1" ht="18" customHeight="1" spans="1:15">
      <c r="A106" s="74"/>
      <c r="B106" s="25">
        <f t="shared" si="10"/>
        <v>0</v>
      </c>
      <c r="C106" s="75"/>
      <c r="D106" s="50"/>
      <c r="E106" s="77"/>
      <c r="F106" s="25">
        <f t="shared" si="11"/>
        <v>0</v>
      </c>
      <c r="G106" s="198"/>
      <c r="H106" s="36">
        <v>43951</v>
      </c>
      <c r="I106" s="188">
        <v>970000</v>
      </c>
      <c r="J106" s="63" t="s">
        <v>21</v>
      </c>
      <c r="K106" s="207" t="s">
        <v>105</v>
      </c>
      <c r="L106" s="82"/>
      <c r="M106" s="63"/>
      <c r="N106" s="63"/>
      <c r="O106" s="82"/>
    </row>
    <row r="107" s="3" customFormat="1" ht="18" customHeight="1" spans="1:15">
      <c r="A107" s="74"/>
      <c r="B107" s="25">
        <f t="shared" si="10"/>
        <v>0</v>
      </c>
      <c r="C107" s="75"/>
      <c r="D107" s="50"/>
      <c r="E107" s="77"/>
      <c r="F107" s="25">
        <f t="shared" si="11"/>
        <v>0</v>
      </c>
      <c r="G107" s="198"/>
      <c r="H107" s="36">
        <v>43966</v>
      </c>
      <c r="I107" s="188">
        <v>150000</v>
      </c>
      <c r="J107" s="63" t="s">
        <v>20</v>
      </c>
      <c r="K107" s="207" t="s">
        <v>155</v>
      </c>
      <c r="L107" s="82" t="s">
        <v>81</v>
      </c>
      <c r="M107" s="63"/>
      <c r="N107" s="63"/>
      <c r="O107" s="82"/>
    </row>
    <row r="108" s="3" customFormat="1" ht="17.1" customHeight="1" spans="1:15">
      <c r="A108" s="74">
        <v>44013</v>
      </c>
      <c r="B108" s="25">
        <f t="shared" si="10"/>
        <v>2632.08</v>
      </c>
      <c r="C108" s="75">
        <v>1</v>
      </c>
      <c r="D108" s="50" t="s">
        <v>36</v>
      </c>
      <c r="E108" s="77">
        <v>0.06</v>
      </c>
      <c r="F108" s="25">
        <f t="shared" si="11"/>
        <v>157.92</v>
      </c>
      <c r="G108" s="198">
        <v>2790</v>
      </c>
      <c r="H108" s="36"/>
      <c r="I108" s="188"/>
      <c r="J108" s="63"/>
      <c r="K108" s="211" t="s">
        <v>156</v>
      </c>
      <c r="L108" s="212" t="s">
        <v>52</v>
      </c>
      <c r="M108" s="56" t="s">
        <v>171</v>
      </c>
      <c r="N108" s="63"/>
      <c r="O108" s="82"/>
    </row>
    <row r="109" s="3" customFormat="1" ht="17.1" customHeight="1" spans="1:15">
      <c r="A109" s="74"/>
      <c r="B109" s="25">
        <f t="shared" si="10"/>
        <v>0</v>
      </c>
      <c r="C109" s="75"/>
      <c r="D109" s="50"/>
      <c r="E109" s="77"/>
      <c r="F109" s="25">
        <f t="shared" si="11"/>
        <v>0</v>
      </c>
      <c r="G109" s="198"/>
      <c r="H109" s="36">
        <v>43993</v>
      </c>
      <c r="I109" s="188">
        <v>100000</v>
      </c>
      <c r="J109" s="63"/>
      <c r="K109" s="207" t="s">
        <v>155</v>
      </c>
      <c r="L109" s="82"/>
      <c r="M109" s="63"/>
      <c r="N109" s="63"/>
      <c r="O109" s="82"/>
    </row>
    <row r="110" s="3" customFormat="1" ht="17.1" customHeight="1" spans="1:15">
      <c r="A110" s="74"/>
      <c r="B110" s="25">
        <f t="shared" si="10"/>
        <v>0</v>
      </c>
      <c r="C110" s="75"/>
      <c r="D110" s="50"/>
      <c r="E110" s="77"/>
      <c r="F110" s="25">
        <f t="shared" si="11"/>
        <v>0</v>
      </c>
      <c r="G110" s="198"/>
      <c r="H110" s="36">
        <v>43994</v>
      </c>
      <c r="I110" s="188">
        <v>1000000</v>
      </c>
      <c r="J110" s="63"/>
      <c r="K110" s="213" t="s">
        <v>53</v>
      </c>
      <c r="L110" s="82" t="s">
        <v>54</v>
      </c>
      <c r="M110" s="63"/>
      <c r="N110" s="63"/>
      <c r="O110" s="82"/>
    </row>
    <row r="111" s="3" customFormat="1" ht="17.1" customHeight="1" spans="1:15">
      <c r="A111" s="74"/>
      <c r="B111" s="25">
        <f t="shared" si="10"/>
        <v>0</v>
      </c>
      <c r="C111" s="75"/>
      <c r="D111" s="50"/>
      <c r="E111" s="77"/>
      <c r="F111" s="25">
        <f t="shared" si="11"/>
        <v>0</v>
      </c>
      <c r="G111" s="198"/>
      <c r="H111" s="36">
        <v>44000</v>
      </c>
      <c r="I111" s="214">
        <v>500000</v>
      </c>
      <c r="J111" s="63" t="s">
        <v>20</v>
      </c>
      <c r="K111" s="171" t="s">
        <v>166</v>
      </c>
      <c r="L111" s="82"/>
      <c r="M111" s="63"/>
      <c r="N111" s="63"/>
      <c r="O111" s="82"/>
    </row>
    <row r="112" s="3" customFormat="1" ht="17.1" customHeight="1" spans="1:15">
      <c r="A112" s="74">
        <v>44013</v>
      </c>
      <c r="B112" s="25">
        <f t="shared" si="10"/>
        <v>600040</v>
      </c>
      <c r="C112" s="75"/>
      <c r="D112" s="50" t="s">
        <v>173</v>
      </c>
      <c r="E112" s="77"/>
      <c r="F112" s="25">
        <f t="shared" si="11"/>
        <v>0</v>
      </c>
      <c r="G112" s="198">
        <v>600040</v>
      </c>
      <c r="H112" s="36">
        <v>44000</v>
      </c>
      <c r="I112" s="214">
        <v>600040</v>
      </c>
      <c r="J112" s="63" t="s">
        <v>20</v>
      </c>
      <c r="K112" s="171" t="s">
        <v>74</v>
      </c>
      <c r="L112" s="82" t="s">
        <v>174</v>
      </c>
      <c r="M112" s="63"/>
      <c r="N112" s="63"/>
      <c r="O112" s="82" t="s">
        <v>175</v>
      </c>
    </row>
    <row r="113" s="3" customFormat="1" ht="17.1" customHeight="1" spans="1:15">
      <c r="A113" s="74">
        <v>44013</v>
      </c>
      <c r="B113" s="25">
        <f t="shared" si="10"/>
        <v>600120</v>
      </c>
      <c r="C113" s="75"/>
      <c r="D113" s="50" t="s">
        <v>173</v>
      </c>
      <c r="E113" s="77"/>
      <c r="F113" s="25">
        <f t="shared" si="11"/>
        <v>0</v>
      </c>
      <c r="G113" s="198">
        <v>600120</v>
      </c>
      <c r="H113" s="36">
        <v>44000</v>
      </c>
      <c r="I113" s="214">
        <v>600120</v>
      </c>
      <c r="J113" s="63" t="s">
        <v>20</v>
      </c>
      <c r="K113" s="171" t="s">
        <v>78</v>
      </c>
      <c r="L113" s="82" t="s">
        <v>176</v>
      </c>
      <c r="M113" s="63"/>
      <c r="N113" s="63"/>
      <c r="O113" s="82" t="s">
        <v>177</v>
      </c>
    </row>
    <row r="114" s="3" customFormat="1" ht="17.1" customHeight="1" spans="1:15">
      <c r="A114" s="74">
        <v>44013</v>
      </c>
      <c r="B114" s="25">
        <f t="shared" si="10"/>
        <v>300000</v>
      </c>
      <c r="C114" s="75"/>
      <c r="D114" s="50" t="s">
        <v>173</v>
      </c>
      <c r="E114" s="77"/>
      <c r="F114" s="25">
        <f t="shared" si="11"/>
        <v>0</v>
      </c>
      <c r="G114" s="198">
        <v>300000</v>
      </c>
      <c r="H114" s="36">
        <v>44000</v>
      </c>
      <c r="I114" s="214">
        <v>300000</v>
      </c>
      <c r="J114" s="63" t="s">
        <v>20</v>
      </c>
      <c r="K114" s="171" t="s">
        <v>89</v>
      </c>
      <c r="L114" s="82" t="s">
        <v>178</v>
      </c>
      <c r="M114" t="s">
        <v>100</v>
      </c>
      <c r="N114" s="63"/>
      <c r="O114" s="82" t="s">
        <v>179</v>
      </c>
    </row>
    <row r="115" s="3" customFormat="1" ht="17.1" customHeight="1" spans="1:15">
      <c r="A115" s="74">
        <v>44013</v>
      </c>
      <c r="B115" s="25">
        <f t="shared" si="10"/>
        <v>300000</v>
      </c>
      <c r="C115" s="75"/>
      <c r="D115" s="50" t="s">
        <v>173</v>
      </c>
      <c r="E115" s="77"/>
      <c r="F115" s="25">
        <f t="shared" si="11"/>
        <v>0</v>
      </c>
      <c r="G115" s="198">
        <v>300000</v>
      </c>
      <c r="H115" s="36">
        <v>44001</v>
      </c>
      <c r="I115" s="214">
        <v>300000</v>
      </c>
      <c r="J115" s="63" t="s">
        <v>20</v>
      </c>
      <c r="K115" s="171" t="s">
        <v>87</v>
      </c>
      <c r="L115" s="82" t="s">
        <v>178</v>
      </c>
      <c r="M115" t="s">
        <v>100</v>
      </c>
      <c r="N115" s="63"/>
      <c r="O115" s="82" t="s">
        <v>180</v>
      </c>
    </row>
    <row r="116" s="3" customFormat="1" ht="18" customHeight="1" spans="1:15">
      <c r="A116" s="74"/>
      <c r="B116" s="25">
        <f t="shared" si="10"/>
        <v>0</v>
      </c>
      <c r="C116" s="75"/>
      <c r="D116" s="50"/>
      <c r="E116" s="77"/>
      <c r="F116" s="25">
        <f t="shared" si="11"/>
        <v>0</v>
      </c>
      <c r="G116" s="198"/>
      <c r="H116" s="199">
        <v>44005</v>
      </c>
      <c r="I116" s="215">
        <v>170000</v>
      </c>
      <c r="J116" s="216" t="s">
        <v>20</v>
      </c>
      <c r="K116" s="217" t="s">
        <v>155</v>
      </c>
      <c r="L116" s="82"/>
      <c r="M116" s="63"/>
      <c r="N116" s="63"/>
      <c r="O116" s="82"/>
    </row>
    <row r="117" s="3" customFormat="1" ht="18" customHeight="1" spans="1:15">
      <c r="A117" s="74"/>
      <c r="B117" s="25">
        <f t="shared" si="10"/>
        <v>0</v>
      </c>
      <c r="C117" s="75"/>
      <c r="D117" s="50"/>
      <c r="E117" s="77"/>
      <c r="F117" s="25">
        <f t="shared" si="11"/>
        <v>0</v>
      </c>
      <c r="G117" s="198"/>
      <c r="H117" s="200">
        <v>44012</v>
      </c>
      <c r="I117" s="218">
        <v>1000000</v>
      </c>
      <c r="J117" s="219" t="s">
        <v>164</v>
      </c>
      <c r="K117" s="220" t="s">
        <v>80</v>
      </c>
      <c r="L117" s="221" t="s">
        <v>81</v>
      </c>
      <c r="M117" s="219" t="s">
        <v>76</v>
      </c>
      <c r="N117" s="63"/>
      <c r="O117" s="82"/>
    </row>
    <row r="118" s="3" customFormat="1" ht="18" customHeight="1" spans="1:15">
      <c r="A118" s="74"/>
      <c r="B118" s="25">
        <f t="shared" si="10"/>
        <v>0</v>
      </c>
      <c r="C118" s="75"/>
      <c r="D118" s="50"/>
      <c r="E118" s="77"/>
      <c r="F118" s="25">
        <f t="shared" si="11"/>
        <v>0</v>
      </c>
      <c r="G118" s="198"/>
      <c r="H118" s="200">
        <v>44019</v>
      </c>
      <c r="I118" s="218">
        <v>500000</v>
      </c>
      <c r="J118" s="219"/>
      <c r="K118" s="220" t="s">
        <v>80</v>
      </c>
      <c r="L118" s="208"/>
      <c r="M118" s="219" t="s">
        <v>76</v>
      </c>
      <c r="N118" s="63"/>
      <c r="O118" s="82"/>
    </row>
    <row r="119" s="3" customFormat="1" ht="18" customHeight="1" spans="1:15">
      <c r="A119" s="74">
        <v>44013</v>
      </c>
      <c r="B119" s="25">
        <f t="shared" si="10"/>
        <v>505080.8</v>
      </c>
      <c r="C119" s="75"/>
      <c r="D119" s="50" t="s">
        <v>173</v>
      </c>
      <c r="E119" s="77"/>
      <c r="F119" s="25">
        <f t="shared" si="11"/>
        <v>0</v>
      </c>
      <c r="G119" s="198">
        <v>505080.8</v>
      </c>
      <c r="H119" s="200">
        <v>44019</v>
      </c>
      <c r="I119" s="218">
        <v>500000</v>
      </c>
      <c r="J119" s="219" t="s">
        <v>20</v>
      </c>
      <c r="K119" s="222" t="s">
        <v>74</v>
      </c>
      <c r="L119" s="208" t="s">
        <v>181</v>
      </c>
      <c r="M119" s="219" t="s">
        <v>76</v>
      </c>
      <c r="N119" s="63"/>
      <c r="O119" s="82" t="s">
        <v>182</v>
      </c>
    </row>
    <row r="120" s="3" customFormat="1" ht="18" customHeight="1" spans="1:15">
      <c r="A120" s="74">
        <v>44013</v>
      </c>
      <c r="B120" s="25">
        <f t="shared" si="10"/>
        <v>970000</v>
      </c>
      <c r="C120" s="75"/>
      <c r="D120" s="50" t="s">
        <v>173</v>
      </c>
      <c r="E120" s="77"/>
      <c r="F120" s="25">
        <f t="shared" si="11"/>
        <v>0</v>
      </c>
      <c r="G120" s="198">
        <v>970000</v>
      </c>
      <c r="H120" s="200"/>
      <c r="I120" s="218"/>
      <c r="J120" s="219"/>
      <c r="K120" s="207" t="s">
        <v>105</v>
      </c>
      <c r="L120" s="82" t="s">
        <v>183</v>
      </c>
      <c r="M120" s="219"/>
      <c r="N120" s="63"/>
      <c r="O120" s="82" t="s">
        <v>184</v>
      </c>
    </row>
    <row r="121" s="3" customFormat="1" ht="18" customHeight="1" spans="1:15">
      <c r="A121" s="74">
        <v>44013</v>
      </c>
      <c r="B121" s="25">
        <f t="shared" si="10"/>
        <v>458715.6</v>
      </c>
      <c r="C121" s="75"/>
      <c r="D121" s="50" t="s">
        <v>36</v>
      </c>
      <c r="E121" s="77">
        <v>0.09</v>
      </c>
      <c r="F121" s="25">
        <f t="shared" si="11"/>
        <v>41284.4</v>
      </c>
      <c r="G121" s="198">
        <v>500000</v>
      </c>
      <c r="H121" s="200"/>
      <c r="I121" s="218"/>
      <c r="J121" s="219"/>
      <c r="K121" s="171" t="s">
        <v>166</v>
      </c>
      <c r="L121" s="82" t="s">
        <v>185</v>
      </c>
      <c r="M121" t="s">
        <v>100</v>
      </c>
      <c r="N121" s="63"/>
      <c r="O121" s="82"/>
    </row>
    <row r="122" s="3" customFormat="1" ht="18" customHeight="1" spans="1:15">
      <c r="A122" s="74">
        <v>44044</v>
      </c>
      <c r="B122" s="25">
        <f t="shared" si="10"/>
        <v>1039119.43</v>
      </c>
      <c r="C122" s="75"/>
      <c r="D122" s="50" t="s">
        <v>36</v>
      </c>
      <c r="E122" s="77">
        <v>0.13</v>
      </c>
      <c r="F122" s="25">
        <f t="shared" si="11"/>
        <v>135085.53</v>
      </c>
      <c r="G122" s="198">
        <f>304573.99+869630.97</f>
        <v>1174204.96</v>
      </c>
      <c r="H122" s="200"/>
      <c r="I122" s="218"/>
      <c r="J122" s="219"/>
      <c r="K122" s="171" t="s">
        <v>80</v>
      </c>
      <c r="L122" s="82" t="s">
        <v>186</v>
      </c>
      <c r="M122" t="s">
        <v>100</v>
      </c>
      <c r="N122" s="63" t="s">
        <v>100</v>
      </c>
      <c r="O122" s="82"/>
    </row>
    <row r="123" s="3" customFormat="1" ht="18" customHeight="1" spans="1:15">
      <c r="A123" s="74">
        <v>44044</v>
      </c>
      <c r="B123" s="25">
        <f t="shared" si="10"/>
        <v>875700</v>
      </c>
      <c r="C123" s="75"/>
      <c r="D123" s="50" t="s">
        <v>173</v>
      </c>
      <c r="E123" s="77"/>
      <c r="F123" s="25">
        <f t="shared" si="11"/>
        <v>0</v>
      </c>
      <c r="G123" s="198">
        <v>875700</v>
      </c>
      <c r="H123" s="199">
        <v>44068</v>
      </c>
      <c r="I123" s="223">
        <v>875700</v>
      </c>
      <c r="J123" s="216" t="s">
        <v>21</v>
      </c>
      <c r="K123" s="224" t="s">
        <v>78</v>
      </c>
      <c r="L123" s="82" t="s">
        <v>188</v>
      </c>
      <c r="M123"/>
      <c r="N123" s="63" t="s">
        <v>100</v>
      </c>
      <c r="O123" s="82"/>
    </row>
    <row r="124" s="3" customFormat="1" ht="18" customHeight="1" spans="1:15">
      <c r="A124" s="74">
        <v>44044</v>
      </c>
      <c r="B124" s="25">
        <f t="shared" si="10"/>
        <v>194850</v>
      </c>
      <c r="C124" s="75"/>
      <c r="D124" s="50" t="s">
        <v>173</v>
      </c>
      <c r="E124" s="77"/>
      <c r="F124" s="25">
        <f t="shared" si="11"/>
        <v>0</v>
      </c>
      <c r="G124" s="198">
        <v>194850</v>
      </c>
      <c r="H124" s="200">
        <v>44069</v>
      </c>
      <c r="I124" s="223">
        <v>194850</v>
      </c>
      <c r="J124" s="216" t="s">
        <v>21</v>
      </c>
      <c r="K124" s="225" t="s">
        <v>74</v>
      </c>
      <c r="L124" s="208" t="s">
        <v>189</v>
      </c>
      <c r="M124"/>
      <c r="N124" s="63" t="s">
        <v>100</v>
      </c>
      <c r="O124" s="82"/>
    </row>
    <row r="125" s="3" customFormat="1" ht="18" customHeight="1" spans="1:15">
      <c r="A125" s="74"/>
      <c r="B125" s="25">
        <f t="shared" si="10"/>
        <v>0</v>
      </c>
      <c r="C125" s="75"/>
      <c r="D125" s="50"/>
      <c r="E125" s="77"/>
      <c r="F125" s="25">
        <f t="shared" si="11"/>
        <v>0</v>
      </c>
      <c r="G125" s="198"/>
      <c r="H125" s="199">
        <v>44069</v>
      </c>
      <c r="I125" s="223">
        <v>500000</v>
      </c>
      <c r="J125" s="216" t="s">
        <v>20</v>
      </c>
      <c r="K125" s="224" t="s">
        <v>53</v>
      </c>
      <c r="L125" s="208"/>
      <c r="M125"/>
      <c r="N125" s="63"/>
      <c r="O125" s="82"/>
    </row>
    <row r="126" s="3" customFormat="1" ht="18" customHeight="1" spans="1:15">
      <c r="A126" s="74"/>
      <c r="B126" s="25">
        <f t="shared" si="10"/>
        <v>0</v>
      </c>
      <c r="C126" s="75"/>
      <c r="D126" s="50"/>
      <c r="E126" s="77"/>
      <c r="F126" s="25">
        <f t="shared" si="11"/>
        <v>0</v>
      </c>
      <c r="G126" s="198"/>
      <c r="H126" s="199">
        <v>44068</v>
      </c>
      <c r="I126" s="223">
        <v>28242</v>
      </c>
      <c r="J126" s="216" t="s">
        <v>20</v>
      </c>
      <c r="K126" s="224" t="s">
        <v>65</v>
      </c>
      <c r="L126" s="208"/>
      <c r="M126"/>
      <c r="N126" s="63"/>
      <c r="O126" s="82"/>
    </row>
    <row r="127" s="3" customFormat="1" ht="18" customHeight="1" spans="1:15">
      <c r="A127" s="74"/>
      <c r="B127" s="25">
        <f t="shared" si="10"/>
        <v>0</v>
      </c>
      <c r="C127" s="75"/>
      <c r="D127" s="50"/>
      <c r="E127" s="77"/>
      <c r="F127" s="25">
        <f t="shared" si="11"/>
        <v>0</v>
      </c>
      <c r="G127" s="198"/>
      <c r="H127" s="195">
        <v>44081</v>
      </c>
      <c r="I127" s="226">
        <v>73950</v>
      </c>
      <c r="J127" s="227" t="s">
        <v>20</v>
      </c>
      <c r="K127" s="228" t="s">
        <v>193</v>
      </c>
      <c r="L127" s="208"/>
      <c r="M127"/>
      <c r="N127" s="63"/>
      <c r="O127" s="82"/>
    </row>
    <row r="128" s="3" customFormat="1" ht="18" customHeight="1" spans="1:15">
      <c r="A128" s="74"/>
      <c r="B128" s="25">
        <f t="shared" si="10"/>
        <v>0</v>
      </c>
      <c r="C128" s="75"/>
      <c r="D128" s="50"/>
      <c r="E128" s="77"/>
      <c r="F128" s="25">
        <f t="shared" si="11"/>
        <v>0</v>
      </c>
      <c r="G128" s="198"/>
      <c r="H128" s="199"/>
      <c r="I128" s="223"/>
      <c r="J128" s="216"/>
      <c r="K128" s="224"/>
      <c r="L128" s="208"/>
      <c r="M128"/>
      <c r="N128" s="63"/>
      <c r="O128" s="82"/>
    </row>
    <row r="129" s="3" customFormat="1" ht="18" customHeight="1" spans="1:15">
      <c r="A129" s="74"/>
      <c r="B129" s="25">
        <f t="shared" si="10"/>
        <v>0</v>
      </c>
      <c r="C129" s="75"/>
      <c r="D129" s="50"/>
      <c r="E129" s="77"/>
      <c r="F129" s="25">
        <f t="shared" si="11"/>
        <v>0</v>
      </c>
      <c r="G129" s="198"/>
      <c r="H129" s="200"/>
      <c r="I129" s="218"/>
      <c r="J129" s="219"/>
      <c r="K129" s="225"/>
      <c r="L129" s="208"/>
      <c r="M129"/>
      <c r="N129" s="63"/>
      <c r="O129" s="82"/>
    </row>
    <row r="130" s="3" customFormat="1" ht="18" customHeight="1" spans="1:15">
      <c r="A130" s="74"/>
      <c r="B130" s="25">
        <f t="shared" si="10"/>
        <v>0</v>
      </c>
      <c r="C130" s="75"/>
      <c r="D130" s="50"/>
      <c r="E130" s="77"/>
      <c r="F130" s="25">
        <f t="shared" si="11"/>
        <v>0</v>
      </c>
      <c r="G130" s="198"/>
      <c r="H130" s="200"/>
      <c r="I130" s="218"/>
      <c r="J130" s="219"/>
      <c r="K130" s="225"/>
      <c r="L130" s="208"/>
      <c r="M130"/>
      <c r="N130" s="63"/>
      <c r="O130" s="82"/>
    </row>
    <row r="131" s="3" customFormat="1" ht="18" customHeight="1" spans="1:15">
      <c r="A131" s="74"/>
      <c r="B131" s="25">
        <f t="shared" si="10"/>
        <v>0</v>
      </c>
      <c r="C131" s="75"/>
      <c r="D131" s="50"/>
      <c r="E131" s="77"/>
      <c r="F131" s="25">
        <f t="shared" ref="F131:F170" si="12">ROUND(G131/(1+E131)*E131,2)</f>
        <v>0</v>
      </c>
      <c r="G131" s="198"/>
      <c r="H131" s="195">
        <v>44081</v>
      </c>
      <c r="I131" s="226">
        <v>50</v>
      </c>
      <c r="J131" s="227" t="s">
        <v>106</v>
      </c>
      <c r="K131" s="228" t="s">
        <v>110</v>
      </c>
      <c r="L131" s="208"/>
      <c r="M131"/>
      <c r="N131" s="63"/>
      <c r="O131" s="82"/>
    </row>
    <row r="132" s="3" customFormat="1" ht="18" customHeight="1" spans="1:15">
      <c r="A132" s="74"/>
      <c r="B132" s="25">
        <f t="shared" ref="B132:B170" si="13">ROUND(G132/(1+E132),2)</f>
        <v>0</v>
      </c>
      <c r="C132" s="75"/>
      <c r="D132" s="50"/>
      <c r="E132" s="77"/>
      <c r="F132" s="25">
        <f t="shared" si="12"/>
        <v>0</v>
      </c>
      <c r="G132" s="198"/>
      <c r="H132" s="199">
        <v>44060</v>
      </c>
      <c r="I132" s="223">
        <v>350</v>
      </c>
      <c r="J132" s="230" t="s">
        <v>106</v>
      </c>
      <c r="K132" s="225" t="s">
        <v>110</v>
      </c>
      <c r="L132" s="208"/>
      <c r="M132"/>
      <c r="N132" s="63"/>
      <c r="O132" s="82"/>
    </row>
    <row r="133" s="3" customFormat="1" ht="18" customHeight="1" spans="1:15">
      <c r="A133" s="74"/>
      <c r="B133" s="25">
        <f t="shared" si="13"/>
        <v>0</v>
      </c>
      <c r="C133" s="75"/>
      <c r="D133" s="50"/>
      <c r="E133" s="77"/>
      <c r="F133" s="25">
        <f t="shared" si="12"/>
        <v>0</v>
      </c>
      <c r="G133" s="198"/>
      <c r="H133" s="199">
        <v>44060</v>
      </c>
      <c r="I133" s="223">
        <v>5480</v>
      </c>
      <c r="J133" s="230" t="s">
        <v>106</v>
      </c>
      <c r="K133" s="231" t="s">
        <v>190</v>
      </c>
      <c r="L133" s="208"/>
      <c r="M133"/>
      <c r="N133" s="63"/>
      <c r="O133" s="82"/>
    </row>
    <row r="134" s="3" customFormat="1" ht="18" customHeight="1" spans="1:15">
      <c r="A134" s="74"/>
      <c r="B134" s="25">
        <f t="shared" si="13"/>
        <v>0</v>
      </c>
      <c r="C134" s="75"/>
      <c r="D134" s="50"/>
      <c r="E134" s="77"/>
      <c r="F134" s="25">
        <f t="shared" si="12"/>
        <v>0</v>
      </c>
      <c r="G134" s="198"/>
      <c r="H134" s="199">
        <v>44060</v>
      </c>
      <c r="I134" s="223">
        <v>34400</v>
      </c>
      <c r="J134" s="230" t="s">
        <v>106</v>
      </c>
      <c r="K134" s="232" t="s">
        <v>191</v>
      </c>
      <c r="L134" s="208"/>
      <c r="M134"/>
      <c r="N134" s="63"/>
      <c r="O134" s="82"/>
    </row>
    <row r="135" s="3" customFormat="1" ht="18" customHeight="1" spans="1:15">
      <c r="A135" s="74"/>
      <c r="B135" s="25">
        <f t="shared" si="13"/>
        <v>0</v>
      </c>
      <c r="C135" s="75"/>
      <c r="D135" s="50"/>
      <c r="E135" s="77"/>
      <c r="F135" s="25">
        <f t="shared" si="12"/>
        <v>0</v>
      </c>
      <c r="G135" s="198"/>
      <c r="H135" s="199">
        <v>44060</v>
      </c>
      <c r="I135" s="223">
        <v>947</v>
      </c>
      <c r="J135" s="216" t="s">
        <v>106</v>
      </c>
      <c r="K135" s="232" t="s">
        <v>123</v>
      </c>
      <c r="L135" s="208"/>
      <c r="M135"/>
      <c r="N135" s="63"/>
      <c r="O135" s="82"/>
    </row>
    <row r="136" s="3" customFormat="1" ht="18" customHeight="1" spans="1:15">
      <c r="A136" s="74"/>
      <c r="B136" s="25">
        <f t="shared" si="13"/>
        <v>1720</v>
      </c>
      <c r="C136" s="75"/>
      <c r="D136" s="50"/>
      <c r="E136" s="77"/>
      <c r="F136" s="25">
        <f t="shared" si="12"/>
        <v>0</v>
      </c>
      <c r="G136" s="198">
        <f>I136</f>
        <v>1720</v>
      </c>
      <c r="H136" s="199">
        <v>44060</v>
      </c>
      <c r="I136" s="215">
        <v>1720</v>
      </c>
      <c r="J136" s="216" t="s">
        <v>106</v>
      </c>
      <c r="K136" s="225" t="s">
        <v>135</v>
      </c>
      <c r="L136" s="82"/>
      <c r="M136" s="63"/>
      <c r="N136" s="63"/>
      <c r="O136" s="82"/>
    </row>
    <row r="137" s="3" customFormat="1" ht="18" customHeight="1" spans="1:15">
      <c r="A137" s="74"/>
      <c r="B137" s="25">
        <f t="shared" si="13"/>
        <v>6880</v>
      </c>
      <c r="C137" s="75"/>
      <c r="D137" s="50"/>
      <c r="E137" s="77"/>
      <c r="F137" s="25">
        <f t="shared" si="12"/>
        <v>0</v>
      </c>
      <c r="G137" s="198">
        <f>I137</f>
        <v>6880</v>
      </c>
      <c r="H137" s="199">
        <v>44060</v>
      </c>
      <c r="I137" s="215">
        <v>6880</v>
      </c>
      <c r="J137" s="216" t="s">
        <v>106</v>
      </c>
      <c r="K137" s="225" t="s">
        <v>135</v>
      </c>
      <c r="L137" s="82"/>
      <c r="M137" s="63"/>
      <c r="N137" s="63"/>
      <c r="O137" s="82"/>
    </row>
    <row r="138" s="3" customFormat="1" ht="18" customHeight="1" spans="1:15">
      <c r="A138" s="74"/>
      <c r="B138" s="25">
        <f t="shared" si="13"/>
        <v>0</v>
      </c>
      <c r="C138" s="75"/>
      <c r="D138" s="50"/>
      <c r="E138" s="77"/>
      <c r="F138" s="25">
        <f t="shared" si="12"/>
        <v>0</v>
      </c>
      <c r="G138" s="198"/>
      <c r="H138" s="199">
        <v>44019</v>
      </c>
      <c r="I138" s="215">
        <v>200</v>
      </c>
      <c r="J138" s="230" t="s">
        <v>106</v>
      </c>
      <c r="K138" s="225" t="s">
        <v>110</v>
      </c>
      <c r="L138" s="82"/>
      <c r="M138" s="63"/>
      <c r="N138" s="63"/>
      <c r="O138" s="82"/>
    </row>
    <row r="139" s="3" customFormat="1" ht="18" customHeight="1" spans="1:15">
      <c r="A139" s="74"/>
      <c r="B139" s="25">
        <f t="shared" si="13"/>
        <v>0</v>
      </c>
      <c r="C139" s="75"/>
      <c r="D139" s="50"/>
      <c r="E139" s="77"/>
      <c r="F139" s="25">
        <f t="shared" si="12"/>
        <v>0</v>
      </c>
      <c r="G139" s="198"/>
      <c r="H139" s="200">
        <v>44012</v>
      </c>
      <c r="I139" s="218">
        <v>-2000000</v>
      </c>
      <c r="J139" s="219"/>
      <c r="K139" s="221" t="s">
        <v>162</v>
      </c>
      <c r="L139" s="82"/>
      <c r="M139" s="63"/>
      <c r="N139" s="63"/>
      <c r="O139" s="82"/>
    </row>
    <row r="140" s="3" customFormat="1" ht="18" customHeight="1" spans="1:15">
      <c r="A140" s="74"/>
      <c r="B140" s="25">
        <f t="shared" si="13"/>
        <v>0</v>
      </c>
      <c r="C140" s="75"/>
      <c r="D140" s="50"/>
      <c r="E140" s="77"/>
      <c r="F140" s="25">
        <f t="shared" si="12"/>
        <v>0</v>
      </c>
      <c r="G140" s="198"/>
      <c r="H140" s="199">
        <v>44012</v>
      </c>
      <c r="I140" s="233">
        <v>100</v>
      </c>
      <c r="J140" s="216" t="s">
        <v>106</v>
      </c>
      <c r="K140" s="234" t="s">
        <v>110</v>
      </c>
      <c r="L140" s="82"/>
      <c r="M140" s="63"/>
      <c r="N140" s="63"/>
      <c r="O140" s="82"/>
    </row>
    <row r="141" s="3" customFormat="1" ht="17.1" customHeight="1" spans="1:15">
      <c r="A141" s="74"/>
      <c r="B141" s="25">
        <f t="shared" si="13"/>
        <v>0</v>
      </c>
      <c r="C141" s="75"/>
      <c r="D141" s="50"/>
      <c r="E141" s="77"/>
      <c r="F141" s="25">
        <f t="shared" si="12"/>
        <v>0</v>
      </c>
      <c r="G141" s="198"/>
      <c r="H141" s="199">
        <v>44005</v>
      </c>
      <c r="I141" s="233">
        <v>100</v>
      </c>
      <c r="J141" s="216" t="s">
        <v>106</v>
      </c>
      <c r="K141" s="234" t="s">
        <v>110</v>
      </c>
      <c r="L141" s="82"/>
      <c r="M141" s="63"/>
      <c r="N141" s="63"/>
      <c r="O141" s="82"/>
    </row>
    <row r="142" s="3" customFormat="1" ht="17.1" customHeight="1" spans="1:15">
      <c r="A142" s="74"/>
      <c r="B142" s="25">
        <f t="shared" si="13"/>
        <v>0</v>
      </c>
      <c r="C142" s="75"/>
      <c r="D142" s="50"/>
      <c r="E142" s="77"/>
      <c r="F142" s="25">
        <f t="shared" si="12"/>
        <v>0</v>
      </c>
      <c r="G142" s="198"/>
      <c r="H142" s="36">
        <v>44001</v>
      </c>
      <c r="I142" s="82">
        <v>100</v>
      </c>
      <c r="J142" s="63" t="s">
        <v>106</v>
      </c>
      <c r="K142" s="82" t="s">
        <v>110</v>
      </c>
      <c r="L142" s="82"/>
      <c r="M142" s="63"/>
      <c r="N142" s="63"/>
      <c r="O142" s="82"/>
    </row>
    <row r="143" s="3" customFormat="1" ht="17.1" customHeight="1" spans="1:15">
      <c r="A143" s="74"/>
      <c r="B143" s="25">
        <f t="shared" si="13"/>
        <v>0</v>
      </c>
      <c r="C143" s="75"/>
      <c r="D143" s="50"/>
      <c r="E143" s="77"/>
      <c r="F143" s="25">
        <f t="shared" si="12"/>
        <v>0</v>
      </c>
      <c r="G143" s="198"/>
      <c r="H143" s="36">
        <v>44000</v>
      </c>
      <c r="I143" s="82">
        <v>100</v>
      </c>
      <c r="J143" s="63" t="s">
        <v>106</v>
      </c>
      <c r="K143" s="82" t="s">
        <v>110</v>
      </c>
      <c r="L143" s="82"/>
      <c r="M143" s="63"/>
      <c r="N143" s="63"/>
      <c r="O143" s="82"/>
    </row>
    <row r="144" s="3" customFormat="1" ht="17.1" customHeight="1" spans="1:15">
      <c r="A144" s="74"/>
      <c r="B144" s="25">
        <f t="shared" si="13"/>
        <v>0</v>
      </c>
      <c r="C144" s="75"/>
      <c r="D144" s="50"/>
      <c r="E144" s="77"/>
      <c r="F144" s="25">
        <f t="shared" si="12"/>
        <v>0</v>
      </c>
      <c r="G144" s="198"/>
      <c r="H144" s="36">
        <v>44000</v>
      </c>
      <c r="I144" s="82">
        <v>300</v>
      </c>
      <c r="J144" s="65" t="s">
        <v>106</v>
      </c>
      <c r="K144" s="207" t="s">
        <v>110</v>
      </c>
      <c r="L144" s="82"/>
      <c r="M144" s="63"/>
      <c r="N144" s="63"/>
      <c r="O144" s="82"/>
    </row>
    <row r="145" s="3" customFormat="1" ht="17.1" customHeight="1" spans="1:15">
      <c r="A145" s="74"/>
      <c r="B145" s="25">
        <f t="shared" si="13"/>
        <v>0</v>
      </c>
      <c r="C145" s="75"/>
      <c r="D145" s="50"/>
      <c r="E145" s="77"/>
      <c r="F145" s="25">
        <f t="shared" si="12"/>
        <v>0</v>
      </c>
      <c r="G145" s="198"/>
      <c r="H145" s="36">
        <v>43994</v>
      </c>
      <c r="I145" s="235">
        <v>100</v>
      </c>
      <c r="J145" s="65" t="s">
        <v>106</v>
      </c>
      <c r="K145" s="207" t="s">
        <v>110</v>
      </c>
      <c r="L145" s="82"/>
      <c r="M145" s="63"/>
      <c r="N145" s="63"/>
      <c r="O145" s="82"/>
    </row>
    <row r="146" s="3" customFormat="1" ht="18" customHeight="1" spans="1:15">
      <c r="A146" s="74"/>
      <c r="B146" s="25">
        <f t="shared" si="13"/>
        <v>0</v>
      </c>
      <c r="C146" s="75"/>
      <c r="D146" s="50"/>
      <c r="E146" s="77"/>
      <c r="F146" s="25">
        <f t="shared" si="12"/>
        <v>0</v>
      </c>
      <c r="G146" s="198"/>
      <c r="H146" s="36">
        <v>43994</v>
      </c>
      <c r="I146" s="236">
        <v>72400</v>
      </c>
      <c r="J146" s="65" t="s">
        <v>106</v>
      </c>
      <c r="K146" s="207" t="s">
        <v>121</v>
      </c>
      <c r="L146" s="82"/>
      <c r="M146" s="63"/>
      <c r="N146" s="63"/>
      <c r="O146" s="82"/>
    </row>
    <row r="147" s="3" customFormat="1" ht="18" customHeight="1" spans="1:15">
      <c r="A147" s="74"/>
      <c r="B147" s="25">
        <f t="shared" si="13"/>
        <v>0</v>
      </c>
      <c r="C147" s="75"/>
      <c r="D147" s="50"/>
      <c r="E147" s="77"/>
      <c r="F147" s="25">
        <f t="shared" si="12"/>
        <v>0</v>
      </c>
      <c r="G147" s="198"/>
      <c r="H147" s="36">
        <v>43994</v>
      </c>
      <c r="I147" s="188">
        <v>1992.66055045872</v>
      </c>
      <c r="J147" s="65" t="s">
        <v>106</v>
      </c>
      <c r="K147" s="207" t="s">
        <v>123</v>
      </c>
      <c r="L147" s="82"/>
      <c r="M147" s="63"/>
      <c r="N147" s="63"/>
      <c r="O147" s="82"/>
    </row>
    <row r="148" s="3" customFormat="1" ht="18" customHeight="1" spans="1:15">
      <c r="A148" s="74"/>
      <c r="B148" s="25">
        <f t="shared" si="13"/>
        <v>0</v>
      </c>
      <c r="C148" s="75"/>
      <c r="D148" s="50"/>
      <c r="E148" s="77"/>
      <c r="F148" s="25">
        <f t="shared" si="12"/>
        <v>0</v>
      </c>
      <c r="G148" s="198"/>
      <c r="H148" s="36">
        <v>43994</v>
      </c>
      <c r="I148" s="188">
        <v>18100</v>
      </c>
      <c r="J148" s="65" t="s">
        <v>106</v>
      </c>
      <c r="K148" s="207" t="s">
        <v>157</v>
      </c>
      <c r="L148" s="82"/>
      <c r="M148" s="63"/>
      <c r="N148" s="63"/>
      <c r="O148" s="82"/>
    </row>
    <row r="149" s="3" customFormat="1" ht="18" customHeight="1" spans="1:15">
      <c r="A149" s="74"/>
      <c r="B149" s="25">
        <f t="shared" si="13"/>
        <v>0</v>
      </c>
      <c r="C149" s="75"/>
      <c r="D149" s="50"/>
      <c r="E149" s="77"/>
      <c r="F149" s="25">
        <f t="shared" si="12"/>
        <v>0</v>
      </c>
      <c r="G149" s="198"/>
      <c r="H149" s="36">
        <v>43993</v>
      </c>
      <c r="I149" s="188">
        <v>100</v>
      </c>
      <c r="J149" s="65" t="s">
        <v>106</v>
      </c>
      <c r="K149" s="207" t="s">
        <v>110</v>
      </c>
      <c r="L149" s="82"/>
      <c r="M149" s="63"/>
      <c r="N149" s="63"/>
      <c r="O149" s="82"/>
    </row>
    <row r="150" s="3" customFormat="1" ht="18" customHeight="1" spans="1:15">
      <c r="A150" s="74"/>
      <c r="B150" s="25">
        <f t="shared" si="13"/>
        <v>0</v>
      </c>
      <c r="C150" s="75"/>
      <c r="D150" s="50"/>
      <c r="E150" s="77"/>
      <c r="F150" s="25">
        <f t="shared" si="12"/>
        <v>0</v>
      </c>
      <c r="G150" s="198"/>
      <c r="H150" s="36">
        <v>43966</v>
      </c>
      <c r="I150" s="188">
        <v>100</v>
      </c>
      <c r="J150" s="65" t="s">
        <v>106</v>
      </c>
      <c r="K150" s="207" t="s">
        <v>110</v>
      </c>
      <c r="L150" s="82"/>
      <c r="M150" s="63"/>
      <c r="N150" s="63"/>
      <c r="O150" s="82"/>
    </row>
    <row r="151" s="3" customFormat="1" ht="18" customHeight="1" spans="1:15">
      <c r="A151" s="74"/>
      <c r="B151" s="25">
        <f t="shared" si="13"/>
        <v>0</v>
      </c>
      <c r="C151" s="75"/>
      <c r="D151" s="50"/>
      <c r="E151" s="77"/>
      <c r="F151" s="25">
        <f t="shared" si="12"/>
        <v>0</v>
      </c>
      <c r="G151" s="198"/>
      <c r="H151" s="76">
        <v>10.2</v>
      </c>
      <c r="I151" s="188">
        <v>100</v>
      </c>
      <c r="J151" s="65" t="s">
        <v>106</v>
      </c>
      <c r="K151" s="207" t="s">
        <v>110</v>
      </c>
      <c r="L151" s="82"/>
      <c r="M151" s="63"/>
      <c r="N151" s="63"/>
      <c r="O151" s="82"/>
    </row>
    <row r="152" s="3" customFormat="1" ht="18" customHeight="1" spans="1:15">
      <c r="A152" s="74"/>
      <c r="B152" s="25">
        <f t="shared" si="13"/>
        <v>0</v>
      </c>
      <c r="C152" s="75"/>
      <c r="D152" s="50"/>
      <c r="E152" s="77"/>
      <c r="F152" s="25">
        <f t="shared" si="12"/>
        <v>0</v>
      </c>
      <c r="G152" s="198"/>
      <c r="H152" s="76">
        <v>10.1</v>
      </c>
      <c r="I152" s="188">
        <v>100</v>
      </c>
      <c r="J152" s="65" t="s">
        <v>106</v>
      </c>
      <c r="K152" s="207" t="s">
        <v>110</v>
      </c>
      <c r="L152" s="82"/>
      <c r="M152" s="63"/>
      <c r="N152" s="63"/>
      <c r="O152" s="82"/>
    </row>
    <row r="153" s="3" customFormat="1" ht="18" customHeight="1" spans="1:15">
      <c r="A153" s="74"/>
      <c r="B153" s="25">
        <f t="shared" si="13"/>
        <v>0</v>
      </c>
      <c r="C153" s="75"/>
      <c r="D153" s="50"/>
      <c r="E153" s="77"/>
      <c r="F153" s="25">
        <f t="shared" si="12"/>
        <v>0</v>
      </c>
      <c r="G153" s="198"/>
      <c r="H153" s="76">
        <v>10.1</v>
      </c>
      <c r="I153" s="188">
        <f>B12*0.0006</f>
        <v>853.211009174312</v>
      </c>
      <c r="J153" s="65" t="s">
        <v>106</v>
      </c>
      <c r="K153" s="207" t="s">
        <v>107</v>
      </c>
      <c r="L153" s="82">
        <f>I153+I154+I157+I162+I165+I166+I167+I168+I175+I176+I182+I184+I185</f>
        <v>916149.577981651</v>
      </c>
      <c r="M153" s="63"/>
      <c r="N153" s="63"/>
      <c r="O153" s="82"/>
    </row>
    <row r="154" s="3" customFormat="1" ht="18" customHeight="1" spans="1:15">
      <c r="A154" s="74"/>
      <c r="B154" s="25">
        <f t="shared" si="13"/>
        <v>0</v>
      </c>
      <c r="C154" s="75"/>
      <c r="D154" s="50"/>
      <c r="E154" s="77"/>
      <c r="F154" s="25">
        <f t="shared" si="12"/>
        <v>0</v>
      </c>
      <c r="G154" s="198"/>
      <c r="H154" s="76">
        <v>10.1</v>
      </c>
      <c r="I154" s="188">
        <f>B12*0.02</f>
        <v>28440.3669724771</v>
      </c>
      <c r="J154" s="65" t="s">
        <v>106</v>
      </c>
      <c r="K154" s="207" t="s">
        <v>108</v>
      </c>
      <c r="L154" s="82"/>
      <c r="M154" s="63"/>
      <c r="N154" s="63"/>
      <c r="O154" s="82"/>
    </row>
    <row r="155" s="3" customFormat="1" ht="18" customHeight="1" spans="1:15">
      <c r="A155" s="74"/>
      <c r="B155" s="25">
        <f t="shared" si="13"/>
        <v>0</v>
      </c>
      <c r="C155" s="75"/>
      <c r="D155" s="50"/>
      <c r="E155" s="77"/>
      <c r="F155" s="25">
        <f t="shared" si="12"/>
        <v>0</v>
      </c>
      <c r="G155" s="198"/>
      <c r="H155" s="76">
        <v>10.1</v>
      </c>
      <c r="I155" s="188">
        <f>G12*0.005</f>
        <v>7750</v>
      </c>
      <c r="J155" s="65" t="s">
        <v>106</v>
      </c>
      <c r="K155" s="207" t="s">
        <v>157</v>
      </c>
      <c r="L155" s="82">
        <f>I155+I187</f>
        <v>140600</v>
      </c>
      <c r="M155" s="63"/>
      <c r="N155" s="63"/>
      <c r="O155" s="82"/>
    </row>
    <row r="156" s="3" customFormat="1" ht="18" customHeight="1" spans="1:15">
      <c r="A156" s="74"/>
      <c r="B156" s="25">
        <f t="shared" si="13"/>
        <v>0</v>
      </c>
      <c r="C156" s="75"/>
      <c r="D156" s="50"/>
      <c r="E156" s="77"/>
      <c r="F156" s="25">
        <f t="shared" si="12"/>
        <v>0</v>
      </c>
      <c r="G156" s="198"/>
      <c r="H156" s="36" t="s">
        <v>109</v>
      </c>
      <c r="I156" s="188">
        <v>200</v>
      </c>
      <c r="J156" s="65" t="s">
        <v>106</v>
      </c>
      <c r="K156" s="207" t="s">
        <v>110</v>
      </c>
      <c r="L156" s="82">
        <f>I156+I158+I159+I160+I161+I163+I170+I173+I177+I186+I152</f>
        <v>245132.79</v>
      </c>
      <c r="M156" s="63"/>
      <c r="N156" s="63"/>
      <c r="O156" s="82"/>
    </row>
    <row r="157" s="3" customFormat="1" ht="18" customHeight="1" spans="1:15">
      <c r="A157" s="74"/>
      <c r="B157" s="25">
        <f t="shared" si="13"/>
        <v>0</v>
      </c>
      <c r="C157" s="75"/>
      <c r="D157" s="50"/>
      <c r="E157" s="77"/>
      <c r="F157" s="25">
        <f t="shared" si="12"/>
        <v>0</v>
      </c>
      <c r="G157" s="198"/>
      <c r="H157" s="36" t="s">
        <v>111</v>
      </c>
      <c r="I157" s="237">
        <v>-285325</v>
      </c>
      <c r="J157" s="227" t="s">
        <v>112</v>
      </c>
      <c r="K157" s="205" t="s">
        <v>158</v>
      </c>
      <c r="L157" s="82"/>
      <c r="M157" s="63"/>
      <c r="N157" s="63"/>
      <c r="O157" s="82"/>
    </row>
    <row r="158" s="3" customFormat="1" ht="18" customHeight="1" spans="1:15">
      <c r="A158" s="74"/>
      <c r="B158" s="25">
        <f t="shared" si="13"/>
        <v>0</v>
      </c>
      <c r="C158" s="75"/>
      <c r="D158" s="76"/>
      <c r="E158" s="77"/>
      <c r="F158" s="25">
        <f t="shared" si="12"/>
        <v>0</v>
      </c>
      <c r="G158" s="198"/>
      <c r="H158" s="36" t="s">
        <v>111</v>
      </c>
      <c r="I158" s="188">
        <v>200</v>
      </c>
      <c r="J158" s="65" t="s">
        <v>106</v>
      </c>
      <c r="K158" s="207" t="s">
        <v>110</v>
      </c>
      <c r="L158" s="82"/>
      <c r="M158" s="63"/>
      <c r="N158" s="63"/>
      <c r="O158" s="82"/>
    </row>
    <row r="159" s="3" customFormat="1" ht="18" customHeight="1" spans="1:15">
      <c r="A159" s="74"/>
      <c r="B159" s="25">
        <f t="shared" si="13"/>
        <v>0</v>
      </c>
      <c r="C159" s="75"/>
      <c r="D159" s="76"/>
      <c r="E159" s="77"/>
      <c r="F159" s="25">
        <f t="shared" si="12"/>
        <v>0</v>
      </c>
      <c r="G159" s="198"/>
      <c r="H159" s="36" t="s">
        <v>113</v>
      </c>
      <c r="I159" s="188">
        <v>300</v>
      </c>
      <c r="J159" s="65" t="s">
        <v>106</v>
      </c>
      <c r="K159" s="207" t="s">
        <v>110</v>
      </c>
      <c r="L159" s="82"/>
      <c r="M159" s="63"/>
      <c r="N159" s="63"/>
      <c r="O159" s="82"/>
    </row>
    <row r="160" s="3" customFormat="1" ht="18" customHeight="1" spans="1:15">
      <c r="A160" s="74"/>
      <c r="B160" s="25">
        <f t="shared" si="13"/>
        <v>0</v>
      </c>
      <c r="C160" s="75"/>
      <c r="D160" s="76"/>
      <c r="E160" s="77"/>
      <c r="F160" s="25">
        <f t="shared" si="12"/>
        <v>0</v>
      </c>
      <c r="G160" s="198"/>
      <c r="H160" s="36" t="s">
        <v>114</v>
      </c>
      <c r="I160" s="188">
        <v>9600</v>
      </c>
      <c r="J160" s="65" t="s">
        <v>106</v>
      </c>
      <c r="K160" s="207" t="s">
        <v>115</v>
      </c>
      <c r="L160" s="82"/>
      <c r="M160" s="63"/>
      <c r="N160" s="63"/>
      <c r="O160" s="82"/>
    </row>
    <row r="161" s="3" customFormat="1" ht="18" customHeight="1" spans="1:15">
      <c r="A161" s="74"/>
      <c r="B161" s="25">
        <f t="shared" si="13"/>
        <v>0</v>
      </c>
      <c r="C161" s="75"/>
      <c r="D161" s="76"/>
      <c r="E161" s="77"/>
      <c r="F161" s="25">
        <f t="shared" si="12"/>
        <v>0</v>
      </c>
      <c r="G161" s="198"/>
      <c r="H161" s="36" t="s">
        <v>114</v>
      </c>
      <c r="I161" s="188">
        <v>200</v>
      </c>
      <c r="J161" s="65" t="s">
        <v>106</v>
      </c>
      <c r="K161" s="207" t="s">
        <v>110</v>
      </c>
      <c r="L161" s="82"/>
      <c r="M161" s="63"/>
      <c r="N161" s="63"/>
      <c r="O161" s="82"/>
    </row>
    <row r="162" s="3" customFormat="1" ht="18" customHeight="1" spans="1:15">
      <c r="A162" s="74"/>
      <c r="B162" s="25">
        <f t="shared" si="13"/>
        <v>0</v>
      </c>
      <c r="C162" s="75"/>
      <c r="D162" s="76"/>
      <c r="E162" s="77"/>
      <c r="F162" s="25">
        <f t="shared" si="12"/>
        <v>0</v>
      </c>
      <c r="G162" s="198"/>
      <c r="H162" s="36" t="s">
        <v>114</v>
      </c>
      <c r="I162" s="188">
        <v>-903045</v>
      </c>
      <c r="J162" s="63" t="s">
        <v>112</v>
      </c>
      <c r="K162" s="207" t="s">
        <v>116</v>
      </c>
      <c r="L162" s="82"/>
      <c r="M162" s="63"/>
      <c r="N162" s="63"/>
      <c r="O162" s="82"/>
    </row>
    <row r="163" s="3" customFormat="1" ht="18" customHeight="1" spans="1:15">
      <c r="A163" s="74"/>
      <c r="B163" s="25">
        <f t="shared" si="13"/>
        <v>0</v>
      </c>
      <c r="C163" s="75"/>
      <c r="D163" s="76"/>
      <c r="E163" s="77"/>
      <c r="F163" s="25">
        <f t="shared" si="12"/>
        <v>0</v>
      </c>
      <c r="G163" s="198"/>
      <c r="H163" s="36" t="s">
        <v>117</v>
      </c>
      <c r="I163" s="188">
        <v>232932.79</v>
      </c>
      <c r="J163" s="63" t="s">
        <v>106</v>
      </c>
      <c r="K163" s="207" t="s">
        <v>118</v>
      </c>
      <c r="L163" s="82"/>
      <c r="M163" s="63"/>
      <c r="N163" s="63"/>
      <c r="O163" s="82"/>
    </row>
    <row r="164" s="3" customFormat="1" ht="18" customHeight="1" spans="1:15">
      <c r="A164" s="74"/>
      <c r="B164" s="25">
        <f t="shared" si="13"/>
        <v>0</v>
      </c>
      <c r="C164" s="75"/>
      <c r="D164" s="76"/>
      <c r="E164" s="77"/>
      <c r="F164" s="25">
        <f t="shared" si="12"/>
        <v>0</v>
      </c>
      <c r="G164" s="198"/>
      <c r="H164" s="36" t="s">
        <v>117</v>
      </c>
      <c r="I164" s="188"/>
      <c r="J164" s="63" t="s">
        <v>106</v>
      </c>
      <c r="K164" s="207" t="s">
        <v>119</v>
      </c>
      <c r="L164" s="82"/>
      <c r="M164" s="63"/>
      <c r="N164" s="63"/>
      <c r="O164" s="82"/>
    </row>
    <row r="165" s="3" customFormat="1" ht="18" customHeight="1" spans="1:15">
      <c r="A165" s="74"/>
      <c r="B165" s="25">
        <f t="shared" si="13"/>
        <v>0</v>
      </c>
      <c r="C165" s="75"/>
      <c r="D165" s="76"/>
      <c r="E165" s="77"/>
      <c r="F165" s="25">
        <f t="shared" si="12"/>
        <v>0</v>
      </c>
      <c r="G165" s="198"/>
      <c r="H165" s="36" t="s">
        <v>117</v>
      </c>
      <c r="I165" s="188">
        <v>903045</v>
      </c>
      <c r="J165" s="63" t="s">
        <v>120</v>
      </c>
      <c r="K165" s="207" t="s">
        <v>121</v>
      </c>
      <c r="L165" s="82"/>
      <c r="M165" s="63"/>
      <c r="N165" s="63"/>
      <c r="O165" s="82"/>
    </row>
    <row r="166" s="3" customFormat="1" ht="18" customHeight="1" spans="1:15">
      <c r="A166" s="74"/>
      <c r="B166" s="25">
        <f t="shared" si="13"/>
        <v>0</v>
      </c>
      <c r="C166" s="75"/>
      <c r="D166" s="76"/>
      <c r="E166" s="77"/>
      <c r="F166" s="25">
        <f t="shared" si="12"/>
        <v>0</v>
      </c>
      <c r="G166" s="198"/>
      <c r="H166" s="36" t="s">
        <v>117</v>
      </c>
      <c r="I166" s="188">
        <v>485252</v>
      </c>
      <c r="J166" s="63" t="s">
        <v>106</v>
      </c>
      <c r="K166" s="207" t="s">
        <v>122</v>
      </c>
      <c r="L166" s="82"/>
      <c r="M166" s="63"/>
      <c r="N166" s="63"/>
      <c r="O166" s="82"/>
    </row>
    <row r="167" s="3" customFormat="1" ht="18" customHeight="1" spans="1:15">
      <c r="A167" s="74"/>
      <c r="B167" s="25">
        <f t="shared" si="13"/>
        <v>0</v>
      </c>
      <c r="C167" s="75"/>
      <c r="D167" s="76"/>
      <c r="E167" s="77"/>
      <c r="F167" s="25">
        <f t="shared" si="12"/>
        <v>0</v>
      </c>
      <c r="G167" s="198"/>
      <c r="H167" s="36" t="s">
        <v>117</v>
      </c>
      <c r="I167" s="188">
        <v>4789</v>
      </c>
      <c r="J167" s="63" t="s">
        <v>106</v>
      </c>
      <c r="K167" s="207" t="s">
        <v>123</v>
      </c>
      <c r="L167" s="82"/>
      <c r="M167" s="63"/>
      <c r="N167" s="63"/>
      <c r="O167" s="82"/>
    </row>
    <row r="168" s="3" customFormat="1" ht="18" customHeight="1" spans="1:15">
      <c r="A168" s="74"/>
      <c r="B168" s="25">
        <f t="shared" si="13"/>
        <v>0</v>
      </c>
      <c r="C168" s="75"/>
      <c r="D168" s="76"/>
      <c r="E168" s="77"/>
      <c r="F168" s="25">
        <f t="shared" si="12"/>
        <v>0</v>
      </c>
      <c r="G168" s="198"/>
      <c r="H168" s="36" t="s">
        <v>117</v>
      </c>
      <c r="I168" s="237">
        <v>429349</v>
      </c>
      <c r="J168" s="227" t="s">
        <v>106</v>
      </c>
      <c r="K168" s="205" t="s">
        <v>124</v>
      </c>
      <c r="L168" s="82"/>
      <c r="M168" s="63"/>
      <c r="N168" s="63"/>
      <c r="O168" s="82"/>
    </row>
    <row r="169" s="3" customFormat="1" ht="18" customHeight="1" spans="1:15">
      <c r="A169" s="74"/>
      <c r="B169" s="25">
        <f t="shared" si="13"/>
        <v>0</v>
      </c>
      <c r="C169" s="75"/>
      <c r="D169" s="76"/>
      <c r="E169" s="77"/>
      <c r="F169" s="25">
        <f t="shared" si="12"/>
        <v>0</v>
      </c>
      <c r="G169" s="198"/>
      <c r="H169" s="36" t="s">
        <v>117</v>
      </c>
      <c r="I169" s="188">
        <v>87000</v>
      </c>
      <c r="J169" s="63" t="s">
        <v>125</v>
      </c>
      <c r="K169" s="207" t="s">
        <v>126</v>
      </c>
      <c r="L169" s="82"/>
      <c r="M169" s="63"/>
      <c r="N169" s="63"/>
      <c r="O169" s="82"/>
    </row>
    <row r="170" s="2" customFormat="1" ht="18" customHeight="1" spans="1:15">
      <c r="A170" s="48"/>
      <c r="B170" s="25">
        <f t="shared" si="13"/>
        <v>0</v>
      </c>
      <c r="C170" s="49"/>
      <c r="D170" s="50"/>
      <c r="E170" s="70"/>
      <c r="F170" s="25">
        <f t="shared" si="12"/>
        <v>0</v>
      </c>
      <c r="G170" s="189"/>
      <c r="H170" s="36" t="s">
        <v>117</v>
      </c>
      <c r="I170" s="188">
        <v>100</v>
      </c>
      <c r="J170" s="65" t="s">
        <v>106</v>
      </c>
      <c r="K170" s="207" t="s">
        <v>110</v>
      </c>
      <c r="L170" s="82"/>
      <c r="M170" s="56"/>
      <c r="N170" s="65"/>
      <c r="O170" s="67"/>
    </row>
    <row r="171" s="2" customFormat="1" ht="18" customHeight="1" spans="1:15">
      <c r="A171" s="48"/>
      <c r="B171" s="25">
        <f t="shared" ref="B171:B177" si="14">ROUND(G171/(1+E171),2)</f>
        <v>0</v>
      </c>
      <c r="C171" s="49"/>
      <c r="D171" s="50"/>
      <c r="E171" s="70"/>
      <c r="F171" s="25">
        <f t="shared" ref="F171:F177" si="15">ROUND(G171/(1+E171)*E171,2)</f>
        <v>0</v>
      </c>
      <c r="G171" s="189"/>
      <c r="H171" s="36" t="s">
        <v>117</v>
      </c>
      <c r="I171" s="188"/>
      <c r="J171" s="63"/>
      <c r="K171" s="207"/>
      <c r="L171" s="82"/>
      <c r="M171" s="56"/>
      <c r="N171" s="65"/>
      <c r="O171" s="67"/>
    </row>
    <row r="172" s="2" customFormat="1" ht="18" customHeight="1" spans="1:15">
      <c r="A172" s="48"/>
      <c r="B172" s="25">
        <f t="shared" si="14"/>
        <v>0</v>
      </c>
      <c r="C172" s="49"/>
      <c r="D172" s="50"/>
      <c r="E172" s="70"/>
      <c r="F172" s="25">
        <f t="shared" si="15"/>
        <v>0</v>
      </c>
      <c r="G172" s="189"/>
      <c r="H172" s="36" t="s">
        <v>127</v>
      </c>
      <c r="I172" s="188">
        <v>-93700</v>
      </c>
      <c r="J172" s="63" t="s">
        <v>125</v>
      </c>
      <c r="K172" s="148" t="s">
        <v>126</v>
      </c>
      <c r="L172" s="82"/>
      <c r="M172" s="56"/>
      <c r="N172" s="65"/>
      <c r="O172" s="67"/>
    </row>
    <row r="173" s="2" customFormat="1" ht="18" customHeight="1" spans="1:16">
      <c r="A173" s="48"/>
      <c r="B173" s="25">
        <f t="shared" si="14"/>
        <v>0</v>
      </c>
      <c r="C173" s="49"/>
      <c r="D173" s="50"/>
      <c r="E173" s="70"/>
      <c r="F173" s="25">
        <f t="shared" si="15"/>
        <v>0</v>
      </c>
      <c r="G173" s="189"/>
      <c r="H173" s="36" t="s">
        <v>127</v>
      </c>
      <c r="I173" s="71">
        <v>50</v>
      </c>
      <c r="J173" s="65" t="s">
        <v>106</v>
      </c>
      <c r="K173" s="148" t="s">
        <v>110</v>
      </c>
      <c r="L173" s="82"/>
      <c r="M173" s="56"/>
      <c r="N173" s="65"/>
      <c r="O173" s="67"/>
      <c r="P173" s="2">
        <f>I175+I168+I157</f>
        <v>387045</v>
      </c>
    </row>
    <row r="174" s="2" customFormat="1" ht="18" customHeight="1" spans="1:15">
      <c r="A174" s="48"/>
      <c r="B174" s="25">
        <f t="shared" si="14"/>
        <v>0</v>
      </c>
      <c r="C174" s="49"/>
      <c r="D174" s="50"/>
      <c r="E174" s="70"/>
      <c r="F174" s="25">
        <f t="shared" si="15"/>
        <v>0</v>
      </c>
      <c r="G174" s="189"/>
      <c r="H174" s="36" t="s">
        <v>127</v>
      </c>
      <c r="I174" s="210">
        <v>-21725</v>
      </c>
      <c r="J174" s="56" t="s">
        <v>112</v>
      </c>
      <c r="K174" s="238" t="s">
        <v>159</v>
      </c>
      <c r="L174" s="82"/>
      <c r="M174" s="56"/>
      <c r="N174" s="65"/>
      <c r="O174" s="67"/>
    </row>
    <row r="175" s="2" customFormat="1" ht="18" customHeight="1" spans="1:15">
      <c r="A175" s="48"/>
      <c r="B175" s="25">
        <f t="shared" si="14"/>
        <v>0</v>
      </c>
      <c r="C175" s="49"/>
      <c r="D175" s="50"/>
      <c r="E175" s="46"/>
      <c r="F175" s="25">
        <f t="shared" si="15"/>
        <v>0</v>
      </c>
      <c r="G175" s="189"/>
      <c r="H175" s="36" t="s">
        <v>129</v>
      </c>
      <c r="I175" s="237">
        <v>243021</v>
      </c>
      <c r="J175" s="227" t="s">
        <v>106</v>
      </c>
      <c r="K175" s="205" t="s">
        <v>124</v>
      </c>
      <c r="L175" s="67"/>
      <c r="M175" s="65"/>
      <c r="N175" s="65"/>
      <c r="O175" s="67"/>
    </row>
    <row r="176" s="2" customFormat="1" ht="18" customHeight="1" spans="1:15">
      <c r="A176" s="48"/>
      <c r="B176" s="25">
        <f t="shared" si="14"/>
        <v>0</v>
      </c>
      <c r="C176" s="49"/>
      <c r="D176" s="50"/>
      <c r="E176" s="46"/>
      <c r="F176" s="25">
        <f t="shared" si="15"/>
        <v>0</v>
      </c>
      <c r="G176" s="189"/>
      <c r="H176" s="36" t="s">
        <v>129</v>
      </c>
      <c r="I176" s="188">
        <v>2340</v>
      </c>
      <c r="J176" s="63" t="s">
        <v>106</v>
      </c>
      <c r="K176" s="207" t="s">
        <v>123</v>
      </c>
      <c r="L176" s="67"/>
      <c r="M176" s="65"/>
      <c r="N176" s="65"/>
      <c r="O176" s="67"/>
    </row>
    <row r="177" s="2" customFormat="1" ht="18" customHeight="1" spans="1:15">
      <c r="A177" s="48"/>
      <c r="B177" s="25">
        <f t="shared" si="14"/>
        <v>0</v>
      </c>
      <c r="C177" s="49"/>
      <c r="D177" s="50"/>
      <c r="E177" s="46"/>
      <c r="F177" s="25">
        <f t="shared" si="15"/>
        <v>0</v>
      </c>
      <c r="G177" s="189"/>
      <c r="H177" s="36" t="s">
        <v>129</v>
      </c>
      <c r="I177" s="188">
        <v>500</v>
      </c>
      <c r="J177" s="63" t="s">
        <v>106</v>
      </c>
      <c r="K177" s="148" t="s">
        <v>130</v>
      </c>
      <c r="L177" s="67"/>
      <c r="M177" s="65"/>
      <c r="N177" s="65"/>
      <c r="O177" s="67"/>
    </row>
    <row r="178" s="2" customFormat="1" ht="18" customHeight="1" spans="1:15">
      <c r="A178" s="48"/>
      <c r="B178" s="25"/>
      <c r="C178" s="49"/>
      <c r="D178" s="50"/>
      <c r="E178" s="46"/>
      <c r="F178" s="25"/>
      <c r="G178" s="189"/>
      <c r="H178" s="36" t="s">
        <v>129</v>
      </c>
      <c r="I178" s="210">
        <v>55725</v>
      </c>
      <c r="J178" s="56" t="s">
        <v>120</v>
      </c>
      <c r="K178" s="238" t="s">
        <v>121</v>
      </c>
      <c r="L178" s="67"/>
      <c r="M178" s="65"/>
      <c r="N178" s="65"/>
      <c r="O178" s="67"/>
    </row>
    <row r="179" s="2" customFormat="1" ht="18" customHeight="1" spans="1:15">
      <c r="A179" s="48"/>
      <c r="B179" s="25">
        <f t="shared" ref="B179:B184" si="16">ROUND(G179/(1+E179),2)</f>
        <v>0</v>
      </c>
      <c r="C179" s="49"/>
      <c r="D179" s="50"/>
      <c r="E179" s="46"/>
      <c r="F179" s="25">
        <f t="shared" ref="F179:F184" si="17">ROUND(G179/(1+E179)*E179,2)</f>
        <v>0</v>
      </c>
      <c r="G179" s="189"/>
      <c r="H179" s="36" t="s">
        <v>129</v>
      </c>
      <c r="I179" s="188">
        <v>8500</v>
      </c>
      <c r="J179" s="63" t="s">
        <v>125</v>
      </c>
      <c r="K179" s="148" t="s">
        <v>126</v>
      </c>
      <c r="L179" s="67"/>
      <c r="M179" s="65"/>
      <c r="N179" s="65"/>
      <c r="O179" s="67"/>
    </row>
    <row r="180" s="2" customFormat="1" ht="18" customHeight="1" spans="1:15">
      <c r="A180" s="48"/>
      <c r="B180" s="25">
        <f t="shared" si="16"/>
        <v>0</v>
      </c>
      <c r="C180" s="49"/>
      <c r="D180" s="50"/>
      <c r="E180" s="46"/>
      <c r="F180" s="25">
        <f t="shared" si="17"/>
        <v>0</v>
      </c>
      <c r="G180" s="189"/>
      <c r="H180" s="36" t="s">
        <v>131</v>
      </c>
      <c r="I180" s="188">
        <v>8800</v>
      </c>
      <c r="J180" s="63" t="s">
        <v>125</v>
      </c>
      <c r="K180" s="148" t="s">
        <v>126</v>
      </c>
      <c r="L180" s="67"/>
      <c r="M180" s="65"/>
      <c r="N180" s="65"/>
      <c r="O180" s="67"/>
    </row>
    <row r="181" s="2" customFormat="1" ht="18" customHeight="1" spans="1:15">
      <c r="A181" s="48"/>
      <c r="B181" s="25">
        <f t="shared" si="16"/>
        <v>0</v>
      </c>
      <c r="C181" s="49"/>
      <c r="D181" s="50"/>
      <c r="E181" s="46"/>
      <c r="F181" s="25">
        <f t="shared" si="17"/>
        <v>0</v>
      </c>
      <c r="G181" s="189"/>
      <c r="H181" s="36" t="s">
        <v>131</v>
      </c>
      <c r="I181" s="188">
        <v>35200</v>
      </c>
      <c r="J181" s="63" t="s">
        <v>125</v>
      </c>
      <c r="K181" s="148" t="s">
        <v>126</v>
      </c>
      <c r="L181" s="67"/>
      <c r="M181" s="65"/>
      <c r="N181" s="65"/>
      <c r="O181" s="67"/>
    </row>
    <row r="182" s="2" customFormat="1" ht="18" customHeight="1" spans="1:15">
      <c r="A182" s="48"/>
      <c r="B182" s="25">
        <f t="shared" si="16"/>
        <v>0</v>
      </c>
      <c r="C182" s="49"/>
      <c r="D182" s="50"/>
      <c r="E182" s="46"/>
      <c r="F182" s="25">
        <f t="shared" si="17"/>
        <v>0</v>
      </c>
      <c r="G182" s="189"/>
      <c r="H182" s="36" t="s">
        <v>131</v>
      </c>
      <c r="I182" s="188">
        <f>B9*E199</f>
        <v>2400</v>
      </c>
      <c r="J182" s="63" t="s">
        <v>106</v>
      </c>
      <c r="K182" s="148" t="s">
        <v>132</v>
      </c>
      <c r="L182" s="67"/>
      <c r="M182" s="65"/>
      <c r="N182" s="65"/>
      <c r="O182" s="67"/>
    </row>
    <row r="183" s="1" customFormat="1" ht="18" customHeight="1" spans="1:15">
      <c r="A183" s="43"/>
      <c r="B183" s="25">
        <f t="shared" si="16"/>
        <v>0</v>
      </c>
      <c r="C183" s="44"/>
      <c r="D183" s="45"/>
      <c r="E183" s="46"/>
      <c r="F183" s="25">
        <f t="shared" si="17"/>
        <v>0</v>
      </c>
      <c r="G183" s="189"/>
      <c r="H183" s="31" t="s">
        <v>133</v>
      </c>
      <c r="I183" s="188">
        <v>41200</v>
      </c>
      <c r="J183" s="63" t="s">
        <v>125</v>
      </c>
      <c r="K183" s="148" t="s">
        <v>126</v>
      </c>
      <c r="L183" s="60"/>
      <c r="M183" s="61"/>
      <c r="N183" s="61"/>
      <c r="O183" s="60"/>
    </row>
    <row r="184" s="1" customFormat="1" ht="18" customHeight="1" spans="1:15">
      <c r="A184" s="43"/>
      <c r="B184" s="25">
        <f t="shared" si="16"/>
        <v>0</v>
      </c>
      <c r="C184" s="44"/>
      <c r="D184" s="45"/>
      <c r="E184" s="46"/>
      <c r="F184" s="25">
        <f t="shared" si="17"/>
        <v>0</v>
      </c>
      <c r="G184" s="189"/>
      <c r="H184" s="31" t="s">
        <v>133</v>
      </c>
      <c r="I184" s="188">
        <v>2248</v>
      </c>
      <c r="J184" s="63" t="s">
        <v>106</v>
      </c>
      <c r="K184" s="148" t="s">
        <v>160</v>
      </c>
      <c r="L184" s="60"/>
      <c r="M184" s="61"/>
      <c r="N184" s="61"/>
      <c r="O184" s="60"/>
    </row>
    <row r="185" s="1" customFormat="1" ht="18" customHeight="1" spans="1:15">
      <c r="A185" s="43"/>
      <c r="B185" s="25"/>
      <c r="C185" s="44"/>
      <c r="D185" s="45"/>
      <c r="E185" s="46"/>
      <c r="F185" s="25"/>
      <c r="G185" s="189"/>
      <c r="H185" s="36" t="s">
        <v>134</v>
      </c>
      <c r="I185" s="188">
        <v>2782</v>
      </c>
      <c r="J185" s="63" t="s">
        <v>106</v>
      </c>
      <c r="K185" s="148" t="s">
        <v>160</v>
      </c>
      <c r="L185" s="60"/>
      <c r="M185" s="61"/>
      <c r="N185" s="61"/>
      <c r="O185" s="60"/>
    </row>
    <row r="186" s="1" customFormat="1" ht="18" customHeight="1" spans="1:15">
      <c r="A186" s="43"/>
      <c r="B186" s="25">
        <f>ROUND(G186/(1+E186),2)</f>
        <v>0</v>
      </c>
      <c r="C186" s="44"/>
      <c r="D186" s="45"/>
      <c r="E186" s="46"/>
      <c r="F186" s="25">
        <f>ROUND(G186/(1+E186)*E186,2)</f>
        <v>0</v>
      </c>
      <c r="G186" s="189"/>
      <c r="H186" s="36" t="s">
        <v>134</v>
      </c>
      <c r="I186" s="188">
        <v>950</v>
      </c>
      <c r="J186" s="63" t="s">
        <v>106</v>
      </c>
      <c r="K186" s="148" t="s">
        <v>130</v>
      </c>
      <c r="L186" s="60"/>
      <c r="M186" s="61"/>
      <c r="N186" s="61"/>
      <c r="O186" s="60"/>
    </row>
    <row r="187" s="1" customFormat="1" ht="18" customHeight="1" spans="1:15">
      <c r="A187" s="43"/>
      <c r="B187" s="25">
        <f>ROUND(G187/(1+E187),2)</f>
        <v>132850</v>
      </c>
      <c r="C187" s="44"/>
      <c r="D187" s="45"/>
      <c r="E187" s="46"/>
      <c r="F187" s="25">
        <f>ROUND(G187/(1+E187)*E187,2)</f>
        <v>0</v>
      </c>
      <c r="G187" s="189">
        <f>46100+17600+4400+17000+4250+34800+8700</f>
        <v>132850</v>
      </c>
      <c r="H187" s="31"/>
      <c r="I187" s="32">
        <f>G187</f>
        <v>132850</v>
      </c>
      <c r="J187" s="63" t="s">
        <v>106</v>
      </c>
      <c r="K187" s="148" t="s">
        <v>161</v>
      </c>
      <c r="L187" s="60"/>
      <c r="M187" s="61"/>
      <c r="N187" s="61"/>
      <c r="O187" s="60"/>
    </row>
    <row r="188" s="1" customFormat="1" ht="18" customHeight="1" spans="1:15">
      <c r="A188" s="43"/>
      <c r="B188" s="25"/>
      <c r="C188" s="44"/>
      <c r="D188" s="45"/>
      <c r="E188" s="46"/>
      <c r="F188" s="25"/>
      <c r="G188" s="239"/>
      <c r="H188" s="31"/>
      <c r="I188" s="141">
        <v>-3000000</v>
      </c>
      <c r="J188" s="249"/>
      <c r="K188" s="250" t="s">
        <v>162</v>
      </c>
      <c r="L188" s="60"/>
      <c r="M188" s="61"/>
      <c r="N188" s="61"/>
      <c r="O188" s="60"/>
    </row>
    <row r="189" ht="18" customHeight="1" spans="1:15">
      <c r="A189" s="39" t="s">
        <v>22</v>
      </c>
      <c r="B189" s="38">
        <f>SUM(B27:B187)</f>
        <v>38520085.23</v>
      </c>
      <c r="C189" s="39"/>
      <c r="D189" s="240"/>
      <c r="E189" s="240"/>
      <c r="F189" s="241">
        <f>SUM(F27:F187)</f>
        <v>2077791.11</v>
      </c>
      <c r="G189" s="242">
        <f>SUM(G27:G187)</f>
        <v>40597876.34</v>
      </c>
      <c r="H189" s="243"/>
      <c r="I189" s="190">
        <f>SUM(I27:I188)</f>
        <v>33459982.4885321</v>
      </c>
      <c r="J189" s="251"/>
      <c r="K189" s="252"/>
      <c r="L189" s="191"/>
      <c r="M189" s="40"/>
      <c r="N189" s="40"/>
      <c r="O189" s="191"/>
    </row>
    <row r="190" ht="18" customHeight="1" spans="1:14">
      <c r="A190" s="99"/>
      <c r="B190" s="100">
        <f>B24*0.92-B189</f>
        <v>-6019454.70456213</v>
      </c>
      <c r="C190" s="99"/>
      <c r="D190" s="244"/>
      <c r="E190" s="244"/>
      <c r="F190" s="100">
        <f>F24-F189</f>
        <v>518901.13353628</v>
      </c>
      <c r="G190" s="100"/>
      <c r="H190" s="30" t="s">
        <v>136</v>
      </c>
      <c r="I190" s="190">
        <f>I24-I189</f>
        <v>17.5114678889513</v>
      </c>
      <c r="J190" s="14"/>
      <c r="K190" s="253"/>
      <c r="M190" s="13"/>
      <c r="N190" s="13"/>
    </row>
    <row r="191" ht="18" customHeight="1" spans="1:3">
      <c r="A191" s="6" t="s">
        <v>137</v>
      </c>
      <c r="C191" s="6"/>
    </row>
    <row r="192" ht="18" customHeight="1" spans="1:19">
      <c r="A192" s="30" t="s">
        <v>138</v>
      </c>
      <c r="B192" s="28" t="s">
        <v>139</v>
      </c>
      <c r="C192" s="191"/>
      <c r="D192" s="30" t="s">
        <v>138</v>
      </c>
      <c r="E192" s="27" t="s">
        <v>15</v>
      </c>
      <c r="F192" s="28" t="s">
        <v>139</v>
      </c>
      <c r="G192" s="28" t="s">
        <v>140</v>
      </c>
      <c r="H192" s="28" t="s">
        <v>141</v>
      </c>
      <c r="I192" s="28" t="s">
        <v>142</v>
      </c>
      <c r="K192" s="28" t="s">
        <v>143</v>
      </c>
      <c r="L192" s="254"/>
      <c r="M192" s="28" t="s">
        <v>144</v>
      </c>
      <c r="N192" s="134" t="s">
        <v>144</v>
      </c>
      <c r="O192" s="255"/>
      <c r="P192" s="242" t="s">
        <v>145</v>
      </c>
      <c r="Q192" s="242" t="s">
        <v>163</v>
      </c>
      <c r="R192" s="256" t="s">
        <v>187</v>
      </c>
      <c r="S192" s="257" t="s">
        <v>192</v>
      </c>
    </row>
    <row r="193" ht="18" customHeight="1" spans="1:19">
      <c r="A193" s="191" t="s">
        <v>146</v>
      </c>
      <c r="B193" s="25">
        <f>(B24-B189)*0.25</f>
        <v>-798328.229935361</v>
      </c>
      <c r="C193" s="191"/>
      <c r="D193" s="18" t="s">
        <v>147</v>
      </c>
      <c r="E193" s="40" t="s">
        <v>148</v>
      </c>
      <c r="F193" s="245">
        <f>F24-F189</f>
        <v>518901.13353628</v>
      </c>
      <c r="G193" s="245">
        <f>F7-F27-F29-F32-F33-F36</f>
        <v>-333763.749090909</v>
      </c>
      <c r="H193" s="245">
        <f>F8-F41</f>
        <v>299461.603636364</v>
      </c>
      <c r="I193" s="245">
        <f>F9-F43-F44-F46-F51-F52-F53-F54-F56</f>
        <v>49772.4599999999</v>
      </c>
      <c r="K193" s="245">
        <f>F10-F77-F78-F79-F80-F81</f>
        <v>205457.659816514</v>
      </c>
      <c r="L193" s="254"/>
      <c r="M193" s="245">
        <f>F11-F82-F90-F91-F93</f>
        <v>390316.376330275</v>
      </c>
      <c r="N193" s="134">
        <v>-259385.7</v>
      </c>
      <c r="O193" s="255"/>
      <c r="P193" s="242"/>
      <c r="Q193" s="258"/>
      <c r="R193" s="234"/>
      <c r="S193" s="259">
        <f>F193-K193-(M193+N193)</f>
        <v>182512.797389491</v>
      </c>
    </row>
    <row r="194" ht="18" customHeight="1" spans="1:19">
      <c r="A194" s="191" t="s">
        <v>149</v>
      </c>
      <c r="B194" s="21" t="s">
        <v>150</v>
      </c>
      <c r="C194" s="191"/>
      <c r="D194" s="246" t="s">
        <v>151</v>
      </c>
      <c r="E194" s="22">
        <v>0.05</v>
      </c>
      <c r="F194" s="32">
        <f>F193*E194</f>
        <v>25945.056676814</v>
      </c>
      <c r="G194" s="32">
        <v>0</v>
      </c>
      <c r="H194" s="32">
        <v>0</v>
      </c>
      <c r="I194" s="32">
        <v>0</v>
      </c>
      <c r="K194" s="32">
        <f>K193*E194</f>
        <v>10272.8829908257</v>
      </c>
      <c r="L194" s="254"/>
      <c r="M194" s="32">
        <f>M193*E194</f>
        <v>19515.8188165138</v>
      </c>
      <c r="N194" s="134">
        <f>N193*E194</f>
        <v>-12969.285</v>
      </c>
      <c r="O194" s="255"/>
      <c r="P194" s="242"/>
      <c r="Q194" s="258"/>
      <c r="R194" s="234"/>
      <c r="S194" s="259">
        <f>S193*0.07</f>
        <v>12775.8958172644</v>
      </c>
    </row>
    <row r="195" ht="18" customHeight="1" spans="1:19">
      <c r="A195" s="191" t="s">
        <v>123</v>
      </c>
      <c r="B195" s="247">
        <f>B24*0.0006</f>
        <v>21196.0633861551</v>
      </c>
      <c r="C195" s="191"/>
      <c r="D195" s="246" t="s">
        <v>152</v>
      </c>
      <c r="E195" s="22">
        <v>0.03</v>
      </c>
      <c r="F195" s="32">
        <f>F193*E195</f>
        <v>15567.0340060884</v>
      </c>
      <c r="G195" s="32">
        <v>0</v>
      </c>
      <c r="H195" s="32">
        <v>0</v>
      </c>
      <c r="I195" s="32">
        <v>0</v>
      </c>
      <c r="K195" s="32">
        <f>K193*E195</f>
        <v>6163.72979449541</v>
      </c>
      <c r="L195" s="254"/>
      <c r="M195" s="32">
        <f>M193*E195</f>
        <v>11709.4912899083</v>
      </c>
      <c r="N195" s="134">
        <f>N193*E195</f>
        <v>-7781.571</v>
      </c>
      <c r="O195" s="255"/>
      <c r="P195" s="242"/>
      <c r="Q195" s="258"/>
      <c r="R195" s="234"/>
      <c r="S195" s="259">
        <f>S193*0.03</f>
        <v>5475.38392168472</v>
      </c>
    </row>
    <row r="196" ht="18" customHeight="1" spans="1:19">
      <c r="A196" s="191"/>
      <c r="B196" s="32"/>
      <c r="C196" s="191"/>
      <c r="D196" s="246" t="s">
        <v>153</v>
      </c>
      <c r="E196" s="22">
        <v>0.02</v>
      </c>
      <c r="F196" s="32">
        <f>F193*E196</f>
        <v>10378.0226707256</v>
      </c>
      <c r="G196" s="32">
        <v>0</v>
      </c>
      <c r="H196" s="32">
        <v>0</v>
      </c>
      <c r="I196" s="32">
        <v>0</v>
      </c>
      <c r="K196" s="32">
        <f>K193*E196</f>
        <v>4109.15319633028</v>
      </c>
      <c r="L196" s="254"/>
      <c r="M196" s="32">
        <f>M193*E196</f>
        <v>7806.32752660551</v>
      </c>
      <c r="N196" s="134">
        <f>N193*E196</f>
        <v>-5187.714</v>
      </c>
      <c r="O196" s="255"/>
      <c r="P196" s="242"/>
      <c r="Q196" s="258"/>
      <c r="R196" s="234"/>
      <c r="S196" s="259">
        <f>S193*0.02</f>
        <v>3650.25594778982</v>
      </c>
    </row>
    <row r="197" ht="18" customHeight="1" spans="1:19">
      <c r="A197" s="37" t="s">
        <v>154</v>
      </c>
      <c r="B197" s="38">
        <f>SUM(B193:B196)</f>
        <v>-777132.166549206</v>
      </c>
      <c r="C197" s="191"/>
      <c r="D197" s="37" t="s">
        <v>154</v>
      </c>
      <c r="E197" s="37"/>
      <c r="F197" s="241">
        <f>SUM(F193:F196)</f>
        <v>570791.246889908</v>
      </c>
      <c r="G197" s="241">
        <v>0</v>
      </c>
      <c r="H197" s="241">
        <v>0</v>
      </c>
      <c r="I197" s="241">
        <v>0</v>
      </c>
      <c r="K197" s="241">
        <f t="shared" ref="K197:N197" si="18">SUM(K193:K196)</f>
        <v>226003.425798165</v>
      </c>
      <c r="L197" s="254"/>
      <c r="M197" s="241">
        <f t="shared" si="18"/>
        <v>429348.013963303</v>
      </c>
      <c r="N197" s="134">
        <f t="shared" si="18"/>
        <v>-285324.27</v>
      </c>
      <c r="O197" s="255"/>
      <c r="P197" s="242"/>
      <c r="Q197" s="258"/>
      <c r="R197" s="234"/>
      <c r="S197" s="257">
        <f>SUM(S193:S196)</f>
        <v>204414.33307623</v>
      </c>
    </row>
    <row r="198" ht="18" customHeight="1" spans="3:19">
      <c r="C198" s="6"/>
      <c r="D198" s="20" t="s">
        <v>149</v>
      </c>
      <c r="E198" s="248">
        <v>0.0003</v>
      </c>
      <c r="F198" s="32">
        <v>0</v>
      </c>
      <c r="G198" s="32"/>
      <c r="H198" s="32"/>
      <c r="I198" s="32">
        <v>0</v>
      </c>
      <c r="K198" s="32"/>
      <c r="M198" s="32"/>
      <c r="N198" s="134"/>
      <c r="O198" s="255"/>
      <c r="P198" s="242"/>
      <c r="Q198" s="258"/>
      <c r="R198" s="234"/>
      <c r="S198" s="259"/>
    </row>
    <row r="199" ht="18" customHeight="1" spans="3:19">
      <c r="C199" s="6"/>
      <c r="D199" s="20" t="s">
        <v>123</v>
      </c>
      <c r="E199" s="248">
        <v>0.0006</v>
      </c>
      <c r="F199" s="32">
        <f>B24*E199</f>
        <v>21196.0633861551</v>
      </c>
      <c r="G199" s="32">
        <f>B7*E199</f>
        <v>2781.81818181818</v>
      </c>
      <c r="H199" s="32">
        <f>B8*E199</f>
        <v>2247.27272727273</v>
      </c>
      <c r="I199" s="32">
        <f>B9*E199</f>
        <v>2400</v>
      </c>
      <c r="K199" s="32">
        <f>B10*E199</f>
        <v>2339.4495412844</v>
      </c>
      <c r="L199" s="254"/>
      <c r="M199" s="32">
        <f>B11*E199</f>
        <v>4788.99082568807</v>
      </c>
      <c r="N199" s="134"/>
      <c r="O199" s="255"/>
      <c r="P199" s="242">
        <v>853.21</v>
      </c>
      <c r="Q199" s="258">
        <f>E199*B13</f>
        <v>1992.66055045872</v>
      </c>
      <c r="R199" s="256">
        <f>E199*B14</f>
        <v>946.788990825688</v>
      </c>
      <c r="S199" s="259">
        <f>B15*E199</f>
        <v>2845.87155963303</v>
      </c>
    </row>
    <row r="200" ht="18" customHeight="1" spans="3:19">
      <c r="C200" s="6"/>
      <c r="D200" s="39" t="s">
        <v>22</v>
      </c>
      <c r="E200" s="39"/>
      <c r="F200" s="190">
        <f>F197+F198+F199</f>
        <v>591987.310276063</v>
      </c>
      <c r="G200" s="190"/>
      <c r="H200" s="190"/>
      <c r="I200" s="190"/>
      <c r="K200" s="190"/>
      <c r="M200" s="191">
        <f>M197+M199</f>
        <v>434137.004788991</v>
      </c>
      <c r="N200" s="134"/>
      <c r="O200" s="255"/>
      <c r="P200" s="242"/>
      <c r="Q200" s="258"/>
      <c r="R200" s="234"/>
      <c r="S200" s="259"/>
    </row>
    <row r="201" ht="18" customHeight="1" spans="3:19">
      <c r="C201" s="6"/>
      <c r="D201" s="20" t="s">
        <v>121</v>
      </c>
      <c r="E201" s="248">
        <v>0.02</v>
      </c>
      <c r="F201" s="32">
        <f>B24*E201</f>
        <v>706535.446205171</v>
      </c>
      <c r="G201" s="32"/>
      <c r="H201" s="32"/>
      <c r="I201" s="32"/>
      <c r="K201" s="190"/>
      <c r="M201" s="32">
        <f>(SUM(B7:B11))*E201</f>
        <v>485251.042535446</v>
      </c>
      <c r="N201" s="134"/>
      <c r="O201" s="255"/>
      <c r="P201" s="242">
        <f>B12*0.02</f>
        <v>28440.3669724771</v>
      </c>
      <c r="Q201" s="258">
        <f>G13*E201</f>
        <v>72400</v>
      </c>
      <c r="R201" s="256">
        <f>G14*E201</f>
        <v>34400</v>
      </c>
      <c r="S201" s="259"/>
    </row>
    <row r="202" ht="18" customHeight="1" spans="3:3">
      <c r="C202" s="6"/>
    </row>
    <row r="203" ht="18" customHeight="1" spans="3:3">
      <c r="C203" s="6"/>
    </row>
    <row r="204" ht="18" customHeight="1" spans="3:3">
      <c r="C204" s="6"/>
    </row>
    <row r="205" spans="3:3">
      <c r="C205" s="6"/>
    </row>
    <row r="206" spans="3:3">
      <c r="C206" s="6"/>
    </row>
    <row r="207" spans="3:3">
      <c r="C207" s="6"/>
    </row>
    <row r="208" spans="3:3">
      <c r="C208" s="6"/>
    </row>
    <row r="209" spans="3:3">
      <c r="C209" s="6"/>
    </row>
    <row r="210" spans="3:3">
      <c r="C210" s="6"/>
    </row>
    <row r="211" spans="3:3">
      <c r="C211" s="6"/>
    </row>
    <row r="212" spans="3:3">
      <c r="C212" s="6"/>
    </row>
    <row r="213" spans="3:3">
      <c r="C213" s="6"/>
    </row>
    <row r="214" spans="3:3">
      <c r="C214" s="6"/>
    </row>
    <row r="215" spans="3:3">
      <c r="C215" s="6"/>
    </row>
    <row r="216" spans="3:3">
      <c r="C216" s="6"/>
    </row>
    <row r="217" spans="3:3">
      <c r="C217" s="6"/>
    </row>
    <row r="218" spans="3:3">
      <c r="C218" s="6"/>
    </row>
    <row r="219" spans="3:3">
      <c r="C219" s="6"/>
    </row>
    <row r="220" spans="3:3">
      <c r="C220" s="6"/>
    </row>
  </sheetData>
  <autoFilter ref="A26:Q201">
    <extLst/>
  </autoFilter>
  <mergeCells count="18">
    <mergeCell ref="A1:J1"/>
    <mergeCell ref="H2:J2"/>
    <mergeCell ref="C5:D5"/>
    <mergeCell ref="E5:F5"/>
    <mergeCell ref="H5:J5"/>
    <mergeCell ref="N192:O192"/>
    <mergeCell ref="N193:O193"/>
    <mergeCell ref="N194:O194"/>
    <mergeCell ref="N195:O195"/>
    <mergeCell ref="N196:O196"/>
    <mergeCell ref="N197:O197"/>
    <mergeCell ref="N198:O198"/>
    <mergeCell ref="N199:O199"/>
    <mergeCell ref="N200:O200"/>
    <mergeCell ref="N201:O201"/>
    <mergeCell ref="A5:A6"/>
    <mergeCell ref="B5:B6"/>
    <mergeCell ref="G5:G6"/>
  </mergeCells>
  <pageMargins left="0.75" right="0.75" top="1" bottom="1" header="0.5" footer="0.5"/>
  <pageSetup paperSize="9" orientation="portrait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5"/>
  <sheetViews>
    <sheetView topLeftCell="E186" workbookViewId="0">
      <selection activeCell="F198" sqref="F198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9" width="11.1333333333333" style="14"/>
    <col min="20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 t="s">
        <v>172</v>
      </c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>
        <v>44049</v>
      </c>
      <c r="B14" s="32">
        <f t="shared" si="0"/>
        <v>1577981.65137615</v>
      </c>
      <c r="C14" s="35">
        <v>0.02</v>
      </c>
      <c r="D14" s="188">
        <f t="shared" si="1"/>
        <v>31559.6330275229</v>
      </c>
      <c r="E14" s="35">
        <v>0.07</v>
      </c>
      <c r="F14" s="32">
        <f t="shared" si="2"/>
        <v>110458.71559633</v>
      </c>
      <c r="G14" s="189">
        <v>1720000</v>
      </c>
      <c r="H14" s="31">
        <v>43824</v>
      </c>
      <c r="I14" s="32">
        <v>6960000</v>
      </c>
      <c r="J14" s="40" t="s">
        <v>20</v>
      </c>
    </row>
    <row r="15" ht="18" customHeight="1" spans="1:10">
      <c r="A15" s="31">
        <v>44077</v>
      </c>
      <c r="B15" s="32">
        <f t="shared" si="0"/>
        <v>4743119.26605505</v>
      </c>
      <c r="C15" s="35">
        <v>0.02</v>
      </c>
      <c r="D15" s="188">
        <f t="shared" si="1"/>
        <v>94862.3853211009</v>
      </c>
      <c r="E15" s="35">
        <v>0.07</v>
      </c>
      <c r="F15" s="32">
        <f t="shared" si="2"/>
        <v>332018.348623853</v>
      </c>
      <c r="G15" s="189">
        <v>5170000</v>
      </c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>
        <f t="shared" ref="B18:B25" si="3">G18/(1+C18+E18)</f>
        <v>0</v>
      </c>
      <c r="C18" s="33"/>
      <c r="D18" s="188"/>
      <c r="E18" s="33"/>
      <c r="F18" s="32">
        <f t="shared" ref="F18:F25" si="4">G18/(1+C18+E18)*E18</f>
        <v>0</v>
      </c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>
        <f t="shared" si="3"/>
        <v>0</v>
      </c>
      <c r="C19" s="33"/>
      <c r="D19" s="188"/>
      <c r="E19" s="33"/>
      <c r="F19" s="32">
        <f t="shared" si="4"/>
        <v>0</v>
      </c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>
        <f t="shared" si="3"/>
        <v>0</v>
      </c>
      <c r="C20" s="33"/>
      <c r="D20" s="188"/>
      <c r="E20" s="33"/>
      <c r="F20" s="32">
        <f t="shared" si="4"/>
        <v>0</v>
      </c>
      <c r="G20" s="189"/>
      <c r="H20" s="31">
        <v>44057</v>
      </c>
      <c r="I20" s="32">
        <v>1376000</v>
      </c>
      <c r="J20" s="40" t="s">
        <v>20</v>
      </c>
    </row>
    <row r="21" ht="18" customHeight="1" spans="1:10">
      <c r="A21" s="31"/>
      <c r="B21" s="32">
        <f t="shared" si="3"/>
        <v>0</v>
      </c>
      <c r="C21" s="33"/>
      <c r="D21" s="188"/>
      <c r="E21" s="33"/>
      <c r="F21" s="32">
        <f t="shared" si="4"/>
        <v>0</v>
      </c>
      <c r="G21" s="189"/>
      <c r="H21" s="31">
        <v>44057</v>
      </c>
      <c r="I21" s="32">
        <v>344000</v>
      </c>
      <c r="J21" s="40" t="s">
        <v>164</v>
      </c>
    </row>
    <row r="22" ht="18" customHeight="1" spans="1:10">
      <c r="A22" s="31"/>
      <c r="B22" s="32">
        <f t="shared" si="3"/>
        <v>0</v>
      </c>
      <c r="C22" s="33"/>
      <c r="D22" s="188"/>
      <c r="E22" s="33"/>
      <c r="F22" s="32">
        <f t="shared" si="4"/>
        <v>0</v>
      </c>
      <c r="G22" s="189"/>
      <c r="H22" s="31">
        <v>44085</v>
      </c>
      <c r="I22" s="32">
        <v>4136000</v>
      </c>
      <c r="J22" s="40" t="s">
        <v>20</v>
      </c>
    </row>
    <row r="23" ht="18" customHeight="1" spans="1:10">
      <c r="A23" s="31"/>
      <c r="B23" s="32">
        <f t="shared" si="3"/>
        <v>0</v>
      </c>
      <c r="C23" s="33"/>
      <c r="D23" s="188"/>
      <c r="E23" s="33"/>
      <c r="F23" s="32">
        <f t="shared" si="4"/>
        <v>0</v>
      </c>
      <c r="G23" s="189"/>
      <c r="H23" s="31">
        <v>44085</v>
      </c>
      <c r="I23" s="32">
        <v>1034000</v>
      </c>
      <c r="J23" s="40" t="s">
        <v>164</v>
      </c>
    </row>
    <row r="24" ht="18" customHeight="1" spans="1:10">
      <c r="A24" s="31"/>
      <c r="B24" s="32">
        <f t="shared" si="3"/>
        <v>0</v>
      </c>
      <c r="C24" s="33"/>
      <c r="D24" s="188"/>
      <c r="E24" s="33"/>
      <c r="F24" s="32">
        <f t="shared" si="4"/>
        <v>0</v>
      </c>
      <c r="G24" s="189"/>
      <c r="H24" s="31"/>
      <c r="I24" s="32"/>
      <c r="J24" s="40"/>
    </row>
    <row r="25" ht="18" customHeight="1" spans="1:10">
      <c r="A25" s="31"/>
      <c r="B25" s="32">
        <f t="shared" si="3"/>
        <v>0</v>
      </c>
      <c r="C25" s="33"/>
      <c r="D25" s="188">
        <f>G25/(1+E25+C25)*C25</f>
        <v>0</v>
      </c>
      <c r="E25" s="33"/>
      <c r="F25" s="32">
        <f t="shared" si="4"/>
        <v>0</v>
      </c>
      <c r="G25" s="189"/>
      <c r="H25" s="31"/>
      <c r="I25" s="32"/>
      <c r="J25" s="40"/>
    </row>
    <row r="26" ht="18" customHeight="1" spans="1:10">
      <c r="A26" s="37" t="s">
        <v>22</v>
      </c>
      <c r="B26" s="38">
        <f>SUM(B7:B25)</f>
        <v>35326772.3102585</v>
      </c>
      <c r="C26" s="39"/>
      <c r="D26" s="190">
        <f>SUM(D7:D25)</f>
        <v>706535.446205171</v>
      </c>
      <c r="E26" s="39"/>
      <c r="F26" s="190">
        <f>SUM(F7:F25)</f>
        <v>2596692.24353628</v>
      </c>
      <c r="G26" s="190">
        <f>SUM(G7:G25)</f>
        <v>38630000</v>
      </c>
      <c r="H26" s="191"/>
      <c r="I26" s="190">
        <f>SUM(I7:I25)</f>
        <v>38630000</v>
      </c>
      <c r="J26" s="191"/>
    </row>
    <row r="27" ht="18" customHeight="1" spans="1:12">
      <c r="A27" s="6" t="s">
        <v>23</v>
      </c>
      <c r="J27" s="8"/>
      <c r="K27" s="8"/>
      <c r="L27" s="186"/>
    </row>
    <row r="28" ht="18" customHeight="1" spans="1:15">
      <c r="A28" s="41" t="s">
        <v>24</v>
      </c>
      <c r="B28" s="28" t="s">
        <v>25</v>
      </c>
      <c r="C28" s="27" t="s">
        <v>26</v>
      </c>
      <c r="D28" s="27" t="s">
        <v>27</v>
      </c>
      <c r="E28" s="27" t="s">
        <v>15</v>
      </c>
      <c r="F28" s="28" t="s">
        <v>28</v>
      </c>
      <c r="G28" s="28" t="s">
        <v>13</v>
      </c>
      <c r="H28" s="27" t="s">
        <v>29</v>
      </c>
      <c r="I28" s="28" t="s">
        <v>30</v>
      </c>
      <c r="J28" s="27" t="s">
        <v>19</v>
      </c>
      <c r="K28" s="54" t="s">
        <v>31</v>
      </c>
      <c r="L28" s="30" t="s">
        <v>32</v>
      </c>
      <c r="M28" s="30" t="s">
        <v>33</v>
      </c>
      <c r="N28" s="30" t="s">
        <v>34</v>
      </c>
      <c r="O28" s="30" t="s">
        <v>35</v>
      </c>
    </row>
    <row r="29" s="1" customFormat="1" ht="18" customHeight="1" spans="1:15">
      <c r="A29" s="43">
        <v>43070</v>
      </c>
      <c r="B29" s="25">
        <f t="shared" ref="B29:B92" si="5">ROUND(G29/(1+E29),2)</f>
        <v>2830.19</v>
      </c>
      <c r="C29" s="44"/>
      <c r="D29" s="45" t="s">
        <v>36</v>
      </c>
      <c r="E29" s="46">
        <v>0.06</v>
      </c>
      <c r="F29" s="25">
        <f t="shared" ref="F29:F92" si="6">ROUND(G29/(1+E29)*E29,2)</f>
        <v>169.81</v>
      </c>
      <c r="G29" s="189">
        <v>3000</v>
      </c>
      <c r="H29" s="31"/>
      <c r="I29" s="32"/>
      <c r="J29" s="40"/>
      <c r="K29" s="147" t="s">
        <v>37</v>
      </c>
      <c r="L29" s="60" t="s">
        <v>38</v>
      </c>
      <c r="M29" s="61"/>
      <c r="N29" s="61"/>
      <c r="O29" s="60"/>
    </row>
    <row r="30" s="1" customFormat="1" ht="18" customHeight="1" spans="1:15">
      <c r="A30" s="43">
        <v>43071</v>
      </c>
      <c r="B30" s="25">
        <f t="shared" si="5"/>
        <v>3000</v>
      </c>
      <c r="C30" s="44"/>
      <c r="D30" s="45" t="s">
        <v>39</v>
      </c>
      <c r="E30" s="46"/>
      <c r="F30" s="25">
        <f t="shared" si="6"/>
        <v>0</v>
      </c>
      <c r="G30" s="189">
        <v>3000</v>
      </c>
      <c r="H30" s="31"/>
      <c r="I30" s="32"/>
      <c r="J30" s="40"/>
      <c r="K30" s="147"/>
      <c r="L30" s="60" t="s">
        <v>38</v>
      </c>
      <c r="M30" s="61"/>
      <c r="N30" s="61"/>
      <c r="O30" s="60"/>
    </row>
    <row r="31" s="1" customFormat="1" ht="18" customHeight="1" spans="1:15">
      <c r="A31" s="43">
        <v>43072</v>
      </c>
      <c r="B31" s="25">
        <f t="shared" si="5"/>
        <v>12824.53</v>
      </c>
      <c r="C31" s="44"/>
      <c r="D31" s="45" t="s">
        <v>36</v>
      </c>
      <c r="E31" s="46">
        <v>0.06</v>
      </c>
      <c r="F31" s="25">
        <f t="shared" si="6"/>
        <v>769.47</v>
      </c>
      <c r="G31" s="189">
        <v>13594</v>
      </c>
      <c r="H31" s="31"/>
      <c r="I31" s="32"/>
      <c r="J31" s="40"/>
      <c r="K31" s="147" t="s">
        <v>40</v>
      </c>
      <c r="L31" s="60" t="s">
        <v>41</v>
      </c>
      <c r="M31" s="61"/>
      <c r="N31" s="61"/>
      <c r="O31" s="60"/>
    </row>
    <row r="32" s="1" customFormat="1" ht="18" customHeight="1" spans="1:15">
      <c r="A32" s="43">
        <v>43073</v>
      </c>
      <c r="B32" s="25">
        <f t="shared" si="5"/>
        <v>1206</v>
      </c>
      <c r="C32" s="44"/>
      <c r="D32" s="45" t="s">
        <v>39</v>
      </c>
      <c r="E32" s="46"/>
      <c r="F32" s="25">
        <f t="shared" si="6"/>
        <v>0</v>
      </c>
      <c r="G32" s="189">
        <v>1206</v>
      </c>
      <c r="H32" s="31"/>
      <c r="I32" s="32"/>
      <c r="J32" s="40"/>
      <c r="K32" s="147"/>
      <c r="L32" s="60" t="s">
        <v>42</v>
      </c>
      <c r="M32" s="61"/>
      <c r="N32" s="61"/>
      <c r="O32" s="60"/>
    </row>
    <row r="33" s="1" customFormat="1" ht="18" customHeight="1" spans="1:15">
      <c r="A33" s="43">
        <v>43074</v>
      </c>
      <c r="B33" s="25">
        <f t="shared" si="5"/>
        <v>13191.34</v>
      </c>
      <c r="C33" s="44"/>
      <c r="D33" s="45" t="s">
        <v>39</v>
      </c>
      <c r="E33" s="46"/>
      <c r="F33" s="25">
        <f t="shared" si="6"/>
        <v>0</v>
      </c>
      <c r="G33" s="189">
        <v>13191.34</v>
      </c>
      <c r="H33" s="31"/>
      <c r="I33" s="32"/>
      <c r="J33" s="40"/>
      <c r="K33" s="147"/>
      <c r="L33" s="60" t="s">
        <v>43</v>
      </c>
      <c r="M33" s="61"/>
      <c r="N33" s="61"/>
      <c r="O33" s="60"/>
    </row>
    <row r="34" s="1" customFormat="1" ht="18" customHeight="1" spans="1:15">
      <c r="A34" s="43">
        <v>43149</v>
      </c>
      <c r="B34" s="25">
        <f t="shared" si="5"/>
        <v>1924.53</v>
      </c>
      <c r="C34" s="44"/>
      <c r="D34" s="45" t="s">
        <v>36</v>
      </c>
      <c r="E34" s="46">
        <v>0.06</v>
      </c>
      <c r="F34" s="25">
        <f t="shared" si="6"/>
        <v>115.47</v>
      </c>
      <c r="G34" s="189">
        <v>2040</v>
      </c>
      <c r="H34" s="31"/>
      <c r="I34" s="32"/>
      <c r="J34" s="40"/>
      <c r="K34" s="147" t="s">
        <v>40</v>
      </c>
      <c r="L34" s="60" t="s">
        <v>41</v>
      </c>
      <c r="M34" s="61"/>
      <c r="N34" s="61"/>
      <c r="O34" s="60"/>
    </row>
    <row r="35" s="1" customFormat="1" ht="18" customHeight="1" spans="1:15">
      <c r="A35" s="43">
        <v>43177</v>
      </c>
      <c r="B35" s="25">
        <f t="shared" si="5"/>
        <v>2830.19</v>
      </c>
      <c r="C35" s="44"/>
      <c r="D35" s="45" t="s">
        <v>36</v>
      </c>
      <c r="E35" s="46">
        <v>0.06</v>
      </c>
      <c r="F35" s="25">
        <f t="shared" si="6"/>
        <v>169.81</v>
      </c>
      <c r="G35" s="189">
        <v>3000</v>
      </c>
      <c r="H35" s="31"/>
      <c r="I35" s="32"/>
      <c r="J35" s="40"/>
      <c r="K35" s="147" t="s">
        <v>44</v>
      </c>
      <c r="L35" s="60" t="s">
        <v>45</v>
      </c>
      <c r="M35" s="61"/>
      <c r="N35" s="61"/>
      <c r="O35" s="60"/>
    </row>
    <row r="36" s="1" customFormat="1" ht="18" customHeight="1" spans="1:15">
      <c r="A36" s="43">
        <v>43178</v>
      </c>
      <c r="B36" s="25">
        <f t="shared" si="5"/>
        <v>12529.12</v>
      </c>
      <c r="C36" s="44"/>
      <c r="D36" s="45" t="s">
        <v>39</v>
      </c>
      <c r="E36" s="46"/>
      <c r="F36" s="25">
        <f t="shared" si="6"/>
        <v>0</v>
      </c>
      <c r="G36" s="189">
        <v>12529.12</v>
      </c>
      <c r="H36" s="31"/>
      <c r="I36" s="32"/>
      <c r="J36" s="40"/>
      <c r="K36" s="147"/>
      <c r="L36" s="60" t="s">
        <v>46</v>
      </c>
      <c r="M36" s="61"/>
      <c r="N36" s="61"/>
      <c r="O36" s="60"/>
    </row>
    <row r="37" s="1" customFormat="1" ht="18" customHeight="1" spans="1:15">
      <c r="A37" s="43">
        <v>43177</v>
      </c>
      <c r="B37" s="25">
        <f t="shared" si="5"/>
        <v>7575</v>
      </c>
      <c r="C37" s="44"/>
      <c r="D37" s="45" t="s">
        <v>39</v>
      </c>
      <c r="E37" s="46"/>
      <c r="F37" s="25">
        <f t="shared" si="6"/>
        <v>0</v>
      </c>
      <c r="G37" s="189">
        <v>7575</v>
      </c>
      <c r="H37" s="31"/>
      <c r="I37" s="32"/>
      <c r="J37" s="40"/>
      <c r="K37" s="147"/>
      <c r="L37" s="60" t="s">
        <v>46</v>
      </c>
      <c r="M37" s="61"/>
      <c r="N37" s="61"/>
      <c r="O37" s="60"/>
    </row>
    <row r="38" s="1" customFormat="1" ht="18" customHeight="1" spans="1:15">
      <c r="A38" s="43">
        <v>43238</v>
      </c>
      <c r="B38" s="25">
        <f t="shared" si="5"/>
        <v>4396551.72</v>
      </c>
      <c r="C38" s="44"/>
      <c r="D38" s="45" t="s">
        <v>36</v>
      </c>
      <c r="E38" s="46">
        <v>0.16</v>
      </c>
      <c r="F38" s="25">
        <f t="shared" si="6"/>
        <v>703448.28</v>
      </c>
      <c r="G38" s="189">
        <v>5100000</v>
      </c>
      <c r="H38" s="31">
        <v>43251</v>
      </c>
      <c r="I38" s="32">
        <v>2500000</v>
      </c>
      <c r="J38" s="40" t="s">
        <v>20</v>
      </c>
      <c r="K38" s="147" t="s">
        <v>47</v>
      </c>
      <c r="L38" s="60" t="s">
        <v>48</v>
      </c>
      <c r="M38" s="61"/>
      <c r="N38" s="61"/>
      <c r="O38" s="60"/>
    </row>
    <row r="39" s="1" customFormat="1" ht="18" customHeight="1" spans="1:15">
      <c r="A39" s="43"/>
      <c r="B39" s="25">
        <f t="shared" si="5"/>
        <v>0</v>
      </c>
      <c r="C39" s="44"/>
      <c r="D39" s="45"/>
      <c r="E39" s="46"/>
      <c r="F39" s="25">
        <f t="shared" si="6"/>
        <v>0</v>
      </c>
      <c r="G39" s="189"/>
      <c r="H39" s="31" t="s">
        <v>49</v>
      </c>
      <c r="I39" s="32">
        <v>2530768</v>
      </c>
      <c r="J39" s="40" t="s">
        <v>20</v>
      </c>
      <c r="K39" s="147" t="s">
        <v>47</v>
      </c>
      <c r="L39" s="60"/>
      <c r="M39" s="61"/>
      <c r="N39" s="61"/>
      <c r="O39" s="60"/>
    </row>
    <row r="40" s="1" customFormat="1" ht="18" customHeight="1" spans="1:15">
      <c r="A40" s="43"/>
      <c r="B40" s="25">
        <f t="shared" si="5"/>
        <v>0</v>
      </c>
      <c r="C40" s="44"/>
      <c r="D40" s="45"/>
      <c r="E40" s="46"/>
      <c r="F40" s="25">
        <f t="shared" si="6"/>
        <v>0</v>
      </c>
      <c r="G40" s="189"/>
      <c r="H40" s="31" t="s">
        <v>49</v>
      </c>
      <c r="I40" s="32">
        <v>69232</v>
      </c>
      <c r="J40" s="40" t="s">
        <v>20</v>
      </c>
      <c r="K40" s="147" t="s">
        <v>47</v>
      </c>
      <c r="L40" s="60"/>
      <c r="M40" s="61"/>
      <c r="N40" s="61"/>
      <c r="O40" s="60"/>
    </row>
    <row r="41" s="1" customFormat="1" ht="18" customHeight="1" spans="1:15">
      <c r="A41" s="43"/>
      <c r="B41" s="25">
        <f t="shared" si="5"/>
        <v>0</v>
      </c>
      <c r="C41" s="44"/>
      <c r="D41" s="45"/>
      <c r="E41" s="46"/>
      <c r="F41" s="25">
        <f t="shared" si="6"/>
        <v>0</v>
      </c>
      <c r="G41" s="189"/>
      <c r="H41" s="31">
        <v>43252</v>
      </c>
      <c r="I41" s="32">
        <v>-29323</v>
      </c>
      <c r="J41" s="40" t="s">
        <v>21</v>
      </c>
      <c r="K41" s="147" t="s">
        <v>50</v>
      </c>
      <c r="L41" s="60"/>
      <c r="M41" s="61"/>
      <c r="N41" s="61"/>
      <c r="O41" s="60"/>
    </row>
    <row r="42" s="1" customFormat="1" ht="18" customHeight="1" spans="1:15">
      <c r="A42" s="43"/>
      <c r="B42" s="25">
        <f t="shared" si="5"/>
        <v>0</v>
      </c>
      <c r="C42" s="44"/>
      <c r="D42" s="45"/>
      <c r="E42" s="46"/>
      <c r="F42" s="25">
        <f t="shared" si="6"/>
        <v>0</v>
      </c>
      <c r="G42" s="189"/>
      <c r="H42" s="31">
        <v>43255</v>
      </c>
      <c r="I42" s="32">
        <v>-39909</v>
      </c>
      <c r="J42" s="40" t="s">
        <v>21</v>
      </c>
      <c r="K42" s="147" t="s">
        <v>50</v>
      </c>
      <c r="L42" s="60"/>
      <c r="M42" s="61"/>
      <c r="N42" s="61"/>
      <c r="O42" s="60"/>
    </row>
    <row r="43" s="1" customFormat="1" ht="18" customHeight="1" spans="1:15">
      <c r="A43" s="43">
        <v>43269</v>
      </c>
      <c r="B43" s="25">
        <f t="shared" si="5"/>
        <v>5825.24</v>
      </c>
      <c r="C43" s="44"/>
      <c r="D43" s="45" t="s">
        <v>36</v>
      </c>
      <c r="E43" s="46">
        <v>0.03</v>
      </c>
      <c r="F43" s="25">
        <f t="shared" si="6"/>
        <v>174.76</v>
      </c>
      <c r="G43" s="189">
        <v>6000</v>
      </c>
      <c r="H43" s="31">
        <v>43264</v>
      </c>
      <c r="I43" s="32">
        <v>6000</v>
      </c>
      <c r="J43" s="40" t="s">
        <v>20</v>
      </c>
      <c r="K43" s="147" t="s">
        <v>51</v>
      </c>
      <c r="L43" s="60" t="s">
        <v>52</v>
      </c>
      <c r="M43" s="61"/>
      <c r="N43" s="61"/>
      <c r="O43" s="60"/>
    </row>
    <row r="44" s="1" customFormat="1" ht="18" customHeight="1" spans="1:15">
      <c r="A44" s="43"/>
      <c r="B44" s="25">
        <f t="shared" si="5"/>
        <v>0</v>
      </c>
      <c r="C44" s="44"/>
      <c r="D44" s="45"/>
      <c r="E44" s="46"/>
      <c r="F44" s="25">
        <f t="shared" si="6"/>
        <v>0</v>
      </c>
      <c r="G44" s="189"/>
      <c r="H44" s="31">
        <v>43263</v>
      </c>
      <c r="I44" s="32">
        <v>-6000</v>
      </c>
      <c r="J44" s="40" t="s">
        <v>21</v>
      </c>
      <c r="K44" s="147" t="s">
        <v>50</v>
      </c>
      <c r="L44" s="60"/>
      <c r="M44" s="61"/>
      <c r="N44" s="61"/>
      <c r="O44" s="60"/>
    </row>
    <row r="45" s="2" customFormat="1" ht="18" customHeight="1" spans="1:15">
      <c r="A45" s="48">
        <v>43335</v>
      </c>
      <c r="B45" s="25">
        <f t="shared" si="5"/>
        <v>4000000</v>
      </c>
      <c r="C45" s="49"/>
      <c r="D45" s="50" t="s">
        <v>36</v>
      </c>
      <c r="E45" s="46">
        <v>0.03</v>
      </c>
      <c r="F45" s="25">
        <f t="shared" si="6"/>
        <v>120000</v>
      </c>
      <c r="G45" s="189">
        <v>4120000</v>
      </c>
      <c r="H45" s="36">
        <v>43335</v>
      </c>
      <c r="I45" s="188">
        <v>2000000</v>
      </c>
      <c r="J45" s="63" t="s">
        <v>20</v>
      </c>
      <c r="K45" s="148" t="s">
        <v>53</v>
      </c>
      <c r="L45" s="67" t="s">
        <v>54</v>
      </c>
      <c r="M45" s="65"/>
      <c r="N45" s="65"/>
      <c r="O45" s="67"/>
    </row>
    <row r="46" s="2" customFormat="1" ht="18" customHeight="1" spans="1:15">
      <c r="A46" s="48"/>
      <c r="B46" s="25">
        <f t="shared" si="5"/>
        <v>1344.34</v>
      </c>
      <c r="C46" s="49">
        <v>3</v>
      </c>
      <c r="D46" s="50" t="s">
        <v>36</v>
      </c>
      <c r="E46" s="46">
        <v>0.06</v>
      </c>
      <c r="F46" s="25">
        <f t="shared" si="6"/>
        <v>80.66</v>
      </c>
      <c r="G46" s="189">
        <f>285+690+450</f>
        <v>1425</v>
      </c>
      <c r="H46" s="36"/>
      <c r="I46" s="188"/>
      <c r="J46" s="63"/>
      <c r="K46" s="148" t="s">
        <v>55</v>
      </c>
      <c r="L46" s="67" t="s">
        <v>41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5"/>
        <v>6510</v>
      </c>
      <c r="C47" s="49"/>
      <c r="D47" s="50" t="s">
        <v>39</v>
      </c>
      <c r="E47" s="46"/>
      <c r="F47" s="25">
        <f t="shared" si="6"/>
        <v>0</v>
      </c>
      <c r="G47" s="189">
        <v>6510</v>
      </c>
      <c r="H47" s="36"/>
      <c r="I47" s="188"/>
      <c r="J47" s="63"/>
      <c r="K47" s="148" t="s">
        <v>56</v>
      </c>
      <c r="L47" s="67" t="s">
        <v>57</v>
      </c>
      <c r="M47" s="65"/>
      <c r="N47" s="65"/>
      <c r="O47" s="68">
        <v>43335</v>
      </c>
    </row>
    <row r="48" s="2" customFormat="1" ht="18" customHeight="1" spans="1:15">
      <c r="A48" s="48"/>
      <c r="B48" s="25">
        <f t="shared" si="5"/>
        <v>11436.89</v>
      </c>
      <c r="C48" s="49">
        <v>2</v>
      </c>
      <c r="D48" s="50" t="s">
        <v>36</v>
      </c>
      <c r="E48" s="46">
        <v>0.03</v>
      </c>
      <c r="F48" s="25">
        <f t="shared" si="6"/>
        <v>343.11</v>
      </c>
      <c r="G48" s="189">
        <f>7740+4040</f>
        <v>11780</v>
      </c>
      <c r="H48" s="36"/>
      <c r="I48" s="188"/>
      <c r="J48" s="63"/>
      <c r="K48" s="148" t="s">
        <v>58</v>
      </c>
      <c r="L48" s="67" t="s">
        <v>59</v>
      </c>
      <c r="M48" s="65"/>
      <c r="N48" s="65"/>
      <c r="O48" s="68">
        <v>43335</v>
      </c>
    </row>
    <row r="49" s="2" customFormat="1" ht="18" customHeight="1" spans="1:15">
      <c r="A49" s="48"/>
      <c r="B49" s="25">
        <f t="shared" si="5"/>
        <v>1800</v>
      </c>
      <c r="C49" s="49"/>
      <c r="D49" s="50" t="s">
        <v>39</v>
      </c>
      <c r="E49" s="46"/>
      <c r="F49" s="25">
        <f t="shared" si="6"/>
        <v>0</v>
      </c>
      <c r="G49" s="189">
        <v>1800</v>
      </c>
      <c r="H49" s="36"/>
      <c r="I49" s="188"/>
      <c r="J49" s="63"/>
      <c r="K49" s="148" t="s">
        <v>56</v>
      </c>
      <c r="L49" s="67" t="s">
        <v>60</v>
      </c>
      <c r="M49" s="65"/>
      <c r="N49" s="65"/>
      <c r="O49" s="68">
        <v>43335</v>
      </c>
    </row>
    <row r="50" s="2" customFormat="1" ht="18" customHeight="1" spans="1:15">
      <c r="A50" s="48"/>
      <c r="B50" s="25">
        <f t="shared" si="5"/>
        <v>26788.86</v>
      </c>
      <c r="C50" s="49"/>
      <c r="D50" s="50" t="s">
        <v>61</v>
      </c>
      <c r="E50" s="46"/>
      <c r="F50" s="25">
        <f t="shared" si="6"/>
        <v>0</v>
      </c>
      <c r="G50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50" s="36"/>
      <c r="I50" s="188"/>
      <c r="J50" s="63"/>
      <c r="K50" s="148" t="s">
        <v>62</v>
      </c>
      <c r="L50" s="67" t="s">
        <v>63</v>
      </c>
      <c r="M50" s="65"/>
      <c r="N50" s="65"/>
      <c r="O50" s="68">
        <v>43335</v>
      </c>
    </row>
    <row r="51" s="2" customFormat="1" ht="18" customHeight="1" spans="1:15">
      <c r="A51" s="48"/>
      <c r="B51" s="25">
        <f t="shared" si="5"/>
        <v>4285.5</v>
      </c>
      <c r="C51" s="49"/>
      <c r="D51" s="50" t="s">
        <v>61</v>
      </c>
      <c r="E51" s="46"/>
      <c r="F51" s="25">
        <f t="shared" si="6"/>
        <v>0</v>
      </c>
      <c r="G51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51" s="36"/>
      <c r="I51" s="188"/>
      <c r="J51" s="63"/>
      <c r="K51" s="148" t="s">
        <v>62</v>
      </c>
      <c r="L51" s="67" t="s">
        <v>63</v>
      </c>
      <c r="M51" s="65"/>
      <c r="N51" s="65"/>
      <c r="O51" s="68">
        <v>43335</v>
      </c>
    </row>
    <row r="52" s="2" customFormat="1" ht="18" customHeight="1" spans="1:15">
      <c r="A52" s="48"/>
      <c r="B52" s="25">
        <f t="shared" si="5"/>
        <v>9856.03</v>
      </c>
      <c r="C52" s="49"/>
      <c r="D52" s="50" t="s">
        <v>39</v>
      </c>
      <c r="E52" s="46"/>
      <c r="F52" s="25">
        <f t="shared" si="6"/>
        <v>0</v>
      </c>
      <c r="G52" s="189">
        <f>200.03+500+400+286+300+410+910+405+530+300+500+230+280+295+285+400+380+405+200+200+400+425+405+300+310+300+300</f>
        <v>9856.03</v>
      </c>
      <c r="H52" s="36"/>
      <c r="I52" s="188"/>
      <c r="J52" s="63"/>
      <c r="K52" s="148" t="s">
        <v>64</v>
      </c>
      <c r="L52" s="67" t="s">
        <v>43</v>
      </c>
      <c r="M52" s="65"/>
      <c r="N52" s="65"/>
      <c r="O52" s="68">
        <v>43335</v>
      </c>
    </row>
    <row r="53" s="2" customFormat="1" ht="18" customHeight="1" spans="1:15">
      <c r="A53" s="48">
        <v>43435</v>
      </c>
      <c r="B53" s="25">
        <f t="shared" si="5"/>
        <v>53286.79</v>
      </c>
      <c r="C53" s="49"/>
      <c r="D53" s="50" t="s">
        <v>36</v>
      </c>
      <c r="E53" s="46">
        <v>0.06</v>
      </c>
      <c r="F53" s="25">
        <f t="shared" si="6"/>
        <v>3197.21</v>
      </c>
      <c r="G53" s="189">
        <v>56484</v>
      </c>
      <c r="H53" s="36"/>
      <c r="I53" s="188"/>
      <c r="J53" s="63"/>
      <c r="K53" s="148" t="s">
        <v>65</v>
      </c>
      <c r="L53" s="67" t="s">
        <v>66</v>
      </c>
      <c r="M53" s="65"/>
      <c r="N53" s="65"/>
      <c r="O53" s="67"/>
    </row>
    <row r="54" s="2" customFormat="1" ht="18" customHeight="1" spans="1:15">
      <c r="A54" s="48">
        <v>43435</v>
      </c>
      <c r="B54" s="25">
        <f t="shared" si="5"/>
        <v>5825.24</v>
      </c>
      <c r="C54" s="49"/>
      <c r="D54" s="50" t="s">
        <v>36</v>
      </c>
      <c r="E54" s="46">
        <v>0.03</v>
      </c>
      <c r="F54" s="25">
        <f t="shared" si="6"/>
        <v>174.76</v>
      </c>
      <c r="G54" s="189">
        <v>6000</v>
      </c>
      <c r="H54" s="36">
        <v>43369</v>
      </c>
      <c r="I54" s="188">
        <v>6000</v>
      </c>
      <c r="J54" s="63" t="s">
        <v>20</v>
      </c>
      <c r="K54" s="148" t="s">
        <v>51</v>
      </c>
      <c r="L54" s="67" t="s">
        <v>52</v>
      </c>
      <c r="M54" s="65"/>
      <c r="N54" s="65"/>
      <c r="O54" s="67"/>
    </row>
    <row r="55" s="2" customFormat="1" ht="18" customHeight="1" spans="1:15">
      <c r="A55" s="48">
        <v>43313</v>
      </c>
      <c r="B55" s="25">
        <f t="shared" si="5"/>
        <v>4654.31</v>
      </c>
      <c r="C55" s="49"/>
      <c r="D55" s="50" t="s">
        <v>36</v>
      </c>
      <c r="E55" s="46">
        <v>0.16</v>
      </c>
      <c r="F55" s="25">
        <f t="shared" si="6"/>
        <v>744.69</v>
      </c>
      <c r="G55" s="189">
        <v>5399</v>
      </c>
      <c r="H55" s="36">
        <v>43369</v>
      </c>
      <c r="I55" s="188">
        <v>-6000</v>
      </c>
      <c r="J55" s="63" t="s">
        <v>21</v>
      </c>
      <c r="K55" s="148" t="s">
        <v>50</v>
      </c>
      <c r="L55" s="67"/>
      <c r="M55" s="65"/>
      <c r="N55" s="65"/>
      <c r="O55" s="67"/>
    </row>
    <row r="56" s="2" customFormat="1" ht="18" customHeight="1" spans="1:15">
      <c r="A56" s="48">
        <v>43435</v>
      </c>
      <c r="B56" s="25">
        <f t="shared" si="5"/>
        <v>933.96</v>
      </c>
      <c r="C56" s="49"/>
      <c r="D56" s="50" t="s">
        <v>36</v>
      </c>
      <c r="E56" s="46">
        <v>0.06</v>
      </c>
      <c r="F56" s="25">
        <f t="shared" si="6"/>
        <v>56.04</v>
      </c>
      <c r="G56" s="189">
        <f>90+45+855</f>
        <v>990</v>
      </c>
      <c r="H56" s="36"/>
      <c r="I56" s="188"/>
      <c r="J56" s="63"/>
      <c r="K56" s="148" t="s">
        <v>40</v>
      </c>
      <c r="L56" s="67" t="s">
        <v>41</v>
      </c>
      <c r="M56" s="65"/>
      <c r="N56" s="65"/>
      <c r="O56" s="67"/>
    </row>
    <row r="57" s="2" customFormat="1" ht="18" customHeight="1" spans="1:15">
      <c r="A57" s="48">
        <v>43435</v>
      </c>
      <c r="B57" s="25">
        <f t="shared" si="5"/>
        <v>43031</v>
      </c>
      <c r="C57" s="49"/>
      <c r="D57" s="50"/>
      <c r="E57" s="46"/>
      <c r="F57" s="25">
        <f t="shared" si="6"/>
        <v>0</v>
      </c>
      <c r="G57" s="189">
        <v>43031</v>
      </c>
      <c r="H57" s="36"/>
      <c r="I57" s="188"/>
      <c r="J57" s="63"/>
      <c r="K57" s="148" t="s">
        <v>67</v>
      </c>
      <c r="L57" s="67" t="s">
        <v>68</v>
      </c>
      <c r="M57" s="65"/>
      <c r="N57" s="65"/>
      <c r="O57" s="67"/>
    </row>
    <row r="58" s="2" customFormat="1" ht="18" customHeight="1" spans="1:15">
      <c r="A58" s="48">
        <v>43466</v>
      </c>
      <c r="B58" s="25">
        <f t="shared" si="5"/>
        <v>4854368.93</v>
      </c>
      <c r="C58" s="49"/>
      <c r="D58" s="50" t="s">
        <v>36</v>
      </c>
      <c r="E58" s="46">
        <v>0.03</v>
      </c>
      <c r="F58" s="25">
        <f t="shared" si="6"/>
        <v>145631.07</v>
      </c>
      <c r="G58" s="189">
        <f>5*1000000</f>
        <v>5000000</v>
      </c>
      <c r="H58" s="36">
        <v>43339</v>
      </c>
      <c r="I58" s="188">
        <v>2095952</v>
      </c>
      <c r="J58" s="63" t="s">
        <v>20</v>
      </c>
      <c r="K58" s="148" t="s">
        <v>53</v>
      </c>
      <c r="L58" s="67" t="s">
        <v>54</v>
      </c>
      <c r="M58" s="65"/>
      <c r="N58" s="65"/>
      <c r="O58" s="67"/>
    </row>
    <row r="59" s="2" customFormat="1" ht="18" customHeight="1" spans="1:15">
      <c r="A59" s="48"/>
      <c r="B59" s="25">
        <f t="shared" si="5"/>
        <v>0</v>
      </c>
      <c r="C59" s="49"/>
      <c r="D59" s="50"/>
      <c r="E59" s="46"/>
      <c r="F59" s="25">
        <f t="shared" si="6"/>
        <v>0</v>
      </c>
      <c r="G59" s="189"/>
      <c r="H59" s="36">
        <v>43495</v>
      </c>
      <c r="I59" s="188">
        <v>3464800</v>
      </c>
      <c r="J59" s="63" t="s">
        <v>20</v>
      </c>
      <c r="K59" s="148" t="s">
        <v>53</v>
      </c>
      <c r="L59" s="67" t="s">
        <v>54</v>
      </c>
      <c r="M59" s="65"/>
      <c r="N59" s="65"/>
      <c r="O59" s="67"/>
    </row>
    <row r="60" s="2" customFormat="1" ht="18" customHeight="1" spans="1:15">
      <c r="A60" s="48"/>
      <c r="B60" s="25">
        <f t="shared" si="5"/>
        <v>0</v>
      </c>
      <c r="C60" s="49"/>
      <c r="D60" s="50"/>
      <c r="E60" s="46"/>
      <c r="F60" s="25">
        <f t="shared" si="6"/>
        <v>0</v>
      </c>
      <c r="G60" s="189"/>
      <c r="H60" s="36">
        <v>43497</v>
      </c>
      <c r="I60" s="188">
        <v>866800</v>
      </c>
      <c r="J60" s="63" t="s">
        <v>20</v>
      </c>
      <c r="K60" s="148" t="s">
        <v>53</v>
      </c>
      <c r="L60" s="67" t="s">
        <v>54</v>
      </c>
      <c r="M60" s="65"/>
      <c r="N60" s="65"/>
      <c r="O60" s="67"/>
    </row>
    <row r="61" s="2" customFormat="1" ht="18" customHeight="1" spans="1:15">
      <c r="A61" s="48"/>
      <c r="B61" s="25">
        <f t="shared" si="5"/>
        <v>0</v>
      </c>
      <c r="C61" s="49"/>
      <c r="D61" s="50"/>
      <c r="E61" s="46"/>
      <c r="F61" s="25">
        <f t="shared" si="6"/>
        <v>0</v>
      </c>
      <c r="G61" s="189"/>
      <c r="H61" s="36">
        <v>43629</v>
      </c>
      <c r="I61" s="188">
        <v>84810</v>
      </c>
      <c r="J61" s="63" t="s">
        <v>20</v>
      </c>
      <c r="K61" s="148" t="s">
        <v>69</v>
      </c>
      <c r="L61" s="67" t="s">
        <v>70</v>
      </c>
      <c r="M61" s="65"/>
      <c r="N61" s="65"/>
      <c r="O61" s="67"/>
    </row>
    <row r="62" s="2" customFormat="1" ht="18" customHeight="1" spans="1:15">
      <c r="A62" s="48"/>
      <c r="B62" s="25">
        <f t="shared" si="5"/>
        <v>0</v>
      </c>
      <c r="C62" s="49"/>
      <c r="D62" s="50"/>
      <c r="E62" s="46"/>
      <c r="F62" s="25">
        <f t="shared" si="6"/>
        <v>0</v>
      </c>
      <c r="G62" s="189"/>
      <c r="H62" s="36">
        <v>43629</v>
      </c>
      <c r="I62" s="188">
        <v>-84810</v>
      </c>
      <c r="J62" s="63" t="s">
        <v>21</v>
      </c>
      <c r="K62" s="148" t="s">
        <v>50</v>
      </c>
      <c r="L62" s="67"/>
      <c r="M62" s="65"/>
      <c r="N62" s="65"/>
      <c r="O62" s="67"/>
    </row>
    <row r="63" s="2" customFormat="1" ht="18" customHeight="1" spans="1:15">
      <c r="A63" s="48"/>
      <c r="B63" s="25">
        <f t="shared" si="5"/>
        <v>0</v>
      </c>
      <c r="C63" s="49"/>
      <c r="D63" s="50"/>
      <c r="E63" s="46"/>
      <c r="F63" s="25">
        <f t="shared" si="6"/>
        <v>0</v>
      </c>
      <c r="G63" s="189"/>
      <c r="H63" s="36">
        <v>43657</v>
      </c>
      <c r="I63" s="188">
        <v>66753</v>
      </c>
      <c r="J63" s="63" t="s">
        <v>20</v>
      </c>
      <c r="K63" s="148" t="s">
        <v>69</v>
      </c>
      <c r="L63" s="67" t="s">
        <v>70</v>
      </c>
      <c r="M63" s="65"/>
      <c r="N63" s="65"/>
      <c r="O63" s="67"/>
    </row>
    <row r="64" s="2" customFormat="1" ht="18" customHeight="1" spans="1:15">
      <c r="A64" s="48"/>
      <c r="B64" s="25">
        <f t="shared" si="5"/>
        <v>0</v>
      </c>
      <c r="C64" s="49"/>
      <c r="D64" s="50"/>
      <c r="E64" s="46"/>
      <c r="F64" s="25">
        <f t="shared" si="6"/>
        <v>0</v>
      </c>
      <c r="G64" s="189"/>
      <c r="H64" s="36">
        <v>43657</v>
      </c>
      <c r="I64" s="188">
        <v>-66753</v>
      </c>
      <c r="J64" s="63" t="s">
        <v>21</v>
      </c>
      <c r="K64" s="148" t="s">
        <v>50</v>
      </c>
      <c r="L64" s="67"/>
      <c r="M64" s="65"/>
      <c r="N64" s="65"/>
      <c r="O64" s="67"/>
    </row>
    <row r="65" s="2" customFormat="1" ht="18" customHeight="1" spans="1:15">
      <c r="A65" s="48"/>
      <c r="B65" s="25">
        <f t="shared" si="5"/>
        <v>0</v>
      </c>
      <c r="C65" s="49"/>
      <c r="D65" s="50"/>
      <c r="E65" s="46"/>
      <c r="F65" s="25">
        <f t="shared" si="6"/>
        <v>0</v>
      </c>
      <c r="G65" s="189"/>
      <c r="H65" s="36">
        <v>43676</v>
      </c>
      <c r="I65" s="188">
        <v>67731.14</v>
      </c>
      <c r="J65" s="63" t="s">
        <v>20</v>
      </c>
      <c r="K65" s="148" t="s">
        <v>69</v>
      </c>
      <c r="L65" s="67" t="s">
        <v>70</v>
      </c>
      <c r="M65" s="65"/>
      <c r="N65" s="65"/>
      <c r="O65" s="67"/>
    </row>
    <row r="66" s="2" customFormat="1" ht="18" customHeight="1" spans="1:15">
      <c r="A66" s="48"/>
      <c r="B66" s="25">
        <f t="shared" si="5"/>
        <v>0</v>
      </c>
      <c r="C66" s="49"/>
      <c r="D66" s="50"/>
      <c r="E66" s="46"/>
      <c r="F66" s="25">
        <f t="shared" si="6"/>
        <v>0</v>
      </c>
      <c r="G66" s="189"/>
      <c r="H66" s="36">
        <v>43671</v>
      </c>
      <c r="I66" s="188">
        <v>-67731.14</v>
      </c>
      <c r="J66" s="63" t="s">
        <v>20</v>
      </c>
      <c r="K66" s="148" t="s">
        <v>71</v>
      </c>
      <c r="L66" s="67" t="s">
        <v>72</v>
      </c>
      <c r="M66" s="65"/>
      <c r="N66" s="65"/>
      <c r="O66" s="67"/>
    </row>
    <row r="67" s="2" customFormat="1" ht="18" customHeight="1" spans="1:15">
      <c r="A67" s="48">
        <v>43678</v>
      </c>
      <c r="B67" s="25">
        <f t="shared" si="5"/>
        <v>1000020</v>
      </c>
      <c r="C67" s="49"/>
      <c r="D67" s="50" t="s">
        <v>73</v>
      </c>
      <c r="E67" s="46"/>
      <c r="F67" s="25">
        <f t="shared" si="6"/>
        <v>0</v>
      </c>
      <c r="G67" s="189">
        <v>1000020</v>
      </c>
      <c r="H67" s="194">
        <v>43676</v>
      </c>
      <c r="I67" s="196">
        <v>500000</v>
      </c>
      <c r="J67" s="201" t="s">
        <v>21</v>
      </c>
      <c r="K67" s="202" t="s">
        <v>74</v>
      </c>
      <c r="L67" s="203" t="s">
        <v>75</v>
      </c>
      <c r="M67" s="201" t="s">
        <v>76</v>
      </c>
      <c r="N67" s="65"/>
      <c r="O67" s="67"/>
    </row>
    <row r="68" s="2" customFormat="1" ht="18" customHeight="1" spans="1:15">
      <c r="A68" s="48"/>
      <c r="B68" s="25">
        <f t="shared" si="5"/>
        <v>0</v>
      </c>
      <c r="C68" s="49"/>
      <c r="D68" s="50"/>
      <c r="E68" s="46"/>
      <c r="F68" s="25">
        <f t="shared" si="6"/>
        <v>0</v>
      </c>
      <c r="G68" s="189"/>
      <c r="H68" s="194">
        <v>43682</v>
      </c>
      <c r="I68" s="196">
        <v>500000</v>
      </c>
      <c r="J68" s="201" t="s">
        <v>21</v>
      </c>
      <c r="K68" s="202" t="s">
        <v>74</v>
      </c>
      <c r="L68" s="204" t="s">
        <v>77</v>
      </c>
      <c r="M68" s="201" t="s">
        <v>76</v>
      </c>
      <c r="N68" s="65"/>
      <c r="O68" s="67"/>
    </row>
    <row r="69" s="2" customFormat="1" ht="18" customHeight="1" spans="1:15">
      <c r="A69" s="48">
        <v>43678</v>
      </c>
      <c r="B69" s="25">
        <f t="shared" si="5"/>
        <v>1000080</v>
      </c>
      <c r="C69" s="49"/>
      <c r="D69" s="50" t="s">
        <v>73</v>
      </c>
      <c r="E69" s="46"/>
      <c r="F69" s="25">
        <f t="shared" si="6"/>
        <v>0</v>
      </c>
      <c r="G69" s="189">
        <v>1000080</v>
      </c>
      <c r="H69" s="194">
        <v>43691</v>
      </c>
      <c r="I69" s="196">
        <v>1000000</v>
      </c>
      <c r="J69" s="201" t="s">
        <v>21</v>
      </c>
      <c r="K69" s="205" t="s">
        <v>78</v>
      </c>
      <c r="L69" s="206" t="s">
        <v>79</v>
      </c>
      <c r="M69" s="201" t="s">
        <v>76</v>
      </c>
      <c r="N69" s="65"/>
      <c r="O69" s="67"/>
    </row>
    <row r="70" s="2" customFormat="1" ht="18" customHeight="1" spans="1:15">
      <c r="A70" s="48"/>
      <c r="B70" s="25">
        <f t="shared" si="5"/>
        <v>0</v>
      </c>
      <c r="C70" s="49"/>
      <c r="D70" s="50"/>
      <c r="E70" s="46"/>
      <c r="F70" s="25">
        <f t="shared" si="6"/>
        <v>0</v>
      </c>
      <c r="G70" s="189"/>
      <c r="H70" s="36">
        <v>43692</v>
      </c>
      <c r="I70" s="188">
        <v>-100000</v>
      </c>
      <c r="J70" s="63" t="s">
        <v>21</v>
      </c>
      <c r="K70" s="207" t="s">
        <v>50</v>
      </c>
      <c r="L70" s="208"/>
      <c r="M70" s="56"/>
      <c r="N70" s="65"/>
      <c r="O70" s="67"/>
    </row>
    <row r="71" s="2" customFormat="1" ht="18" customHeight="1" spans="1:15">
      <c r="A71" s="48"/>
      <c r="B71" s="25">
        <f t="shared" si="5"/>
        <v>0</v>
      </c>
      <c r="C71" s="49"/>
      <c r="D71" s="50"/>
      <c r="E71" s="46"/>
      <c r="F71" s="25">
        <f t="shared" si="6"/>
        <v>0</v>
      </c>
      <c r="G71" s="189"/>
      <c r="H71" s="36">
        <v>43692</v>
      </c>
      <c r="I71" s="188">
        <v>100000</v>
      </c>
      <c r="J71" s="63" t="s">
        <v>20</v>
      </c>
      <c r="K71" s="207" t="s">
        <v>80</v>
      </c>
      <c r="L71" s="208" t="s">
        <v>81</v>
      </c>
      <c r="M71" s="56"/>
      <c r="N71" s="65"/>
      <c r="O71" s="67"/>
    </row>
    <row r="72" s="2" customFormat="1" ht="18" customHeight="1" spans="1:15">
      <c r="A72" s="48"/>
      <c r="B72" s="25">
        <f t="shared" si="5"/>
        <v>0</v>
      </c>
      <c r="C72" s="49"/>
      <c r="D72" s="50"/>
      <c r="E72" s="46"/>
      <c r="F72" s="25">
        <f t="shared" si="6"/>
        <v>0</v>
      </c>
      <c r="G72" s="189"/>
      <c r="H72" s="36">
        <v>43703</v>
      </c>
      <c r="I72" s="188">
        <v>-100000</v>
      </c>
      <c r="J72" s="63" t="s">
        <v>21</v>
      </c>
      <c r="K72" s="207" t="s">
        <v>50</v>
      </c>
      <c r="L72" s="208"/>
      <c r="M72" s="56"/>
      <c r="N72" s="65"/>
      <c r="O72" s="67"/>
    </row>
    <row r="73" s="2" customFormat="1" ht="18" customHeight="1" spans="1:15">
      <c r="A73" s="48"/>
      <c r="B73" s="25">
        <f t="shared" si="5"/>
        <v>0</v>
      </c>
      <c r="C73" s="49"/>
      <c r="D73" s="50"/>
      <c r="E73" s="46"/>
      <c r="F73" s="25">
        <f t="shared" si="6"/>
        <v>0</v>
      </c>
      <c r="G73" s="189"/>
      <c r="H73" s="36">
        <v>43704</v>
      </c>
      <c r="I73" s="188">
        <v>100000</v>
      </c>
      <c r="J73" s="63" t="s">
        <v>20</v>
      </c>
      <c r="K73" s="207" t="s">
        <v>80</v>
      </c>
      <c r="L73" s="67"/>
      <c r="M73" s="65"/>
      <c r="N73" s="65"/>
      <c r="O73" s="67"/>
    </row>
    <row r="74" s="2" customFormat="1" ht="18" customHeight="1" spans="1:15">
      <c r="A74" s="48"/>
      <c r="B74" s="25">
        <f t="shared" si="5"/>
        <v>0</v>
      </c>
      <c r="C74" s="49"/>
      <c r="D74" s="50"/>
      <c r="E74" s="46"/>
      <c r="F74" s="25">
        <f t="shared" si="6"/>
        <v>0</v>
      </c>
      <c r="G74" s="189"/>
      <c r="H74" s="36">
        <v>43717</v>
      </c>
      <c r="I74" s="188">
        <v>-100000</v>
      </c>
      <c r="J74" s="63" t="s">
        <v>21</v>
      </c>
      <c r="K74" s="207" t="s">
        <v>50</v>
      </c>
      <c r="L74" s="67"/>
      <c r="M74" s="65"/>
      <c r="N74" s="65"/>
      <c r="O74" s="67"/>
    </row>
    <row r="75" s="2" customFormat="1" ht="18" customHeight="1" spans="1:15">
      <c r="A75" s="48"/>
      <c r="B75" s="25">
        <f t="shared" si="5"/>
        <v>0</v>
      </c>
      <c r="C75" s="49"/>
      <c r="D75" s="50"/>
      <c r="E75" s="46"/>
      <c r="F75" s="25">
        <f t="shared" si="6"/>
        <v>0</v>
      </c>
      <c r="G75" s="189"/>
      <c r="H75" s="36">
        <v>43718</v>
      </c>
      <c r="I75" s="188">
        <v>100000</v>
      </c>
      <c r="J75" s="63" t="s">
        <v>20</v>
      </c>
      <c r="K75" s="207" t="s">
        <v>80</v>
      </c>
      <c r="L75" s="67"/>
      <c r="M75" s="65"/>
      <c r="N75" s="65"/>
      <c r="O75" s="67"/>
    </row>
    <row r="76" s="2" customFormat="1" ht="18" customHeight="1" spans="1:15">
      <c r="A76" s="48"/>
      <c r="B76" s="25">
        <f t="shared" si="5"/>
        <v>0</v>
      </c>
      <c r="C76" s="49"/>
      <c r="D76" s="50"/>
      <c r="E76" s="46"/>
      <c r="F76" s="25">
        <f t="shared" si="6"/>
        <v>0</v>
      </c>
      <c r="G76" s="189"/>
      <c r="H76" s="194">
        <v>43734</v>
      </c>
      <c r="I76" s="196">
        <v>300000</v>
      </c>
      <c r="J76" s="201" t="s">
        <v>20</v>
      </c>
      <c r="K76" s="202" t="s">
        <v>80</v>
      </c>
      <c r="L76" s="209"/>
      <c r="M76" s="201" t="s">
        <v>76</v>
      </c>
      <c r="N76" s="65"/>
      <c r="O76" s="67"/>
    </row>
    <row r="77" s="2" customFormat="1" ht="18" customHeight="1" spans="1:15">
      <c r="A77" s="48"/>
      <c r="B77" s="25">
        <f t="shared" si="5"/>
        <v>0</v>
      </c>
      <c r="C77" s="49"/>
      <c r="D77" s="50"/>
      <c r="E77" s="46"/>
      <c r="F77" s="25">
        <f t="shared" si="6"/>
        <v>0</v>
      </c>
      <c r="G77" s="189"/>
      <c r="H77" s="195">
        <v>43749</v>
      </c>
      <c r="I77" s="196">
        <v>500000</v>
      </c>
      <c r="J77" s="201" t="s">
        <v>20</v>
      </c>
      <c r="K77" s="202" t="s">
        <v>80</v>
      </c>
      <c r="L77" s="209"/>
      <c r="M77" s="201" t="s">
        <v>76</v>
      </c>
      <c r="N77" s="65"/>
      <c r="O77" s="67"/>
    </row>
    <row r="78" s="2" customFormat="1" ht="18" customHeight="1" spans="1:15">
      <c r="A78" s="48">
        <v>43709</v>
      </c>
      <c r="B78" s="25">
        <f t="shared" si="5"/>
        <v>12426.15</v>
      </c>
      <c r="C78" s="49"/>
      <c r="D78" s="50" t="s">
        <v>39</v>
      </c>
      <c r="E78" s="46"/>
      <c r="F78" s="25">
        <f t="shared" si="6"/>
        <v>0</v>
      </c>
      <c r="G78" s="189">
        <v>12426.15</v>
      </c>
      <c r="H78" s="36"/>
      <c r="I78" s="210"/>
      <c r="J78" s="56"/>
      <c r="K78" s="207" t="s">
        <v>68</v>
      </c>
      <c r="L78" s="82"/>
      <c r="M78" s="56"/>
      <c r="N78" s="65"/>
      <c r="O78" s="67"/>
    </row>
    <row r="79" s="2" customFormat="1" ht="18" customHeight="1" spans="1:15">
      <c r="A79" s="48">
        <v>43709</v>
      </c>
      <c r="B79" s="25">
        <f t="shared" si="5"/>
        <v>10316.04</v>
      </c>
      <c r="C79" s="49"/>
      <c r="D79" s="50" t="s">
        <v>36</v>
      </c>
      <c r="E79" s="70">
        <v>0.06</v>
      </c>
      <c r="F79" s="25">
        <f t="shared" si="6"/>
        <v>618.96</v>
      </c>
      <c r="G79" s="189">
        <v>10935</v>
      </c>
      <c r="H79" s="36"/>
      <c r="I79" s="210"/>
      <c r="J79" s="56"/>
      <c r="K79" s="207" t="s">
        <v>82</v>
      </c>
      <c r="L79" s="82" t="s">
        <v>41</v>
      </c>
      <c r="M79" s="56"/>
      <c r="N79" s="65"/>
      <c r="O79" s="67"/>
    </row>
    <row r="80" s="2" customFormat="1" ht="18" customHeight="1" spans="1:15">
      <c r="A80" s="48">
        <v>43709</v>
      </c>
      <c r="B80" s="25">
        <f t="shared" si="5"/>
        <v>10424.53</v>
      </c>
      <c r="C80" s="49"/>
      <c r="D80" s="50" t="s">
        <v>36</v>
      </c>
      <c r="E80" s="70">
        <v>0.06</v>
      </c>
      <c r="F80" s="25">
        <f t="shared" si="6"/>
        <v>625.47</v>
      </c>
      <c r="G80" s="189">
        <v>11050</v>
      </c>
      <c r="H80" s="36"/>
      <c r="I80" s="210"/>
      <c r="J80" s="56"/>
      <c r="K80" s="207" t="s">
        <v>82</v>
      </c>
      <c r="L80" s="82" t="s">
        <v>52</v>
      </c>
      <c r="M80" s="56"/>
      <c r="N80" s="65"/>
      <c r="O80" s="67"/>
    </row>
    <row r="81" s="2" customFormat="1" ht="18" customHeight="1" spans="1:15">
      <c r="A81" s="48">
        <v>43709</v>
      </c>
      <c r="B81" s="25">
        <f t="shared" si="5"/>
        <v>80009.43</v>
      </c>
      <c r="C81" s="49"/>
      <c r="D81" s="50" t="s">
        <v>36</v>
      </c>
      <c r="E81" s="70">
        <v>0.06</v>
      </c>
      <c r="F81" s="25">
        <f t="shared" si="6"/>
        <v>4800.57</v>
      </c>
      <c r="G81" s="189">
        <v>84810</v>
      </c>
      <c r="H81" s="36"/>
      <c r="I81" s="210"/>
      <c r="J81" s="56"/>
      <c r="K81" s="207" t="s">
        <v>69</v>
      </c>
      <c r="L81" s="82" t="s">
        <v>83</v>
      </c>
      <c r="M81" s="56"/>
      <c r="N81" s="65"/>
      <c r="O81" s="67"/>
    </row>
    <row r="82" s="2" customFormat="1" ht="18" customHeight="1" spans="1:15">
      <c r="A82" s="48">
        <v>43709</v>
      </c>
      <c r="B82" s="25">
        <f t="shared" si="5"/>
        <v>63897.3</v>
      </c>
      <c r="C82" s="49"/>
      <c r="D82" s="50" t="s">
        <v>36</v>
      </c>
      <c r="E82" s="70">
        <v>0.06</v>
      </c>
      <c r="F82" s="25">
        <f t="shared" si="6"/>
        <v>3833.84</v>
      </c>
      <c r="G82" s="189">
        <v>67731.14</v>
      </c>
      <c r="H82" s="36"/>
      <c r="I82" s="210"/>
      <c r="J82" s="56"/>
      <c r="K82" s="207" t="s">
        <v>69</v>
      </c>
      <c r="L82" s="82" t="s">
        <v>83</v>
      </c>
      <c r="M82" s="56"/>
      <c r="N82" s="65"/>
      <c r="O82" s="67"/>
    </row>
    <row r="83" s="2" customFormat="1" ht="18" customHeight="1" spans="1:15">
      <c r="A83" s="48">
        <v>43739</v>
      </c>
      <c r="B83" s="25">
        <f t="shared" si="5"/>
        <v>443071.38</v>
      </c>
      <c r="C83" s="49"/>
      <c r="D83" s="50" t="s">
        <v>36</v>
      </c>
      <c r="E83" s="70">
        <v>0.13</v>
      </c>
      <c r="F83" s="25">
        <f t="shared" si="6"/>
        <v>57599.28</v>
      </c>
      <c r="G83" s="189">
        <v>500670.66</v>
      </c>
      <c r="H83" s="36">
        <v>43769</v>
      </c>
      <c r="I83" s="188">
        <v>200000</v>
      </c>
      <c r="J83" s="63" t="s">
        <v>20</v>
      </c>
      <c r="K83" s="207" t="s">
        <v>80</v>
      </c>
      <c r="L83" s="82" t="s">
        <v>84</v>
      </c>
      <c r="M83" s="56"/>
      <c r="N83" s="65"/>
      <c r="O83" s="67"/>
    </row>
    <row r="84" s="2" customFormat="1" ht="18" customHeight="1" spans="1:15">
      <c r="A84" s="48">
        <v>43739</v>
      </c>
      <c r="B84" s="25">
        <f t="shared" si="5"/>
        <v>257787.35</v>
      </c>
      <c r="C84" s="49"/>
      <c r="D84" s="50" t="s">
        <v>36</v>
      </c>
      <c r="E84" s="70">
        <v>0.13</v>
      </c>
      <c r="F84" s="196">
        <f t="shared" si="6"/>
        <v>33512.35</v>
      </c>
      <c r="G84" s="189">
        <v>291299.7</v>
      </c>
      <c r="H84" s="36"/>
      <c r="I84" s="210"/>
      <c r="J84" s="63" t="s">
        <v>20</v>
      </c>
      <c r="K84" s="207" t="s">
        <v>80</v>
      </c>
      <c r="L84" s="82" t="s">
        <v>85</v>
      </c>
      <c r="M84" s="56"/>
      <c r="N84" s="65"/>
      <c r="O84" s="67"/>
    </row>
    <row r="85" s="2" customFormat="1" ht="18" customHeight="1" spans="1:15">
      <c r="A85" s="48"/>
      <c r="B85" s="25">
        <f t="shared" si="5"/>
        <v>0</v>
      </c>
      <c r="C85" s="49"/>
      <c r="D85" s="50"/>
      <c r="E85" s="70"/>
      <c r="F85" s="25">
        <f t="shared" si="6"/>
        <v>0</v>
      </c>
      <c r="G85" s="189"/>
      <c r="H85" s="36">
        <v>43769</v>
      </c>
      <c r="I85" s="188">
        <v>600000</v>
      </c>
      <c r="J85" s="63" t="s">
        <v>20</v>
      </c>
      <c r="K85" s="148" t="s">
        <v>53</v>
      </c>
      <c r="L85" s="67" t="s">
        <v>54</v>
      </c>
      <c r="M85" s="56"/>
      <c r="N85" s="65"/>
      <c r="O85" s="67"/>
    </row>
    <row r="86" s="2" customFormat="1" ht="18" customHeight="1" spans="1:15">
      <c r="A86" s="48">
        <v>43770</v>
      </c>
      <c r="B86" s="25">
        <f t="shared" si="5"/>
        <v>500010</v>
      </c>
      <c r="C86" s="49"/>
      <c r="D86" s="50" t="s">
        <v>73</v>
      </c>
      <c r="E86" s="70"/>
      <c r="F86" s="25">
        <f t="shared" si="6"/>
        <v>0</v>
      </c>
      <c r="G86" s="189">
        <v>500010</v>
      </c>
      <c r="H86" s="36">
        <v>43773</v>
      </c>
      <c r="I86" s="188">
        <v>500010</v>
      </c>
      <c r="J86" s="63" t="s">
        <v>21</v>
      </c>
      <c r="K86" s="207" t="s">
        <v>74</v>
      </c>
      <c r="L86" s="82" t="s">
        <v>86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5"/>
        <v>300000</v>
      </c>
      <c r="C87" s="49"/>
      <c r="D87" s="50" t="s">
        <v>73</v>
      </c>
      <c r="E87" s="70"/>
      <c r="F87" s="25">
        <f t="shared" si="6"/>
        <v>0</v>
      </c>
      <c r="G87" s="189">
        <v>300000</v>
      </c>
      <c r="H87" s="36">
        <v>43773</v>
      </c>
      <c r="I87" s="188">
        <v>300000</v>
      </c>
      <c r="J87" s="63" t="s">
        <v>21</v>
      </c>
      <c r="K87" s="207" t="s">
        <v>87</v>
      </c>
      <c r="L87" s="82" t="s">
        <v>88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si="5"/>
        <v>300000</v>
      </c>
      <c r="C88" s="49"/>
      <c r="D88" s="50" t="s">
        <v>73</v>
      </c>
      <c r="E88" s="70"/>
      <c r="F88" s="25">
        <f t="shared" si="6"/>
        <v>0</v>
      </c>
      <c r="G88" s="189">
        <v>300000</v>
      </c>
      <c r="H88" s="36">
        <v>43773</v>
      </c>
      <c r="I88" s="188">
        <v>300000</v>
      </c>
      <c r="J88" s="63" t="s">
        <v>21</v>
      </c>
      <c r="K88" s="207" t="s">
        <v>89</v>
      </c>
      <c r="L88" s="82" t="s">
        <v>88</v>
      </c>
      <c r="M88" s="56"/>
      <c r="N88" s="65"/>
      <c r="O88" s="67"/>
    </row>
    <row r="89" s="2" customFormat="1" ht="18" customHeight="1" spans="1:15">
      <c r="A89" s="48">
        <v>43770</v>
      </c>
      <c r="B89" s="25">
        <f t="shared" si="5"/>
        <v>300060</v>
      </c>
      <c r="C89" s="49"/>
      <c r="D89" s="50" t="s">
        <v>73</v>
      </c>
      <c r="E89" s="70"/>
      <c r="F89" s="25">
        <f t="shared" si="6"/>
        <v>0</v>
      </c>
      <c r="G89" s="189">
        <v>300060</v>
      </c>
      <c r="H89" s="36">
        <v>43773</v>
      </c>
      <c r="I89" s="188">
        <v>300060</v>
      </c>
      <c r="J89" s="63" t="s">
        <v>21</v>
      </c>
      <c r="K89" s="207" t="s">
        <v>90</v>
      </c>
      <c r="L89" s="82" t="s">
        <v>91</v>
      </c>
      <c r="M89" s="56"/>
      <c r="N89" s="65"/>
      <c r="O89" s="67"/>
    </row>
    <row r="90" s="2" customFormat="1" ht="18" customHeight="1" spans="1:15">
      <c r="A90" s="48">
        <v>43770</v>
      </c>
      <c r="B90" s="25">
        <f t="shared" si="5"/>
        <v>0</v>
      </c>
      <c r="C90" s="49"/>
      <c r="D90" s="50"/>
      <c r="E90" s="70"/>
      <c r="F90" s="25">
        <f t="shared" si="6"/>
        <v>0</v>
      </c>
      <c r="G90" s="189"/>
      <c r="H90" s="36">
        <v>43773</v>
      </c>
      <c r="I90" s="188">
        <v>500000</v>
      </c>
      <c r="J90" s="63" t="s">
        <v>20</v>
      </c>
      <c r="K90" s="207" t="s">
        <v>92</v>
      </c>
      <c r="L90" s="82" t="s">
        <v>93</v>
      </c>
      <c r="M90" s="56"/>
      <c r="N90" s="65"/>
      <c r="O90" s="67"/>
    </row>
    <row r="91" s="2" customFormat="1" ht="18" customHeight="1" spans="1:15">
      <c r="A91" s="48"/>
      <c r="B91" s="25">
        <f t="shared" si="5"/>
        <v>0</v>
      </c>
      <c r="C91" s="49"/>
      <c r="D91" s="50"/>
      <c r="E91" s="70"/>
      <c r="F91" s="25">
        <f t="shared" si="6"/>
        <v>0</v>
      </c>
      <c r="G91" s="189"/>
      <c r="H91" s="36">
        <v>43775</v>
      </c>
      <c r="I91" s="188">
        <v>800000</v>
      </c>
      <c r="J91" s="63" t="s">
        <v>20</v>
      </c>
      <c r="K91" s="207" t="s">
        <v>94</v>
      </c>
      <c r="L91" s="82" t="s">
        <v>95</v>
      </c>
      <c r="M91" s="56"/>
      <c r="N91" s="65"/>
      <c r="O91" s="67"/>
    </row>
    <row r="92" s="2" customFormat="1" ht="18" customHeight="1" spans="1:15">
      <c r="A92" s="48">
        <v>43770</v>
      </c>
      <c r="B92" s="25">
        <f t="shared" si="5"/>
        <v>1165048.54</v>
      </c>
      <c r="C92" s="49"/>
      <c r="D92" s="50" t="s">
        <v>36</v>
      </c>
      <c r="E92" s="70">
        <v>0.03</v>
      </c>
      <c r="F92" s="197">
        <f t="shared" si="6"/>
        <v>34951.46</v>
      </c>
      <c r="G92" s="189">
        <f>96000*12+48000</f>
        <v>1200000</v>
      </c>
      <c r="H92" s="36">
        <v>43776</v>
      </c>
      <c r="I92" s="188">
        <v>400000</v>
      </c>
      <c r="J92" s="63" t="s">
        <v>20</v>
      </c>
      <c r="K92" s="207" t="s">
        <v>94</v>
      </c>
      <c r="L92" s="82" t="s">
        <v>95</v>
      </c>
      <c r="M92" s="56"/>
      <c r="N92" s="65"/>
      <c r="O92" s="67"/>
    </row>
    <row r="93" s="2" customFormat="1" ht="18" customHeight="1" spans="1:15">
      <c r="A93" s="48">
        <v>43770</v>
      </c>
      <c r="B93" s="25">
        <f t="shared" ref="B93:B95" si="7">ROUND(G93/(1+E93),2)</f>
        <v>326256.05</v>
      </c>
      <c r="C93" s="49"/>
      <c r="D93" s="50" t="s">
        <v>36</v>
      </c>
      <c r="E93" s="70">
        <v>0.13</v>
      </c>
      <c r="F93" s="197">
        <f t="shared" ref="F93:F95" si="8">ROUND(G93/(1+E93)*E93,2)</f>
        <v>42413.29</v>
      </c>
      <c r="G93" s="189">
        <v>368669.34</v>
      </c>
      <c r="H93" s="36"/>
      <c r="I93" s="210"/>
      <c r="J93" s="56"/>
      <c r="K93" s="207" t="s">
        <v>80</v>
      </c>
      <c r="L93" s="82" t="s">
        <v>96</v>
      </c>
      <c r="M93" s="56"/>
      <c r="N93" s="65"/>
      <c r="O93" s="67"/>
    </row>
    <row r="94" s="2" customFormat="1" ht="18" customHeight="1" spans="1:15">
      <c r="A94" s="48">
        <v>43770</v>
      </c>
      <c r="B94" s="25">
        <f t="shared" si="7"/>
        <v>199980</v>
      </c>
      <c r="C94" s="49"/>
      <c r="D94" s="50" t="s">
        <v>73</v>
      </c>
      <c r="E94" s="70"/>
      <c r="F94" s="25">
        <f t="shared" si="8"/>
        <v>0</v>
      </c>
      <c r="G94" s="189">
        <v>199980</v>
      </c>
      <c r="H94" s="195">
        <v>43784</v>
      </c>
      <c r="I94" s="196">
        <v>199980</v>
      </c>
      <c r="J94" s="201" t="s">
        <v>21</v>
      </c>
      <c r="K94" s="202" t="s">
        <v>97</v>
      </c>
      <c r="L94" s="204" t="s">
        <v>98</v>
      </c>
      <c r="M94" s="56" t="s">
        <v>76</v>
      </c>
      <c r="N94" s="65"/>
      <c r="O94" s="67"/>
    </row>
    <row r="95" s="3" customFormat="1" ht="18" customHeight="1" spans="1:15">
      <c r="A95" s="74">
        <v>43770</v>
      </c>
      <c r="B95" s="25">
        <f t="shared" si="7"/>
        <v>442477.88</v>
      </c>
      <c r="C95" s="75"/>
      <c r="D95" s="76" t="s">
        <v>36</v>
      </c>
      <c r="E95" s="77">
        <v>0.13</v>
      </c>
      <c r="F95" s="197">
        <f t="shared" si="8"/>
        <v>57522.12</v>
      </c>
      <c r="G95" s="198">
        <v>500000</v>
      </c>
      <c r="H95" s="36"/>
      <c r="I95" s="188"/>
      <c r="J95" s="63"/>
      <c r="K95" s="207" t="s">
        <v>92</v>
      </c>
      <c r="L95" s="82" t="s">
        <v>99</v>
      </c>
      <c r="M95" s="63" t="s">
        <v>100</v>
      </c>
      <c r="N95" s="63"/>
      <c r="O95" s="82"/>
    </row>
    <row r="96" s="3" customFormat="1" ht="18" customHeight="1" spans="1:15">
      <c r="A96" s="74"/>
      <c r="B96" s="25"/>
      <c r="C96" s="75"/>
      <c r="D96" s="76"/>
      <c r="E96" s="77"/>
      <c r="F96" s="25"/>
      <c r="G96" s="198"/>
      <c r="H96" s="36">
        <v>43819</v>
      </c>
      <c r="I96" s="188">
        <v>92448</v>
      </c>
      <c r="J96" s="63" t="s">
        <v>20</v>
      </c>
      <c r="K96" s="148" t="s">
        <v>53</v>
      </c>
      <c r="L96" s="67" t="s">
        <v>54</v>
      </c>
      <c r="M96" s="63"/>
      <c r="N96" s="63"/>
      <c r="O96" s="82"/>
    </row>
    <row r="97" s="3" customFormat="1" ht="18" customHeight="1" spans="1:15">
      <c r="A97" s="74"/>
      <c r="B97" s="25">
        <f t="shared" ref="B97:B105" si="9">ROUND(G97/(1+E97),2)</f>
        <v>0</v>
      </c>
      <c r="C97" s="75"/>
      <c r="D97" s="76"/>
      <c r="E97" s="77"/>
      <c r="F97" s="25">
        <f t="shared" ref="F97:F105" si="10">ROUND(G97/(1+E97)*E97,2)</f>
        <v>0</v>
      </c>
      <c r="G97" s="198"/>
      <c r="H97" s="36">
        <v>43829</v>
      </c>
      <c r="I97" s="188">
        <v>800000</v>
      </c>
      <c r="J97" s="63" t="s">
        <v>20</v>
      </c>
      <c r="K97" s="207" t="s">
        <v>80</v>
      </c>
      <c r="L97" s="82" t="s">
        <v>81</v>
      </c>
      <c r="M97" s="63"/>
      <c r="N97" s="63"/>
      <c r="O97" s="82"/>
    </row>
    <row r="98" s="3" customFormat="1" ht="18" customHeight="1" spans="1:15">
      <c r="A98" s="74">
        <v>43800</v>
      </c>
      <c r="B98" s="25">
        <f t="shared" si="9"/>
        <v>650987.86</v>
      </c>
      <c r="C98" s="75"/>
      <c r="D98" s="76" t="s">
        <v>36</v>
      </c>
      <c r="E98" s="77">
        <v>0.13</v>
      </c>
      <c r="F98" s="25">
        <f t="shared" si="10"/>
        <v>84628.42</v>
      </c>
      <c r="G98" s="198">
        <v>735616.28</v>
      </c>
      <c r="H98" s="36"/>
      <c r="I98" s="188"/>
      <c r="J98" s="63"/>
      <c r="K98" s="207" t="s">
        <v>80</v>
      </c>
      <c r="L98" s="82" t="s">
        <v>101</v>
      </c>
      <c r="M98" s="63" t="s">
        <v>100</v>
      </c>
      <c r="N98" s="63"/>
      <c r="O98" s="82"/>
    </row>
    <row r="99" s="3" customFormat="1" ht="18" customHeight="1" spans="1:15">
      <c r="A99" s="74">
        <v>43800</v>
      </c>
      <c r="B99" s="25">
        <f t="shared" si="9"/>
        <v>5825242.72</v>
      </c>
      <c r="C99" s="75"/>
      <c r="D99" s="50" t="s">
        <v>36</v>
      </c>
      <c r="E99" s="70">
        <v>0.03</v>
      </c>
      <c r="F99" s="25">
        <f t="shared" si="10"/>
        <v>174757.28</v>
      </c>
      <c r="G99" s="198">
        <f>1000000*6</f>
        <v>6000000</v>
      </c>
      <c r="H99" s="36">
        <v>43843</v>
      </c>
      <c r="I99" s="188">
        <v>1000000</v>
      </c>
      <c r="J99" s="63" t="s">
        <v>20</v>
      </c>
      <c r="K99" s="207" t="s">
        <v>53</v>
      </c>
      <c r="L99" s="82" t="s">
        <v>54</v>
      </c>
      <c r="M99" s="63" t="s">
        <v>100</v>
      </c>
      <c r="N99" s="63"/>
      <c r="O99" s="82" t="s">
        <v>102</v>
      </c>
    </row>
    <row r="100" s="3" customFormat="1" ht="18" customHeight="1" spans="1:15">
      <c r="A100" s="74">
        <v>43831</v>
      </c>
      <c r="B100" s="25">
        <f t="shared" si="9"/>
        <v>3623633.45</v>
      </c>
      <c r="C100" s="75"/>
      <c r="D100" s="50" t="s">
        <v>36</v>
      </c>
      <c r="E100" s="77">
        <v>0.09</v>
      </c>
      <c r="F100" s="25">
        <f t="shared" si="10"/>
        <v>326127.01</v>
      </c>
      <c r="G100" s="198">
        <f>1000000*3+949760.46</f>
        <v>3949760.46</v>
      </c>
      <c r="H100" s="36">
        <v>43844</v>
      </c>
      <c r="I100" s="188">
        <v>500000</v>
      </c>
      <c r="J100" s="63" t="s">
        <v>20</v>
      </c>
      <c r="K100" s="207" t="s">
        <v>103</v>
      </c>
      <c r="L100" s="82" t="s">
        <v>54</v>
      </c>
      <c r="M100" s="63" t="s">
        <v>100</v>
      </c>
      <c r="N100" s="63"/>
      <c r="O100" s="82"/>
    </row>
    <row r="101" s="3" customFormat="1" ht="18" customHeight="1" spans="1:15">
      <c r="A101" s="74"/>
      <c r="B101" s="25">
        <f t="shared" si="9"/>
        <v>0</v>
      </c>
      <c r="C101" s="75"/>
      <c r="D101" s="76"/>
      <c r="E101" s="77"/>
      <c r="F101" s="25">
        <f t="shared" si="10"/>
        <v>0</v>
      </c>
      <c r="G101" s="198"/>
      <c r="H101" s="36">
        <v>43845</v>
      </c>
      <c r="I101" s="188">
        <v>2000000</v>
      </c>
      <c r="J101" s="63" t="s">
        <v>20</v>
      </c>
      <c r="K101" s="207" t="s">
        <v>103</v>
      </c>
      <c r="L101" s="82" t="s">
        <v>54</v>
      </c>
      <c r="M101" s="63"/>
      <c r="N101" s="63"/>
      <c r="O101" s="82"/>
    </row>
    <row r="102" s="3" customFormat="1" ht="18" customHeight="1" spans="1:15">
      <c r="A102" s="74"/>
      <c r="B102" s="25">
        <f t="shared" si="9"/>
        <v>0</v>
      </c>
      <c r="C102" s="75"/>
      <c r="D102" s="76"/>
      <c r="E102" s="77"/>
      <c r="F102" s="25">
        <f t="shared" si="10"/>
        <v>0</v>
      </c>
      <c r="G102" s="198"/>
      <c r="H102" s="36">
        <v>43849</v>
      </c>
      <c r="I102" s="188">
        <v>1449760.46</v>
      </c>
      <c r="J102" s="63" t="s">
        <v>20</v>
      </c>
      <c r="K102" s="207" t="s">
        <v>103</v>
      </c>
      <c r="L102" s="82" t="s">
        <v>54</v>
      </c>
      <c r="M102" s="63"/>
      <c r="N102" s="63"/>
      <c r="O102" s="82"/>
    </row>
    <row r="103" s="3" customFormat="1" ht="18" customHeight="1" spans="1:15">
      <c r="A103" s="74">
        <v>43831</v>
      </c>
      <c r="B103" s="25">
        <f t="shared" si="9"/>
        <v>600000</v>
      </c>
      <c r="C103" s="75"/>
      <c r="D103" s="50" t="s">
        <v>73</v>
      </c>
      <c r="E103" s="77"/>
      <c r="F103" s="25">
        <f t="shared" si="10"/>
        <v>0</v>
      </c>
      <c r="G103" s="188">
        <v>600000</v>
      </c>
      <c r="H103" s="36">
        <v>43850</v>
      </c>
      <c r="I103" s="188">
        <v>600000</v>
      </c>
      <c r="J103" s="63" t="s">
        <v>21</v>
      </c>
      <c r="K103" s="207" t="s">
        <v>89</v>
      </c>
      <c r="L103" s="82" t="s">
        <v>104</v>
      </c>
      <c r="M103" s="63"/>
      <c r="N103" s="63"/>
      <c r="O103" s="82"/>
    </row>
    <row r="104" s="3" customFormat="1" ht="18" customHeight="1" spans="1:15">
      <c r="A104" s="74">
        <v>43831</v>
      </c>
      <c r="B104" s="25">
        <f t="shared" si="9"/>
        <v>600000</v>
      </c>
      <c r="C104" s="75"/>
      <c r="D104" s="50" t="s">
        <v>73</v>
      </c>
      <c r="E104" s="77"/>
      <c r="F104" s="25">
        <f t="shared" si="10"/>
        <v>0</v>
      </c>
      <c r="G104" s="188">
        <v>600000</v>
      </c>
      <c r="H104" s="36">
        <v>43850</v>
      </c>
      <c r="I104" s="188">
        <v>600000</v>
      </c>
      <c r="J104" s="63" t="s">
        <v>21</v>
      </c>
      <c r="K104" s="207" t="s">
        <v>87</v>
      </c>
      <c r="L104" s="82" t="s">
        <v>104</v>
      </c>
      <c r="M104" s="63"/>
      <c r="N104" s="63"/>
      <c r="O104" s="82"/>
    </row>
    <row r="105" s="3" customFormat="1" ht="18" customHeight="1" spans="1:15">
      <c r="A105" s="74">
        <v>43891</v>
      </c>
      <c r="B105" s="25">
        <f t="shared" si="9"/>
        <v>530100</v>
      </c>
      <c r="C105" s="75"/>
      <c r="D105" s="50" t="s">
        <v>73</v>
      </c>
      <c r="E105" s="77"/>
      <c r="F105" s="25">
        <f t="shared" si="10"/>
        <v>0</v>
      </c>
      <c r="G105" s="188">
        <v>530100</v>
      </c>
      <c r="H105" s="36">
        <v>43903</v>
      </c>
      <c r="I105" s="188">
        <v>530000</v>
      </c>
      <c r="J105" s="63" t="s">
        <v>21</v>
      </c>
      <c r="K105" s="207" t="s">
        <v>105</v>
      </c>
      <c r="L105" s="82" t="s">
        <v>77</v>
      </c>
      <c r="M105" s="63"/>
      <c r="N105" s="63"/>
      <c r="O105" s="82"/>
    </row>
    <row r="106" s="3" customFormat="1" ht="18" customHeight="1" spans="1:15">
      <c r="A106" s="74">
        <v>43952</v>
      </c>
      <c r="B106" s="25">
        <f>298648.6+188837.04+318653.29</f>
        <v>806138.93</v>
      </c>
      <c r="C106" s="75">
        <v>3</v>
      </c>
      <c r="D106" s="50" t="s">
        <v>36</v>
      </c>
      <c r="E106" s="77">
        <v>0.13</v>
      </c>
      <c r="F106" s="25">
        <f>38824.32+24548.82+41424.93</f>
        <v>104798.07</v>
      </c>
      <c r="G106" s="198">
        <f>337472.92+213385.86+360078.22</f>
        <v>910937</v>
      </c>
      <c r="H106" s="36">
        <v>43903</v>
      </c>
      <c r="I106" s="188">
        <v>200000</v>
      </c>
      <c r="J106" s="63" t="s">
        <v>20</v>
      </c>
      <c r="K106" s="207" t="s">
        <v>80</v>
      </c>
      <c r="L106" s="82" t="s">
        <v>169</v>
      </c>
      <c r="M106" s="63" t="s">
        <v>100</v>
      </c>
      <c r="N106" s="63" t="s">
        <v>100</v>
      </c>
      <c r="O106" s="82"/>
    </row>
    <row r="107" s="3" customFormat="1" ht="18" customHeight="1" spans="1:15">
      <c r="A107" s="74"/>
      <c r="B107" s="25">
        <f t="shared" ref="B107:B134" si="11">ROUND(G107/(1+E107),2)</f>
        <v>0</v>
      </c>
      <c r="C107" s="75"/>
      <c r="D107" s="50"/>
      <c r="E107" s="77"/>
      <c r="F107" s="25">
        <f t="shared" ref="F107:F134" si="12">ROUND(G107/(1+E107)*E107,2)</f>
        <v>0</v>
      </c>
      <c r="G107" s="198"/>
      <c r="H107" s="36">
        <v>43950</v>
      </c>
      <c r="I107" s="188">
        <v>400000</v>
      </c>
      <c r="J107" s="63" t="s">
        <v>20</v>
      </c>
      <c r="K107" s="207" t="s">
        <v>155</v>
      </c>
      <c r="L107" s="82" t="s">
        <v>81</v>
      </c>
      <c r="M107" s="63"/>
      <c r="N107"/>
      <c r="O107" s="82"/>
    </row>
    <row r="108" s="3" customFormat="1" ht="18" customHeight="1" spans="1:15">
      <c r="A108" s="74"/>
      <c r="B108" s="25">
        <f t="shared" si="11"/>
        <v>0</v>
      </c>
      <c r="C108" s="75"/>
      <c r="D108" s="50"/>
      <c r="E108" s="77"/>
      <c r="F108" s="25">
        <f t="shared" si="12"/>
        <v>0</v>
      </c>
      <c r="G108" s="198"/>
      <c r="H108" s="36">
        <v>43951</v>
      </c>
      <c r="I108" s="188">
        <v>970000</v>
      </c>
      <c r="J108" s="63" t="s">
        <v>21</v>
      </c>
      <c r="K108" s="207" t="s">
        <v>105</v>
      </c>
      <c r="L108" s="82"/>
      <c r="M108" s="63"/>
      <c r="N108" s="63"/>
      <c r="O108" s="82"/>
    </row>
    <row r="109" s="3" customFormat="1" ht="18" customHeight="1" spans="1:15">
      <c r="A109" s="74"/>
      <c r="B109" s="25">
        <f t="shared" si="11"/>
        <v>0</v>
      </c>
      <c r="C109" s="75"/>
      <c r="D109" s="50"/>
      <c r="E109" s="77"/>
      <c r="F109" s="25">
        <f t="shared" si="12"/>
        <v>0</v>
      </c>
      <c r="G109" s="198"/>
      <c r="H109" s="36">
        <v>43966</v>
      </c>
      <c r="I109" s="188">
        <v>150000</v>
      </c>
      <c r="J109" s="63" t="s">
        <v>20</v>
      </c>
      <c r="K109" s="207" t="s">
        <v>155</v>
      </c>
      <c r="L109" s="82" t="s">
        <v>81</v>
      </c>
      <c r="M109" s="63"/>
      <c r="N109" s="63"/>
      <c r="O109" s="82"/>
    </row>
    <row r="110" s="3" customFormat="1" ht="17.1" customHeight="1" spans="1:15">
      <c r="A110" s="74">
        <v>44013</v>
      </c>
      <c r="B110" s="25">
        <f t="shared" si="11"/>
        <v>2632.08</v>
      </c>
      <c r="C110" s="75">
        <v>1</v>
      </c>
      <c r="D110" s="50" t="s">
        <v>36</v>
      </c>
      <c r="E110" s="77">
        <v>0.06</v>
      </c>
      <c r="F110" s="25">
        <f t="shared" si="12"/>
        <v>157.92</v>
      </c>
      <c r="G110" s="198">
        <v>2790</v>
      </c>
      <c r="H110" s="36"/>
      <c r="I110" s="188"/>
      <c r="J110" s="63"/>
      <c r="K110" s="211" t="s">
        <v>156</v>
      </c>
      <c r="L110" s="212" t="s">
        <v>52</v>
      </c>
      <c r="M110" s="56" t="s">
        <v>171</v>
      </c>
      <c r="N110" s="63"/>
      <c r="O110" s="82"/>
    </row>
    <row r="111" s="3" customFormat="1" ht="17.1" customHeight="1" spans="1:15">
      <c r="A111" s="74"/>
      <c r="B111" s="25">
        <f t="shared" si="11"/>
        <v>0</v>
      </c>
      <c r="C111" s="75"/>
      <c r="D111" s="50"/>
      <c r="E111" s="77"/>
      <c r="F111" s="25">
        <f t="shared" si="12"/>
        <v>0</v>
      </c>
      <c r="G111" s="198"/>
      <c r="H111" s="36">
        <v>43993</v>
      </c>
      <c r="I111" s="188">
        <v>100000</v>
      </c>
      <c r="J111" s="63"/>
      <c r="K111" s="207" t="s">
        <v>155</v>
      </c>
      <c r="L111" s="82"/>
      <c r="M111" s="63"/>
      <c r="N111" s="63"/>
      <c r="O111" s="82"/>
    </row>
    <row r="112" s="3" customFormat="1" ht="17.1" customHeight="1" spans="1:15">
      <c r="A112" s="74"/>
      <c r="B112" s="25">
        <f t="shared" si="11"/>
        <v>0</v>
      </c>
      <c r="C112" s="75"/>
      <c r="D112" s="50"/>
      <c r="E112" s="77"/>
      <c r="F112" s="25">
        <f t="shared" si="12"/>
        <v>0</v>
      </c>
      <c r="G112" s="198"/>
      <c r="H112" s="36">
        <v>43994</v>
      </c>
      <c r="I112" s="188">
        <v>1000000</v>
      </c>
      <c r="J112" s="63"/>
      <c r="K112" s="213" t="s">
        <v>53</v>
      </c>
      <c r="L112" s="82" t="s">
        <v>54</v>
      </c>
      <c r="M112" s="63"/>
      <c r="N112" s="63"/>
      <c r="O112" s="82"/>
    </row>
    <row r="113" s="3" customFormat="1" ht="17.1" customHeight="1" spans="1:15">
      <c r="A113" s="74"/>
      <c r="B113" s="25">
        <f t="shared" si="11"/>
        <v>0</v>
      </c>
      <c r="C113" s="75"/>
      <c r="D113" s="50"/>
      <c r="E113" s="77"/>
      <c r="F113" s="25">
        <f t="shared" si="12"/>
        <v>0</v>
      </c>
      <c r="G113" s="198"/>
      <c r="H113" s="36">
        <v>44000</v>
      </c>
      <c r="I113" s="214">
        <v>500000</v>
      </c>
      <c r="J113" s="63" t="s">
        <v>20</v>
      </c>
      <c r="K113" s="171" t="s">
        <v>166</v>
      </c>
      <c r="L113" s="82"/>
      <c r="M113" s="63"/>
      <c r="N113" s="63"/>
      <c r="O113" s="82"/>
    </row>
    <row r="114" s="3" customFormat="1" ht="17.1" customHeight="1" spans="1:15">
      <c r="A114" s="74">
        <v>44013</v>
      </c>
      <c r="B114" s="25">
        <f t="shared" si="11"/>
        <v>600040</v>
      </c>
      <c r="C114" s="75"/>
      <c r="D114" s="50" t="s">
        <v>173</v>
      </c>
      <c r="E114" s="77"/>
      <c r="F114" s="25">
        <f t="shared" si="12"/>
        <v>0</v>
      </c>
      <c r="G114" s="198">
        <v>600040</v>
      </c>
      <c r="H114" s="36">
        <v>44000</v>
      </c>
      <c r="I114" s="214">
        <v>600040</v>
      </c>
      <c r="J114" s="63" t="s">
        <v>20</v>
      </c>
      <c r="K114" s="171" t="s">
        <v>74</v>
      </c>
      <c r="L114" s="82" t="s">
        <v>174</v>
      </c>
      <c r="M114" s="63"/>
      <c r="N114" s="63"/>
      <c r="O114" s="82" t="s">
        <v>175</v>
      </c>
    </row>
    <row r="115" s="3" customFormat="1" ht="17.1" customHeight="1" spans="1:15">
      <c r="A115" s="74">
        <v>44013</v>
      </c>
      <c r="B115" s="25">
        <f t="shared" si="11"/>
        <v>600120</v>
      </c>
      <c r="C115" s="75"/>
      <c r="D115" s="50" t="s">
        <v>173</v>
      </c>
      <c r="E115" s="77"/>
      <c r="F115" s="25">
        <f t="shared" si="12"/>
        <v>0</v>
      </c>
      <c r="G115" s="198">
        <v>600120</v>
      </c>
      <c r="H115" s="36">
        <v>44000</v>
      </c>
      <c r="I115" s="214">
        <v>600120</v>
      </c>
      <c r="J115" s="63" t="s">
        <v>20</v>
      </c>
      <c r="K115" s="171" t="s">
        <v>78</v>
      </c>
      <c r="L115" s="82" t="s">
        <v>176</v>
      </c>
      <c r="M115" s="63"/>
      <c r="N115" s="63"/>
      <c r="O115" s="82" t="s">
        <v>177</v>
      </c>
    </row>
    <row r="116" s="3" customFormat="1" ht="17.1" customHeight="1" spans="1:15">
      <c r="A116" s="74">
        <v>44013</v>
      </c>
      <c r="B116" s="25">
        <f t="shared" si="11"/>
        <v>300000</v>
      </c>
      <c r="C116" s="75"/>
      <c r="D116" s="50" t="s">
        <v>173</v>
      </c>
      <c r="E116" s="77"/>
      <c r="F116" s="25">
        <f t="shared" si="12"/>
        <v>0</v>
      </c>
      <c r="G116" s="198">
        <v>300000</v>
      </c>
      <c r="H116" s="36">
        <v>44000</v>
      </c>
      <c r="I116" s="214">
        <v>300000</v>
      </c>
      <c r="J116" s="63" t="s">
        <v>20</v>
      </c>
      <c r="K116" s="171" t="s">
        <v>89</v>
      </c>
      <c r="L116" s="82" t="s">
        <v>178</v>
      </c>
      <c r="M116" t="s">
        <v>100</v>
      </c>
      <c r="N116" s="63"/>
      <c r="O116" s="82" t="s">
        <v>179</v>
      </c>
    </row>
    <row r="117" s="3" customFormat="1" ht="17.1" customHeight="1" spans="1:15">
      <c r="A117" s="74">
        <v>44013</v>
      </c>
      <c r="B117" s="25">
        <f t="shared" si="11"/>
        <v>300000</v>
      </c>
      <c r="C117" s="75"/>
      <c r="D117" s="50" t="s">
        <v>173</v>
      </c>
      <c r="E117" s="77"/>
      <c r="F117" s="25">
        <f t="shared" si="12"/>
        <v>0</v>
      </c>
      <c r="G117" s="198">
        <v>300000</v>
      </c>
      <c r="H117" s="36">
        <v>44001</v>
      </c>
      <c r="I117" s="214">
        <v>300000</v>
      </c>
      <c r="J117" s="63" t="s">
        <v>20</v>
      </c>
      <c r="K117" s="171" t="s">
        <v>87</v>
      </c>
      <c r="L117" s="82" t="s">
        <v>178</v>
      </c>
      <c r="M117" t="s">
        <v>100</v>
      </c>
      <c r="N117" s="63"/>
      <c r="O117" s="82" t="s">
        <v>180</v>
      </c>
    </row>
    <row r="118" s="3" customFormat="1" ht="18" customHeight="1" spans="1:15">
      <c r="A118" s="74"/>
      <c r="B118" s="25">
        <f t="shared" si="11"/>
        <v>0</v>
      </c>
      <c r="C118" s="75"/>
      <c r="D118" s="50"/>
      <c r="E118" s="77"/>
      <c r="F118" s="25">
        <f t="shared" si="12"/>
        <v>0</v>
      </c>
      <c r="G118" s="198"/>
      <c r="H118" s="199">
        <v>44005</v>
      </c>
      <c r="I118" s="215">
        <v>170000</v>
      </c>
      <c r="J118" s="216" t="s">
        <v>20</v>
      </c>
      <c r="K118" s="217" t="s">
        <v>155</v>
      </c>
      <c r="L118" s="82"/>
      <c r="M118" s="63"/>
      <c r="N118" s="63"/>
      <c r="O118" s="82"/>
    </row>
    <row r="119" s="3" customFormat="1" ht="18" customHeight="1" spans="1:15">
      <c r="A119" s="74"/>
      <c r="B119" s="25">
        <f t="shared" si="11"/>
        <v>0</v>
      </c>
      <c r="C119" s="75"/>
      <c r="D119" s="50"/>
      <c r="E119" s="77"/>
      <c r="F119" s="25">
        <f t="shared" si="12"/>
        <v>0</v>
      </c>
      <c r="G119" s="198"/>
      <c r="H119" s="200">
        <v>44012</v>
      </c>
      <c r="I119" s="218">
        <v>1000000</v>
      </c>
      <c r="J119" s="219" t="s">
        <v>164</v>
      </c>
      <c r="K119" s="220" t="s">
        <v>80</v>
      </c>
      <c r="L119" s="221" t="s">
        <v>81</v>
      </c>
      <c r="M119" s="219" t="s">
        <v>76</v>
      </c>
      <c r="N119" s="63"/>
      <c r="O119" s="82"/>
    </row>
    <row r="120" s="3" customFormat="1" ht="18" customHeight="1" spans="1:15">
      <c r="A120" s="74"/>
      <c r="B120" s="25">
        <f t="shared" si="11"/>
        <v>0</v>
      </c>
      <c r="C120" s="75"/>
      <c r="D120" s="50"/>
      <c r="E120" s="77"/>
      <c r="F120" s="25">
        <f t="shared" si="12"/>
        <v>0</v>
      </c>
      <c r="G120" s="198"/>
      <c r="H120" s="200">
        <v>44019</v>
      </c>
      <c r="I120" s="218">
        <v>500000</v>
      </c>
      <c r="J120" s="219"/>
      <c r="K120" s="220" t="s">
        <v>80</v>
      </c>
      <c r="L120" s="208"/>
      <c r="M120" s="219" t="s">
        <v>76</v>
      </c>
      <c r="N120" s="63"/>
      <c r="O120" s="82"/>
    </row>
    <row r="121" s="3" customFormat="1" ht="18" customHeight="1" spans="1:15">
      <c r="A121" s="74">
        <v>44013</v>
      </c>
      <c r="B121" s="25">
        <f t="shared" si="11"/>
        <v>505080.8</v>
      </c>
      <c r="C121" s="75"/>
      <c r="D121" s="50" t="s">
        <v>173</v>
      </c>
      <c r="E121" s="77"/>
      <c r="F121" s="25">
        <f t="shared" si="12"/>
        <v>0</v>
      </c>
      <c r="G121" s="198">
        <v>505080.8</v>
      </c>
      <c r="H121" s="200">
        <v>44019</v>
      </c>
      <c r="I121" s="218">
        <v>500000</v>
      </c>
      <c r="J121" s="219" t="s">
        <v>20</v>
      </c>
      <c r="K121" s="222" t="s">
        <v>74</v>
      </c>
      <c r="L121" s="208" t="s">
        <v>181</v>
      </c>
      <c r="M121" s="219" t="s">
        <v>76</v>
      </c>
      <c r="N121" s="63"/>
      <c r="O121" s="82" t="s">
        <v>182</v>
      </c>
    </row>
    <row r="122" s="3" customFormat="1" ht="18" customHeight="1" spans="1:15">
      <c r="A122" s="74">
        <v>44013</v>
      </c>
      <c r="B122" s="25">
        <f t="shared" si="11"/>
        <v>970000</v>
      </c>
      <c r="C122" s="75"/>
      <c r="D122" s="50" t="s">
        <v>173</v>
      </c>
      <c r="E122" s="77"/>
      <c r="F122" s="25">
        <f t="shared" si="12"/>
        <v>0</v>
      </c>
      <c r="G122" s="198">
        <v>970000</v>
      </c>
      <c r="H122" s="200"/>
      <c r="I122" s="218"/>
      <c r="J122" s="219"/>
      <c r="K122" s="207" t="s">
        <v>105</v>
      </c>
      <c r="L122" s="82" t="s">
        <v>183</v>
      </c>
      <c r="M122" s="219"/>
      <c r="N122" s="63"/>
      <c r="O122" s="82" t="s">
        <v>184</v>
      </c>
    </row>
    <row r="123" s="3" customFormat="1" ht="18" customHeight="1" spans="1:15">
      <c r="A123" s="74">
        <v>44013</v>
      </c>
      <c r="B123" s="25">
        <f t="shared" si="11"/>
        <v>458715.6</v>
      </c>
      <c r="C123" s="75"/>
      <c r="D123" s="50" t="s">
        <v>36</v>
      </c>
      <c r="E123" s="77">
        <v>0.09</v>
      </c>
      <c r="F123" s="25">
        <f t="shared" si="12"/>
        <v>41284.4</v>
      </c>
      <c r="G123" s="198">
        <v>500000</v>
      </c>
      <c r="H123" s="200"/>
      <c r="I123" s="218"/>
      <c r="J123" s="219"/>
      <c r="K123" s="171" t="s">
        <v>166</v>
      </c>
      <c r="L123" s="82" t="s">
        <v>185</v>
      </c>
      <c r="M123" t="s">
        <v>100</v>
      </c>
      <c r="N123" s="63"/>
      <c r="O123" s="82"/>
    </row>
    <row r="124" s="3" customFormat="1" ht="18" customHeight="1" spans="1:15">
      <c r="A124" s="74">
        <v>44044</v>
      </c>
      <c r="B124" s="25">
        <f t="shared" si="11"/>
        <v>1039119.43</v>
      </c>
      <c r="C124" s="75"/>
      <c r="D124" s="50" t="s">
        <v>36</v>
      </c>
      <c r="E124" s="77">
        <v>0.13</v>
      </c>
      <c r="F124" s="25">
        <f t="shared" si="12"/>
        <v>135085.53</v>
      </c>
      <c r="G124" s="198">
        <f>304573.99+869630.97</f>
        <v>1174204.96</v>
      </c>
      <c r="H124" s="200"/>
      <c r="I124" s="218"/>
      <c r="J124" s="219"/>
      <c r="K124" s="171" t="s">
        <v>80</v>
      </c>
      <c r="L124" s="82" t="s">
        <v>186</v>
      </c>
      <c r="M124" t="s">
        <v>100</v>
      </c>
      <c r="N124" s="63" t="s">
        <v>100</v>
      </c>
      <c r="O124" s="82"/>
    </row>
    <row r="125" s="3" customFormat="1" ht="18" customHeight="1" spans="1:15">
      <c r="A125" s="74">
        <v>44044</v>
      </c>
      <c r="B125" s="25">
        <f t="shared" si="11"/>
        <v>875700</v>
      </c>
      <c r="C125" s="75"/>
      <c r="D125" s="50" t="s">
        <v>173</v>
      </c>
      <c r="E125" s="77"/>
      <c r="F125" s="25">
        <f t="shared" si="12"/>
        <v>0</v>
      </c>
      <c r="G125" s="198">
        <v>875700</v>
      </c>
      <c r="H125" s="199">
        <v>44068</v>
      </c>
      <c r="I125" s="223">
        <v>875700</v>
      </c>
      <c r="J125" s="216" t="s">
        <v>21</v>
      </c>
      <c r="K125" s="224" t="s">
        <v>78</v>
      </c>
      <c r="L125" s="82" t="s">
        <v>188</v>
      </c>
      <c r="M125"/>
      <c r="N125" s="63" t="s">
        <v>100</v>
      </c>
      <c r="O125" s="82"/>
    </row>
    <row r="126" s="3" customFormat="1" ht="18" customHeight="1" spans="1:15">
      <c r="A126" s="74">
        <v>44044</v>
      </c>
      <c r="B126" s="25">
        <f t="shared" si="11"/>
        <v>194850</v>
      </c>
      <c r="C126" s="75"/>
      <c r="D126" s="50" t="s">
        <v>173</v>
      </c>
      <c r="E126" s="77"/>
      <c r="F126" s="25">
        <f t="shared" si="12"/>
        <v>0</v>
      </c>
      <c r="G126" s="198">
        <v>194850</v>
      </c>
      <c r="H126" s="200">
        <v>44069</v>
      </c>
      <c r="I126" s="223">
        <v>194850</v>
      </c>
      <c r="J126" s="216" t="s">
        <v>21</v>
      </c>
      <c r="K126" s="225" t="s">
        <v>74</v>
      </c>
      <c r="L126" s="82" t="s">
        <v>189</v>
      </c>
      <c r="M126"/>
      <c r="N126" s="63" t="s">
        <v>100</v>
      </c>
      <c r="O126" s="82"/>
    </row>
    <row r="127" s="3" customFormat="1" ht="18" customHeight="1" spans="1:15">
      <c r="A127" s="74"/>
      <c r="B127" s="25">
        <f t="shared" si="11"/>
        <v>0</v>
      </c>
      <c r="C127" s="75"/>
      <c r="D127" s="50"/>
      <c r="E127" s="77"/>
      <c r="F127" s="25">
        <f t="shared" si="12"/>
        <v>0</v>
      </c>
      <c r="G127" s="198"/>
      <c r="H127" s="199">
        <v>44069</v>
      </c>
      <c r="I127" s="223">
        <v>500000</v>
      </c>
      <c r="J127" s="216" t="s">
        <v>20</v>
      </c>
      <c r="K127" s="224" t="s">
        <v>53</v>
      </c>
      <c r="L127" s="82"/>
      <c r="M127"/>
      <c r="N127" s="63"/>
      <c r="O127" s="82"/>
    </row>
    <row r="128" s="3" customFormat="1" ht="18" customHeight="1" spans="1:15">
      <c r="A128" s="74"/>
      <c r="B128" s="25">
        <f t="shared" si="11"/>
        <v>0</v>
      </c>
      <c r="C128" s="75"/>
      <c r="D128" s="50"/>
      <c r="E128" s="77"/>
      <c r="F128" s="25">
        <f t="shared" si="12"/>
        <v>0</v>
      </c>
      <c r="G128" s="198"/>
      <c r="H128" s="199">
        <v>44068</v>
      </c>
      <c r="I128" s="223">
        <v>28242</v>
      </c>
      <c r="J128" s="216" t="s">
        <v>20</v>
      </c>
      <c r="K128" s="224" t="s">
        <v>65</v>
      </c>
      <c r="L128" s="82"/>
      <c r="M128"/>
      <c r="N128" s="63"/>
      <c r="O128" s="82"/>
    </row>
    <row r="129" s="3" customFormat="1" ht="18" customHeight="1" spans="1:15">
      <c r="A129" s="74"/>
      <c r="B129" s="25">
        <f t="shared" si="11"/>
        <v>0</v>
      </c>
      <c r="C129" s="75"/>
      <c r="D129" s="50"/>
      <c r="E129" s="77"/>
      <c r="F129" s="25">
        <f t="shared" si="12"/>
        <v>0</v>
      </c>
      <c r="G129" s="198"/>
      <c r="H129" s="199">
        <v>44081</v>
      </c>
      <c r="I129" s="223">
        <v>73950</v>
      </c>
      <c r="J129" s="216" t="s">
        <v>20</v>
      </c>
      <c r="K129" s="224" t="s">
        <v>193</v>
      </c>
      <c r="L129" s="82"/>
      <c r="M129"/>
      <c r="N129" s="63"/>
      <c r="O129" s="82"/>
    </row>
    <row r="130" s="3" customFormat="1" ht="18" customHeight="1" spans="1:15">
      <c r="A130" s="74">
        <v>44075</v>
      </c>
      <c r="B130" s="25">
        <f t="shared" si="11"/>
        <v>300000</v>
      </c>
      <c r="C130" s="75"/>
      <c r="D130" s="50" t="s">
        <v>173</v>
      </c>
      <c r="E130" s="77"/>
      <c r="F130" s="25">
        <f t="shared" si="12"/>
        <v>0</v>
      </c>
      <c r="G130" s="198">
        <v>300000</v>
      </c>
      <c r="H130" s="195">
        <v>44083</v>
      </c>
      <c r="I130" s="226">
        <v>300000</v>
      </c>
      <c r="J130" s="227" t="s">
        <v>21</v>
      </c>
      <c r="K130" s="228" t="s">
        <v>105</v>
      </c>
      <c r="L130" s="82" t="s">
        <v>194</v>
      </c>
      <c r="M130" s="63"/>
      <c r="N130" s="63" t="s">
        <v>100</v>
      </c>
      <c r="O130" s="82"/>
    </row>
    <row r="131" s="3" customFormat="1" ht="18" customHeight="1" spans="1:15">
      <c r="A131" s="74"/>
      <c r="B131" s="25">
        <f t="shared" si="11"/>
        <v>0</v>
      </c>
      <c r="C131" s="75"/>
      <c r="D131" s="50"/>
      <c r="E131" s="77"/>
      <c r="F131" s="25">
        <f t="shared" si="12"/>
        <v>0</v>
      </c>
      <c r="G131" s="198"/>
      <c r="H131" s="199"/>
      <c r="I131" s="223"/>
      <c r="J131" s="216"/>
      <c r="K131" s="224"/>
      <c r="L131" s="208"/>
      <c r="M131"/>
      <c r="N131" s="63"/>
      <c r="O131" s="82"/>
    </row>
    <row r="132" s="3" customFormat="1" ht="18" customHeight="1" spans="1:15">
      <c r="A132" s="74"/>
      <c r="B132" s="25">
        <f t="shared" si="11"/>
        <v>0</v>
      </c>
      <c r="C132" s="75"/>
      <c r="D132" s="50"/>
      <c r="E132" s="77"/>
      <c r="F132" s="25">
        <f t="shared" si="12"/>
        <v>0</v>
      </c>
      <c r="G132" s="198"/>
      <c r="H132" s="199"/>
      <c r="I132" s="223"/>
      <c r="J132" s="216"/>
      <c r="K132" s="224"/>
      <c r="L132" s="208"/>
      <c r="M132"/>
      <c r="N132" s="63"/>
      <c r="O132" s="82"/>
    </row>
    <row r="133" s="3" customFormat="1" ht="18" customHeight="1" spans="1:15">
      <c r="A133" s="74"/>
      <c r="B133" s="25">
        <f t="shared" si="11"/>
        <v>0</v>
      </c>
      <c r="C133" s="75"/>
      <c r="D133" s="50"/>
      <c r="E133" s="77"/>
      <c r="F133" s="25">
        <f t="shared" si="12"/>
        <v>0</v>
      </c>
      <c r="G133" s="198"/>
      <c r="H133" s="199"/>
      <c r="I133" s="223"/>
      <c r="J133" s="216"/>
      <c r="K133" s="224"/>
      <c r="L133" s="208"/>
      <c r="M133"/>
      <c r="N133" s="63"/>
      <c r="O133" s="82"/>
    </row>
    <row r="134" s="3" customFormat="1" ht="18" customHeight="1" spans="1:15">
      <c r="A134" s="74"/>
      <c r="B134" s="25">
        <f t="shared" si="11"/>
        <v>0</v>
      </c>
      <c r="C134" s="75"/>
      <c r="D134" s="50"/>
      <c r="E134" s="77"/>
      <c r="F134" s="25">
        <f t="shared" si="12"/>
        <v>0</v>
      </c>
      <c r="G134" s="198"/>
      <c r="H134" s="200"/>
      <c r="I134" s="218"/>
      <c r="J134" s="219"/>
      <c r="K134" s="225"/>
      <c r="L134" s="208"/>
      <c r="M134"/>
      <c r="N134" s="63"/>
      <c r="O134" s="82"/>
    </row>
    <row r="135" s="3" customFormat="1" ht="18" customHeight="1" spans="1:15">
      <c r="A135" s="74"/>
      <c r="B135" s="25">
        <f t="shared" ref="B135:B173" si="13">ROUND(G135/(1+E135),2)</f>
        <v>0</v>
      </c>
      <c r="C135" s="75"/>
      <c r="D135" s="50"/>
      <c r="E135" s="77"/>
      <c r="F135" s="25">
        <f t="shared" ref="F135:F173" si="14">ROUND(G135/(1+E135)*E135,2)</f>
        <v>0</v>
      </c>
      <c r="G135" s="198"/>
      <c r="H135" s="195">
        <v>44083</v>
      </c>
      <c r="I135" s="229">
        <v>-300000</v>
      </c>
      <c r="J135" s="201"/>
      <c r="K135" s="204" t="s">
        <v>162</v>
      </c>
      <c r="L135" s="208"/>
      <c r="M135"/>
      <c r="N135" s="63"/>
      <c r="O135" s="82"/>
    </row>
    <row r="136" s="3" customFormat="1" ht="18" customHeight="1" spans="1:15">
      <c r="A136" s="74"/>
      <c r="B136" s="25">
        <f t="shared" si="13"/>
        <v>0</v>
      </c>
      <c r="C136" s="75"/>
      <c r="D136" s="50"/>
      <c r="E136" s="77"/>
      <c r="F136" s="25">
        <f t="shared" si="14"/>
        <v>0</v>
      </c>
      <c r="G136" s="198"/>
      <c r="H136" s="199">
        <v>44081</v>
      </c>
      <c r="I136" s="223">
        <v>50</v>
      </c>
      <c r="J136" s="216" t="s">
        <v>106</v>
      </c>
      <c r="K136" s="224" t="s">
        <v>110</v>
      </c>
      <c r="L136" s="208"/>
      <c r="M136"/>
      <c r="N136" s="63"/>
      <c r="O136" s="82"/>
    </row>
    <row r="137" s="3" customFormat="1" ht="18" customHeight="1" spans="1:15">
      <c r="A137" s="74"/>
      <c r="B137" s="25">
        <f t="shared" si="13"/>
        <v>0</v>
      </c>
      <c r="C137" s="75"/>
      <c r="D137" s="50"/>
      <c r="E137" s="77"/>
      <c r="F137" s="25">
        <f t="shared" si="14"/>
        <v>0</v>
      </c>
      <c r="G137" s="198"/>
      <c r="H137" s="199">
        <v>44060</v>
      </c>
      <c r="I137" s="223">
        <v>350</v>
      </c>
      <c r="J137" s="230" t="s">
        <v>106</v>
      </c>
      <c r="K137" s="225" t="s">
        <v>110</v>
      </c>
      <c r="L137" s="208"/>
      <c r="M137"/>
      <c r="N137" s="63"/>
      <c r="O137" s="82"/>
    </row>
    <row r="138" s="3" customFormat="1" ht="18" customHeight="1" spans="1:15">
      <c r="A138" s="74"/>
      <c r="B138" s="25">
        <f t="shared" si="13"/>
        <v>0</v>
      </c>
      <c r="C138" s="75"/>
      <c r="D138" s="50"/>
      <c r="E138" s="77"/>
      <c r="F138" s="25">
        <f t="shared" si="14"/>
        <v>0</v>
      </c>
      <c r="G138" s="198"/>
      <c r="H138" s="199">
        <v>44060</v>
      </c>
      <c r="I138" s="223">
        <v>5480</v>
      </c>
      <c r="J138" s="230" t="s">
        <v>106</v>
      </c>
      <c r="K138" s="231" t="s">
        <v>190</v>
      </c>
      <c r="L138" s="208"/>
      <c r="M138"/>
      <c r="N138" s="63"/>
      <c r="O138" s="82"/>
    </row>
    <row r="139" s="3" customFormat="1" ht="18" customHeight="1" spans="1:15">
      <c r="A139" s="74"/>
      <c r="B139" s="25">
        <f t="shared" si="13"/>
        <v>0</v>
      </c>
      <c r="C139" s="75"/>
      <c r="D139" s="50"/>
      <c r="E139" s="77"/>
      <c r="F139" s="25">
        <f t="shared" si="14"/>
        <v>0</v>
      </c>
      <c r="G139" s="198"/>
      <c r="H139" s="199">
        <v>44060</v>
      </c>
      <c r="I139" s="223">
        <v>34400</v>
      </c>
      <c r="J139" s="230" t="s">
        <v>106</v>
      </c>
      <c r="K139" s="232" t="s">
        <v>191</v>
      </c>
      <c r="L139" s="208"/>
      <c r="M139"/>
      <c r="N139" s="63"/>
      <c r="O139" s="82"/>
    </row>
    <row r="140" s="3" customFormat="1" ht="18" customHeight="1" spans="1:15">
      <c r="A140" s="74"/>
      <c r="B140" s="25">
        <f t="shared" si="13"/>
        <v>0</v>
      </c>
      <c r="C140" s="75"/>
      <c r="D140" s="50"/>
      <c r="E140" s="77"/>
      <c r="F140" s="25">
        <f t="shared" si="14"/>
        <v>0</v>
      </c>
      <c r="G140" s="198"/>
      <c r="H140" s="199">
        <v>44060</v>
      </c>
      <c r="I140" s="223">
        <v>947</v>
      </c>
      <c r="J140" s="216" t="s">
        <v>106</v>
      </c>
      <c r="K140" s="232" t="s">
        <v>123</v>
      </c>
      <c r="L140" s="208"/>
      <c r="M140"/>
      <c r="N140" s="63"/>
      <c r="O140" s="82"/>
    </row>
    <row r="141" s="3" customFormat="1" ht="18" customHeight="1" spans="1:15">
      <c r="A141" s="74"/>
      <c r="B141" s="25">
        <f t="shared" si="13"/>
        <v>1720</v>
      </c>
      <c r="C141" s="75"/>
      <c r="D141" s="50"/>
      <c r="E141" s="77"/>
      <c r="F141" s="25">
        <f t="shared" si="14"/>
        <v>0</v>
      </c>
      <c r="G141" s="198">
        <f>I141</f>
        <v>1720</v>
      </c>
      <c r="H141" s="199">
        <v>44060</v>
      </c>
      <c r="I141" s="215">
        <v>1720</v>
      </c>
      <c r="J141" s="216" t="s">
        <v>106</v>
      </c>
      <c r="K141" s="225" t="s">
        <v>135</v>
      </c>
      <c r="L141" s="82"/>
      <c r="M141" s="63"/>
      <c r="N141" s="63"/>
      <c r="O141" s="82"/>
    </row>
    <row r="142" s="3" customFormat="1" ht="18" customHeight="1" spans="1:15">
      <c r="A142" s="74"/>
      <c r="B142" s="25">
        <f t="shared" si="13"/>
        <v>6880</v>
      </c>
      <c r="C142" s="75"/>
      <c r="D142" s="50"/>
      <c r="E142" s="77"/>
      <c r="F142" s="25">
        <f t="shared" si="14"/>
        <v>0</v>
      </c>
      <c r="G142" s="198">
        <f>I142</f>
        <v>6880</v>
      </c>
      <c r="H142" s="199">
        <v>44060</v>
      </c>
      <c r="I142" s="215">
        <v>6880</v>
      </c>
      <c r="J142" s="216" t="s">
        <v>106</v>
      </c>
      <c r="K142" s="225" t="s">
        <v>135</v>
      </c>
      <c r="L142" s="82"/>
      <c r="M142" s="63"/>
      <c r="N142" s="63"/>
      <c r="O142" s="82"/>
    </row>
    <row r="143" s="3" customFormat="1" ht="18" customHeight="1" spans="1:15">
      <c r="A143" s="74"/>
      <c r="B143" s="25">
        <f t="shared" si="13"/>
        <v>0</v>
      </c>
      <c r="C143" s="75"/>
      <c r="D143" s="50"/>
      <c r="E143" s="77"/>
      <c r="F143" s="25">
        <f t="shared" si="14"/>
        <v>0</v>
      </c>
      <c r="G143" s="198"/>
      <c r="H143" s="199">
        <v>44019</v>
      </c>
      <c r="I143" s="215">
        <v>200</v>
      </c>
      <c r="J143" s="230" t="s">
        <v>106</v>
      </c>
      <c r="K143" s="225" t="s">
        <v>110</v>
      </c>
      <c r="L143" s="82"/>
      <c r="M143" s="63"/>
      <c r="N143" s="63"/>
      <c r="O143" s="82"/>
    </row>
    <row r="144" s="3" customFormat="1" ht="18" customHeight="1" spans="1:15">
      <c r="A144" s="74"/>
      <c r="B144" s="25">
        <f t="shared" si="13"/>
        <v>0</v>
      </c>
      <c r="C144" s="75"/>
      <c r="D144" s="50"/>
      <c r="E144" s="77"/>
      <c r="F144" s="25">
        <f t="shared" si="14"/>
        <v>0</v>
      </c>
      <c r="G144" s="198"/>
      <c r="H144" s="200">
        <v>44012</v>
      </c>
      <c r="I144" s="218">
        <v>-2000000</v>
      </c>
      <c r="J144" s="219"/>
      <c r="K144" s="221" t="s">
        <v>162</v>
      </c>
      <c r="L144" s="82"/>
      <c r="M144" s="63"/>
      <c r="N144" s="63"/>
      <c r="O144" s="82"/>
    </row>
    <row r="145" s="3" customFormat="1" ht="18" customHeight="1" spans="1:15">
      <c r="A145" s="74"/>
      <c r="B145" s="25">
        <f t="shared" si="13"/>
        <v>0</v>
      </c>
      <c r="C145" s="75"/>
      <c r="D145" s="50"/>
      <c r="E145" s="77"/>
      <c r="F145" s="25">
        <f t="shared" si="14"/>
        <v>0</v>
      </c>
      <c r="G145" s="198"/>
      <c r="H145" s="199">
        <v>44012</v>
      </c>
      <c r="I145" s="233">
        <v>100</v>
      </c>
      <c r="J145" s="216" t="s">
        <v>106</v>
      </c>
      <c r="K145" s="234" t="s">
        <v>110</v>
      </c>
      <c r="L145" s="82"/>
      <c r="M145" s="63"/>
      <c r="N145" s="63"/>
      <c r="O145" s="82"/>
    </row>
    <row r="146" s="3" customFormat="1" ht="17.1" customHeight="1" spans="1:15">
      <c r="A146" s="74"/>
      <c r="B146" s="25">
        <f t="shared" si="13"/>
        <v>0</v>
      </c>
      <c r="C146" s="75"/>
      <c r="D146" s="50"/>
      <c r="E146" s="77"/>
      <c r="F146" s="25">
        <f t="shared" si="14"/>
        <v>0</v>
      </c>
      <c r="G146" s="198"/>
      <c r="H146" s="199">
        <v>44005</v>
      </c>
      <c r="I146" s="233">
        <v>100</v>
      </c>
      <c r="J146" s="216" t="s">
        <v>106</v>
      </c>
      <c r="K146" s="234" t="s">
        <v>110</v>
      </c>
      <c r="L146" s="82"/>
      <c r="M146" s="63"/>
      <c r="N146" s="63"/>
      <c r="O146" s="82"/>
    </row>
    <row r="147" s="3" customFormat="1" ht="17.1" customHeight="1" spans="1:15">
      <c r="A147" s="74"/>
      <c r="B147" s="25">
        <f t="shared" si="13"/>
        <v>0</v>
      </c>
      <c r="C147" s="75"/>
      <c r="D147" s="50"/>
      <c r="E147" s="77"/>
      <c r="F147" s="25">
        <f t="shared" si="14"/>
        <v>0</v>
      </c>
      <c r="G147" s="198"/>
      <c r="H147" s="36">
        <v>44001</v>
      </c>
      <c r="I147" s="82">
        <v>100</v>
      </c>
      <c r="J147" s="63" t="s">
        <v>106</v>
      </c>
      <c r="K147" s="82" t="s">
        <v>110</v>
      </c>
      <c r="L147" s="82"/>
      <c r="M147" s="63"/>
      <c r="N147" s="63"/>
      <c r="O147" s="82"/>
    </row>
    <row r="148" s="3" customFormat="1" ht="17.1" customHeight="1" spans="1:15">
      <c r="A148" s="74"/>
      <c r="B148" s="25">
        <f t="shared" si="13"/>
        <v>0</v>
      </c>
      <c r="C148" s="75"/>
      <c r="D148" s="50"/>
      <c r="E148" s="77"/>
      <c r="F148" s="25">
        <f t="shared" si="14"/>
        <v>0</v>
      </c>
      <c r="G148" s="198"/>
      <c r="H148" s="36">
        <v>44000</v>
      </c>
      <c r="I148" s="82">
        <v>100</v>
      </c>
      <c r="J148" s="63" t="s">
        <v>106</v>
      </c>
      <c r="K148" s="82" t="s">
        <v>110</v>
      </c>
      <c r="L148" s="82"/>
      <c r="M148" s="63"/>
      <c r="N148" s="63"/>
      <c r="O148" s="82"/>
    </row>
    <row r="149" s="3" customFormat="1" ht="17.1" customHeight="1" spans="1:15">
      <c r="A149" s="74"/>
      <c r="B149" s="25">
        <f t="shared" si="13"/>
        <v>0</v>
      </c>
      <c r="C149" s="75"/>
      <c r="D149" s="50"/>
      <c r="E149" s="77"/>
      <c r="F149" s="25">
        <f t="shared" si="14"/>
        <v>0</v>
      </c>
      <c r="G149" s="198"/>
      <c r="H149" s="36">
        <v>44000</v>
      </c>
      <c r="I149" s="82">
        <v>300</v>
      </c>
      <c r="J149" s="65" t="s">
        <v>106</v>
      </c>
      <c r="K149" s="207" t="s">
        <v>110</v>
      </c>
      <c r="L149" s="82"/>
      <c r="M149" s="63"/>
      <c r="N149" s="63"/>
      <c r="O149" s="82"/>
    </row>
    <row r="150" s="3" customFormat="1" ht="17.1" customHeight="1" spans="1:15">
      <c r="A150" s="74"/>
      <c r="B150" s="25">
        <f t="shared" si="13"/>
        <v>0</v>
      </c>
      <c r="C150" s="75"/>
      <c r="D150" s="50"/>
      <c r="E150" s="77"/>
      <c r="F150" s="25">
        <f t="shared" si="14"/>
        <v>0</v>
      </c>
      <c r="G150" s="198"/>
      <c r="H150" s="36">
        <v>43994</v>
      </c>
      <c r="I150" s="235">
        <v>100</v>
      </c>
      <c r="J150" s="65" t="s">
        <v>106</v>
      </c>
      <c r="K150" s="207" t="s">
        <v>110</v>
      </c>
      <c r="L150" s="82"/>
      <c r="M150" s="63"/>
      <c r="N150" s="63"/>
      <c r="O150" s="82"/>
    </row>
    <row r="151" s="3" customFormat="1" ht="18" customHeight="1" spans="1:15">
      <c r="A151" s="74"/>
      <c r="B151" s="25">
        <f t="shared" si="13"/>
        <v>0</v>
      </c>
      <c r="C151" s="75"/>
      <c r="D151" s="50"/>
      <c r="E151" s="77"/>
      <c r="F151" s="25">
        <f t="shared" si="14"/>
        <v>0</v>
      </c>
      <c r="G151" s="198"/>
      <c r="H151" s="36">
        <v>43994</v>
      </c>
      <c r="I151" s="236">
        <v>72400</v>
      </c>
      <c r="J151" s="65" t="s">
        <v>106</v>
      </c>
      <c r="K151" s="207" t="s">
        <v>121</v>
      </c>
      <c r="L151" s="82"/>
      <c r="M151" s="63"/>
      <c r="N151" s="63"/>
      <c r="O151" s="82"/>
    </row>
    <row r="152" s="3" customFormat="1" ht="18" customHeight="1" spans="1:15">
      <c r="A152" s="74"/>
      <c r="B152" s="25">
        <f t="shared" si="13"/>
        <v>0</v>
      </c>
      <c r="C152" s="75"/>
      <c r="D152" s="50"/>
      <c r="E152" s="77"/>
      <c r="F152" s="25">
        <f t="shared" si="14"/>
        <v>0</v>
      </c>
      <c r="G152" s="198"/>
      <c r="H152" s="36">
        <v>43994</v>
      </c>
      <c r="I152" s="188">
        <v>1992.66055045872</v>
      </c>
      <c r="J152" s="65" t="s">
        <v>106</v>
      </c>
      <c r="K152" s="207" t="s">
        <v>123</v>
      </c>
      <c r="L152" s="82"/>
      <c r="M152" s="63"/>
      <c r="N152" s="63"/>
      <c r="O152" s="82"/>
    </row>
    <row r="153" s="3" customFormat="1" ht="18" customHeight="1" spans="1:15">
      <c r="A153" s="74"/>
      <c r="B153" s="25">
        <f t="shared" si="13"/>
        <v>0</v>
      </c>
      <c r="C153" s="75"/>
      <c r="D153" s="50"/>
      <c r="E153" s="77"/>
      <c r="F153" s="25">
        <f t="shared" si="14"/>
        <v>0</v>
      </c>
      <c r="G153" s="198"/>
      <c r="H153" s="36">
        <v>43994</v>
      </c>
      <c r="I153" s="188">
        <v>18100</v>
      </c>
      <c r="J153" s="65" t="s">
        <v>106</v>
      </c>
      <c r="K153" s="207" t="s">
        <v>157</v>
      </c>
      <c r="L153" s="82"/>
      <c r="M153" s="63"/>
      <c r="N153" s="63"/>
      <c r="O153" s="82"/>
    </row>
    <row r="154" s="3" customFormat="1" ht="18" customHeight="1" spans="1:15">
      <c r="A154" s="74"/>
      <c r="B154" s="25">
        <f t="shared" si="13"/>
        <v>0</v>
      </c>
      <c r="C154" s="75"/>
      <c r="D154" s="50"/>
      <c r="E154" s="77"/>
      <c r="F154" s="25">
        <f t="shared" si="14"/>
        <v>0</v>
      </c>
      <c r="G154" s="198"/>
      <c r="H154" s="36">
        <v>43993</v>
      </c>
      <c r="I154" s="188">
        <v>100</v>
      </c>
      <c r="J154" s="65" t="s">
        <v>106</v>
      </c>
      <c r="K154" s="207" t="s">
        <v>110</v>
      </c>
      <c r="L154" s="82"/>
      <c r="M154" s="63"/>
      <c r="N154" s="63"/>
      <c r="O154" s="82"/>
    </row>
    <row r="155" s="3" customFormat="1" ht="18" customHeight="1" spans="1:15">
      <c r="A155" s="74"/>
      <c r="B155" s="25">
        <f t="shared" si="13"/>
        <v>0</v>
      </c>
      <c r="C155" s="75"/>
      <c r="D155" s="50"/>
      <c r="E155" s="77"/>
      <c r="F155" s="25">
        <f t="shared" si="14"/>
        <v>0</v>
      </c>
      <c r="G155" s="198"/>
      <c r="H155" s="36">
        <v>43966</v>
      </c>
      <c r="I155" s="188">
        <v>100</v>
      </c>
      <c r="J155" s="65" t="s">
        <v>106</v>
      </c>
      <c r="K155" s="207" t="s">
        <v>110</v>
      </c>
      <c r="L155" s="82"/>
      <c r="M155" s="63"/>
      <c r="N155" s="63"/>
      <c r="O155" s="82"/>
    </row>
    <row r="156" s="3" customFormat="1" ht="18" customHeight="1" spans="1:15">
      <c r="A156" s="74"/>
      <c r="B156" s="25">
        <f t="shared" si="13"/>
        <v>0</v>
      </c>
      <c r="C156" s="75"/>
      <c r="D156" s="50"/>
      <c r="E156" s="77"/>
      <c r="F156" s="25">
        <f t="shared" si="14"/>
        <v>0</v>
      </c>
      <c r="G156" s="198"/>
      <c r="H156" s="76">
        <v>10.2</v>
      </c>
      <c r="I156" s="188">
        <v>100</v>
      </c>
      <c r="J156" s="65" t="s">
        <v>106</v>
      </c>
      <c r="K156" s="207" t="s">
        <v>110</v>
      </c>
      <c r="L156" s="82"/>
      <c r="M156" s="63"/>
      <c r="N156" s="63"/>
      <c r="O156" s="82"/>
    </row>
    <row r="157" s="3" customFormat="1" ht="18" customHeight="1" spans="1:15">
      <c r="A157" s="74"/>
      <c r="B157" s="25">
        <f t="shared" si="13"/>
        <v>0</v>
      </c>
      <c r="C157" s="75"/>
      <c r="D157" s="50"/>
      <c r="E157" s="77"/>
      <c r="F157" s="25">
        <f t="shared" si="14"/>
        <v>0</v>
      </c>
      <c r="G157" s="198"/>
      <c r="H157" s="76">
        <v>10.1</v>
      </c>
      <c r="I157" s="188">
        <v>100</v>
      </c>
      <c r="J157" s="65" t="s">
        <v>106</v>
      </c>
      <c r="K157" s="207" t="s">
        <v>110</v>
      </c>
      <c r="L157" s="82"/>
      <c r="M157" s="63"/>
      <c r="N157" s="63"/>
      <c r="O157" s="82"/>
    </row>
    <row r="158" s="3" customFormat="1" ht="18" customHeight="1" spans="1:15">
      <c r="A158" s="74"/>
      <c r="B158" s="25">
        <f t="shared" si="13"/>
        <v>0</v>
      </c>
      <c r="C158" s="75"/>
      <c r="D158" s="50"/>
      <c r="E158" s="77"/>
      <c r="F158" s="25">
        <f t="shared" si="14"/>
        <v>0</v>
      </c>
      <c r="G158" s="198"/>
      <c r="H158" s="76">
        <v>10.1</v>
      </c>
      <c r="I158" s="188">
        <f>B12*0.0006</f>
        <v>853.211009174312</v>
      </c>
      <c r="J158" s="65" t="s">
        <v>106</v>
      </c>
      <c r="K158" s="207" t="s">
        <v>107</v>
      </c>
      <c r="L158" s="82">
        <f>I158+I159+I162+I167+I170+I171+I172+I173+I180+I181+I187+I189+I190</f>
        <v>916149.577981651</v>
      </c>
      <c r="M158" s="63"/>
      <c r="N158" s="63"/>
      <c r="O158" s="82"/>
    </row>
    <row r="159" s="3" customFormat="1" ht="18" customHeight="1" spans="1:15">
      <c r="A159" s="74"/>
      <c r="B159" s="25">
        <f t="shared" si="13"/>
        <v>0</v>
      </c>
      <c r="C159" s="75"/>
      <c r="D159" s="50"/>
      <c r="E159" s="77"/>
      <c r="F159" s="25">
        <f t="shared" si="14"/>
        <v>0</v>
      </c>
      <c r="G159" s="198"/>
      <c r="H159" s="76">
        <v>10.1</v>
      </c>
      <c r="I159" s="188">
        <f>B12*0.02</f>
        <v>28440.3669724771</v>
      </c>
      <c r="J159" s="65" t="s">
        <v>106</v>
      </c>
      <c r="K159" s="207" t="s">
        <v>108</v>
      </c>
      <c r="L159" s="82"/>
      <c r="M159" s="63"/>
      <c r="N159" s="63"/>
      <c r="O159" s="82"/>
    </row>
    <row r="160" s="3" customFormat="1" ht="18" customHeight="1" spans="1:15">
      <c r="A160" s="74"/>
      <c r="B160" s="25">
        <f t="shared" si="13"/>
        <v>0</v>
      </c>
      <c r="C160" s="75"/>
      <c r="D160" s="50"/>
      <c r="E160" s="77"/>
      <c r="F160" s="25">
        <f t="shared" si="14"/>
        <v>0</v>
      </c>
      <c r="G160" s="198"/>
      <c r="H160" s="76">
        <v>10.1</v>
      </c>
      <c r="I160" s="188">
        <f>G12*0.005</f>
        <v>7750</v>
      </c>
      <c r="J160" s="65" t="s">
        <v>106</v>
      </c>
      <c r="K160" s="207" t="s">
        <v>157</v>
      </c>
      <c r="L160" s="82">
        <f>I160+I192</f>
        <v>140600</v>
      </c>
      <c r="M160" s="63"/>
      <c r="N160" s="63"/>
      <c r="O160" s="82"/>
    </row>
    <row r="161" s="3" customFormat="1" ht="18" customHeight="1" spans="1:15">
      <c r="A161" s="74"/>
      <c r="B161" s="25">
        <f t="shared" si="13"/>
        <v>0</v>
      </c>
      <c r="C161" s="75"/>
      <c r="D161" s="50"/>
      <c r="E161" s="77"/>
      <c r="F161" s="25">
        <f t="shared" si="14"/>
        <v>0</v>
      </c>
      <c r="G161" s="198"/>
      <c r="H161" s="36" t="s">
        <v>109</v>
      </c>
      <c r="I161" s="188">
        <v>200</v>
      </c>
      <c r="J161" s="65" t="s">
        <v>106</v>
      </c>
      <c r="K161" s="207" t="s">
        <v>110</v>
      </c>
      <c r="L161" s="82">
        <f>I161+I163+I164+I165+I166+I168+I175+I178+I182+I191+I157</f>
        <v>245132.79</v>
      </c>
      <c r="M161" s="63"/>
      <c r="N161" s="63"/>
      <c r="O161" s="82"/>
    </row>
    <row r="162" s="3" customFormat="1" ht="18" customHeight="1" spans="1:15">
      <c r="A162" s="74"/>
      <c r="B162" s="25">
        <f t="shared" si="13"/>
        <v>0</v>
      </c>
      <c r="C162" s="75"/>
      <c r="D162" s="50"/>
      <c r="E162" s="77"/>
      <c r="F162" s="25">
        <f t="shared" si="14"/>
        <v>0</v>
      </c>
      <c r="G162" s="198"/>
      <c r="H162" s="36" t="s">
        <v>111</v>
      </c>
      <c r="I162" s="237">
        <v>-285325</v>
      </c>
      <c r="J162" s="227" t="s">
        <v>112</v>
      </c>
      <c r="K162" s="205" t="s">
        <v>158</v>
      </c>
      <c r="L162" s="82"/>
      <c r="M162" s="63"/>
      <c r="N162" s="63"/>
      <c r="O162" s="82"/>
    </row>
    <row r="163" s="3" customFormat="1" ht="18" customHeight="1" spans="1:15">
      <c r="A163" s="74"/>
      <c r="B163" s="25">
        <f t="shared" si="13"/>
        <v>0</v>
      </c>
      <c r="C163" s="75"/>
      <c r="D163" s="76"/>
      <c r="E163" s="77"/>
      <c r="F163" s="25">
        <f t="shared" si="14"/>
        <v>0</v>
      </c>
      <c r="G163" s="198"/>
      <c r="H163" s="36" t="s">
        <v>111</v>
      </c>
      <c r="I163" s="188">
        <v>200</v>
      </c>
      <c r="J163" s="65" t="s">
        <v>106</v>
      </c>
      <c r="K163" s="207" t="s">
        <v>110</v>
      </c>
      <c r="L163" s="82"/>
      <c r="M163" s="63"/>
      <c r="N163" s="63"/>
      <c r="O163" s="82"/>
    </row>
    <row r="164" s="3" customFormat="1" ht="18" customHeight="1" spans="1:15">
      <c r="A164" s="74"/>
      <c r="B164" s="25">
        <f t="shared" si="13"/>
        <v>0</v>
      </c>
      <c r="C164" s="75"/>
      <c r="D164" s="76"/>
      <c r="E164" s="77"/>
      <c r="F164" s="25">
        <f t="shared" si="14"/>
        <v>0</v>
      </c>
      <c r="G164" s="198"/>
      <c r="H164" s="36" t="s">
        <v>113</v>
      </c>
      <c r="I164" s="188">
        <v>300</v>
      </c>
      <c r="J164" s="65" t="s">
        <v>106</v>
      </c>
      <c r="K164" s="207" t="s">
        <v>110</v>
      </c>
      <c r="L164" s="82"/>
      <c r="M164" s="63"/>
      <c r="N164" s="63"/>
      <c r="O164" s="82"/>
    </row>
    <row r="165" s="3" customFormat="1" ht="18" customHeight="1" spans="1:15">
      <c r="A165" s="74"/>
      <c r="B165" s="25">
        <f t="shared" si="13"/>
        <v>0</v>
      </c>
      <c r="C165" s="75"/>
      <c r="D165" s="76"/>
      <c r="E165" s="77"/>
      <c r="F165" s="25">
        <f t="shared" si="14"/>
        <v>0</v>
      </c>
      <c r="G165" s="198"/>
      <c r="H165" s="36" t="s">
        <v>114</v>
      </c>
      <c r="I165" s="188">
        <v>9600</v>
      </c>
      <c r="J165" s="65" t="s">
        <v>106</v>
      </c>
      <c r="K165" s="207" t="s">
        <v>115</v>
      </c>
      <c r="L165" s="82"/>
      <c r="M165" s="63"/>
      <c r="N165" s="63"/>
      <c r="O165" s="82"/>
    </row>
    <row r="166" s="3" customFormat="1" ht="18" customHeight="1" spans="1:15">
      <c r="A166" s="74"/>
      <c r="B166" s="25">
        <f t="shared" si="13"/>
        <v>0</v>
      </c>
      <c r="C166" s="75"/>
      <c r="D166" s="76"/>
      <c r="E166" s="77"/>
      <c r="F166" s="25">
        <f t="shared" si="14"/>
        <v>0</v>
      </c>
      <c r="G166" s="198"/>
      <c r="H166" s="36" t="s">
        <v>114</v>
      </c>
      <c r="I166" s="188">
        <v>200</v>
      </c>
      <c r="J166" s="65" t="s">
        <v>106</v>
      </c>
      <c r="K166" s="207" t="s">
        <v>110</v>
      </c>
      <c r="L166" s="82"/>
      <c r="M166" s="63"/>
      <c r="N166" s="63"/>
      <c r="O166" s="82"/>
    </row>
    <row r="167" s="3" customFormat="1" ht="18" customHeight="1" spans="1:15">
      <c r="A167" s="74"/>
      <c r="B167" s="25">
        <f t="shared" si="13"/>
        <v>0</v>
      </c>
      <c r="C167" s="75"/>
      <c r="D167" s="76"/>
      <c r="E167" s="77"/>
      <c r="F167" s="25">
        <f t="shared" si="14"/>
        <v>0</v>
      </c>
      <c r="G167" s="198"/>
      <c r="H167" s="36" t="s">
        <v>114</v>
      </c>
      <c r="I167" s="188">
        <v>-903045</v>
      </c>
      <c r="J167" s="63" t="s">
        <v>112</v>
      </c>
      <c r="K167" s="207" t="s">
        <v>116</v>
      </c>
      <c r="L167" s="82"/>
      <c r="M167" s="63"/>
      <c r="N167" s="63"/>
      <c r="O167" s="82"/>
    </row>
    <row r="168" s="3" customFormat="1" ht="18" customHeight="1" spans="1:15">
      <c r="A168" s="74"/>
      <c r="B168" s="25">
        <f t="shared" si="13"/>
        <v>0</v>
      </c>
      <c r="C168" s="75"/>
      <c r="D168" s="76"/>
      <c r="E168" s="77"/>
      <c r="F168" s="25">
        <f t="shared" si="14"/>
        <v>0</v>
      </c>
      <c r="G168" s="198"/>
      <c r="H168" s="36" t="s">
        <v>117</v>
      </c>
      <c r="I168" s="188">
        <v>232932.79</v>
      </c>
      <c r="J168" s="63" t="s">
        <v>106</v>
      </c>
      <c r="K168" s="207" t="s">
        <v>118</v>
      </c>
      <c r="L168" s="82"/>
      <c r="M168" s="63"/>
      <c r="N168" s="63"/>
      <c r="O168" s="82"/>
    </row>
    <row r="169" s="3" customFormat="1" ht="18" customHeight="1" spans="1:15">
      <c r="A169" s="74"/>
      <c r="B169" s="25">
        <f t="shared" si="13"/>
        <v>0</v>
      </c>
      <c r="C169" s="75"/>
      <c r="D169" s="76"/>
      <c r="E169" s="77"/>
      <c r="F169" s="25">
        <f t="shared" si="14"/>
        <v>0</v>
      </c>
      <c r="G169" s="198"/>
      <c r="H169" s="36" t="s">
        <v>117</v>
      </c>
      <c r="I169" s="188"/>
      <c r="J169" s="63" t="s">
        <v>106</v>
      </c>
      <c r="K169" s="207" t="s">
        <v>119</v>
      </c>
      <c r="L169" s="82"/>
      <c r="M169" s="63"/>
      <c r="N169" s="63"/>
      <c r="O169" s="82"/>
    </row>
    <row r="170" s="3" customFormat="1" ht="18" customHeight="1" spans="1:15">
      <c r="A170" s="74"/>
      <c r="B170" s="25">
        <f t="shared" si="13"/>
        <v>0</v>
      </c>
      <c r="C170" s="75"/>
      <c r="D170" s="76"/>
      <c r="E170" s="77"/>
      <c r="F170" s="25">
        <f t="shared" si="14"/>
        <v>0</v>
      </c>
      <c r="G170" s="198"/>
      <c r="H170" s="36" t="s">
        <v>117</v>
      </c>
      <c r="I170" s="188">
        <v>903045</v>
      </c>
      <c r="J170" s="63" t="s">
        <v>120</v>
      </c>
      <c r="K170" s="207" t="s">
        <v>121</v>
      </c>
      <c r="L170" s="82"/>
      <c r="M170" s="63"/>
      <c r="N170" s="63"/>
      <c r="O170" s="82"/>
    </row>
    <row r="171" s="3" customFormat="1" ht="18" customHeight="1" spans="1:15">
      <c r="A171" s="74"/>
      <c r="B171" s="25">
        <f t="shared" si="13"/>
        <v>0</v>
      </c>
      <c r="C171" s="75"/>
      <c r="D171" s="76"/>
      <c r="E171" s="77"/>
      <c r="F171" s="25">
        <f t="shared" si="14"/>
        <v>0</v>
      </c>
      <c r="G171" s="198"/>
      <c r="H171" s="36" t="s">
        <v>117</v>
      </c>
      <c r="I171" s="188">
        <v>485252</v>
      </c>
      <c r="J171" s="63" t="s">
        <v>106</v>
      </c>
      <c r="K171" s="207" t="s">
        <v>122</v>
      </c>
      <c r="L171" s="82"/>
      <c r="M171" s="63"/>
      <c r="N171" s="63"/>
      <c r="O171" s="82"/>
    </row>
    <row r="172" s="3" customFormat="1" ht="18" customHeight="1" spans="1:15">
      <c r="A172" s="74"/>
      <c r="B172" s="25">
        <f t="shared" si="13"/>
        <v>0</v>
      </c>
      <c r="C172" s="75"/>
      <c r="D172" s="76"/>
      <c r="E172" s="77"/>
      <c r="F172" s="25">
        <f t="shared" si="14"/>
        <v>0</v>
      </c>
      <c r="G172" s="198"/>
      <c r="H172" s="36" t="s">
        <v>117</v>
      </c>
      <c r="I172" s="188">
        <v>4789</v>
      </c>
      <c r="J172" s="63" t="s">
        <v>106</v>
      </c>
      <c r="K172" s="207" t="s">
        <v>123</v>
      </c>
      <c r="L172" s="82"/>
      <c r="M172" s="63"/>
      <c r="N172" s="63"/>
      <c r="O172" s="82"/>
    </row>
    <row r="173" s="3" customFormat="1" ht="18" customHeight="1" spans="1:15">
      <c r="A173" s="74"/>
      <c r="B173" s="25">
        <f t="shared" si="13"/>
        <v>0</v>
      </c>
      <c r="C173" s="75"/>
      <c r="D173" s="76"/>
      <c r="E173" s="77"/>
      <c r="F173" s="25">
        <f t="shared" si="14"/>
        <v>0</v>
      </c>
      <c r="G173" s="198"/>
      <c r="H173" s="36" t="s">
        <v>117</v>
      </c>
      <c r="I173" s="237">
        <v>429349</v>
      </c>
      <c r="J173" s="227" t="s">
        <v>106</v>
      </c>
      <c r="K173" s="205" t="s">
        <v>124</v>
      </c>
      <c r="L173" s="82"/>
      <c r="M173" s="63"/>
      <c r="N173" s="63"/>
      <c r="O173" s="82"/>
    </row>
    <row r="174" s="3" customFormat="1" ht="18" customHeight="1" spans="1:15">
      <c r="A174" s="74"/>
      <c r="B174" s="25">
        <f t="shared" ref="B174:B182" si="15">ROUND(G174/(1+E174),2)</f>
        <v>0</v>
      </c>
      <c r="C174" s="75"/>
      <c r="D174" s="76"/>
      <c r="E174" s="77"/>
      <c r="F174" s="25">
        <f t="shared" ref="F174:F182" si="16">ROUND(G174/(1+E174)*E174,2)</f>
        <v>0</v>
      </c>
      <c r="G174" s="198"/>
      <c r="H174" s="36" t="s">
        <v>117</v>
      </c>
      <c r="I174" s="188">
        <v>87000</v>
      </c>
      <c r="J174" s="63" t="s">
        <v>125</v>
      </c>
      <c r="K174" s="207" t="s">
        <v>126</v>
      </c>
      <c r="L174" s="82"/>
      <c r="M174" s="63"/>
      <c r="N174" s="63"/>
      <c r="O174" s="82"/>
    </row>
    <row r="175" s="2" customFormat="1" ht="18" customHeight="1" spans="1:15">
      <c r="A175" s="48"/>
      <c r="B175" s="25">
        <f t="shared" si="15"/>
        <v>0</v>
      </c>
      <c r="C175" s="49"/>
      <c r="D175" s="50"/>
      <c r="E175" s="70"/>
      <c r="F175" s="25">
        <f t="shared" si="16"/>
        <v>0</v>
      </c>
      <c r="G175" s="189"/>
      <c r="H175" s="36" t="s">
        <v>117</v>
      </c>
      <c r="I175" s="188">
        <v>100</v>
      </c>
      <c r="J175" s="65" t="s">
        <v>106</v>
      </c>
      <c r="K175" s="207" t="s">
        <v>110</v>
      </c>
      <c r="L175" s="82"/>
      <c r="M175" s="56"/>
      <c r="N175" s="65"/>
      <c r="O175" s="67"/>
    </row>
    <row r="176" s="2" customFormat="1" ht="18" customHeight="1" spans="1:15">
      <c r="A176" s="48"/>
      <c r="B176" s="25">
        <f t="shared" si="15"/>
        <v>0</v>
      </c>
      <c r="C176" s="49"/>
      <c r="D176" s="50"/>
      <c r="E176" s="70"/>
      <c r="F176" s="25">
        <f t="shared" si="16"/>
        <v>0</v>
      </c>
      <c r="G176" s="189"/>
      <c r="H176" s="36" t="s">
        <v>117</v>
      </c>
      <c r="I176" s="188"/>
      <c r="J176" s="63"/>
      <c r="K176" s="207"/>
      <c r="L176" s="82"/>
      <c r="M176" s="56"/>
      <c r="N176" s="65"/>
      <c r="O176" s="67"/>
    </row>
    <row r="177" s="2" customFormat="1" ht="18" customHeight="1" spans="1:15">
      <c r="A177" s="48"/>
      <c r="B177" s="25">
        <f t="shared" si="15"/>
        <v>0</v>
      </c>
      <c r="C177" s="49"/>
      <c r="D177" s="50"/>
      <c r="E177" s="70"/>
      <c r="F177" s="25">
        <f t="shared" si="16"/>
        <v>0</v>
      </c>
      <c r="G177" s="189"/>
      <c r="H177" s="36" t="s">
        <v>127</v>
      </c>
      <c r="I177" s="188">
        <v>-93700</v>
      </c>
      <c r="J177" s="63" t="s">
        <v>125</v>
      </c>
      <c r="K177" s="148" t="s">
        <v>126</v>
      </c>
      <c r="L177" s="82"/>
      <c r="M177" s="56"/>
      <c r="N177" s="65"/>
      <c r="O177" s="67"/>
    </row>
    <row r="178" s="2" customFormat="1" ht="18" customHeight="1" spans="1:16">
      <c r="A178" s="48"/>
      <c r="B178" s="25">
        <f t="shared" si="15"/>
        <v>0</v>
      </c>
      <c r="C178" s="49"/>
      <c r="D178" s="50"/>
      <c r="E178" s="70"/>
      <c r="F178" s="25">
        <f t="shared" si="16"/>
        <v>0</v>
      </c>
      <c r="G178" s="189"/>
      <c r="H178" s="36" t="s">
        <v>127</v>
      </c>
      <c r="I178" s="71">
        <v>50</v>
      </c>
      <c r="J178" s="65" t="s">
        <v>106</v>
      </c>
      <c r="K178" s="148" t="s">
        <v>110</v>
      </c>
      <c r="L178" s="82"/>
      <c r="M178" s="56"/>
      <c r="N178" s="65"/>
      <c r="O178" s="67"/>
      <c r="P178" s="2">
        <f>I180+I173+I162</f>
        <v>387045</v>
      </c>
    </row>
    <row r="179" s="2" customFormat="1" ht="18" customHeight="1" spans="1:15">
      <c r="A179" s="48"/>
      <c r="B179" s="25">
        <f t="shared" si="15"/>
        <v>0</v>
      </c>
      <c r="C179" s="49"/>
      <c r="D179" s="50"/>
      <c r="E179" s="70"/>
      <c r="F179" s="25">
        <f t="shared" si="16"/>
        <v>0</v>
      </c>
      <c r="G179" s="189"/>
      <c r="H179" s="36" t="s">
        <v>127</v>
      </c>
      <c r="I179" s="210">
        <v>-21725</v>
      </c>
      <c r="J179" s="56" t="s">
        <v>112</v>
      </c>
      <c r="K179" s="238" t="s">
        <v>159</v>
      </c>
      <c r="L179" s="82"/>
      <c r="M179" s="56"/>
      <c r="N179" s="65"/>
      <c r="O179" s="67"/>
    </row>
    <row r="180" s="2" customFormat="1" ht="18" customHeight="1" spans="1:15">
      <c r="A180" s="48"/>
      <c r="B180" s="25">
        <f t="shared" si="15"/>
        <v>0</v>
      </c>
      <c r="C180" s="49"/>
      <c r="D180" s="50"/>
      <c r="E180" s="46"/>
      <c r="F180" s="25">
        <f t="shared" si="16"/>
        <v>0</v>
      </c>
      <c r="G180" s="189"/>
      <c r="H180" s="36" t="s">
        <v>129</v>
      </c>
      <c r="I180" s="237">
        <v>243021</v>
      </c>
      <c r="J180" s="227" t="s">
        <v>106</v>
      </c>
      <c r="K180" s="205" t="s">
        <v>124</v>
      </c>
      <c r="L180" s="67"/>
      <c r="M180" s="65"/>
      <c r="N180" s="65"/>
      <c r="O180" s="67"/>
    </row>
    <row r="181" s="2" customFormat="1" ht="18" customHeight="1" spans="1:15">
      <c r="A181" s="48"/>
      <c r="B181" s="25">
        <f t="shared" si="15"/>
        <v>0</v>
      </c>
      <c r="C181" s="49"/>
      <c r="D181" s="50"/>
      <c r="E181" s="46"/>
      <c r="F181" s="25">
        <f t="shared" si="16"/>
        <v>0</v>
      </c>
      <c r="G181" s="189"/>
      <c r="H181" s="36" t="s">
        <v>129</v>
      </c>
      <c r="I181" s="188">
        <v>2340</v>
      </c>
      <c r="J181" s="63" t="s">
        <v>106</v>
      </c>
      <c r="K181" s="207" t="s">
        <v>123</v>
      </c>
      <c r="L181" s="67"/>
      <c r="M181" s="65"/>
      <c r="N181" s="65"/>
      <c r="O181" s="67"/>
    </row>
    <row r="182" s="2" customFormat="1" ht="18" customHeight="1" spans="1:15">
      <c r="A182" s="48"/>
      <c r="B182" s="25">
        <f t="shared" si="15"/>
        <v>0</v>
      </c>
      <c r="C182" s="49"/>
      <c r="D182" s="50"/>
      <c r="E182" s="46"/>
      <c r="F182" s="25">
        <f t="shared" si="16"/>
        <v>0</v>
      </c>
      <c r="G182" s="189"/>
      <c r="H182" s="36" t="s">
        <v>129</v>
      </c>
      <c r="I182" s="188">
        <v>500</v>
      </c>
      <c r="J182" s="63" t="s">
        <v>106</v>
      </c>
      <c r="K182" s="148" t="s">
        <v>130</v>
      </c>
      <c r="L182" s="67"/>
      <c r="M182" s="65"/>
      <c r="N182" s="65"/>
      <c r="O182" s="67"/>
    </row>
    <row r="183" s="2" customFormat="1" ht="18" customHeight="1" spans="1:15">
      <c r="A183" s="48"/>
      <c r="B183" s="25"/>
      <c r="C183" s="49"/>
      <c r="D183" s="50"/>
      <c r="E183" s="46"/>
      <c r="F183" s="25"/>
      <c r="G183" s="189"/>
      <c r="H183" s="36" t="s">
        <v>129</v>
      </c>
      <c r="I183" s="210">
        <v>55725</v>
      </c>
      <c r="J183" s="56" t="s">
        <v>120</v>
      </c>
      <c r="K183" s="238" t="s">
        <v>121</v>
      </c>
      <c r="L183" s="67"/>
      <c r="M183" s="65"/>
      <c r="N183" s="65"/>
      <c r="O183" s="67"/>
    </row>
    <row r="184" s="2" customFormat="1" ht="18" customHeight="1" spans="1:15">
      <c r="A184" s="48"/>
      <c r="B184" s="25">
        <f t="shared" ref="B184:B189" si="17">ROUND(G184/(1+E184),2)</f>
        <v>0</v>
      </c>
      <c r="C184" s="49"/>
      <c r="D184" s="50"/>
      <c r="E184" s="46"/>
      <c r="F184" s="25">
        <f t="shared" ref="F184:F189" si="18">ROUND(G184/(1+E184)*E184,2)</f>
        <v>0</v>
      </c>
      <c r="G184" s="189"/>
      <c r="H184" s="36" t="s">
        <v>129</v>
      </c>
      <c r="I184" s="188">
        <v>8500</v>
      </c>
      <c r="J184" s="63" t="s">
        <v>125</v>
      </c>
      <c r="K184" s="148" t="s">
        <v>126</v>
      </c>
      <c r="L184" s="67"/>
      <c r="M184" s="65"/>
      <c r="N184" s="65"/>
      <c r="O184" s="67"/>
    </row>
    <row r="185" s="2" customFormat="1" ht="18" customHeight="1" spans="1:15">
      <c r="A185" s="48"/>
      <c r="B185" s="25">
        <f t="shared" si="17"/>
        <v>0</v>
      </c>
      <c r="C185" s="49"/>
      <c r="D185" s="50"/>
      <c r="E185" s="46"/>
      <c r="F185" s="25">
        <f t="shared" si="18"/>
        <v>0</v>
      </c>
      <c r="G185" s="189"/>
      <c r="H185" s="36" t="s">
        <v>131</v>
      </c>
      <c r="I185" s="188">
        <v>8800</v>
      </c>
      <c r="J185" s="63" t="s">
        <v>125</v>
      </c>
      <c r="K185" s="148" t="s">
        <v>126</v>
      </c>
      <c r="L185" s="67"/>
      <c r="M185" s="65"/>
      <c r="N185" s="65"/>
      <c r="O185" s="67"/>
    </row>
    <row r="186" s="2" customFormat="1" ht="18" customHeight="1" spans="1:15">
      <c r="A186" s="48"/>
      <c r="B186" s="25">
        <f t="shared" si="17"/>
        <v>0</v>
      </c>
      <c r="C186" s="49"/>
      <c r="D186" s="50"/>
      <c r="E186" s="46"/>
      <c r="F186" s="25">
        <f t="shared" si="18"/>
        <v>0</v>
      </c>
      <c r="G186" s="189"/>
      <c r="H186" s="36" t="s">
        <v>131</v>
      </c>
      <c r="I186" s="188">
        <v>35200</v>
      </c>
      <c r="J186" s="63" t="s">
        <v>125</v>
      </c>
      <c r="K186" s="148" t="s">
        <v>126</v>
      </c>
      <c r="L186" s="67"/>
      <c r="M186" s="65"/>
      <c r="N186" s="65"/>
      <c r="O186" s="67"/>
    </row>
    <row r="187" s="2" customFormat="1" ht="18" customHeight="1" spans="1:15">
      <c r="A187" s="48"/>
      <c r="B187" s="25">
        <f t="shared" si="17"/>
        <v>0</v>
      </c>
      <c r="C187" s="49"/>
      <c r="D187" s="50"/>
      <c r="E187" s="46"/>
      <c r="F187" s="25">
        <f t="shared" si="18"/>
        <v>0</v>
      </c>
      <c r="G187" s="189"/>
      <c r="H187" s="36" t="s">
        <v>131</v>
      </c>
      <c r="I187" s="188">
        <f>B9*E204</f>
        <v>2400</v>
      </c>
      <c r="J187" s="63" t="s">
        <v>106</v>
      </c>
      <c r="K187" s="148" t="s">
        <v>132</v>
      </c>
      <c r="L187" s="67"/>
      <c r="M187" s="65"/>
      <c r="N187" s="65"/>
      <c r="O187" s="67"/>
    </row>
    <row r="188" s="1" customFormat="1" ht="18" customHeight="1" spans="1:15">
      <c r="A188" s="43"/>
      <c r="B188" s="25">
        <f t="shared" si="17"/>
        <v>0</v>
      </c>
      <c r="C188" s="44"/>
      <c r="D188" s="45"/>
      <c r="E188" s="46"/>
      <c r="F188" s="25">
        <f t="shared" si="18"/>
        <v>0</v>
      </c>
      <c r="G188" s="189"/>
      <c r="H188" s="31" t="s">
        <v>133</v>
      </c>
      <c r="I188" s="188">
        <v>41200</v>
      </c>
      <c r="J188" s="63" t="s">
        <v>125</v>
      </c>
      <c r="K188" s="148" t="s">
        <v>126</v>
      </c>
      <c r="L188" s="60"/>
      <c r="M188" s="61"/>
      <c r="N188" s="61"/>
      <c r="O188" s="60"/>
    </row>
    <row r="189" s="1" customFormat="1" ht="18" customHeight="1" spans="1:15">
      <c r="A189" s="43"/>
      <c r="B189" s="25">
        <f t="shared" si="17"/>
        <v>0</v>
      </c>
      <c r="C189" s="44"/>
      <c r="D189" s="45"/>
      <c r="E189" s="46"/>
      <c r="F189" s="25">
        <f t="shared" si="18"/>
        <v>0</v>
      </c>
      <c r="G189" s="189"/>
      <c r="H189" s="31" t="s">
        <v>133</v>
      </c>
      <c r="I189" s="188">
        <v>2248</v>
      </c>
      <c r="J189" s="63" t="s">
        <v>106</v>
      </c>
      <c r="K189" s="148" t="s">
        <v>160</v>
      </c>
      <c r="L189" s="60"/>
      <c r="M189" s="61"/>
      <c r="N189" s="61"/>
      <c r="O189" s="60"/>
    </row>
    <row r="190" s="1" customFormat="1" ht="18" customHeight="1" spans="1:15">
      <c r="A190" s="43"/>
      <c r="B190" s="25"/>
      <c r="C190" s="44"/>
      <c r="D190" s="45"/>
      <c r="E190" s="46"/>
      <c r="F190" s="25"/>
      <c r="G190" s="189"/>
      <c r="H190" s="36" t="s">
        <v>134</v>
      </c>
      <c r="I190" s="188">
        <v>2782</v>
      </c>
      <c r="J190" s="63" t="s">
        <v>106</v>
      </c>
      <c r="K190" s="148" t="s">
        <v>160</v>
      </c>
      <c r="L190" s="60"/>
      <c r="M190" s="61"/>
      <c r="N190" s="61"/>
      <c r="O190" s="60"/>
    </row>
    <row r="191" s="1" customFormat="1" ht="18" customHeight="1" spans="1:15">
      <c r="A191" s="43"/>
      <c r="B191" s="25">
        <f>ROUND(G191/(1+E191),2)</f>
        <v>0</v>
      </c>
      <c r="C191" s="44"/>
      <c r="D191" s="45"/>
      <c r="E191" s="46"/>
      <c r="F191" s="25">
        <f>ROUND(G191/(1+E191)*E191,2)</f>
        <v>0</v>
      </c>
      <c r="G191" s="189"/>
      <c r="H191" s="36" t="s">
        <v>134</v>
      </c>
      <c r="I191" s="188">
        <v>950</v>
      </c>
      <c r="J191" s="63" t="s">
        <v>106</v>
      </c>
      <c r="K191" s="148" t="s">
        <v>130</v>
      </c>
      <c r="L191" s="60"/>
      <c r="M191" s="61"/>
      <c r="N191" s="61"/>
      <c r="O191" s="60"/>
    </row>
    <row r="192" s="1" customFormat="1" ht="18" customHeight="1" spans="1:15">
      <c r="A192" s="43"/>
      <c r="B192" s="25">
        <f>ROUND(G192/(1+E192),2)</f>
        <v>132850</v>
      </c>
      <c r="C192" s="44"/>
      <c r="D192" s="45"/>
      <c r="E192" s="46"/>
      <c r="F192" s="25">
        <f>ROUND(G192/(1+E192)*E192,2)</f>
        <v>0</v>
      </c>
      <c r="G192" s="189">
        <f>46100+17600+4400+17000+4250+34800+8700</f>
        <v>132850</v>
      </c>
      <c r="H192" s="31"/>
      <c r="I192" s="32">
        <f>G192</f>
        <v>132850</v>
      </c>
      <c r="J192" s="63" t="s">
        <v>106</v>
      </c>
      <c r="K192" s="148" t="s">
        <v>161</v>
      </c>
      <c r="L192" s="60"/>
      <c r="M192" s="61"/>
      <c r="N192" s="61"/>
      <c r="O192" s="60"/>
    </row>
    <row r="193" s="1" customFormat="1" ht="18" customHeight="1" spans="1:15">
      <c r="A193" s="43"/>
      <c r="B193" s="25"/>
      <c r="C193" s="44"/>
      <c r="D193" s="45"/>
      <c r="E193" s="46"/>
      <c r="F193" s="25"/>
      <c r="G193" s="239"/>
      <c r="H193" s="31"/>
      <c r="I193" s="141">
        <v>-3000000</v>
      </c>
      <c r="J193" s="249"/>
      <c r="K193" s="250" t="s">
        <v>162</v>
      </c>
      <c r="L193" s="60"/>
      <c r="M193" s="61"/>
      <c r="N193" s="61"/>
      <c r="O193" s="60"/>
    </row>
    <row r="194" ht="18" customHeight="1" spans="1:15">
      <c r="A194" s="39" t="s">
        <v>22</v>
      </c>
      <c r="B194" s="38">
        <f>SUM(B29:B192)</f>
        <v>38820085.23</v>
      </c>
      <c r="C194" s="39"/>
      <c r="D194" s="240"/>
      <c r="E194" s="240"/>
      <c r="F194" s="241">
        <f>SUM(F29:F192)</f>
        <v>2077791.11</v>
      </c>
      <c r="G194" s="242">
        <f>SUM(G29:G192)</f>
        <v>40897876.34</v>
      </c>
      <c r="H194" s="243"/>
      <c r="I194" s="190">
        <f>SUM(I29:I193)</f>
        <v>33459982.4885321</v>
      </c>
      <c r="J194" s="251"/>
      <c r="K194" s="252"/>
      <c r="L194" s="191"/>
      <c r="M194" s="40"/>
      <c r="N194" s="40"/>
      <c r="O194" s="191"/>
    </row>
    <row r="195" ht="18" customHeight="1" spans="1:14">
      <c r="A195" s="99"/>
      <c r="B195" s="100">
        <f>B26*0.92-B194</f>
        <v>-6319454.70456213</v>
      </c>
      <c r="C195" s="99"/>
      <c r="D195" s="244"/>
      <c r="E195" s="244"/>
      <c r="F195" s="100">
        <f>F26-F194</f>
        <v>518901.13353628</v>
      </c>
      <c r="G195" s="100"/>
      <c r="H195" s="30" t="s">
        <v>136</v>
      </c>
      <c r="I195" s="190">
        <f>I26-I194</f>
        <v>5170017.51146789</v>
      </c>
      <c r="J195" s="14"/>
      <c r="K195" s="253"/>
      <c r="M195" s="13"/>
      <c r="N195" s="13"/>
    </row>
    <row r="196" ht="18" customHeight="1" spans="1:3">
      <c r="A196" s="6" t="s">
        <v>137</v>
      </c>
      <c r="C196" s="6"/>
    </row>
    <row r="197" ht="18" customHeight="1" spans="1:19">
      <c r="A197" s="30" t="s">
        <v>138</v>
      </c>
      <c r="B197" s="28" t="s">
        <v>139</v>
      </c>
      <c r="C197" s="191"/>
      <c r="D197" s="30" t="s">
        <v>138</v>
      </c>
      <c r="E197" s="27" t="s">
        <v>15</v>
      </c>
      <c r="F197" s="28" t="s">
        <v>139</v>
      </c>
      <c r="G197" s="28" t="s">
        <v>140</v>
      </c>
      <c r="H197" s="28" t="s">
        <v>141</v>
      </c>
      <c r="I197" s="28" t="s">
        <v>142</v>
      </c>
      <c r="K197" s="28" t="s">
        <v>143</v>
      </c>
      <c r="L197" s="254"/>
      <c r="M197" s="28" t="s">
        <v>144</v>
      </c>
      <c r="N197" s="134" t="s">
        <v>144</v>
      </c>
      <c r="O197" s="255"/>
      <c r="P197" s="242" t="s">
        <v>145</v>
      </c>
      <c r="Q197" s="242" t="s">
        <v>163</v>
      </c>
      <c r="R197" s="256" t="s">
        <v>187</v>
      </c>
      <c r="S197" s="257" t="s">
        <v>192</v>
      </c>
    </row>
    <row r="198" ht="18" customHeight="1" spans="1:19">
      <c r="A198" s="191" t="s">
        <v>146</v>
      </c>
      <c r="B198" s="25">
        <f>(B26-B194)*0.25</f>
        <v>-873328.229935361</v>
      </c>
      <c r="C198" s="191"/>
      <c r="D198" s="18" t="s">
        <v>147</v>
      </c>
      <c r="E198" s="40" t="s">
        <v>148</v>
      </c>
      <c r="F198" s="245">
        <f>F26-F194</f>
        <v>518901.13353628</v>
      </c>
      <c r="G198" s="245">
        <f>F7-F29-F31-F34-F35-F38</f>
        <v>-333763.749090909</v>
      </c>
      <c r="H198" s="245">
        <f>F8-F43</f>
        <v>299461.603636364</v>
      </c>
      <c r="I198" s="245">
        <f>F9-F45-F46-F48-F53-F54-F55-F56-F58</f>
        <v>49772.4599999999</v>
      </c>
      <c r="K198" s="245">
        <f>F10-F79-F80-F81-F82-F83</f>
        <v>205457.659816514</v>
      </c>
      <c r="L198" s="254"/>
      <c r="M198" s="245">
        <f>F11-F84-F92-F93-F95</f>
        <v>390316.376330275</v>
      </c>
      <c r="N198" s="134">
        <v>-259385.7</v>
      </c>
      <c r="O198" s="255"/>
      <c r="P198" s="242"/>
      <c r="Q198" s="258"/>
      <c r="R198" s="234"/>
      <c r="S198" s="259">
        <f>F198-K198-(M198+N198)</f>
        <v>182512.797389491</v>
      </c>
    </row>
    <row r="199" ht="18" customHeight="1" spans="1:19">
      <c r="A199" s="191" t="s">
        <v>149</v>
      </c>
      <c r="B199" s="21" t="s">
        <v>150</v>
      </c>
      <c r="C199" s="191"/>
      <c r="D199" s="246" t="s">
        <v>151</v>
      </c>
      <c r="E199" s="22">
        <v>0.05</v>
      </c>
      <c r="F199" s="32">
        <f>F198*E199</f>
        <v>25945.056676814</v>
      </c>
      <c r="G199" s="32">
        <v>0</v>
      </c>
      <c r="H199" s="32">
        <v>0</v>
      </c>
      <c r="I199" s="32">
        <v>0</v>
      </c>
      <c r="K199" s="32">
        <f>K198*E199</f>
        <v>10272.8829908257</v>
      </c>
      <c r="L199" s="254"/>
      <c r="M199" s="32">
        <f>M198*E199</f>
        <v>19515.8188165138</v>
      </c>
      <c r="N199" s="134">
        <f>N198*E199</f>
        <v>-12969.285</v>
      </c>
      <c r="O199" s="255"/>
      <c r="P199" s="242"/>
      <c r="Q199" s="258"/>
      <c r="R199" s="234"/>
      <c r="S199" s="259">
        <f>S198*0.07</f>
        <v>12775.8958172644</v>
      </c>
    </row>
    <row r="200" ht="18" customHeight="1" spans="1:19">
      <c r="A200" s="191" t="s">
        <v>123</v>
      </c>
      <c r="B200" s="247">
        <f>B26*0.0006</f>
        <v>21196.0633861551</v>
      </c>
      <c r="C200" s="191"/>
      <c r="D200" s="246" t="s">
        <v>152</v>
      </c>
      <c r="E200" s="22">
        <v>0.03</v>
      </c>
      <c r="F200" s="32">
        <f>F198*E200</f>
        <v>15567.0340060884</v>
      </c>
      <c r="G200" s="32">
        <v>0</v>
      </c>
      <c r="H200" s="32">
        <v>0</v>
      </c>
      <c r="I200" s="32">
        <v>0</v>
      </c>
      <c r="K200" s="32">
        <f>K198*E200</f>
        <v>6163.72979449541</v>
      </c>
      <c r="L200" s="254"/>
      <c r="M200" s="32">
        <f>M198*E200</f>
        <v>11709.4912899083</v>
      </c>
      <c r="N200" s="134">
        <f>N198*E200</f>
        <v>-7781.571</v>
      </c>
      <c r="O200" s="255"/>
      <c r="P200" s="242"/>
      <c r="Q200" s="258"/>
      <c r="R200" s="234"/>
      <c r="S200" s="259">
        <f>S198*0.03</f>
        <v>5475.38392168473</v>
      </c>
    </row>
    <row r="201" ht="18" customHeight="1" spans="1:19">
      <c r="A201" s="191"/>
      <c r="B201" s="32"/>
      <c r="C201" s="191"/>
      <c r="D201" s="246" t="s">
        <v>153</v>
      </c>
      <c r="E201" s="22">
        <v>0.02</v>
      </c>
      <c r="F201" s="32">
        <f>F198*E201</f>
        <v>10378.0226707256</v>
      </c>
      <c r="G201" s="32">
        <v>0</v>
      </c>
      <c r="H201" s="32">
        <v>0</v>
      </c>
      <c r="I201" s="32">
        <v>0</v>
      </c>
      <c r="K201" s="32">
        <f>K198*E201</f>
        <v>4109.15319633028</v>
      </c>
      <c r="L201" s="254"/>
      <c r="M201" s="32">
        <f>M198*E201</f>
        <v>7806.32752660551</v>
      </c>
      <c r="N201" s="134">
        <f>N198*E201</f>
        <v>-5187.714</v>
      </c>
      <c r="O201" s="255"/>
      <c r="P201" s="242"/>
      <c r="Q201" s="258"/>
      <c r="R201" s="234"/>
      <c r="S201" s="259">
        <f>S198*0.02</f>
        <v>3650.25594778982</v>
      </c>
    </row>
    <row r="202" ht="18" customHeight="1" spans="1:19">
      <c r="A202" s="37" t="s">
        <v>154</v>
      </c>
      <c r="B202" s="38">
        <f>SUM(B198:B201)</f>
        <v>-852132.166549206</v>
      </c>
      <c r="C202" s="191"/>
      <c r="D202" s="37" t="s">
        <v>154</v>
      </c>
      <c r="E202" s="37"/>
      <c r="F202" s="241">
        <f>SUM(F198:F201)</f>
        <v>570791.246889908</v>
      </c>
      <c r="G202" s="241">
        <v>0</v>
      </c>
      <c r="H202" s="241">
        <v>0</v>
      </c>
      <c r="I202" s="241">
        <v>0</v>
      </c>
      <c r="K202" s="241">
        <f t="shared" ref="K202:N202" si="19">SUM(K198:K201)</f>
        <v>226003.425798165</v>
      </c>
      <c r="L202" s="254"/>
      <c r="M202" s="241">
        <f t="shared" si="19"/>
        <v>429348.013963303</v>
      </c>
      <c r="N202" s="134">
        <f t="shared" si="19"/>
        <v>-285324.27</v>
      </c>
      <c r="O202" s="255"/>
      <c r="P202" s="242"/>
      <c r="Q202" s="258"/>
      <c r="R202" s="234"/>
      <c r="S202" s="257">
        <f>SUM(S198:S201)</f>
        <v>204414.33307623</v>
      </c>
    </row>
    <row r="203" ht="18" customHeight="1" spans="3:19">
      <c r="C203" s="6"/>
      <c r="D203" s="20" t="s">
        <v>149</v>
      </c>
      <c r="E203" s="248">
        <v>0.0003</v>
      </c>
      <c r="F203" s="32">
        <v>0</v>
      </c>
      <c r="G203" s="32"/>
      <c r="H203" s="32"/>
      <c r="I203" s="32">
        <v>0</v>
      </c>
      <c r="K203" s="32"/>
      <c r="M203" s="32"/>
      <c r="N203" s="134"/>
      <c r="O203" s="255"/>
      <c r="P203" s="242"/>
      <c r="Q203" s="258"/>
      <c r="R203" s="234"/>
      <c r="S203" s="259"/>
    </row>
    <row r="204" ht="18" customHeight="1" spans="3:19">
      <c r="C204" s="6"/>
      <c r="D204" s="20" t="s">
        <v>123</v>
      </c>
      <c r="E204" s="248">
        <v>0.0006</v>
      </c>
      <c r="F204" s="32">
        <f>B26*E204</f>
        <v>21196.0633861551</v>
      </c>
      <c r="G204" s="32">
        <f>B7*E204</f>
        <v>2781.81818181818</v>
      </c>
      <c r="H204" s="32">
        <f>B8*E204</f>
        <v>2247.27272727273</v>
      </c>
      <c r="I204" s="32">
        <f>B9*E204</f>
        <v>2400</v>
      </c>
      <c r="K204" s="32">
        <f>B10*E204</f>
        <v>2339.4495412844</v>
      </c>
      <c r="L204" s="254"/>
      <c r="M204" s="32">
        <f>B11*E204</f>
        <v>4788.99082568807</v>
      </c>
      <c r="N204" s="134"/>
      <c r="O204" s="255"/>
      <c r="P204" s="242">
        <v>853.21</v>
      </c>
      <c r="Q204" s="258">
        <f>E204*B13</f>
        <v>1992.66055045872</v>
      </c>
      <c r="R204" s="256">
        <f>E204*B14</f>
        <v>946.788990825688</v>
      </c>
      <c r="S204" s="259">
        <f>B15*E204</f>
        <v>2845.87155963303</v>
      </c>
    </row>
    <row r="205" ht="18" customHeight="1" spans="3:19">
      <c r="C205" s="6"/>
      <c r="D205" s="39" t="s">
        <v>22</v>
      </c>
      <c r="E205" s="39"/>
      <c r="F205" s="190">
        <f>F202+F203+F204</f>
        <v>591987.310276063</v>
      </c>
      <c r="G205" s="190"/>
      <c r="H205" s="190"/>
      <c r="I205" s="190"/>
      <c r="K205" s="190"/>
      <c r="M205" s="191">
        <f>M202+M204</f>
        <v>434137.004788991</v>
      </c>
      <c r="N205" s="134"/>
      <c r="O205" s="255"/>
      <c r="P205" s="242"/>
      <c r="Q205" s="258"/>
      <c r="R205" s="234"/>
      <c r="S205" s="259"/>
    </row>
    <row r="206" ht="18" customHeight="1" spans="3:19">
      <c r="C206" s="6"/>
      <c r="D206" s="20" t="s">
        <v>121</v>
      </c>
      <c r="E206" s="248">
        <v>0.02</v>
      </c>
      <c r="F206" s="32">
        <f>B26*E206</f>
        <v>706535.446205171</v>
      </c>
      <c r="G206" s="32"/>
      <c r="H206" s="32"/>
      <c r="I206" s="32"/>
      <c r="K206" s="190"/>
      <c r="M206" s="32">
        <f>(SUM(B7:B11))*E206</f>
        <v>485251.042535446</v>
      </c>
      <c r="N206" s="134"/>
      <c r="O206" s="255"/>
      <c r="P206" s="242">
        <f>B12*0.02</f>
        <v>28440.3669724771</v>
      </c>
      <c r="Q206" s="258">
        <f>G13*E206</f>
        <v>72400</v>
      </c>
      <c r="R206" s="256">
        <f>G14*E206</f>
        <v>34400</v>
      </c>
      <c r="S206" s="259"/>
    </row>
    <row r="207" ht="18" customHeight="1" spans="3:3">
      <c r="C207" s="6"/>
    </row>
    <row r="208" ht="18" customHeight="1" spans="3:3">
      <c r="C208" s="6"/>
    </row>
    <row r="209" ht="18" customHeight="1" spans="3:3">
      <c r="C209" s="6"/>
    </row>
    <row r="210" spans="3:3">
      <c r="C210" s="6"/>
    </row>
    <row r="211" spans="3:3">
      <c r="C211" s="6"/>
    </row>
    <row r="212" spans="3:3">
      <c r="C212" s="6"/>
    </row>
    <row r="213" spans="3:3">
      <c r="C213" s="6"/>
    </row>
    <row r="214" spans="3:3">
      <c r="C214" s="6"/>
    </row>
    <row r="215" spans="3:3">
      <c r="C215" s="6"/>
    </row>
    <row r="216" spans="3:3">
      <c r="C216" s="6"/>
    </row>
    <row r="217" spans="3:3">
      <c r="C217" s="6"/>
    </row>
    <row r="218" spans="3:3">
      <c r="C218" s="6"/>
    </row>
    <row r="219" spans="3:3">
      <c r="C219" s="6"/>
    </row>
    <row r="220" spans="3:3">
      <c r="C220" s="6"/>
    </row>
    <row r="221" spans="3:3">
      <c r="C221" s="6"/>
    </row>
    <row r="222" spans="3:3">
      <c r="C222" s="6"/>
    </row>
    <row r="223" spans="3:3">
      <c r="C223" s="6"/>
    </row>
    <row r="224" spans="3:3">
      <c r="C224" s="6"/>
    </row>
    <row r="225" spans="3:3">
      <c r="C225" s="6"/>
    </row>
  </sheetData>
  <autoFilter ref="A28:Q206">
    <extLst/>
  </autoFilter>
  <mergeCells count="18">
    <mergeCell ref="A1:J1"/>
    <mergeCell ref="H2:J2"/>
    <mergeCell ref="C5:D5"/>
    <mergeCell ref="E5:F5"/>
    <mergeCell ref="H5:J5"/>
    <mergeCell ref="N197:O197"/>
    <mergeCell ref="N198:O198"/>
    <mergeCell ref="N199:O199"/>
    <mergeCell ref="N200:O200"/>
    <mergeCell ref="N201:O201"/>
    <mergeCell ref="N202:O202"/>
    <mergeCell ref="N203:O203"/>
    <mergeCell ref="N204:O204"/>
    <mergeCell ref="N205:O205"/>
    <mergeCell ref="N206:O206"/>
    <mergeCell ref="A5:A6"/>
    <mergeCell ref="B5:B6"/>
    <mergeCell ref="G5:G6"/>
  </mergeCells>
  <pageMargins left="0.75" right="0.75" top="1" bottom="1" header="0.5" footer="0.5"/>
  <pageSetup paperSize="9" orientation="portrait"/>
  <headerFooter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233"/>
  <sheetViews>
    <sheetView topLeftCell="E115" workbookViewId="0">
      <selection activeCell="F207" sqref="F207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9" width="11.1333333333333" style="14"/>
    <col min="20" max="16384" width="9" style="14"/>
  </cols>
  <sheetData>
    <row r="2" ht="21.95" customHeight="1" spans="1:12">
      <c r="A2" s="15" t="s">
        <v>0</v>
      </c>
      <c r="B2" s="15"/>
      <c r="C2" s="15"/>
      <c r="D2" s="15"/>
      <c r="E2" s="15"/>
      <c r="F2" s="16"/>
      <c r="G2" s="16"/>
      <c r="H2" s="15"/>
      <c r="I2" s="16"/>
      <c r="J2" s="15"/>
      <c r="K2" s="26"/>
      <c r="L2" s="26"/>
    </row>
    <row r="3" ht="18" customHeight="1" spans="1:12">
      <c r="A3" s="18" t="s">
        <v>1</v>
      </c>
      <c r="B3" s="19">
        <v>42984</v>
      </c>
      <c r="C3" s="20" t="s">
        <v>2</v>
      </c>
      <c r="D3" s="32">
        <v>51348718</v>
      </c>
      <c r="E3" s="22" t="s">
        <v>3</v>
      </c>
      <c r="F3" s="32"/>
      <c r="G3" s="21" t="s">
        <v>4</v>
      </c>
      <c r="H3" s="187" t="s">
        <v>5</v>
      </c>
      <c r="I3" s="192"/>
      <c r="J3" s="193"/>
      <c r="K3" s="26"/>
      <c r="L3" s="26"/>
    </row>
    <row r="4" ht="18" customHeight="1" spans="1:12">
      <c r="A4" s="18" t="s">
        <v>6</v>
      </c>
      <c r="B4" s="25"/>
      <c r="C4" s="20" t="s">
        <v>7</v>
      </c>
      <c r="D4" s="20"/>
      <c r="H4" s="26"/>
      <c r="I4" s="53"/>
      <c r="J4" s="26"/>
      <c r="K4" s="26"/>
      <c r="L4" s="26"/>
    </row>
    <row r="5" ht="18" customHeight="1" spans="1:12">
      <c r="A5" s="6" t="s">
        <v>8</v>
      </c>
      <c r="H5" s="26"/>
      <c r="I5" s="53"/>
      <c r="J5" s="26"/>
      <c r="K5" s="26" t="s">
        <v>172</v>
      </c>
      <c r="L5" s="26"/>
    </row>
    <row r="6" ht="18" customHeight="1" spans="1:10">
      <c r="A6" s="27" t="s">
        <v>9</v>
      </c>
      <c r="B6" s="28" t="s">
        <v>10</v>
      </c>
      <c r="C6" s="27" t="s">
        <v>11</v>
      </c>
      <c r="D6" s="27"/>
      <c r="E6" s="27" t="s">
        <v>12</v>
      </c>
      <c r="F6" s="28"/>
      <c r="G6" s="28" t="s">
        <v>13</v>
      </c>
      <c r="H6" s="30" t="s">
        <v>14</v>
      </c>
      <c r="I6" s="28"/>
      <c r="J6" s="30"/>
    </row>
    <row r="7" ht="18" customHeight="1" spans="1:10">
      <c r="A7" s="27"/>
      <c r="B7" s="28"/>
      <c r="C7" s="27" t="s">
        <v>15</v>
      </c>
      <c r="D7" s="27" t="s">
        <v>16</v>
      </c>
      <c r="E7" s="27" t="s">
        <v>15</v>
      </c>
      <c r="F7" s="28" t="s">
        <v>16</v>
      </c>
      <c r="G7" s="28"/>
      <c r="H7" s="30" t="s">
        <v>17</v>
      </c>
      <c r="I7" s="28" t="s">
        <v>18</v>
      </c>
      <c r="J7" s="30" t="s">
        <v>19</v>
      </c>
    </row>
    <row r="8" ht="18" customHeight="1" spans="1:10">
      <c r="A8" s="31">
        <v>43242</v>
      </c>
      <c r="B8" s="32">
        <f t="shared" ref="B8:B26" si="0">G8/(1+C8+E8)</f>
        <v>4636363.63636364</v>
      </c>
      <c r="C8" s="33">
        <v>0.02</v>
      </c>
      <c r="D8" s="188">
        <f t="shared" ref="D8:D18" si="1">G8/(1+E8+C8)*C8</f>
        <v>92727.2727272727</v>
      </c>
      <c r="E8" s="33">
        <v>0.08</v>
      </c>
      <c r="F8" s="32">
        <f t="shared" ref="F8:F26" si="2">G8/(1+C8+E8)*E8</f>
        <v>370909.090909091</v>
      </c>
      <c r="G8" s="189">
        <v>5100000</v>
      </c>
      <c r="H8" s="31">
        <v>43250</v>
      </c>
      <c r="I8" s="32">
        <v>5100000</v>
      </c>
      <c r="J8" s="40" t="s">
        <v>20</v>
      </c>
    </row>
    <row r="9" ht="18" customHeight="1" spans="1:10">
      <c r="A9" s="31">
        <v>43304</v>
      </c>
      <c r="B9" s="32">
        <f t="shared" si="0"/>
        <v>3745454.54545454</v>
      </c>
      <c r="C9" s="33">
        <v>0.02</v>
      </c>
      <c r="D9" s="188">
        <f t="shared" si="1"/>
        <v>74909.0909090909</v>
      </c>
      <c r="E9" s="33">
        <v>0.08</v>
      </c>
      <c r="F9" s="32">
        <f t="shared" si="2"/>
        <v>299636.363636364</v>
      </c>
      <c r="G9" s="189">
        <v>4120000</v>
      </c>
      <c r="H9" s="31">
        <v>43314</v>
      </c>
      <c r="I9" s="32">
        <v>3296000</v>
      </c>
      <c r="J9" s="40" t="s">
        <v>20</v>
      </c>
    </row>
    <row r="10" ht="18" customHeight="1" spans="1:10">
      <c r="A10" s="31">
        <v>43487</v>
      </c>
      <c r="B10" s="32">
        <f t="shared" si="0"/>
        <v>4000000</v>
      </c>
      <c r="C10" s="33">
        <v>0.02</v>
      </c>
      <c r="D10" s="188">
        <f t="shared" si="1"/>
        <v>80000</v>
      </c>
      <c r="E10" s="33">
        <v>0.08</v>
      </c>
      <c r="F10" s="32">
        <f t="shared" si="2"/>
        <v>320000</v>
      </c>
      <c r="G10" s="189">
        <v>4400000</v>
      </c>
      <c r="H10" s="31">
        <v>43320</v>
      </c>
      <c r="I10" s="32">
        <v>824000</v>
      </c>
      <c r="J10" s="40" t="s">
        <v>21</v>
      </c>
    </row>
    <row r="11" ht="18" customHeight="1" spans="1:10">
      <c r="A11" s="31">
        <v>43759</v>
      </c>
      <c r="B11" s="32">
        <f t="shared" si="0"/>
        <v>3899082.56880734</v>
      </c>
      <c r="C11" s="33">
        <v>0.02</v>
      </c>
      <c r="D11" s="188">
        <f t="shared" si="1"/>
        <v>77981.6513761468</v>
      </c>
      <c r="E11" s="35">
        <v>0.07</v>
      </c>
      <c r="F11" s="32">
        <f t="shared" si="2"/>
        <v>272935.779816514</v>
      </c>
      <c r="G11" s="189">
        <v>4250000</v>
      </c>
      <c r="H11" s="31">
        <v>43494</v>
      </c>
      <c r="I11" s="32">
        <v>3520000</v>
      </c>
      <c r="J11" s="40" t="s">
        <v>20</v>
      </c>
    </row>
    <row r="12" ht="18" customHeight="1" spans="1:10">
      <c r="A12" s="31">
        <v>43816</v>
      </c>
      <c r="B12" s="32">
        <f t="shared" si="0"/>
        <v>7981651.37614679</v>
      </c>
      <c r="C12" s="33">
        <v>0.02</v>
      </c>
      <c r="D12" s="188">
        <f t="shared" si="1"/>
        <v>159633.027522936</v>
      </c>
      <c r="E12" s="35">
        <v>0.07</v>
      </c>
      <c r="F12" s="32">
        <f t="shared" si="2"/>
        <v>558715.596330275</v>
      </c>
      <c r="G12" s="189">
        <v>8700000</v>
      </c>
      <c r="H12" s="31">
        <v>43494</v>
      </c>
      <c r="I12" s="32">
        <v>880000</v>
      </c>
      <c r="J12" s="40" t="s">
        <v>21</v>
      </c>
    </row>
    <row r="13" ht="18" customHeight="1" spans="1:10">
      <c r="A13" s="31">
        <v>43931</v>
      </c>
      <c r="B13" s="32">
        <f t="shared" si="0"/>
        <v>1422018.34862385</v>
      </c>
      <c r="C13" s="33">
        <v>0.02</v>
      </c>
      <c r="D13" s="188">
        <f t="shared" si="1"/>
        <v>28440.3669724771</v>
      </c>
      <c r="E13" s="35">
        <v>0.07</v>
      </c>
      <c r="F13" s="32">
        <f t="shared" si="2"/>
        <v>99541.2844036697</v>
      </c>
      <c r="G13" s="189">
        <v>1550000</v>
      </c>
      <c r="H13" s="31">
        <v>43767</v>
      </c>
      <c r="I13" s="32">
        <v>3400000</v>
      </c>
      <c r="J13" s="40" t="s">
        <v>20</v>
      </c>
    </row>
    <row r="14" ht="18" customHeight="1" spans="1:10">
      <c r="A14" s="31">
        <v>43984</v>
      </c>
      <c r="B14" s="32">
        <f t="shared" si="0"/>
        <v>3321100.91743119</v>
      </c>
      <c r="C14" s="33">
        <v>0.02</v>
      </c>
      <c r="D14" s="188">
        <f t="shared" si="1"/>
        <v>66422.0183486239</v>
      </c>
      <c r="E14" s="35">
        <v>0.07</v>
      </c>
      <c r="F14" s="32">
        <f t="shared" si="2"/>
        <v>232477.064220183</v>
      </c>
      <c r="G14" s="189">
        <v>3620000</v>
      </c>
      <c r="H14" s="31">
        <v>43767</v>
      </c>
      <c r="I14" s="32">
        <v>850000</v>
      </c>
      <c r="J14" s="40" t="s">
        <v>21</v>
      </c>
    </row>
    <row r="15" ht="18" customHeight="1" spans="1:10">
      <c r="A15" s="31">
        <v>44049</v>
      </c>
      <c r="B15" s="32">
        <f t="shared" si="0"/>
        <v>1577981.65137615</v>
      </c>
      <c r="C15" s="35">
        <v>0.02</v>
      </c>
      <c r="D15" s="188">
        <f t="shared" si="1"/>
        <v>31559.6330275229</v>
      </c>
      <c r="E15" s="35">
        <v>0.07</v>
      </c>
      <c r="F15" s="32">
        <f t="shared" si="2"/>
        <v>110458.71559633</v>
      </c>
      <c r="G15" s="189">
        <v>1720000</v>
      </c>
      <c r="H15" s="31">
        <v>43824</v>
      </c>
      <c r="I15" s="32">
        <v>6960000</v>
      </c>
      <c r="J15" s="40" t="s">
        <v>20</v>
      </c>
    </row>
    <row r="16" ht="18" customHeight="1" spans="1:10">
      <c r="A16" s="31">
        <v>44077</v>
      </c>
      <c r="B16" s="32">
        <f t="shared" si="0"/>
        <v>4743119.26605505</v>
      </c>
      <c r="C16" s="35">
        <v>0.02</v>
      </c>
      <c r="D16" s="188">
        <f t="shared" si="1"/>
        <v>94862.3853211009</v>
      </c>
      <c r="E16" s="35">
        <v>0.07</v>
      </c>
      <c r="F16" s="32">
        <f t="shared" si="2"/>
        <v>332018.348623853</v>
      </c>
      <c r="G16" s="189">
        <v>5170000</v>
      </c>
      <c r="H16" s="31">
        <v>43824</v>
      </c>
      <c r="I16" s="32">
        <v>1740000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6">
        <v>43949</v>
      </c>
      <c r="I17" s="32">
        <v>310000</v>
      </c>
      <c r="J17" s="40" t="s">
        <v>21</v>
      </c>
    </row>
    <row r="18" ht="18" customHeight="1" spans="1:10">
      <c r="A18" s="31"/>
      <c r="B18" s="32">
        <f t="shared" si="0"/>
        <v>0</v>
      </c>
      <c r="C18" s="33"/>
      <c r="D18" s="188">
        <f t="shared" si="1"/>
        <v>0</v>
      </c>
      <c r="E18" s="33"/>
      <c r="F18" s="32">
        <f t="shared" si="2"/>
        <v>0</v>
      </c>
      <c r="G18" s="189"/>
      <c r="H18" s="31">
        <v>43949</v>
      </c>
      <c r="I18" s="32">
        <v>1240000</v>
      </c>
      <c r="J18" s="40" t="s">
        <v>20</v>
      </c>
    </row>
    <row r="19" ht="18" customHeight="1" spans="1:10">
      <c r="A19" s="31"/>
      <c r="B19" s="32">
        <f t="shared" si="0"/>
        <v>0</v>
      </c>
      <c r="C19" s="33"/>
      <c r="D19" s="188"/>
      <c r="E19" s="33"/>
      <c r="F19" s="32">
        <f t="shared" si="2"/>
        <v>0</v>
      </c>
      <c r="G19" s="189"/>
      <c r="H19" s="31">
        <v>43994</v>
      </c>
      <c r="I19" s="32">
        <v>2896000</v>
      </c>
      <c r="J19" s="40" t="s">
        <v>20</v>
      </c>
    </row>
    <row r="20" ht="18" customHeight="1" spans="1:10">
      <c r="A20" s="31"/>
      <c r="B20" s="32">
        <f t="shared" si="0"/>
        <v>0</v>
      </c>
      <c r="C20" s="33"/>
      <c r="D20" s="188"/>
      <c r="E20" s="33"/>
      <c r="F20" s="32">
        <f t="shared" si="2"/>
        <v>0</v>
      </c>
      <c r="G20" s="189"/>
      <c r="H20" s="31">
        <v>43994</v>
      </c>
      <c r="I20" s="32">
        <v>724000</v>
      </c>
      <c r="J20" s="40" t="s">
        <v>164</v>
      </c>
    </row>
    <row r="21" ht="18" customHeight="1" spans="1:10">
      <c r="A21" s="31"/>
      <c r="B21" s="32">
        <f t="shared" si="0"/>
        <v>0</v>
      </c>
      <c r="C21" s="33"/>
      <c r="D21" s="188"/>
      <c r="E21" s="33"/>
      <c r="F21" s="32">
        <f t="shared" si="2"/>
        <v>0</v>
      </c>
      <c r="G21" s="189"/>
      <c r="H21" s="31">
        <v>44057</v>
      </c>
      <c r="I21" s="32">
        <v>1376000</v>
      </c>
      <c r="J21" s="40" t="s">
        <v>20</v>
      </c>
    </row>
    <row r="22" ht="18" customHeight="1" spans="1:10">
      <c r="A22" s="31"/>
      <c r="B22" s="32">
        <f t="shared" si="0"/>
        <v>0</v>
      </c>
      <c r="C22" s="33"/>
      <c r="D22" s="188"/>
      <c r="E22" s="33"/>
      <c r="F22" s="32">
        <f t="shared" si="2"/>
        <v>0</v>
      </c>
      <c r="G22" s="189"/>
      <c r="H22" s="31">
        <v>44057</v>
      </c>
      <c r="I22" s="32">
        <v>344000</v>
      </c>
      <c r="J22" s="40" t="s">
        <v>164</v>
      </c>
    </row>
    <row r="23" ht="18" customHeight="1" spans="1:10">
      <c r="A23" s="31"/>
      <c r="B23" s="32">
        <f t="shared" si="0"/>
        <v>0</v>
      </c>
      <c r="C23" s="33"/>
      <c r="D23" s="188"/>
      <c r="E23" s="33"/>
      <c r="F23" s="32">
        <f t="shared" si="2"/>
        <v>0</v>
      </c>
      <c r="G23" s="189"/>
      <c r="H23" s="31">
        <v>44085</v>
      </c>
      <c r="I23" s="32">
        <v>4136000</v>
      </c>
      <c r="J23" s="40" t="s">
        <v>20</v>
      </c>
    </row>
    <row r="24" ht="18" customHeight="1" spans="1:10">
      <c r="A24" s="31"/>
      <c r="B24" s="32">
        <f t="shared" si="0"/>
        <v>0</v>
      </c>
      <c r="C24" s="33"/>
      <c r="D24" s="188"/>
      <c r="E24" s="33"/>
      <c r="F24" s="32">
        <f t="shared" si="2"/>
        <v>0</v>
      </c>
      <c r="G24" s="189"/>
      <c r="H24" s="31">
        <v>44085</v>
      </c>
      <c r="I24" s="32">
        <v>1034000</v>
      </c>
      <c r="J24" s="40" t="s">
        <v>164</v>
      </c>
    </row>
    <row r="25" ht="18" customHeight="1" spans="1:10">
      <c r="A25" s="31"/>
      <c r="B25" s="32">
        <f t="shared" si="0"/>
        <v>0</v>
      </c>
      <c r="C25" s="33"/>
      <c r="D25" s="188"/>
      <c r="E25" s="33"/>
      <c r="F25" s="32">
        <f t="shared" si="2"/>
        <v>0</v>
      </c>
      <c r="G25" s="189"/>
      <c r="H25" s="31"/>
      <c r="I25" s="32"/>
      <c r="J25" s="40"/>
    </row>
    <row r="26" ht="18" customHeight="1" spans="1:10">
      <c r="A26" s="31"/>
      <c r="B26" s="32">
        <f t="shared" si="0"/>
        <v>0</v>
      </c>
      <c r="C26" s="33"/>
      <c r="D26" s="188">
        <f>G26/(1+E26+C26)*C26</f>
        <v>0</v>
      </c>
      <c r="E26" s="33"/>
      <c r="F26" s="32">
        <f t="shared" si="2"/>
        <v>0</v>
      </c>
      <c r="G26" s="189"/>
      <c r="H26" s="31"/>
      <c r="I26" s="32"/>
      <c r="J26" s="40"/>
    </row>
    <row r="27" ht="18" customHeight="1" spans="1:10">
      <c r="A27" s="37" t="s">
        <v>22</v>
      </c>
      <c r="B27" s="38">
        <f t="shared" ref="B27:G27" si="3">SUM(B8:B26)</f>
        <v>35326772.3102585</v>
      </c>
      <c r="C27" s="39"/>
      <c r="D27" s="190">
        <f t="shared" si="3"/>
        <v>706535.446205171</v>
      </c>
      <c r="E27" s="39"/>
      <c r="F27" s="190">
        <f t="shared" si="3"/>
        <v>2596692.24353628</v>
      </c>
      <c r="G27" s="190">
        <f t="shared" si="3"/>
        <v>38630000</v>
      </c>
      <c r="H27" s="191"/>
      <c r="I27" s="190">
        <f>SUM(I8:I26)</f>
        <v>38630000</v>
      </c>
      <c r="J27" s="191"/>
    </row>
    <row r="28" ht="18" customHeight="1" spans="1:12">
      <c r="A28" s="6" t="s">
        <v>23</v>
      </c>
      <c r="J28" s="8"/>
      <c r="K28" s="8"/>
      <c r="L28" s="186"/>
    </row>
    <row r="29" ht="18" customHeight="1" spans="1:15">
      <c r="A29" s="41" t="s">
        <v>24</v>
      </c>
      <c r="B29" s="28" t="s">
        <v>25</v>
      </c>
      <c r="C29" s="27" t="s">
        <v>26</v>
      </c>
      <c r="D29" s="27" t="s">
        <v>27</v>
      </c>
      <c r="E29" s="27" t="s">
        <v>15</v>
      </c>
      <c r="F29" s="28" t="s">
        <v>28</v>
      </c>
      <c r="G29" s="28" t="s">
        <v>13</v>
      </c>
      <c r="H29" s="27" t="s">
        <v>29</v>
      </c>
      <c r="I29" s="28" t="s">
        <v>30</v>
      </c>
      <c r="J29" s="27" t="s">
        <v>19</v>
      </c>
      <c r="K29" s="54" t="s">
        <v>31</v>
      </c>
      <c r="L29" s="30" t="s">
        <v>32</v>
      </c>
      <c r="M29" s="30" t="s">
        <v>33</v>
      </c>
      <c r="N29" s="30" t="s">
        <v>34</v>
      </c>
      <c r="O29" s="30" t="s">
        <v>35</v>
      </c>
    </row>
    <row r="30" s="1" customFormat="1" ht="18" customHeight="1" spans="1:15">
      <c r="A30" s="43">
        <v>43070</v>
      </c>
      <c r="B30" s="25">
        <f t="shared" ref="B30:B93" si="4">ROUND(G30/(1+E30),2)</f>
        <v>2830.19</v>
      </c>
      <c r="C30" s="44"/>
      <c r="D30" s="45" t="s">
        <v>36</v>
      </c>
      <c r="E30" s="46">
        <v>0.06</v>
      </c>
      <c r="F30" s="25">
        <f t="shared" ref="F30:F93" si="5">ROUND(G30/(1+E30)*E30,2)</f>
        <v>169.81</v>
      </c>
      <c r="G30" s="189">
        <v>3000</v>
      </c>
      <c r="H30" s="31"/>
      <c r="I30" s="32"/>
      <c r="J30" s="40"/>
      <c r="K30" s="147" t="s">
        <v>37</v>
      </c>
      <c r="L30" s="60" t="s">
        <v>38</v>
      </c>
      <c r="M30" s="61"/>
      <c r="N30" s="61"/>
      <c r="O30" s="60"/>
    </row>
    <row r="31" s="1" customFormat="1" ht="18" customHeight="1" spans="1:15">
      <c r="A31" s="43">
        <v>43071</v>
      </c>
      <c r="B31" s="25">
        <f t="shared" si="4"/>
        <v>3000</v>
      </c>
      <c r="C31" s="44"/>
      <c r="D31" s="45" t="s">
        <v>39</v>
      </c>
      <c r="E31" s="46"/>
      <c r="F31" s="25">
        <f t="shared" si="5"/>
        <v>0</v>
      </c>
      <c r="G31" s="189">
        <v>3000</v>
      </c>
      <c r="H31" s="31"/>
      <c r="I31" s="32"/>
      <c r="J31" s="40"/>
      <c r="K31" s="147"/>
      <c r="L31" s="60" t="s">
        <v>38</v>
      </c>
      <c r="M31" s="61"/>
      <c r="N31" s="61"/>
      <c r="O31" s="60"/>
    </row>
    <row r="32" s="1" customFormat="1" ht="18" customHeight="1" spans="1:15">
      <c r="A32" s="43">
        <v>43072</v>
      </c>
      <c r="B32" s="25">
        <f t="shared" si="4"/>
        <v>12824.53</v>
      </c>
      <c r="C32" s="44"/>
      <c r="D32" s="45" t="s">
        <v>36</v>
      </c>
      <c r="E32" s="46">
        <v>0.06</v>
      </c>
      <c r="F32" s="25">
        <f t="shared" si="5"/>
        <v>769.47</v>
      </c>
      <c r="G32" s="189">
        <v>13594</v>
      </c>
      <c r="H32" s="31"/>
      <c r="I32" s="32"/>
      <c r="J32" s="40"/>
      <c r="K32" s="147" t="s">
        <v>40</v>
      </c>
      <c r="L32" s="60" t="s">
        <v>41</v>
      </c>
      <c r="M32" s="61"/>
      <c r="N32" s="61"/>
      <c r="O32" s="60"/>
    </row>
    <row r="33" s="1" customFormat="1" ht="18" customHeight="1" spans="1:15">
      <c r="A33" s="43">
        <v>43073</v>
      </c>
      <c r="B33" s="25">
        <f t="shared" si="4"/>
        <v>1206</v>
      </c>
      <c r="C33" s="44"/>
      <c r="D33" s="45" t="s">
        <v>39</v>
      </c>
      <c r="E33" s="46"/>
      <c r="F33" s="25">
        <f t="shared" si="5"/>
        <v>0</v>
      </c>
      <c r="G33" s="189">
        <v>1206</v>
      </c>
      <c r="H33" s="31"/>
      <c r="I33" s="32"/>
      <c r="J33" s="40"/>
      <c r="K33" s="147"/>
      <c r="L33" s="60" t="s">
        <v>42</v>
      </c>
      <c r="M33" s="61"/>
      <c r="N33" s="61"/>
      <c r="O33" s="60"/>
    </row>
    <row r="34" s="1" customFormat="1" ht="18" customHeight="1" spans="1:15">
      <c r="A34" s="43">
        <v>43074</v>
      </c>
      <c r="B34" s="25">
        <f t="shared" si="4"/>
        <v>13191.34</v>
      </c>
      <c r="C34" s="44"/>
      <c r="D34" s="45" t="s">
        <v>39</v>
      </c>
      <c r="E34" s="46"/>
      <c r="F34" s="25">
        <f t="shared" si="5"/>
        <v>0</v>
      </c>
      <c r="G34" s="189">
        <v>13191.34</v>
      </c>
      <c r="H34" s="31"/>
      <c r="I34" s="32"/>
      <c r="J34" s="40"/>
      <c r="K34" s="147"/>
      <c r="L34" s="60" t="s">
        <v>43</v>
      </c>
      <c r="M34" s="61"/>
      <c r="N34" s="61"/>
      <c r="O34" s="60"/>
    </row>
    <row r="35" s="1" customFormat="1" ht="18" customHeight="1" spans="1:15">
      <c r="A35" s="43">
        <v>43149</v>
      </c>
      <c r="B35" s="25">
        <f t="shared" si="4"/>
        <v>1924.53</v>
      </c>
      <c r="C35" s="44"/>
      <c r="D35" s="45" t="s">
        <v>36</v>
      </c>
      <c r="E35" s="46">
        <v>0.06</v>
      </c>
      <c r="F35" s="25">
        <f t="shared" si="5"/>
        <v>115.47</v>
      </c>
      <c r="G35" s="189">
        <v>2040</v>
      </c>
      <c r="H35" s="31"/>
      <c r="I35" s="32"/>
      <c r="J35" s="40"/>
      <c r="K35" s="147" t="s">
        <v>40</v>
      </c>
      <c r="L35" s="60" t="s">
        <v>41</v>
      </c>
      <c r="M35" s="61"/>
      <c r="N35" s="61"/>
      <c r="O35" s="60"/>
    </row>
    <row r="36" s="1" customFormat="1" ht="18" customHeight="1" spans="1:15">
      <c r="A36" s="43">
        <v>43177</v>
      </c>
      <c r="B36" s="25">
        <f t="shared" si="4"/>
        <v>2830.19</v>
      </c>
      <c r="C36" s="44"/>
      <c r="D36" s="45" t="s">
        <v>36</v>
      </c>
      <c r="E36" s="46">
        <v>0.06</v>
      </c>
      <c r="F36" s="25">
        <f t="shared" si="5"/>
        <v>169.81</v>
      </c>
      <c r="G36" s="189">
        <v>3000</v>
      </c>
      <c r="H36" s="31"/>
      <c r="I36" s="32"/>
      <c r="J36" s="40"/>
      <c r="K36" s="147" t="s">
        <v>44</v>
      </c>
      <c r="L36" s="60" t="s">
        <v>45</v>
      </c>
      <c r="M36" s="61"/>
      <c r="N36" s="61"/>
      <c r="O36" s="60"/>
    </row>
    <row r="37" s="1" customFormat="1" ht="18" customHeight="1" spans="1:15">
      <c r="A37" s="43">
        <v>43178</v>
      </c>
      <c r="B37" s="25">
        <f t="shared" si="4"/>
        <v>12529.12</v>
      </c>
      <c r="C37" s="44"/>
      <c r="D37" s="45" t="s">
        <v>39</v>
      </c>
      <c r="E37" s="46"/>
      <c r="F37" s="25">
        <f t="shared" si="5"/>
        <v>0</v>
      </c>
      <c r="G37" s="189">
        <v>12529.12</v>
      </c>
      <c r="H37" s="31"/>
      <c r="I37" s="32"/>
      <c r="J37" s="40"/>
      <c r="K37" s="147"/>
      <c r="L37" s="60" t="s">
        <v>46</v>
      </c>
      <c r="M37" s="61"/>
      <c r="N37" s="61"/>
      <c r="O37" s="60"/>
    </row>
    <row r="38" s="1" customFormat="1" ht="18" customHeight="1" spans="1:15">
      <c r="A38" s="43">
        <v>43177</v>
      </c>
      <c r="B38" s="25">
        <f t="shared" si="4"/>
        <v>7575</v>
      </c>
      <c r="C38" s="44"/>
      <c r="D38" s="45" t="s">
        <v>39</v>
      </c>
      <c r="E38" s="46"/>
      <c r="F38" s="25">
        <f t="shared" si="5"/>
        <v>0</v>
      </c>
      <c r="G38" s="189">
        <v>7575</v>
      </c>
      <c r="H38" s="31"/>
      <c r="I38" s="32"/>
      <c r="J38" s="40"/>
      <c r="K38" s="147"/>
      <c r="L38" s="60" t="s">
        <v>46</v>
      </c>
      <c r="M38" s="61"/>
      <c r="N38" s="61"/>
      <c r="O38" s="60"/>
    </row>
    <row r="39" s="1" customFormat="1" ht="18" customHeight="1" spans="1:15">
      <c r="A39" s="43">
        <v>43238</v>
      </c>
      <c r="B39" s="25">
        <f t="shared" si="4"/>
        <v>4396551.72</v>
      </c>
      <c r="C39" s="44"/>
      <c r="D39" s="45" t="s">
        <v>36</v>
      </c>
      <c r="E39" s="46">
        <v>0.16</v>
      </c>
      <c r="F39" s="25">
        <f t="shared" si="5"/>
        <v>703448.28</v>
      </c>
      <c r="G39" s="189">
        <v>5100000</v>
      </c>
      <c r="H39" s="31">
        <v>43251</v>
      </c>
      <c r="I39" s="32">
        <v>2500000</v>
      </c>
      <c r="J39" s="40" t="s">
        <v>20</v>
      </c>
      <c r="K39" s="147" t="s">
        <v>47</v>
      </c>
      <c r="L39" s="60" t="s">
        <v>48</v>
      </c>
      <c r="M39" s="61"/>
      <c r="N39" s="61"/>
      <c r="O39" s="60"/>
    </row>
    <row r="40" s="1" customFormat="1" ht="18" customHeight="1" spans="1:15">
      <c r="A40" s="43"/>
      <c r="B40" s="25">
        <f t="shared" si="4"/>
        <v>0</v>
      </c>
      <c r="C40" s="44"/>
      <c r="D40" s="45"/>
      <c r="E40" s="46"/>
      <c r="F40" s="25">
        <f t="shared" si="5"/>
        <v>0</v>
      </c>
      <c r="G40" s="189"/>
      <c r="H40" s="31" t="s">
        <v>49</v>
      </c>
      <c r="I40" s="32">
        <v>2530768</v>
      </c>
      <c r="J40" s="40" t="s">
        <v>20</v>
      </c>
      <c r="K40" s="147" t="s">
        <v>47</v>
      </c>
      <c r="L40" s="60"/>
      <c r="M40" s="61"/>
      <c r="N40" s="61"/>
      <c r="O40" s="60"/>
    </row>
    <row r="41" s="1" customFormat="1" ht="18" customHeight="1" spans="1:15">
      <c r="A41" s="43"/>
      <c r="B41" s="25">
        <f t="shared" si="4"/>
        <v>0</v>
      </c>
      <c r="C41" s="44"/>
      <c r="D41" s="45"/>
      <c r="E41" s="46"/>
      <c r="F41" s="25">
        <f t="shared" si="5"/>
        <v>0</v>
      </c>
      <c r="G41" s="189"/>
      <c r="H41" s="31" t="s">
        <v>49</v>
      </c>
      <c r="I41" s="32">
        <v>69232</v>
      </c>
      <c r="J41" s="40" t="s">
        <v>20</v>
      </c>
      <c r="K41" s="147" t="s">
        <v>47</v>
      </c>
      <c r="L41" s="60"/>
      <c r="M41" s="61"/>
      <c r="N41" s="61"/>
      <c r="O41" s="60"/>
    </row>
    <row r="42" s="1" customFormat="1" ht="18" customHeight="1" spans="1:15">
      <c r="A42" s="43"/>
      <c r="B42" s="25">
        <f t="shared" si="4"/>
        <v>0</v>
      </c>
      <c r="C42" s="44"/>
      <c r="D42" s="45"/>
      <c r="E42" s="46"/>
      <c r="F42" s="25">
        <f t="shared" si="5"/>
        <v>0</v>
      </c>
      <c r="G42" s="189"/>
      <c r="H42" s="31">
        <v>43252</v>
      </c>
      <c r="I42" s="32">
        <v>-29323</v>
      </c>
      <c r="J42" s="40" t="s">
        <v>21</v>
      </c>
      <c r="K42" s="147" t="s">
        <v>50</v>
      </c>
      <c r="L42" s="60"/>
      <c r="M42" s="61"/>
      <c r="N42" s="61"/>
      <c r="O42" s="60"/>
    </row>
    <row r="43" s="1" customFormat="1" ht="18" customHeight="1" spans="1:15">
      <c r="A43" s="43"/>
      <c r="B43" s="25">
        <f t="shared" si="4"/>
        <v>0</v>
      </c>
      <c r="C43" s="44"/>
      <c r="D43" s="45"/>
      <c r="E43" s="46"/>
      <c r="F43" s="25">
        <f t="shared" si="5"/>
        <v>0</v>
      </c>
      <c r="G43" s="189"/>
      <c r="H43" s="31">
        <v>43255</v>
      </c>
      <c r="I43" s="32">
        <v>-39909</v>
      </c>
      <c r="J43" s="40" t="s">
        <v>21</v>
      </c>
      <c r="K43" s="147" t="s">
        <v>50</v>
      </c>
      <c r="L43" s="60"/>
      <c r="M43" s="61"/>
      <c r="N43" s="61"/>
      <c r="O43" s="60"/>
    </row>
    <row r="44" s="1" customFormat="1" ht="18" customHeight="1" spans="1:15">
      <c r="A44" s="43">
        <v>43269</v>
      </c>
      <c r="B44" s="25">
        <f t="shared" si="4"/>
        <v>5825.24</v>
      </c>
      <c r="C44" s="44"/>
      <c r="D44" s="45" t="s">
        <v>36</v>
      </c>
      <c r="E44" s="46">
        <v>0.03</v>
      </c>
      <c r="F44" s="25">
        <f t="shared" si="5"/>
        <v>174.76</v>
      </c>
      <c r="G44" s="189">
        <v>6000</v>
      </c>
      <c r="H44" s="31">
        <v>43264</v>
      </c>
      <c r="I44" s="32">
        <v>6000</v>
      </c>
      <c r="J44" s="40" t="s">
        <v>20</v>
      </c>
      <c r="K44" s="147" t="s">
        <v>51</v>
      </c>
      <c r="L44" s="60" t="s">
        <v>52</v>
      </c>
      <c r="M44" s="61"/>
      <c r="N44" s="61"/>
      <c r="O44" s="60"/>
    </row>
    <row r="45" s="1" customFormat="1" ht="18" customHeight="1" spans="1:15">
      <c r="A45" s="43"/>
      <c r="B45" s="25">
        <f t="shared" si="4"/>
        <v>0</v>
      </c>
      <c r="C45" s="44"/>
      <c r="D45" s="45"/>
      <c r="E45" s="46"/>
      <c r="F45" s="25">
        <f t="shared" si="5"/>
        <v>0</v>
      </c>
      <c r="G45" s="189"/>
      <c r="H45" s="31">
        <v>43263</v>
      </c>
      <c r="I45" s="32">
        <v>-6000</v>
      </c>
      <c r="J45" s="40" t="s">
        <v>21</v>
      </c>
      <c r="K45" s="147" t="s">
        <v>50</v>
      </c>
      <c r="L45" s="60"/>
      <c r="M45" s="61"/>
      <c r="N45" s="61"/>
      <c r="O45" s="60"/>
    </row>
    <row r="46" s="2" customFormat="1" ht="18" customHeight="1" spans="1:15">
      <c r="A46" s="48">
        <v>43335</v>
      </c>
      <c r="B46" s="25">
        <f t="shared" si="4"/>
        <v>4000000</v>
      </c>
      <c r="C46" s="49"/>
      <c r="D46" s="50" t="s">
        <v>36</v>
      </c>
      <c r="E46" s="46">
        <v>0.03</v>
      </c>
      <c r="F46" s="25">
        <f t="shared" si="5"/>
        <v>120000</v>
      </c>
      <c r="G46" s="189">
        <v>4120000</v>
      </c>
      <c r="H46" s="36">
        <v>43335</v>
      </c>
      <c r="I46" s="188">
        <v>2000000</v>
      </c>
      <c r="J46" s="63" t="s">
        <v>20</v>
      </c>
      <c r="K46" s="148" t="s">
        <v>53</v>
      </c>
      <c r="L46" s="67" t="s">
        <v>54</v>
      </c>
      <c r="M46" s="65"/>
      <c r="N46" s="65"/>
      <c r="O46" s="67"/>
    </row>
    <row r="47" s="2" customFormat="1" ht="18" customHeight="1" spans="1:15">
      <c r="A47" s="48"/>
      <c r="B47" s="25">
        <f t="shared" si="4"/>
        <v>1344.34</v>
      </c>
      <c r="C47" s="49">
        <v>3</v>
      </c>
      <c r="D47" s="50" t="s">
        <v>36</v>
      </c>
      <c r="E47" s="46">
        <v>0.06</v>
      </c>
      <c r="F47" s="25">
        <f t="shared" si="5"/>
        <v>80.66</v>
      </c>
      <c r="G47" s="189">
        <f>285+690+450</f>
        <v>1425</v>
      </c>
      <c r="H47" s="36"/>
      <c r="I47" s="188"/>
      <c r="J47" s="63"/>
      <c r="K47" s="148" t="s">
        <v>55</v>
      </c>
      <c r="L47" s="67" t="s">
        <v>41</v>
      </c>
      <c r="M47" s="65"/>
      <c r="N47" s="65"/>
      <c r="O47" s="68">
        <v>43335</v>
      </c>
    </row>
    <row r="48" s="2" customFormat="1" ht="18" customHeight="1" spans="1:15">
      <c r="A48" s="48"/>
      <c r="B48" s="25">
        <f t="shared" si="4"/>
        <v>6510</v>
      </c>
      <c r="C48" s="49"/>
      <c r="D48" s="50" t="s">
        <v>39</v>
      </c>
      <c r="E48" s="46"/>
      <c r="F48" s="25">
        <f t="shared" si="5"/>
        <v>0</v>
      </c>
      <c r="G48" s="189">
        <v>6510</v>
      </c>
      <c r="H48" s="36"/>
      <c r="I48" s="188"/>
      <c r="J48" s="63"/>
      <c r="K48" s="148" t="s">
        <v>56</v>
      </c>
      <c r="L48" s="67" t="s">
        <v>57</v>
      </c>
      <c r="M48" s="65"/>
      <c r="N48" s="65"/>
      <c r="O48" s="68">
        <v>43335</v>
      </c>
    </row>
    <row r="49" s="2" customFormat="1" ht="18" customHeight="1" spans="1:15">
      <c r="A49" s="48"/>
      <c r="B49" s="25">
        <f t="shared" si="4"/>
        <v>11436.89</v>
      </c>
      <c r="C49" s="49">
        <v>2</v>
      </c>
      <c r="D49" s="50" t="s">
        <v>36</v>
      </c>
      <c r="E49" s="46">
        <v>0.03</v>
      </c>
      <c r="F49" s="25">
        <f t="shared" si="5"/>
        <v>343.11</v>
      </c>
      <c r="G49" s="189">
        <f>7740+4040</f>
        <v>11780</v>
      </c>
      <c r="H49" s="36"/>
      <c r="I49" s="188"/>
      <c r="J49" s="63"/>
      <c r="K49" s="148" t="s">
        <v>58</v>
      </c>
      <c r="L49" s="67" t="s">
        <v>59</v>
      </c>
      <c r="M49" s="65"/>
      <c r="N49" s="65"/>
      <c r="O49" s="68">
        <v>43335</v>
      </c>
    </row>
    <row r="50" s="2" customFormat="1" ht="18" customHeight="1" spans="1:15">
      <c r="A50" s="48"/>
      <c r="B50" s="25">
        <f t="shared" si="4"/>
        <v>1800</v>
      </c>
      <c r="C50" s="49"/>
      <c r="D50" s="50" t="s">
        <v>39</v>
      </c>
      <c r="E50" s="46"/>
      <c r="F50" s="25">
        <f t="shared" si="5"/>
        <v>0</v>
      </c>
      <c r="G50" s="189">
        <v>1800</v>
      </c>
      <c r="H50" s="36"/>
      <c r="I50" s="188"/>
      <c r="J50" s="63"/>
      <c r="K50" s="148" t="s">
        <v>56</v>
      </c>
      <c r="L50" s="67" t="s">
        <v>60</v>
      </c>
      <c r="M50" s="65"/>
      <c r="N50" s="65"/>
      <c r="O50" s="68">
        <v>43335</v>
      </c>
    </row>
    <row r="51" s="2" customFormat="1" ht="18" customHeight="1" spans="1:15">
      <c r="A51" s="48"/>
      <c r="B51" s="25">
        <f t="shared" si="4"/>
        <v>26788.86</v>
      </c>
      <c r="C51" s="49"/>
      <c r="D51" s="50" t="s">
        <v>61</v>
      </c>
      <c r="E51" s="46"/>
      <c r="F51" s="25">
        <f t="shared" si="5"/>
        <v>0</v>
      </c>
      <c r="G51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51" s="36"/>
      <c r="I51" s="188"/>
      <c r="J51" s="63"/>
      <c r="K51" s="148" t="s">
        <v>62</v>
      </c>
      <c r="L51" s="67" t="s">
        <v>63</v>
      </c>
      <c r="M51" s="65"/>
      <c r="N51" s="65"/>
      <c r="O51" s="68">
        <v>43335</v>
      </c>
    </row>
    <row r="52" s="2" customFormat="1" ht="18" customHeight="1" spans="1:15">
      <c r="A52" s="48"/>
      <c r="B52" s="25">
        <f t="shared" si="4"/>
        <v>4285.5</v>
      </c>
      <c r="C52" s="49"/>
      <c r="D52" s="50" t="s">
        <v>61</v>
      </c>
      <c r="E52" s="46"/>
      <c r="F52" s="25">
        <f t="shared" si="5"/>
        <v>0</v>
      </c>
      <c r="G52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52" s="36"/>
      <c r="I52" s="188"/>
      <c r="J52" s="63"/>
      <c r="K52" s="148" t="s">
        <v>62</v>
      </c>
      <c r="L52" s="67" t="s">
        <v>63</v>
      </c>
      <c r="M52" s="65"/>
      <c r="N52" s="65"/>
      <c r="O52" s="68">
        <v>43335</v>
      </c>
    </row>
    <row r="53" s="2" customFormat="1" ht="18" customHeight="1" spans="1:15">
      <c r="A53" s="48"/>
      <c r="B53" s="25">
        <f t="shared" si="4"/>
        <v>9856.03</v>
      </c>
      <c r="C53" s="49"/>
      <c r="D53" s="50" t="s">
        <v>39</v>
      </c>
      <c r="E53" s="46"/>
      <c r="F53" s="25">
        <f t="shared" si="5"/>
        <v>0</v>
      </c>
      <c r="G53" s="189">
        <f>200.03+500+400+286+300+410+910+405+530+300+500+230+280+295+285+400+380+405+200+200+400+425+405+300+310+300+300</f>
        <v>9856.03</v>
      </c>
      <c r="H53" s="36"/>
      <c r="I53" s="188"/>
      <c r="J53" s="63"/>
      <c r="K53" s="148" t="s">
        <v>64</v>
      </c>
      <c r="L53" s="67" t="s">
        <v>43</v>
      </c>
      <c r="M53" s="65"/>
      <c r="N53" s="65"/>
      <c r="O53" s="68">
        <v>43335</v>
      </c>
    </row>
    <row r="54" s="2" customFormat="1" ht="18" customHeight="1" spans="1:15">
      <c r="A54" s="48">
        <v>43435</v>
      </c>
      <c r="B54" s="25">
        <f t="shared" si="4"/>
        <v>53286.79</v>
      </c>
      <c r="C54" s="49"/>
      <c r="D54" s="50" t="s">
        <v>36</v>
      </c>
      <c r="E54" s="46">
        <v>0.06</v>
      </c>
      <c r="F54" s="25">
        <f t="shared" si="5"/>
        <v>3197.21</v>
      </c>
      <c r="G54" s="189">
        <v>56484</v>
      </c>
      <c r="H54" s="36"/>
      <c r="I54" s="188"/>
      <c r="J54" s="63"/>
      <c r="K54" s="148" t="s">
        <v>65</v>
      </c>
      <c r="L54" s="67" t="s">
        <v>66</v>
      </c>
      <c r="M54" s="65"/>
      <c r="N54" s="65"/>
      <c r="O54" s="67"/>
    </row>
    <row r="55" s="2" customFormat="1" ht="18" customHeight="1" spans="1:15">
      <c r="A55" s="48">
        <v>43435</v>
      </c>
      <c r="B55" s="25">
        <f t="shared" si="4"/>
        <v>5825.24</v>
      </c>
      <c r="C55" s="49"/>
      <c r="D55" s="50" t="s">
        <v>36</v>
      </c>
      <c r="E55" s="46">
        <v>0.03</v>
      </c>
      <c r="F55" s="25">
        <f t="shared" si="5"/>
        <v>174.76</v>
      </c>
      <c r="G55" s="189">
        <v>6000</v>
      </c>
      <c r="H55" s="36">
        <v>43369</v>
      </c>
      <c r="I55" s="188">
        <v>6000</v>
      </c>
      <c r="J55" s="63" t="s">
        <v>20</v>
      </c>
      <c r="K55" s="148" t="s">
        <v>51</v>
      </c>
      <c r="L55" s="67" t="s">
        <v>52</v>
      </c>
      <c r="M55" s="65"/>
      <c r="N55" s="65"/>
      <c r="O55" s="67"/>
    </row>
    <row r="56" s="2" customFormat="1" ht="18" customHeight="1" spans="1:15">
      <c r="A56" s="48">
        <v>43313</v>
      </c>
      <c r="B56" s="25">
        <f t="shared" si="4"/>
        <v>4654.31</v>
      </c>
      <c r="C56" s="49"/>
      <c r="D56" s="50" t="s">
        <v>36</v>
      </c>
      <c r="E56" s="46">
        <v>0.16</v>
      </c>
      <c r="F56" s="25">
        <f t="shared" si="5"/>
        <v>744.69</v>
      </c>
      <c r="G56" s="189">
        <v>5399</v>
      </c>
      <c r="H56" s="36">
        <v>43369</v>
      </c>
      <c r="I56" s="188">
        <v>-6000</v>
      </c>
      <c r="J56" s="63" t="s">
        <v>21</v>
      </c>
      <c r="K56" s="148" t="s">
        <v>50</v>
      </c>
      <c r="L56" s="67"/>
      <c r="M56" s="65"/>
      <c r="N56" s="65"/>
      <c r="O56" s="67"/>
    </row>
    <row r="57" s="2" customFormat="1" ht="18" customHeight="1" spans="1:15">
      <c r="A57" s="48">
        <v>43435</v>
      </c>
      <c r="B57" s="25">
        <f t="shared" si="4"/>
        <v>933.96</v>
      </c>
      <c r="C57" s="49"/>
      <c r="D57" s="50" t="s">
        <v>36</v>
      </c>
      <c r="E57" s="46">
        <v>0.06</v>
      </c>
      <c r="F57" s="25">
        <f t="shared" si="5"/>
        <v>56.04</v>
      </c>
      <c r="G57" s="189">
        <f>90+45+855</f>
        <v>990</v>
      </c>
      <c r="H57" s="36"/>
      <c r="I57" s="188"/>
      <c r="J57" s="63"/>
      <c r="K57" s="148" t="s">
        <v>40</v>
      </c>
      <c r="L57" s="67" t="s">
        <v>41</v>
      </c>
      <c r="M57" s="65"/>
      <c r="N57" s="65"/>
      <c r="O57" s="67"/>
    </row>
    <row r="58" s="2" customFormat="1" ht="18" customHeight="1" spans="1:15">
      <c r="A58" s="48">
        <v>43435</v>
      </c>
      <c r="B58" s="25">
        <f t="shared" si="4"/>
        <v>43031</v>
      </c>
      <c r="C58" s="49"/>
      <c r="D58" s="50"/>
      <c r="E58" s="46"/>
      <c r="F58" s="25">
        <f t="shared" si="5"/>
        <v>0</v>
      </c>
      <c r="G58" s="189">
        <v>43031</v>
      </c>
      <c r="H58" s="36"/>
      <c r="I58" s="188"/>
      <c r="J58" s="63"/>
      <c r="K58" s="148" t="s">
        <v>67</v>
      </c>
      <c r="L58" s="67" t="s">
        <v>68</v>
      </c>
      <c r="M58" s="65"/>
      <c r="N58" s="65"/>
      <c r="O58" s="67"/>
    </row>
    <row r="59" s="2" customFormat="1" ht="18" customHeight="1" spans="1:15">
      <c r="A59" s="48">
        <v>43466</v>
      </c>
      <c r="B59" s="25">
        <f t="shared" si="4"/>
        <v>4854368.93</v>
      </c>
      <c r="C59" s="49"/>
      <c r="D59" s="50" t="s">
        <v>36</v>
      </c>
      <c r="E59" s="46">
        <v>0.03</v>
      </c>
      <c r="F59" s="25">
        <f t="shared" si="5"/>
        <v>145631.07</v>
      </c>
      <c r="G59" s="189">
        <f>5*1000000</f>
        <v>5000000</v>
      </c>
      <c r="H59" s="36">
        <v>43339</v>
      </c>
      <c r="I59" s="188">
        <v>2095952</v>
      </c>
      <c r="J59" s="63" t="s">
        <v>20</v>
      </c>
      <c r="K59" s="148" t="s">
        <v>53</v>
      </c>
      <c r="L59" s="67" t="s">
        <v>54</v>
      </c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43495</v>
      </c>
      <c r="I60" s="188">
        <v>3464800</v>
      </c>
      <c r="J60" s="63" t="s">
        <v>20</v>
      </c>
      <c r="K60" s="148" t="s">
        <v>53</v>
      </c>
      <c r="L60" s="67" t="s">
        <v>54</v>
      </c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43497</v>
      </c>
      <c r="I61" s="188">
        <v>866800</v>
      </c>
      <c r="J61" s="63" t="s">
        <v>20</v>
      </c>
      <c r="K61" s="148" t="s">
        <v>53</v>
      </c>
      <c r="L61" s="67" t="s">
        <v>54</v>
      </c>
      <c r="M61" s="65"/>
      <c r="N61" s="65"/>
      <c r="O61" s="67"/>
    </row>
    <row r="62" s="2" customFormat="1" ht="18" customHeight="1" spans="1:15">
      <c r="A62" s="48"/>
      <c r="B62" s="25">
        <f t="shared" si="4"/>
        <v>0</v>
      </c>
      <c r="C62" s="49"/>
      <c r="D62" s="50"/>
      <c r="E62" s="46"/>
      <c r="F62" s="25">
        <f t="shared" si="5"/>
        <v>0</v>
      </c>
      <c r="G62" s="189"/>
      <c r="H62" s="36">
        <v>43629</v>
      </c>
      <c r="I62" s="188">
        <v>84810</v>
      </c>
      <c r="J62" s="63" t="s">
        <v>20</v>
      </c>
      <c r="K62" s="148" t="s">
        <v>69</v>
      </c>
      <c r="L62" s="67" t="s">
        <v>70</v>
      </c>
      <c r="M62" s="65"/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36">
        <v>43629</v>
      </c>
      <c r="I63" s="188">
        <v>-84810</v>
      </c>
      <c r="J63" s="63" t="s">
        <v>21</v>
      </c>
      <c r="K63" s="148" t="s">
        <v>50</v>
      </c>
      <c r="L63" s="67"/>
      <c r="M63" s="65"/>
      <c r="N63" s="65"/>
      <c r="O63" s="67"/>
    </row>
    <row r="64" s="2" customFormat="1" ht="18" customHeight="1" spans="1:15">
      <c r="A64" s="48"/>
      <c r="B64" s="25">
        <f t="shared" si="4"/>
        <v>0</v>
      </c>
      <c r="C64" s="49"/>
      <c r="D64" s="50"/>
      <c r="E64" s="46"/>
      <c r="F64" s="25">
        <f t="shared" si="5"/>
        <v>0</v>
      </c>
      <c r="G64" s="189"/>
      <c r="H64" s="36">
        <v>43657</v>
      </c>
      <c r="I64" s="188">
        <v>66753</v>
      </c>
      <c r="J64" s="63" t="s">
        <v>20</v>
      </c>
      <c r="K64" s="148" t="s">
        <v>69</v>
      </c>
      <c r="L64" s="67" t="s">
        <v>70</v>
      </c>
      <c r="M64" s="65"/>
      <c r="N64" s="65"/>
      <c r="O64" s="67"/>
    </row>
    <row r="65" s="2" customFormat="1" ht="18" customHeight="1" spans="1:15">
      <c r="A65" s="48"/>
      <c r="B65" s="25">
        <f t="shared" si="4"/>
        <v>0</v>
      </c>
      <c r="C65" s="49"/>
      <c r="D65" s="50"/>
      <c r="E65" s="46"/>
      <c r="F65" s="25">
        <f t="shared" si="5"/>
        <v>0</v>
      </c>
      <c r="G65" s="189"/>
      <c r="H65" s="36">
        <v>43657</v>
      </c>
      <c r="I65" s="188">
        <v>-66753</v>
      </c>
      <c r="J65" s="63" t="s">
        <v>21</v>
      </c>
      <c r="K65" s="148" t="s">
        <v>50</v>
      </c>
      <c r="L65" s="67"/>
      <c r="M65" s="65"/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36">
        <v>43676</v>
      </c>
      <c r="I66" s="188">
        <v>67731.14</v>
      </c>
      <c r="J66" s="63" t="s">
        <v>20</v>
      </c>
      <c r="K66" s="148" t="s">
        <v>69</v>
      </c>
      <c r="L66" s="67" t="s">
        <v>70</v>
      </c>
      <c r="M66" s="65"/>
      <c r="N66" s="65"/>
      <c r="O66" s="67"/>
    </row>
    <row r="67" s="2" customFormat="1" ht="18" customHeight="1" spans="1:15">
      <c r="A67" s="48"/>
      <c r="B67" s="25">
        <f t="shared" si="4"/>
        <v>0</v>
      </c>
      <c r="C67" s="49"/>
      <c r="D67" s="50"/>
      <c r="E67" s="46"/>
      <c r="F67" s="25">
        <f t="shared" si="5"/>
        <v>0</v>
      </c>
      <c r="G67" s="189"/>
      <c r="H67" s="36">
        <v>43671</v>
      </c>
      <c r="I67" s="188">
        <v>-67731.14</v>
      </c>
      <c r="J67" s="63" t="s">
        <v>20</v>
      </c>
      <c r="K67" s="148" t="s">
        <v>71</v>
      </c>
      <c r="L67" s="67" t="s">
        <v>72</v>
      </c>
      <c r="M67" s="65"/>
      <c r="N67" s="65"/>
      <c r="O67" s="67"/>
    </row>
    <row r="68" s="2" customFormat="1" ht="18" customHeight="1" spans="1:15">
      <c r="A68" s="48">
        <v>43678</v>
      </c>
      <c r="B68" s="25">
        <f t="shared" si="4"/>
        <v>1000020</v>
      </c>
      <c r="C68" s="49"/>
      <c r="D68" s="50" t="s">
        <v>73</v>
      </c>
      <c r="E68" s="46"/>
      <c r="F68" s="25">
        <f t="shared" si="5"/>
        <v>0</v>
      </c>
      <c r="G68" s="189">
        <v>1000020</v>
      </c>
      <c r="H68" s="194">
        <v>43676</v>
      </c>
      <c r="I68" s="196">
        <v>500000</v>
      </c>
      <c r="J68" s="201" t="s">
        <v>21</v>
      </c>
      <c r="K68" s="202" t="s">
        <v>74</v>
      </c>
      <c r="L68" s="203" t="s">
        <v>75</v>
      </c>
      <c r="M68" s="201" t="s">
        <v>76</v>
      </c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194">
        <v>43682</v>
      </c>
      <c r="I69" s="196">
        <v>500000</v>
      </c>
      <c r="J69" s="201" t="s">
        <v>21</v>
      </c>
      <c r="K69" s="202" t="s">
        <v>74</v>
      </c>
      <c r="L69" s="204" t="s">
        <v>77</v>
      </c>
      <c r="M69" s="201" t="s">
        <v>76</v>
      </c>
      <c r="N69" s="65"/>
      <c r="O69" s="67"/>
    </row>
    <row r="70" s="2" customFormat="1" ht="18" customHeight="1" spans="1:15">
      <c r="A70" s="48">
        <v>43678</v>
      </c>
      <c r="B70" s="25">
        <f t="shared" si="4"/>
        <v>1000080</v>
      </c>
      <c r="C70" s="49"/>
      <c r="D70" s="50" t="s">
        <v>73</v>
      </c>
      <c r="E70" s="46"/>
      <c r="F70" s="25">
        <f t="shared" si="5"/>
        <v>0</v>
      </c>
      <c r="G70" s="189">
        <v>1000080</v>
      </c>
      <c r="H70" s="194">
        <v>43691</v>
      </c>
      <c r="I70" s="196">
        <v>1000000</v>
      </c>
      <c r="J70" s="201" t="s">
        <v>21</v>
      </c>
      <c r="K70" s="205" t="s">
        <v>78</v>
      </c>
      <c r="L70" s="206" t="s">
        <v>79</v>
      </c>
      <c r="M70" s="201" t="s">
        <v>76</v>
      </c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36">
        <v>43692</v>
      </c>
      <c r="I71" s="188">
        <v>-100000</v>
      </c>
      <c r="J71" s="63" t="s">
        <v>21</v>
      </c>
      <c r="K71" s="207" t="s">
        <v>50</v>
      </c>
      <c r="L71" s="208"/>
      <c r="M71" s="56"/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36">
        <v>43692</v>
      </c>
      <c r="I72" s="188">
        <v>100000</v>
      </c>
      <c r="J72" s="63" t="s">
        <v>20</v>
      </c>
      <c r="K72" s="207" t="s">
        <v>80</v>
      </c>
      <c r="L72" s="208" t="s">
        <v>81</v>
      </c>
      <c r="M72" s="56"/>
      <c r="N72" s="65"/>
      <c r="O72" s="67"/>
    </row>
    <row r="73" s="2" customFormat="1" ht="18" customHeight="1" spans="1:15">
      <c r="A73" s="48"/>
      <c r="B73" s="25">
        <f t="shared" si="4"/>
        <v>0</v>
      </c>
      <c r="C73" s="49"/>
      <c r="D73" s="50"/>
      <c r="E73" s="46"/>
      <c r="F73" s="25">
        <f t="shared" si="5"/>
        <v>0</v>
      </c>
      <c r="G73" s="189"/>
      <c r="H73" s="36">
        <v>43703</v>
      </c>
      <c r="I73" s="188">
        <v>-100000</v>
      </c>
      <c r="J73" s="63" t="s">
        <v>21</v>
      </c>
      <c r="K73" s="207" t="s">
        <v>50</v>
      </c>
      <c r="L73" s="208"/>
      <c r="M73" s="56"/>
      <c r="N73" s="65"/>
      <c r="O73" s="67"/>
    </row>
    <row r="74" s="2" customFormat="1" ht="18" customHeight="1" spans="1:15">
      <c r="A74" s="48"/>
      <c r="B74" s="25">
        <f t="shared" si="4"/>
        <v>0</v>
      </c>
      <c r="C74" s="49"/>
      <c r="D74" s="50"/>
      <c r="E74" s="46"/>
      <c r="F74" s="25">
        <f t="shared" si="5"/>
        <v>0</v>
      </c>
      <c r="G74" s="189"/>
      <c r="H74" s="36">
        <v>43704</v>
      </c>
      <c r="I74" s="188">
        <v>100000</v>
      </c>
      <c r="J74" s="63" t="s">
        <v>20</v>
      </c>
      <c r="K74" s="207" t="s">
        <v>80</v>
      </c>
      <c r="L74" s="67"/>
      <c r="M74" s="65"/>
      <c r="N74" s="65"/>
      <c r="O74" s="67"/>
    </row>
    <row r="75" s="2" customFormat="1" ht="18" customHeight="1" spans="1:15">
      <c r="A75" s="48"/>
      <c r="B75" s="25">
        <f t="shared" si="4"/>
        <v>0</v>
      </c>
      <c r="C75" s="49"/>
      <c r="D75" s="50"/>
      <c r="E75" s="46"/>
      <c r="F75" s="25">
        <f t="shared" si="5"/>
        <v>0</v>
      </c>
      <c r="G75" s="189"/>
      <c r="H75" s="36">
        <v>43717</v>
      </c>
      <c r="I75" s="188">
        <v>-100000</v>
      </c>
      <c r="J75" s="63" t="s">
        <v>21</v>
      </c>
      <c r="K75" s="207" t="s">
        <v>50</v>
      </c>
      <c r="L75" s="67"/>
      <c r="M75" s="65"/>
      <c r="N75" s="65"/>
      <c r="O75" s="67"/>
    </row>
    <row r="76" s="2" customFormat="1" ht="18" customHeight="1" spans="1:15">
      <c r="A76" s="48"/>
      <c r="B76" s="25">
        <f t="shared" si="4"/>
        <v>0</v>
      </c>
      <c r="C76" s="49"/>
      <c r="D76" s="50"/>
      <c r="E76" s="46"/>
      <c r="F76" s="25">
        <f t="shared" si="5"/>
        <v>0</v>
      </c>
      <c r="G76" s="189"/>
      <c r="H76" s="36">
        <v>43718</v>
      </c>
      <c r="I76" s="188">
        <v>100000</v>
      </c>
      <c r="J76" s="63" t="s">
        <v>20</v>
      </c>
      <c r="K76" s="207" t="s">
        <v>80</v>
      </c>
      <c r="L76" s="67"/>
      <c r="M76" s="65"/>
      <c r="N76" s="65"/>
      <c r="O76" s="67"/>
    </row>
    <row r="77" s="2" customFormat="1" ht="18" customHeight="1" spans="1:15">
      <c r="A77" s="48"/>
      <c r="B77" s="25">
        <f t="shared" si="4"/>
        <v>0</v>
      </c>
      <c r="C77" s="49"/>
      <c r="D77" s="50"/>
      <c r="E77" s="46"/>
      <c r="F77" s="25">
        <f t="shared" si="5"/>
        <v>0</v>
      </c>
      <c r="G77" s="189"/>
      <c r="H77" s="194">
        <v>43734</v>
      </c>
      <c r="I77" s="196">
        <v>300000</v>
      </c>
      <c r="J77" s="201" t="s">
        <v>20</v>
      </c>
      <c r="K77" s="202" t="s">
        <v>80</v>
      </c>
      <c r="L77" s="209"/>
      <c r="M77" s="201" t="s">
        <v>76</v>
      </c>
      <c r="N77" s="65"/>
      <c r="O77" s="67"/>
    </row>
    <row r="78" s="2" customFormat="1" ht="18" customHeight="1" spans="1:15">
      <c r="A78" s="48"/>
      <c r="B78" s="25">
        <f t="shared" si="4"/>
        <v>0</v>
      </c>
      <c r="C78" s="49"/>
      <c r="D78" s="50"/>
      <c r="E78" s="46"/>
      <c r="F78" s="25">
        <f t="shared" si="5"/>
        <v>0</v>
      </c>
      <c r="G78" s="189"/>
      <c r="H78" s="195">
        <v>43749</v>
      </c>
      <c r="I78" s="196">
        <v>500000</v>
      </c>
      <c r="J78" s="201" t="s">
        <v>20</v>
      </c>
      <c r="K78" s="202" t="s">
        <v>80</v>
      </c>
      <c r="L78" s="209"/>
      <c r="M78" s="201" t="s">
        <v>76</v>
      </c>
      <c r="N78" s="65"/>
      <c r="O78" s="67"/>
    </row>
    <row r="79" s="2" customFormat="1" ht="18" customHeight="1" spans="1:15">
      <c r="A79" s="48">
        <v>43709</v>
      </c>
      <c r="B79" s="25">
        <f t="shared" si="4"/>
        <v>12426.15</v>
      </c>
      <c r="C79" s="49"/>
      <c r="D79" s="50" t="s">
        <v>39</v>
      </c>
      <c r="E79" s="46"/>
      <c r="F79" s="25">
        <f t="shared" si="5"/>
        <v>0</v>
      </c>
      <c r="G79" s="189">
        <v>12426.15</v>
      </c>
      <c r="H79" s="36"/>
      <c r="I79" s="210"/>
      <c r="J79" s="56"/>
      <c r="K79" s="207" t="s">
        <v>68</v>
      </c>
      <c r="L79" s="82"/>
      <c r="M79" s="56"/>
      <c r="N79" s="65"/>
      <c r="O79" s="67"/>
    </row>
    <row r="80" s="2" customFormat="1" ht="18" customHeight="1" spans="1:15">
      <c r="A80" s="48">
        <v>43709</v>
      </c>
      <c r="B80" s="25">
        <f t="shared" si="4"/>
        <v>10316.04</v>
      </c>
      <c r="C80" s="49"/>
      <c r="D80" s="50" t="s">
        <v>36</v>
      </c>
      <c r="E80" s="70">
        <v>0.06</v>
      </c>
      <c r="F80" s="25">
        <f t="shared" si="5"/>
        <v>618.96</v>
      </c>
      <c r="G80" s="189">
        <v>10935</v>
      </c>
      <c r="H80" s="36"/>
      <c r="I80" s="210"/>
      <c r="J80" s="56"/>
      <c r="K80" s="207" t="s">
        <v>82</v>
      </c>
      <c r="L80" s="82" t="s">
        <v>41</v>
      </c>
      <c r="M80" s="56"/>
      <c r="N80" s="65"/>
      <c r="O80" s="67"/>
    </row>
    <row r="81" s="2" customFormat="1" ht="18" customHeight="1" spans="1:15">
      <c r="A81" s="48">
        <v>43709</v>
      </c>
      <c r="B81" s="25">
        <f t="shared" si="4"/>
        <v>10424.53</v>
      </c>
      <c r="C81" s="49"/>
      <c r="D81" s="50" t="s">
        <v>36</v>
      </c>
      <c r="E81" s="70">
        <v>0.06</v>
      </c>
      <c r="F81" s="25">
        <f t="shared" si="5"/>
        <v>625.47</v>
      </c>
      <c r="G81" s="189">
        <v>11050</v>
      </c>
      <c r="H81" s="36"/>
      <c r="I81" s="210"/>
      <c r="J81" s="56"/>
      <c r="K81" s="207" t="s">
        <v>82</v>
      </c>
      <c r="L81" s="82" t="s">
        <v>52</v>
      </c>
      <c r="M81" s="56"/>
      <c r="N81" s="65"/>
      <c r="O81" s="67"/>
    </row>
    <row r="82" s="2" customFormat="1" ht="18" customHeight="1" spans="1:15">
      <c r="A82" s="48">
        <v>43709</v>
      </c>
      <c r="B82" s="25">
        <f t="shared" si="4"/>
        <v>80009.43</v>
      </c>
      <c r="C82" s="49"/>
      <c r="D82" s="50" t="s">
        <v>36</v>
      </c>
      <c r="E82" s="70">
        <v>0.06</v>
      </c>
      <c r="F82" s="25">
        <f t="shared" si="5"/>
        <v>4800.57</v>
      </c>
      <c r="G82" s="189">
        <v>84810</v>
      </c>
      <c r="H82" s="36"/>
      <c r="I82" s="210"/>
      <c r="J82" s="56"/>
      <c r="K82" s="207" t="s">
        <v>69</v>
      </c>
      <c r="L82" s="82" t="s">
        <v>83</v>
      </c>
      <c r="M82" s="56"/>
      <c r="N82" s="65"/>
      <c r="O82" s="67"/>
    </row>
    <row r="83" s="2" customFormat="1" ht="18" customHeight="1" spans="1:15">
      <c r="A83" s="48">
        <v>43709</v>
      </c>
      <c r="B83" s="25">
        <f t="shared" si="4"/>
        <v>63897.3</v>
      </c>
      <c r="C83" s="49"/>
      <c r="D83" s="50" t="s">
        <v>36</v>
      </c>
      <c r="E83" s="70">
        <v>0.06</v>
      </c>
      <c r="F83" s="25">
        <f t="shared" si="5"/>
        <v>3833.84</v>
      </c>
      <c r="G83" s="189">
        <v>67731.14</v>
      </c>
      <c r="H83" s="36"/>
      <c r="I83" s="210"/>
      <c r="J83" s="56"/>
      <c r="K83" s="207" t="s">
        <v>69</v>
      </c>
      <c r="L83" s="82" t="s">
        <v>83</v>
      </c>
      <c r="M83" s="56"/>
      <c r="N83" s="65"/>
      <c r="O83" s="67"/>
    </row>
    <row r="84" s="2" customFormat="1" ht="18" customHeight="1" spans="1:15">
      <c r="A84" s="48">
        <v>43739</v>
      </c>
      <c r="B84" s="25">
        <f t="shared" si="4"/>
        <v>443071.38</v>
      </c>
      <c r="C84" s="49"/>
      <c r="D84" s="50" t="s">
        <v>36</v>
      </c>
      <c r="E84" s="70">
        <v>0.13</v>
      </c>
      <c r="F84" s="25">
        <f t="shared" si="5"/>
        <v>57599.28</v>
      </c>
      <c r="G84" s="189">
        <v>500670.66</v>
      </c>
      <c r="H84" s="36">
        <v>43769</v>
      </c>
      <c r="I84" s="188">
        <v>200000</v>
      </c>
      <c r="J84" s="63" t="s">
        <v>20</v>
      </c>
      <c r="K84" s="207" t="s">
        <v>80</v>
      </c>
      <c r="L84" s="82" t="s">
        <v>84</v>
      </c>
      <c r="M84" s="56"/>
      <c r="N84" s="65"/>
      <c r="O84" s="67"/>
    </row>
    <row r="85" s="2" customFormat="1" ht="18" customHeight="1" spans="1:15">
      <c r="A85" s="48">
        <v>43739</v>
      </c>
      <c r="B85" s="25">
        <f t="shared" si="4"/>
        <v>257787.35</v>
      </c>
      <c r="C85" s="49"/>
      <c r="D85" s="50" t="s">
        <v>36</v>
      </c>
      <c r="E85" s="70">
        <v>0.13</v>
      </c>
      <c r="F85" s="196">
        <f t="shared" si="5"/>
        <v>33512.35</v>
      </c>
      <c r="G85" s="189">
        <v>291299.7</v>
      </c>
      <c r="H85" s="36"/>
      <c r="I85" s="210"/>
      <c r="J85" s="63" t="s">
        <v>20</v>
      </c>
      <c r="K85" s="207" t="s">
        <v>80</v>
      </c>
      <c r="L85" s="82" t="s">
        <v>85</v>
      </c>
      <c r="M85" s="56"/>
      <c r="N85" s="65"/>
      <c r="O85" s="67"/>
    </row>
    <row r="86" s="2" customFormat="1" ht="18" customHeight="1" spans="1:15">
      <c r="A86" s="48"/>
      <c r="B86" s="25">
        <f t="shared" si="4"/>
        <v>0</v>
      </c>
      <c r="C86" s="49"/>
      <c r="D86" s="50"/>
      <c r="E86" s="70"/>
      <c r="F86" s="25">
        <f t="shared" si="5"/>
        <v>0</v>
      </c>
      <c r="G86" s="189"/>
      <c r="H86" s="36">
        <v>43769</v>
      </c>
      <c r="I86" s="188">
        <v>600000</v>
      </c>
      <c r="J86" s="63" t="s">
        <v>20</v>
      </c>
      <c r="K86" s="148" t="s">
        <v>53</v>
      </c>
      <c r="L86" s="67" t="s">
        <v>54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500010</v>
      </c>
      <c r="C87" s="49"/>
      <c r="D87" s="50" t="s">
        <v>73</v>
      </c>
      <c r="E87" s="70"/>
      <c r="F87" s="25">
        <f t="shared" si="5"/>
        <v>0</v>
      </c>
      <c r="G87" s="189">
        <v>500010</v>
      </c>
      <c r="H87" s="36">
        <v>43773</v>
      </c>
      <c r="I87" s="188">
        <v>500010</v>
      </c>
      <c r="J87" s="63" t="s">
        <v>21</v>
      </c>
      <c r="K87" s="207" t="s">
        <v>74</v>
      </c>
      <c r="L87" s="82" t="s">
        <v>86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si="4"/>
        <v>300000</v>
      </c>
      <c r="C88" s="49"/>
      <c r="D88" s="50" t="s">
        <v>73</v>
      </c>
      <c r="E88" s="70"/>
      <c r="F88" s="25">
        <f t="shared" si="5"/>
        <v>0</v>
      </c>
      <c r="G88" s="189">
        <v>300000</v>
      </c>
      <c r="H88" s="36">
        <v>43773</v>
      </c>
      <c r="I88" s="188">
        <v>300000</v>
      </c>
      <c r="J88" s="63" t="s">
        <v>21</v>
      </c>
      <c r="K88" s="207" t="s">
        <v>87</v>
      </c>
      <c r="L88" s="82" t="s">
        <v>88</v>
      </c>
      <c r="M88" s="56"/>
      <c r="N88" s="65"/>
      <c r="O88" s="67"/>
    </row>
    <row r="89" s="2" customFormat="1" ht="18" customHeight="1" spans="1:15">
      <c r="A89" s="48">
        <v>43770</v>
      </c>
      <c r="B89" s="25">
        <f t="shared" si="4"/>
        <v>300000</v>
      </c>
      <c r="C89" s="49"/>
      <c r="D89" s="50" t="s">
        <v>73</v>
      </c>
      <c r="E89" s="70"/>
      <c r="F89" s="25">
        <f t="shared" si="5"/>
        <v>0</v>
      </c>
      <c r="G89" s="189">
        <v>300000</v>
      </c>
      <c r="H89" s="36">
        <v>43773</v>
      </c>
      <c r="I89" s="188">
        <v>300000</v>
      </c>
      <c r="J89" s="63" t="s">
        <v>21</v>
      </c>
      <c r="K89" s="207" t="s">
        <v>89</v>
      </c>
      <c r="L89" s="82" t="s">
        <v>88</v>
      </c>
      <c r="M89" s="56"/>
      <c r="N89" s="65"/>
      <c r="O89" s="67"/>
    </row>
    <row r="90" s="2" customFormat="1" ht="18" customHeight="1" spans="1:15">
      <c r="A90" s="48">
        <v>43770</v>
      </c>
      <c r="B90" s="25">
        <f t="shared" si="4"/>
        <v>300060</v>
      </c>
      <c r="C90" s="49"/>
      <c r="D90" s="50" t="s">
        <v>73</v>
      </c>
      <c r="E90" s="70"/>
      <c r="F90" s="25">
        <f t="shared" si="5"/>
        <v>0</v>
      </c>
      <c r="G90" s="189">
        <v>300060</v>
      </c>
      <c r="H90" s="36">
        <v>43773</v>
      </c>
      <c r="I90" s="188">
        <v>300060</v>
      </c>
      <c r="J90" s="63" t="s">
        <v>21</v>
      </c>
      <c r="K90" s="207" t="s">
        <v>90</v>
      </c>
      <c r="L90" s="82" t="s">
        <v>91</v>
      </c>
      <c r="M90" s="56"/>
      <c r="N90" s="65"/>
      <c r="O90" s="67"/>
    </row>
    <row r="91" s="2" customFormat="1" ht="18" customHeight="1" spans="1:15">
      <c r="A91" s="48">
        <v>43770</v>
      </c>
      <c r="B91" s="25">
        <f t="shared" si="4"/>
        <v>0</v>
      </c>
      <c r="C91" s="49"/>
      <c r="D91" s="50"/>
      <c r="E91" s="70"/>
      <c r="F91" s="25">
        <f t="shared" si="5"/>
        <v>0</v>
      </c>
      <c r="G91" s="189"/>
      <c r="H91" s="36">
        <v>43773</v>
      </c>
      <c r="I91" s="188">
        <v>500000</v>
      </c>
      <c r="J91" s="63" t="s">
        <v>20</v>
      </c>
      <c r="K91" s="207" t="s">
        <v>92</v>
      </c>
      <c r="L91" s="82" t="s">
        <v>93</v>
      </c>
      <c r="M91" s="56"/>
      <c r="N91" s="65"/>
      <c r="O91" s="67"/>
    </row>
    <row r="92" s="2" customFormat="1" ht="18" customHeight="1" spans="1:15">
      <c r="A92" s="48"/>
      <c r="B92" s="25">
        <f t="shared" si="4"/>
        <v>0</v>
      </c>
      <c r="C92" s="49"/>
      <c r="D92" s="50"/>
      <c r="E92" s="70"/>
      <c r="F92" s="25">
        <f t="shared" si="5"/>
        <v>0</v>
      </c>
      <c r="G92" s="189"/>
      <c r="H92" s="36">
        <v>43775</v>
      </c>
      <c r="I92" s="188">
        <v>800000</v>
      </c>
      <c r="J92" s="63" t="s">
        <v>20</v>
      </c>
      <c r="K92" s="207" t="s">
        <v>94</v>
      </c>
      <c r="L92" s="82" t="s">
        <v>95</v>
      </c>
      <c r="M92" s="56"/>
      <c r="N92" s="65"/>
      <c r="O92" s="67"/>
    </row>
    <row r="93" s="2" customFormat="1" ht="18" customHeight="1" spans="1:15">
      <c r="A93" s="48">
        <v>43770</v>
      </c>
      <c r="B93" s="25">
        <f t="shared" si="4"/>
        <v>1165048.54</v>
      </c>
      <c r="C93" s="49"/>
      <c r="D93" s="50" t="s">
        <v>36</v>
      </c>
      <c r="E93" s="70">
        <v>0.03</v>
      </c>
      <c r="F93" s="197">
        <f t="shared" si="5"/>
        <v>34951.46</v>
      </c>
      <c r="G93" s="189">
        <f>96000*12+48000</f>
        <v>1200000</v>
      </c>
      <c r="H93" s="36">
        <v>43776</v>
      </c>
      <c r="I93" s="188">
        <v>400000</v>
      </c>
      <c r="J93" s="63" t="s">
        <v>20</v>
      </c>
      <c r="K93" s="207" t="s">
        <v>94</v>
      </c>
      <c r="L93" s="82" t="s">
        <v>95</v>
      </c>
      <c r="M93" s="56"/>
      <c r="N93" s="65"/>
      <c r="O93" s="67"/>
    </row>
    <row r="94" s="2" customFormat="1" ht="18" customHeight="1" spans="1:15">
      <c r="A94" s="48">
        <v>43770</v>
      </c>
      <c r="B94" s="25">
        <f t="shared" ref="B94:B96" si="6">ROUND(G94/(1+E94),2)</f>
        <v>326256.05</v>
      </c>
      <c r="C94" s="49"/>
      <c r="D94" s="50" t="s">
        <v>36</v>
      </c>
      <c r="E94" s="70">
        <v>0.13</v>
      </c>
      <c r="F94" s="197">
        <f t="shared" ref="F94:F96" si="7">ROUND(G94/(1+E94)*E94,2)</f>
        <v>42413.29</v>
      </c>
      <c r="G94" s="189">
        <v>368669.34</v>
      </c>
      <c r="H94" s="36"/>
      <c r="I94" s="210"/>
      <c r="J94" s="56"/>
      <c r="K94" s="207" t="s">
        <v>80</v>
      </c>
      <c r="L94" s="82" t="s">
        <v>96</v>
      </c>
      <c r="M94" s="56"/>
      <c r="N94" s="65"/>
      <c r="O94" s="67"/>
    </row>
    <row r="95" s="2" customFormat="1" ht="18" customHeight="1" spans="1:15">
      <c r="A95" s="48">
        <v>43770</v>
      </c>
      <c r="B95" s="25">
        <f t="shared" si="6"/>
        <v>199980</v>
      </c>
      <c r="C95" s="49"/>
      <c r="D95" s="50" t="s">
        <v>73</v>
      </c>
      <c r="E95" s="70"/>
      <c r="F95" s="25">
        <f t="shared" si="7"/>
        <v>0</v>
      </c>
      <c r="G95" s="189">
        <v>199980</v>
      </c>
      <c r="H95" s="195">
        <v>43784</v>
      </c>
      <c r="I95" s="196">
        <v>199980</v>
      </c>
      <c r="J95" s="201" t="s">
        <v>21</v>
      </c>
      <c r="K95" s="202" t="s">
        <v>97</v>
      </c>
      <c r="L95" s="204" t="s">
        <v>98</v>
      </c>
      <c r="M95" s="56" t="s">
        <v>76</v>
      </c>
      <c r="N95" s="65"/>
      <c r="O95" s="67"/>
    </row>
    <row r="96" s="3" customFormat="1" ht="18" customHeight="1" spans="1:15">
      <c r="A96" s="74">
        <v>43770</v>
      </c>
      <c r="B96" s="25">
        <f t="shared" si="6"/>
        <v>442477.88</v>
      </c>
      <c r="C96" s="75"/>
      <c r="D96" s="76" t="s">
        <v>36</v>
      </c>
      <c r="E96" s="77">
        <v>0.13</v>
      </c>
      <c r="F96" s="197">
        <f t="shared" si="7"/>
        <v>57522.12</v>
      </c>
      <c r="G96" s="198">
        <v>500000</v>
      </c>
      <c r="H96" s="36"/>
      <c r="I96" s="188"/>
      <c r="J96" s="63"/>
      <c r="K96" s="207" t="s">
        <v>92</v>
      </c>
      <c r="L96" s="82" t="s">
        <v>99</v>
      </c>
      <c r="M96" s="63" t="s">
        <v>100</v>
      </c>
      <c r="N96" s="63"/>
      <c r="O96" s="82"/>
    </row>
    <row r="97" s="3" customFormat="1" ht="18" customHeight="1" spans="1:15">
      <c r="A97" s="74"/>
      <c r="B97" s="25"/>
      <c r="C97" s="75"/>
      <c r="D97" s="76"/>
      <c r="E97" s="77"/>
      <c r="F97" s="25"/>
      <c r="G97" s="198"/>
      <c r="H97" s="36">
        <v>43819</v>
      </c>
      <c r="I97" s="188">
        <v>92448</v>
      </c>
      <c r="J97" s="63" t="s">
        <v>20</v>
      </c>
      <c r="K97" s="148" t="s">
        <v>53</v>
      </c>
      <c r="L97" s="67" t="s">
        <v>54</v>
      </c>
      <c r="M97" s="63"/>
      <c r="N97" s="63"/>
      <c r="O97" s="82"/>
    </row>
    <row r="98" s="3" customFormat="1" ht="18" customHeight="1" spans="1:15">
      <c r="A98" s="74"/>
      <c r="B98" s="25">
        <f t="shared" ref="B98:B106" si="8">ROUND(G98/(1+E98),2)</f>
        <v>0</v>
      </c>
      <c r="C98" s="75"/>
      <c r="D98" s="76"/>
      <c r="E98" s="77"/>
      <c r="F98" s="25">
        <f t="shared" ref="F98:F106" si="9">ROUND(G98/(1+E98)*E98,2)</f>
        <v>0</v>
      </c>
      <c r="G98" s="198"/>
      <c r="H98" s="36">
        <v>43829</v>
      </c>
      <c r="I98" s="188">
        <v>800000</v>
      </c>
      <c r="J98" s="63" t="s">
        <v>20</v>
      </c>
      <c r="K98" s="207" t="s">
        <v>80</v>
      </c>
      <c r="L98" s="82" t="s">
        <v>81</v>
      </c>
      <c r="M98" s="63"/>
      <c r="N98" s="63"/>
      <c r="O98" s="82"/>
    </row>
    <row r="99" s="3" customFormat="1" ht="18" customHeight="1" spans="1:15">
      <c r="A99" s="74">
        <v>43800</v>
      </c>
      <c r="B99" s="25">
        <f t="shared" si="8"/>
        <v>650987.86</v>
      </c>
      <c r="C99" s="75"/>
      <c r="D99" s="76" t="s">
        <v>36</v>
      </c>
      <c r="E99" s="77">
        <v>0.13</v>
      </c>
      <c r="F99" s="25">
        <f t="shared" si="9"/>
        <v>84628.42</v>
      </c>
      <c r="G99" s="198">
        <v>735616.28</v>
      </c>
      <c r="H99" s="36"/>
      <c r="I99" s="188"/>
      <c r="J99" s="63"/>
      <c r="K99" s="207" t="s">
        <v>80</v>
      </c>
      <c r="L99" s="82" t="s">
        <v>101</v>
      </c>
      <c r="M99" s="63" t="s">
        <v>100</v>
      </c>
      <c r="N99" s="63"/>
      <c r="O99" s="82"/>
    </row>
    <row r="100" s="3" customFormat="1" ht="18" customHeight="1" spans="1:15">
      <c r="A100" s="74">
        <v>43800</v>
      </c>
      <c r="B100" s="25">
        <f t="shared" si="8"/>
        <v>5825242.72</v>
      </c>
      <c r="C100" s="75"/>
      <c r="D100" s="50" t="s">
        <v>36</v>
      </c>
      <c r="E100" s="70">
        <v>0.03</v>
      </c>
      <c r="F100" s="25">
        <f t="shared" si="9"/>
        <v>174757.28</v>
      </c>
      <c r="G100" s="198">
        <f>1000000*6</f>
        <v>6000000</v>
      </c>
      <c r="H100" s="36">
        <v>43843</v>
      </c>
      <c r="I100" s="188">
        <v>1000000</v>
      </c>
      <c r="J100" s="63" t="s">
        <v>20</v>
      </c>
      <c r="K100" s="207" t="s">
        <v>53</v>
      </c>
      <c r="L100" s="82" t="s">
        <v>54</v>
      </c>
      <c r="M100" s="63" t="s">
        <v>100</v>
      </c>
      <c r="N100" s="63"/>
      <c r="O100" s="82" t="s">
        <v>102</v>
      </c>
    </row>
    <row r="101" s="3" customFormat="1" ht="18" customHeight="1" spans="1:15">
      <c r="A101" s="74">
        <v>43831</v>
      </c>
      <c r="B101" s="25">
        <f t="shared" si="8"/>
        <v>3623633.45</v>
      </c>
      <c r="C101" s="75"/>
      <c r="D101" s="50" t="s">
        <v>36</v>
      </c>
      <c r="E101" s="77">
        <v>0.09</v>
      </c>
      <c r="F101" s="25">
        <f t="shared" si="9"/>
        <v>326127.01</v>
      </c>
      <c r="G101" s="198">
        <f>1000000*3+949760.46</f>
        <v>3949760.46</v>
      </c>
      <c r="H101" s="36">
        <v>43844</v>
      </c>
      <c r="I101" s="188">
        <v>500000</v>
      </c>
      <c r="J101" s="63" t="s">
        <v>20</v>
      </c>
      <c r="K101" s="207" t="s">
        <v>103</v>
      </c>
      <c r="L101" s="82" t="s">
        <v>54</v>
      </c>
      <c r="M101" s="63" t="s">
        <v>100</v>
      </c>
      <c r="N101" s="63"/>
      <c r="O101" s="82"/>
    </row>
    <row r="102" s="3" customFormat="1" ht="18" customHeight="1" spans="1:15">
      <c r="A102" s="74"/>
      <c r="B102" s="25">
        <f t="shared" si="8"/>
        <v>0</v>
      </c>
      <c r="C102" s="75"/>
      <c r="D102" s="76"/>
      <c r="E102" s="77"/>
      <c r="F102" s="25">
        <f t="shared" si="9"/>
        <v>0</v>
      </c>
      <c r="G102" s="198"/>
      <c r="H102" s="36">
        <v>43845</v>
      </c>
      <c r="I102" s="188">
        <v>2000000</v>
      </c>
      <c r="J102" s="63" t="s">
        <v>20</v>
      </c>
      <c r="K102" s="207" t="s">
        <v>103</v>
      </c>
      <c r="L102" s="82" t="s">
        <v>54</v>
      </c>
      <c r="M102" s="63"/>
      <c r="N102" s="63"/>
      <c r="O102" s="82"/>
    </row>
    <row r="103" s="3" customFormat="1" ht="18" customHeight="1" spans="1:15">
      <c r="A103" s="74"/>
      <c r="B103" s="25">
        <f t="shared" si="8"/>
        <v>0</v>
      </c>
      <c r="C103" s="75"/>
      <c r="D103" s="76"/>
      <c r="E103" s="77"/>
      <c r="F103" s="25">
        <f t="shared" si="9"/>
        <v>0</v>
      </c>
      <c r="G103" s="198"/>
      <c r="H103" s="36">
        <v>43849</v>
      </c>
      <c r="I103" s="188">
        <v>1449760.46</v>
      </c>
      <c r="J103" s="63" t="s">
        <v>20</v>
      </c>
      <c r="K103" s="207" t="s">
        <v>103</v>
      </c>
      <c r="L103" s="82" t="s">
        <v>54</v>
      </c>
      <c r="M103" s="63"/>
      <c r="N103" s="63"/>
      <c r="O103" s="82"/>
    </row>
    <row r="104" s="3" customFormat="1" ht="18" customHeight="1" spans="1:15">
      <c r="A104" s="74">
        <v>43831</v>
      </c>
      <c r="B104" s="25">
        <f t="shared" si="8"/>
        <v>600000</v>
      </c>
      <c r="C104" s="75"/>
      <c r="D104" s="50" t="s">
        <v>73</v>
      </c>
      <c r="E104" s="77"/>
      <c r="F104" s="25">
        <f t="shared" si="9"/>
        <v>0</v>
      </c>
      <c r="G104" s="188">
        <v>600000</v>
      </c>
      <c r="H104" s="36">
        <v>43850</v>
      </c>
      <c r="I104" s="188">
        <v>600000</v>
      </c>
      <c r="J104" s="63" t="s">
        <v>21</v>
      </c>
      <c r="K104" s="207" t="s">
        <v>89</v>
      </c>
      <c r="L104" s="82" t="s">
        <v>104</v>
      </c>
      <c r="M104" s="63"/>
      <c r="N104" s="63"/>
      <c r="O104" s="82"/>
    </row>
    <row r="105" s="3" customFormat="1" ht="18" customHeight="1" spans="1:15">
      <c r="A105" s="74">
        <v>43831</v>
      </c>
      <c r="B105" s="25">
        <f t="shared" si="8"/>
        <v>600000</v>
      </c>
      <c r="C105" s="75"/>
      <c r="D105" s="50" t="s">
        <v>73</v>
      </c>
      <c r="E105" s="77"/>
      <c r="F105" s="25">
        <f t="shared" si="9"/>
        <v>0</v>
      </c>
      <c r="G105" s="188">
        <v>600000</v>
      </c>
      <c r="H105" s="36">
        <v>43850</v>
      </c>
      <c r="I105" s="188">
        <v>600000</v>
      </c>
      <c r="J105" s="63" t="s">
        <v>21</v>
      </c>
      <c r="K105" s="207" t="s">
        <v>87</v>
      </c>
      <c r="L105" s="82" t="s">
        <v>104</v>
      </c>
      <c r="M105" s="63"/>
      <c r="N105" s="63"/>
      <c r="O105" s="82"/>
    </row>
    <row r="106" s="3" customFormat="1" ht="18" customHeight="1" spans="1:15">
      <c r="A106" s="74">
        <v>43891</v>
      </c>
      <c r="B106" s="25">
        <f t="shared" si="8"/>
        <v>530100</v>
      </c>
      <c r="C106" s="75"/>
      <c r="D106" s="50" t="s">
        <v>73</v>
      </c>
      <c r="E106" s="77"/>
      <c r="F106" s="25">
        <f t="shared" si="9"/>
        <v>0</v>
      </c>
      <c r="G106" s="188">
        <v>530100</v>
      </c>
      <c r="H106" s="36">
        <v>43903</v>
      </c>
      <c r="I106" s="188">
        <v>530000</v>
      </c>
      <c r="J106" s="63" t="s">
        <v>21</v>
      </c>
      <c r="K106" s="207" t="s">
        <v>105</v>
      </c>
      <c r="L106" s="82" t="s">
        <v>77</v>
      </c>
      <c r="M106" s="63"/>
      <c r="N106" s="63"/>
      <c r="O106" s="82"/>
    </row>
    <row r="107" s="3" customFormat="1" ht="18" customHeight="1" spans="1:15">
      <c r="A107" s="74">
        <v>43952</v>
      </c>
      <c r="B107" s="25">
        <f>298648.6+188837.04+318653.29</f>
        <v>806138.93</v>
      </c>
      <c r="C107" s="75">
        <v>3</v>
      </c>
      <c r="D107" s="50" t="s">
        <v>36</v>
      </c>
      <c r="E107" s="77">
        <v>0.13</v>
      </c>
      <c r="F107" s="25">
        <f>38824.32+24548.82+41424.93</f>
        <v>104798.07</v>
      </c>
      <c r="G107" s="198">
        <f>337472.92+213385.86+360078.22</f>
        <v>910937</v>
      </c>
      <c r="H107" s="36">
        <v>43903</v>
      </c>
      <c r="I107" s="188">
        <v>200000</v>
      </c>
      <c r="J107" s="63" t="s">
        <v>20</v>
      </c>
      <c r="K107" s="207" t="s">
        <v>80</v>
      </c>
      <c r="L107" s="82" t="s">
        <v>169</v>
      </c>
      <c r="M107" s="63" t="s">
        <v>100</v>
      </c>
      <c r="N107" s="63" t="s">
        <v>100</v>
      </c>
      <c r="O107" s="82"/>
    </row>
    <row r="108" s="3" customFormat="1" ht="18" customHeight="1" spans="1:15">
      <c r="A108" s="74"/>
      <c r="B108" s="25">
        <f t="shared" ref="B108:B132" si="10">ROUND(G108/(1+E108),2)</f>
        <v>0</v>
      </c>
      <c r="C108" s="75"/>
      <c r="D108" s="50"/>
      <c r="E108" s="77"/>
      <c r="F108" s="25">
        <f t="shared" ref="F108:F136" si="11">ROUND(G108/(1+E108)*E108,2)</f>
        <v>0</v>
      </c>
      <c r="G108" s="198"/>
      <c r="H108" s="36">
        <v>43950</v>
      </c>
      <c r="I108" s="188">
        <v>400000</v>
      </c>
      <c r="J108" s="63" t="s">
        <v>20</v>
      </c>
      <c r="K108" s="207" t="s">
        <v>155</v>
      </c>
      <c r="L108" s="82" t="s">
        <v>81</v>
      </c>
      <c r="M108" s="63"/>
      <c r="N108"/>
      <c r="O108" s="82"/>
    </row>
    <row r="109" s="3" customFormat="1" ht="18" customHeight="1" spans="1:15">
      <c r="A109" s="74"/>
      <c r="B109" s="25">
        <f t="shared" si="10"/>
        <v>0</v>
      </c>
      <c r="C109" s="75"/>
      <c r="D109" s="50"/>
      <c r="E109" s="77"/>
      <c r="F109" s="25">
        <f t="shared" si="11"/>
        <v>0</v>
      </c>
      <c r="G109" s="198"/>
      <c r="H109" s="36">
        <v>43951</v>
      </c>
      <c r="I109" s="188">
        <v>970000</v>
      </c>
      <c r="J109" s="63" t="s">
        <v>21</v>
      </c>
      <c r="K109" s="207" t="s">
        <v>105</v>
      </c>
      <c r="L109" s="82"/>
      <c r="M109" s="63"/>
      <c r="N109" s="63"/>
      <c r="O109" s="82"/>
    </row>
    <row r="110" s="3" customFormat="1" ht="18" customHeight="1" spans="1:15">
      <c r="A110" s="74"/>
      <c r="B110" s="25">
        <f t="shared" si="10"/>
        <v>0</v>
      </c>
      <c r="C110" s="75"/>
      <c r="D110" s="50"/>
      <c r="E110" s="77"/>
      <c r="F110" s="25">
        <f t="shared" si="11"/>
        <v>0</v>
      </c>
      <c r="G110" s="198"/>
      <c r="H110" s="36">
        <v>43966</v>
      </c>
      <c r="I110" s="188">
        <v>150000</v>
      </c>
      <c r="J110" s="63" t="s">
        <v>20</v>
      </c>
      <c r="K110" s="207" t="s">
        <v>155</v>
      </c>
      <c r="L110" s="82" t="s">
        <v>81</v>
      </c>
      <c r="M110" s="63"/>
      <c r="N110" s="63"/>
      <c r="O110" s="82"/>
    </row>
    <row r="111" s="3" customFormat="1" ht="17.1" customHeight="1" spans="1:15">
      <c r="A111" s="74">
        <v>44013</v>
      </c>
      <c r="B111" s="25">
        <f t="shared" si="10"/>
        <v>2632.08</v>
      </c>
      <c r="C111" s="75">
        <v>1</v>
      </c>
      <c r="D111" s="50" t="s">
        <v>36</v>
      </c>
      <c r="E111" s="77">
        <v>0.06</v>
      </c>
      <c r="F111" s="25">
        <f t="shared" si="11"/>
        <v>157.92</v>
      </c>
      <c r="G111" s="198">
        <v>2790</v>
      </c>
      <c r="H111" s="36"/>
      <c r="I111" s="188"/>
      <c r="J111" s="63"/>
      <c r="K111" s="211" t="s">
        <v>156</v>
      </c>
      <c r="L111" s="212" t="s">
        <v>52</v>
      </c>
      <c r="M111" s="56" t="s">
        <v>171</v>
      </c>
      <c r="N111" s="63"/>
      <c r="O111" s="82"/>
    </row>
    <row r="112" s="3" customFormat="1" ht="17.1" customHeight="1" spans="1:15">
      <c r="A112" s="74"/>
      <c r="B112" s="25">
        <f t="shared" si="10"/>
        <v>0</v>
      </c>
      <c r="C112" s="75"/>
      <c r="D112" s="50"/>
      <c r="E112" s="77"/>
      <c r="F112" s="25">
        <f t="shared" si="11"/>
        <v>0</v>
      </c>
      <c r="G112" s="198"/>
      <c r="H112" s="36">
        <v>43993</v>
      </c>
      <c r="I112" s="188">
        <v>100000</v>
      </c>
      <c r="J112" s="63"/>
      <c r="K112" s="207" t="s">
        <v>155</v>
      </c>
      <c r="L112" s="82"/>
      <c r="M112" s="63"/>
      <c r="N112" s="63"/>
      <c r="O112" s="82"/>
    </row>
    <row r="113" s="3" customFormat="1" ht="17.1" customHeight="1" spans="1:15">
      <c r="A113" s="74"/>
      <c r="B113" s="25">
        <f t="shared" si="10"/>
        <v>0</v>
      </c>
      <c r="C113" s="75"/>
      <c r="D113" s="50"/>
      <c r="E113" s="77"/>
      <c r="F113" s="25">
        <f t="shared" si="11"/>
        <v>0</v>
      </c>
      <c r="G113" s="198"/>
      <c r="H113" s="36">
        <v>43994</v>
      </c>
      <c r="I113" s="188">
        <v>1000000</v>
      </c>
      <c r="J113" s="63"/>
      <c r="K113" s="213" t="s">
        <v>53</v>
      </c>
      <c r="L113" s="82" t="s">
        <v>54</v>
      </c>
      <c r="M113" s="63"/>
      <c r="N113" s="63"/>
      <c r="O113" s="82"/>
    </row>
    <row r="114" s="3" customFormat="1" ht="17.1" customHeight="1" spans="1:15">
      <c r="A114" s="74"/>
      <c r="B114" s="25">
        <f t="shared" si="10"/>
        <v>0</v>
      </c>
      <c r="C114" s="75"/>
      <c r="D114" s="50"/>
      <c r="E114" s="77"/>
      <c r="F114" s="25">
        <f t="shared" si="11"/>
        <v>0</v>
      </c>
      <c r="G114" s="198"/>
      <c r="H114" s="36">
        <v>44000</v>
      </c>
      <c r="I114" s="214">
        <v>500000</v>
      </c>
      <c r="J114" s="63" t="s">
        <v>20</v>
      </c>
      <c r="K114" s="171" t="s">
        <v>166</v>
      </c>
      <c r="L114" s="82"/>
      <c r="M114" s="63"/>
      <c r="N114" s="63"/>
      <c r="O114" s="82"/>
    </row>
    <row r="115" s="3" customFormat="1" ht="17.1" customHeight="1" spans="1:15">
      <c r="A115" s="74">
        <v>44013</v>
      </c>
      <c r="B115" s="25">
        <f t="shared" si="10"/>
        <v>600040</v>
      </c>
      <c r="C115" s="75"/>
      <c r="D115" s="50" t="s">
        <v>173</v>
      </c>
      <c r="E115" s="77"/>
      <c r="F115" s="25">
        <f t="shared" si="11"/>
        <v>0</v>
      </c>
      <c r="G115" s="198">
        <v>600040</v>
      </c>
      <c r="H115" s="36">
        <v>44000</v>
      </c>
      <c r="I115" s="214">
        <v>600040</v>
      </c>
      <c r="J115" s="63" t="s">
        <v>20</v>
      </c>
      <c r="K115" s="171" t="s">
        <v>74</v>
      </c>
      <c r="L115" s="82" t="s">
        <v>174</v>
      </c>
      <c r="M115" s="63"/>
      <c r="N115" s="63"/>
      <c r="O115" s="82" t="s">
        <v>175</v>
      </c>
    </row>
    <row r="116" s="3" customFormat="1" ht="17.1" customHeight="1" spans="1:15">
      <c r="A116" s="74">
        <v>44013</v>
      </c>
      <c r="B116" s="25">
        <f t="shared" si="10"/>
        <v>600120</v>
      </c>
      <c r="C116" s="75"/>
      <c r="D116" s="50" t="s">
        <v>173</v>
      </c>
      <c r="E116" s="77"/>
      <c r="F116" s="25">
        <f t="shared" si="11"/>
        <v>0</v>
      </c>
      <c r="G116" s="198">
        <v>600120</v>
      </c>
      <c r="H116" s="36">
        <v>44000</v>
      </c>
      <c r="I116" s="214">
        <v>600120</v>
      </c>
      <c r="J116" s="63" t="s">
        <v>20</v>
      </c>
      <c r="K116" s="171" t="s">
        <v>78</v>
      </c>
      <c r="L116" s="82" t="s">
        <v>176</v>
      </c>
      <c r="M116" s="63"/>
      <c r="N116" s="63"/>
      <c r="O116" s="82" t="s">
        <v>177</v>
      </c>
    </row>
    <row r="117" s="3" customFormat="1" ht="17.1" customHeight="1" spans="1:15">
      <c r="A117" s="74">
        <v>44013</v>
      </c>
      <c r="B117" s="25">
        <f t="shared" si="10"/>
        <v>300000</v>
      </c>
      <c r="C117" s="75"/>
      <c r="D117" s="50" t="s">
        <v>173</v>
      </c>
      <c r="E117" s="77"/>
      <c r="F117" s="25">
        <f t="shared" si="11"/>
        <v>0</v>
      </c>
      <c r="G117" s="198">
        <v>300000</v>
      </c>
      <c r="H117" s="36">
        <v>44000</v>
      </c>
      <c r="I117" s="214">
        <v>300000</v>
      </c>
      <c r="J117" s="63" t="s">
        <v>20</v>
      </c>
      <c r="K117" s="171" t="s">
        <v>89</v>
      </c>
      <c r="L117" s="82" t="s">
        <v>178</v>
      </c>
      <c r="M117" t="s">
        <v>100</v>
      </c>
      <c r="N117" s="63"/>
      <c r="O117" s="82" t="s">
        <v>179</v>
      </c>
    </row>
    <row r="118" s="3" customFormat="1" ht="17.1" customHeight="1" spans="1:15">
      <c r="A118" s="74">
        <v>44013</v>
      </c>
      <c r="B118" s="25">
        <f t="shared" si="10"/>
        <v>300000</v>
      </c>
      <c r="C118" s="75"/>
      <c r="D118" s="50" t="s">
        <v>173</v>
      </c>
      <c r="E118" s="77"/>
      <c r="F118" s="25">
        <f t="shared" si="11"/>
        <v>0</v>
      </c>
      <c r="G118" s="198">
        <v>300000</v>
      </c>
      <c r="H118" s="36">
        <v>44001</v>
      </c>
      <c r="I118" s="214">
        <v>300000</v>
      </c>
      <c r="J118" s="63" t="s">
        <v>20</v>
      </c>
      <c r="K118" s="171" t="s">
        <v>87</v>
      </c>
      <c r="L118" s="82" t="s">
        <v>178</v>
      </c>
      <c r="M118" t="s">
        <v>100</v>
      </c>
      <c r="N118" s="63"/>
      <c r="O118" s="82" t="s">
        <v>180</v>
      </c>
    </row>
    <row r="119" s="3" customFormat="1" ht="18" customHeight="1" spans="1:15">
      <c r="A119" s="74"/>
      <c r="B119" s="25">
        <f t="shared" si="10"/>
        <v>0</v>
      </c>
      <c r="C119" s="75"/>
      <c r="D119" s="50"/>
      <c r="E119" s="77"/>
      <c r="F119" s="25">
        <f t="shared" si="11"/>
        <v>0</v>
      </c>
      <c r="G119" s="198"/>
      <c r="H119" s="199">
        <v>44005</v>
      </c>
      <c r="I119" s="215">
        <v>170000</v>
      </c>
      <c r="J119" s="216" t="s">
        <v>20</v>
      </c>
      <c r="K119" s="217" t="s">
        <v>155</v>
      </c>
      <c r="L119" s="82"/>
      <c r="M119" s="63"/>
      <c r="N119" s="63"/>
      <c r="O119" s="82"/>
    </row>
    <row r="120" s="3" customFormat="1" ht="18" customHeight="1" spans="1:15">
      <c r="A120" s="74"/>
      <c r="B120" s="25">
        <f t="shared" si="10"/>
        <v>0</v>
      </c>
      <c r="C120" s="75"/>
      <c r="D120" s="50"/>
      <c r="E120" s="77"/>
      <c r="F120" s="25">
        <f t="shared" si="11"/>
        <v>0</v>
      </c>
      <c r="G120" s="198"/>
      <c r="H120" s="200">
        <v>44012</v>
      </c>
      <c r="I120" s="218">
        <v>1000000</v>
      </c>
      <c r="J120" s="219" t="s">
        <v>164</v>
      </c>
      <c r="K120" s="220" t="s">
        <v>80</v>
      </c>
      <c r="L120" s="221" t="s">
        <v>81</v>
      </c>
      <c r="M120" s="219" t="s">
        <v>76</v>
      </c>
      <c r="N120" s="63"/>
      <c r="O120" s="82"/>
    </row>
    <row r="121" s="3" customFormat="1" ht="18" customHeight="1" spans="1:15">
      <c r="A121" s="74"/>
      <c r="B121" s="25">
        <f t="shared" si="10"/>
        <v>0</v>
      </c>
      <c r="C121" s="75"/>
      <c r="D121" s="50"/>
      <c r="E121" s="77"/>
      <c r="F121" s="25">
        <f t="shared" si="11"/>
        <v>0</v>
      </c>
      <c r="G121" s="198"/>
      <c r="H121" s="200">
        <v>44019</v>
      </c>
      <c r="I121" s="218">
        <v>500000</v>
      </c>
      <c r="J121" s="219"/>
      <c r="K121" s="220" t="s">
        <v>80</v>
      </c>
      <c r="L121" s="208"/>
      <c r="M121" s="219" t="s">
        <v>76</v>
      </c>
      <c r="N121" s="63"/>
      <c r="O121" s="82"/>
    </row>
    <row r="122" s="3" customFormat="1" ht="18" customHeight="1" spans="1:15">
      <c r="A122" s="74">
        <v>44013</v>
      </c>
      <c r="B122" s="25">
        <f t="shared" si="10"/>
        <v>505080.8</v>
      </c>
      <c r="C122" s="75"/>
      <c r="D122" s="50" t="s">
        <v>173</v>
      </c>
      <c r="E122" s="77"/>
      <c r="F122" s="25">
        <f t="shared" si="11"/>
        <v>0</v>
      </c>
      <c r="G122" s="198">
        <v>505080.8</v>
      </c>
      <c r="H122" s="200">
        <v>44019</v>
      </c>
      <c r="I122" s="218">
        <v>500000</v>
      </c>
      <c r="J122" s="219" t="s">
        <v>20</v>
      </c>
      <c r="K122" s="222" t="s">
        <v>74</v>
      </c>
      <c r="L122" s="208" t="s">
        <v>181</v>
      </c>
      <c r="M122" s="219" t="s">
        <v>76</v>
      </c>
      <c r="N122" s="63"/>
      <c r="O122" s="82" t="s">
        <v>182</v>
      </c>
    </row>
    <row r="123" s="3" customFormat="1" ht="18" customHeight="1" spans="1:15">
      <c r="A123" s="74">
        <v>44013</v>
      </c>
      <c r="B123" s="25">
        <f t="shared" si="10"/>
        <v>970000</v>
      </c>
      <c r="C123" s="75"/>
      <c r="D123" s="50" t="s">
        <v>173</v>
      </c>
      <c r="E123" s="77"/>
      <c r="F123" s="25">
        <f t="shared" si="11"/>
        <v>0</v>
      </c>
      <c r="G123" s="198">
        <v>970000</v>
      </c>
      <c r="H123" s="200"/>
      <c r="I123" s="218"/>
      <c r="J123" s="219"/>
      <c r="K123" s="207" t="s">
        <v>105</v>
      </c>
      <c r="L123" s="82" t="s">
        <v>183</v>
      </c>
      <c r="M123" s="219"/>
      <c r="N123" s="63"/>
      <c r="O123" s="82" t="s">
        <v>184</v>
      </c>
    </row>
    <row r="124" s="3" customFormat="1" ht="18" customHeight="1" spans="1:15">
      <c r="A124" s="74">
        <v>44013</v>
      </c>
      <c r="B124" s="25">
        <f t="shared" si="10"/>
        <v>458715.6</v>
      </c>
      <c r="C124" s="75"/>
      <c r="D124" s="50" t="s">
        <v>36</v>
      </c>
      <c r="E124" s="77">
        <v>0.09</v>
      </c>
      <c r="F124" s="25">
        <f t="shared" si="11"/>
        <v>41284.4</v>
      </c>
      <c r="G124" s="198">
        <v>500000</v>
      </c>
      <c r="H124" s="200"/>
      <c r="I124" s="218"/>
      <c r="J124" s="219"/>
      <c r="K124" s="171" t="s">
        <v>166</v>
      </c>
      <c r="L124" s="82" t="s">
        <v>185</v>
      </c>
      <c r="M124" t="s">
        <v>100</v>
      </c>
      <c r="N124" s="63"/>
      <c r="O124" s="82"/>
    </row>
    <row r="125" s="3" customFormat="1" ht="18" customHeight="1" spans="1:15">
      <c r="A125" s="74">
        <v>44044</v>
      </c>
      <c r="B125" s="25">
        <f t="shared" si="10"/>
        <v>1039119.43</v>
      </c>
      <c r="C125" s="75"/>
      <c r="D125" s="50" t="s">
        <v>36</v>
      </c>
      <c r="E125" s="77">
        <v>0.13</v>
      </c>
      <c r="F125" s="25">
        <f t="shared" si="11"/>
        <v>135085.53</v>
      </c>
      <c r="G125" s="198">
        <f>304573.99+869630.97</f>
        <v>1174204.96</v>
      </c>
      <c r="H125" s="200"/>
      <c r="I125" s="218"/>
      <c r="J125" s="219"/>
      <c r="K125" s="171" t="s">
        <v>80</v>
      </c>
      <c r="L125" s="82" t="s">
        <v>186</v>
      </c>
      <c r="M125" t="s">
        <v>100</v>
      </c>
      <c r="N125" s="63" t="s">
        <v>100</v>
      </c>
      <c r="O125" s="82"/>
    </row>
    <row r="126" s="3" customFormat="1" ht="18" customHeight="1" spans="1:15">
      <c r="A126" s="74">
        <v>44044</v>
      </c>
      <c r="B126" s="25">
        <f t="shared" si="10"/>
        <v>875700</v>
      </c>
      <c r="C126" s="75"/>
      <c r="D126" s="50" t="s">
        <v>173</v>
      </c>
      <c r="E126" s="77"/>
      <c r="F126" s="25">
        <f t="shared" si="11"/>
        <v>0</v>
      </c>
      <c r="G126" s="198">
        <v>875700</v>
      </c>
      <c r="H126" s="199">
        <v>44068</v>
      </c>
      <c r="I126" s="223">
        <v>875700</v>
      </c>
      <c r="J126" s="216" t="s">
        <v>21</v>
      </c>
      <c r="K126" s="224" t="s">
        <v>78</v>
      </c>
      <c r="L126" s="82" t="s">
        <v>188</v>
      </c>
      <c r="M126"/>
      <c r="N126" s="63" t="s">
        <v>100</v>
      </c>
      <c r="O126" s="82"/>
    </row>
    <row r="127" s="3" customFormat="1" ht="18" customHeight="1" spans="1:15">
      <c r="A127" s="74">
        <v>44044</v>
      </c>
      <c r="B127" s="25">
        <f t="shared" si="10"/>
        <v>194850</v>
      </c>
      <c r="C127" s="75"/>
      <c r="D127" s="50" t="s">
        <v>173</v>
      </c>
      <c r="E127" s="77"/>
      <c r="F127" s="25">
        <f t="shared" si="11"/>
        <v>0</v>
      </c>
      <c r="G127" s="198">
        <v>194850</v>
      </c>
      <c r="H127" s="200">
        <v>44069</v>
      </c>
      <c r="I127" s="223">
        <v>194850</v>
      </c>
      <c r="J127" s="216" t="s">
        <v>21</v>
      </c>
      <c r="K127" s="225" t="s">
        <v>74</v>
      </c>
      <c r="L127" s="82" t="s">
        <v>189</v>
      </c>
      <c r="M127"/>
      <c r="N127" s="63" t="s">
        <v>100</v>
      </c>
      <c r="O127" s="82"/>
    </row>
    <row r="128" s="3" customFormat="1" ht="18" customHeight="1" spans="1:15">
      <c r="A128" s="74"/>
      <c r="B128" s="25">
        <f t="shared" si="10"/>
        <v>0</v>
      </c>
      <c r="C128" s="75"/>
      <c r="D128" s="50"/>
      <c r="E128" s="77"/>
      <c r="F128" s="25">
        <f t="shared" si="11"/>
        <v>0</v>
      </c>
      <c r="G128" s="198"/>
      <c r="H128" s="199">
        <v>44069</v>
      </c>
      <c r="I128" s="223">
        <v>500000</v>
      </c>
      <c r="J128" s="216" t="s">
        <v>20</v>
      </c>
      <c r="K128" s="224" t="s">
        <v>53</v>
      </c>
      <c r="L128" s="82"/>
      <c r="M128"/>
      <c r="N128" s="63"/>
      <c r="O128" s="82"/>
    </row>
    <row r="129" s="3" customFormat="1" ht="18" customHeight="1" spans="1:15">
      <c r="A129" s="74">
        <v>44075</v>
      </c>
      <c r="B129" s="25">
        <f t="shared" si="10"/>
        <v>26643.4</v>
      </c>
      <c r="C129" s="75">
        <v>1</v>
      </c>
      <c r="D129" s="50" t="s">
        <v>36</v>
      </c>
      <c r="E129" s="77">
        <v>0.06</v>
      </c>
      <c r="F129" s="25">
        <f t="shared" si="11"/>
        <v>1598.6</v>
      </c>
      <c r="G129" s="198">
        <v>28242</v>
      </c>
      <c r="H129" s="199">
        <v>44068</v>
      </c>
      <c r="I129" s="223">
        <v>28242</v>
      </c>
      <c r="J129" s="216" t="s">
        <v>20</v>
      </c>
      <c r="K129" s="224" t="s">
        <v>65</v>
      </c>
      <c r="L129" s="82"/>
      <c r="M129"/>
      <c r="N129" s="63"/>
      <c r="O129" s="82"/>
    </row>
    <row r="130" s="3" customFormat="1" ht="18" customHeight="1" spans="1:15">
      <c r="A130" s="74"/>
      <c r="B130" s="25">
        <f t="shared" si="10"/>
        <v>0</v>
      </c>
      <c r="C130" s="75"/>
      <c r="D130" s="50"/>
      <c r="E130" s="77"/>
      <c r="F130" s="25">
        <f t="shared" si="11"/>
        <v>0</v>
      </c>
      <c r="G130" s="198"/>
      <c r="H130" s="199">
        <v>44081</v>
      </c>
      <c r="I130" s="223">
        <v>73950</v>
      </c>
      <c r="J130" s="216" t="s">
        <v>20</v>
      </c>
      <c r="K130" s="224" t="s">
        <v>193</v>
      </c>
      <c r="L130" s="82"/>
      <c r="M130"/>
      <c r="N130" s="63"/>
      <c r="O130" s="82"/>
    </row>
    <row r="131" s="3" customFormat="1" ht="18" customHeight="1" spans="1:15">
      <c r="A131" s="74">
        <v>44075</v>
      </c>
      <c r="B131" s="25">
        <f t="shared" si="10"/>
        <v>300000</v>
      </c>
      <c r="C131" s="75"/>
      <c r="D131" s="50" t="s">
        <v>173</v>
      </c>
      <c r="E131" s="77"/>
      <c r="F131" s="25">
        <f t="shared" si="11"/>
        <v>0</v>
      </c>
      <c r="G131" s="198">
        <v>300000</v>
      </c>
      <c r="H131" s="199">
        <v>44083</v>
      </c>
      <c r="I131" s="223">
        <v>300000</v>
      </c>
      <c r="J131" s="216" t="s">
        <v>21</v>
      </c>
      <c r="K131" s="224" t="s">
        <v>105</v>
      </c>
      <c r="L131" s="82" t="s">
        <v>194</v>
      </c>
      <c r="M131" s="63"/>
      <c r="N131" s="63" t="s">
        <v>100</v>
      </c>
      <c r="O131" s="82"/>
    </row>
    <row r="132" s="3" customFormat="1" ht="18" customHeight="1" spans="1:15">
      <c r="A132" s="74"/>
      <c r="B132" s="25">
        <f t="shared" si="10"/>
        <v>0</v>
      </c>
      <c r="C132" s="75"/>
      <c r="D132" s="50"/>
      <c r="E132" s="77"/>
      <c r="F132" s="25">
        <f t="shared" si="11"/>
        <v>0</v>
      </c>
      <c r="G132" s="198"/>
      <c r="H132" s="199">
        <v>44085</v>
      </c>
      <c r="I132" s="226">
        <v>1000000</v>
      </c>
      <c r="J132" s="227" t="s">
        <v>20</v>
      </c>
      <c r="K132" s="228" t="s">
        <v>53</v>
      </c>
      <c r="L132" s="208"/>
      <c r="M132"/>
      <c r="N132" s="63"/>
      <c r="O132" s="82"/>
    </row>
    <row r="133" s="3" customFormat="1" ht="18" customHeight="1" spans="1:15">
      <c r="A133" s="74">
        <v>44075</v>
      </c>
      <c r="B133" s="25">
        <f t="shared" ref="B133:B146" si="12">ROUND(G133/(1+E133),2)</f>
        <v>1443584.07</v>
      </c>
      <c r="C133" s="75">
        <v>3</v>
      </c>
      <c r="D133" s="50" t="s">
        <v>36</v>
      </c>
      <c r="E133" s="77">
        <v>0.13</v>
      </c>
      <c r="F133" s="25">
        <f t="shared" si="11"/>
        <v>187665.93</v>
      </c>
      <c r="G133" s="198">
        <f>587475+543750+500025</f>
        <v>1631250</v>
      </c>
      <c r="H133" s="199">
        <v>44088</v>
      </c>
      <c r="I133" s="226">
        <v>500000</v>
      </c>
      <c r="J133" s="227" t="s">
        <v>20</v>
      </c>
      <c r="K133" s="205" t="s">
        <v>92</v>
      </c>
      <c r="L133" s="208"/>
      <c r="M133"/>
      <c r="N133" s="63"/>
      <c r="O133" s="82"/>
    </row>
    <row r="134" s="3" customFormat="1" ht="18" customHeight="1" spans="1:15">
      <c r="A134" s="74"/>
      <c r="B134" s="25">
        <f t="shared" si="12"/>
        <v>0</v>
      </c>
      <c r="C134" s="75"/>
      <c r="D134" s="50"/>
      <c r="E134" s="77"/>
      <c r="F134" s="25">
        <f t="shared" si="11"/>
        <v>0</v>
      </c>
      <c r="G134" s="198"/>
      <c r="H134" s="199"/>
      <c r="I134" s="223"/>
      <c r="J134" s="216"/>
      <c r="K134" s="224"/>
      <c r="L134" s="208"/>
      <c r="M134"/>
      <c r="N134" s="63"/>
      <c r="O134" s="82"/>
    </row>
    <row r="135" s="3" customFormat="1" ht="18" customHeight="1" spans="1:15">
      <c r="A135" s="74"/>
      <c r="B135" s="25">
        <f t="shared" si="12"/>
        <v>0</v>
      </c>
      <c r="C135" s="75"/>
      <c r="D135" s="50"/>
      <c r="E135" s="77"/>
      <c r="F135" s="25">
        <f t="shared" si="11"/>
        <v>0</v>
      </c>
      <c r="G135" s="198"/>
      <c r="H135" s="199"/>
      <c r="I135" s="223"/>
      <c r="J135" s="216"/>
      <c r="K135" s="224"/>
      <c r="L135" s="208"/>
      <c r="M135"/>
      <c r="N135" s="63"/>
      <c r="O135" s="82"/>
    </row>
    <row r="136" s="3" customFormat="1" ht="18" customHeight="1" spans="1:15">
      <c r="A136" s="74"/>
      <c r="B136" s="25">
        <f t="shared" si="12"/>
        <v>0</v>
      </c>
      <c r="C136" s="75"/>
      <c r="D136" s="50"/>
      <c r="E136" s="77"/>
      <c r="F136" s="25">
        <f t="shared" si="11"/>
        <v>0</v>
      </c>
      <c r="G136" s="198"/>
      <c r="H136" s="199"/>
      <c r="I136" s="223"/>
      <c r="J136" s="216"/>
      <c r="K136" s="224"/>
      <c r="L136" s="208"/>
      <c r="M136"/>
      <c r="N136" s="63"/>
      <c r="O136" s="82"/>
    </row>
    <row r="137" s="3" customFormat="1" ht="18" customHeight="1" spans="1:15">
      <c r="A137" s="74"/>
      <c r="B137" s="25">
        <f t="shared" si="12"/>
        <v>0</v>
      </c>
      <c r="C137" s="75"/>
      <c r="D137" s="50"/>
      <c r="E137" s="77"/>
      <c r="F137" s="25">
        <f t="shared" ref="F137:F144" si="13">ROUND(G137/(1+E137)*E137,2)</f>
        <v>0</v>
      </c>
      <c r="G137" s="198"/>
      <c r="H137" s="195" t="s">
        <v>195</v>
      </c>
      <c r="I137" s="226">
        <v>200</v>
      </c>
      <c r="J137" s="227" t="s">
        <v>106</v>
      </c>
      <c r="K137" s="228" t="s">
        <v>110</v>
      </c>
      <c r="L137" s="208"/>
      <c r="M137"/>
      <c r="N137" s="63"/>
      <c r="O137" s="82"/>
    </row>
    <row r="138" s="3" customFormat="1" ht="18" customHeight="1" spans="1:15">
      <c r="A138" s="74"/>
      <c r="B138" s="25">
        <f t="shared" si="12"/>
        <v>0</v>
      </c>
      <c r="C138" s="75"/>
      <c r="D138" s="50"/>
      <c r="E138" s="77"/>
      <c r="F138" s="25">
        <f t="shared" si="13"/>
        <v>0</v>
      </c>
      <c r="G138" s="198"/>
      <c r="H138" s="195" t="s">
        <v>196</v>
      </c>
      <c r="I138" s="226">
        <v>100</v>
      </c>
      <c r="J138" s="227" t="s">
        <v>106</v>
      </c>
      <c r="K138" s="228" t="s">
        <v>110</v>
      </c>
      <c r="L138" s="208"/>
      <c r="M138"/>
      <c r="N138" s="63"/>
      <c r="O138" s="82"/>
    </row>
    <row r="139" s="3" customFormat="1" ht="18" customHeight="1" spans="1:15">
      <c r="A139" s="74"/>
      <c r="B139" s="25">
        <f t="shared" si="12"/>
        <v>0</v>
      </c>
      <c r="C139" s="75"/>
      <c r="D139" s="50"/>
      <c r="E139" s="77"/>
      <c r="F139" s="25">
        <f t="shared" si="13"/>
        <v>0</v>
      </c>
      <c r="G139" s="198"/>
      <c r="H139" s="195" t="s">
        <v>195</v>
      </c>
      <c r="I139" s="226">
        <v>204415</v>
      </c>
      <c r="J139" s="227" t="s">
        <v>106</v>
      </c>
      <c r="K139" s="228" t="s">
        <v>124</v>
      </c>
      <c r="L139" s="208"/>
      <c r="M139"/>
      <c r="N139" s="63"/>
      <c r="O139" s="82"/>
    </row>
    <row r="140" s="3" customFormat="1" ht="18" customHeight="1" spans="1:15">
      <c r="A140" s="74"/>
      <c r="B140" s="25">
        <f t="shared" si="12"/>
        <v>0</v>
      </c>
      <c r="C140" s="75"/>
      <c r="D140" s="50"/>
      <c r="E140" s="77"/>
      <c r="F140" s="25">
        <f t="shared" si="13"/>
        <v>0</v>
      </c>
      <c r="G140" s="198"/>
      <c r="H140" s="195" t="s">
        <v>195</v>
      </c>
      <c r="I140" s="226">
        <v>103400</v>
      </c>
      <c r="J140" s="227" t="s">
        <v>106</v>
      </c>
      <c r="K140" s="228" t="s">
        <v>197</v>
      </c>
      <c r="L140" s="208"/>
      <c r="M140"/>
      <c r="N140" s="63"/>
      <c r="O140" s="82"/>
    </row>
    <row r="141" s="3" customFormat="1" ht="18" customHeight="1" spans="1:15">
      <c r="A141" s="74"/>
      <c r="B141" s="25">
        <f t="shared" si="12"/>
        <v>0</v>
      </c>
      <c r="C141" s="75"/>
      <c r="D141" s="50"/>
      <c r="E141" s="77"/>
      <c r="F141" s="25">
        <f t="shared" si="13"/>
        <v>0</v>
      </c>
      <c r="G141" s="198"/>
      <c r="H141" s="195" t="s">
        <v>195</v>
      </c>
      <c r="I141" s="226">
        <v>2846</v>
      </c>
      <c r="J141" s="227" t="s">
        <v>106</v>
      </c>
      <c r="K141" s="228" t="s">
        <v>123</v>
      </c>
      <c r="L141" s="208"/>
      <c r="M141"/>
      <c r="N141" s="63"/>
      <c r="O141" s="82"/>
    </row>
    <row r="142" s="3" customFormat="1" ht="18" customHeight="1" spans="1:15">
      <c r="A142" s="74"/>
      <c r="B142" s="25">
        <f t="shared" si="12"/>
        <v>25850</v>
      </c>
      <c r="C142" s="75"/>
      <c r="D142" s="50"/>
      <c r="E142" s="77"/>
      <c r="F142" s="25">
        <f t="shared" si="13"/>
        <v>0</v>
      </c>
      <c r="G142" s="198">
        <f>I142</f>
        <v>25850</v>
      </c>
      <c r="H142" s="195" t="s">
        <v>195</v>
      </c>
      <c r="I142" s="226">
        <v>25850</v>
      </c>
      <c r="J142" s="227" t="s">
        <v>106</v>
      </c>
      <c r="K142" s="228" t="s">
        <v>135</v>
      </c>
      <c r="L142" s="208"/>
      <c r="M142"/>
      <c r="N142" s="63"/>
      <c r="O142" s="82"/>
    </row>
    <row r="143" s="3" customFormat="1" ht="18" customHeight="1" spans="1:15">
      <c r="A143" s="74"/>
      <c r="B143" s="25">
        <f t="shared" si="12"/>
        <v>0</v>
      </c>
      <c r="C143" s="75"/>
      <c r="D143" s="50"/>
      <c r="E143" s="77"/>
      <c r="F143" s="25">
        <f t="shared" si="13"/>
        <v>0</v>
      </c>
      <c r="G143" s="198"/>
      <c r="H143" s="194"/>
      <c r="I143" s="229">
        <v>-300000</v>
      </c>
      <c r="J143" s="201"/>
      <c r="K143" s="204" t="s">
        <v>162</v>
      </c>
      <c r="L143" s="208"/>
      <c r="M143"/>
      <c r="N143" s="63"/>
      <c r="O143" s="82"/>
    </row>
    <row r="144" s="3" customFormat="1" ht="18" customHeight="1" spans="1:15">
      <c r="A144" s="74"/>
      <c r="B144" s="25">
        <f t="shared" si="12"/>
        <v>0</v>
      </c>
      <c r="C144" s="75"/>
      <c r="D144" s="50"/>
      <c r="E144" s="77"/>
      <c r="F144" s="25">
        <f t="shared" si="13"/>
        <v>0</v>
      </c>
      <c r="G144" s="198"/>
      <c r="H144" s="199">
        <v>44081</v>
      </c>
      <c r="I144" s="223">
        <v>50</v>
      </c>
      <c r="J144" s="216" t="s">
        <v>106</v>
      </c>
      <c r="K144" s="224" t="s">
        <v>110</v>
      </c>
      <c r="L144" s="208"/>
      <c r="M144"/>
      <c r="N144" s="63"/>
      <c r="O144" s="82"/>
    </row>
    <row r="145" s="3" customFormat="1" ht="18" customHeight="1" spans="1:15">
      <c r="A145" s="74"/>
      <c r="B145" s="25">
        <f t="shared" si="12"/>
        <v>0</v>
      </c>
      <c r="C145" s="75"/>
      <c r="D145" s="50"/>
      <c r="E145" s="77"/>
      <c r="F145" s="25">
        <f t="shared" ref="F145:F178" si="14">ROUND(G145/(1+E145)*E145,2)</f>
        <v>0</v>
      </c>
      <c r="G145" s="198"/>
      <c r="H145" s="199">
        <v>44060</v>
      </c>
      <c r="I145" s="223">
        <v>350</v>
      </c>
      <c r="J145" s="230" t="s">
        <v>106</v>
      </c>
      <c r="K145" s="225" t="s">
        <v>110</v>
      </c>
      <c r="L145" s="208"/>
      <c r="M145"/>
      <c r="N145" s="63"/>
      <c r="O145" s="82"/>
    </row>
    <row r="146" s="3" customFormat="1" ht="18" customHeight="1" spans="1:15">
      <c r="A146" s="74"/>
      <c r="B146" s="25">
        <f t="shared" si="12"/>
        <v>0</v>
      </c>
      <c r="C146" s="75"/>
      <c r="D146" s="50"/>
      <c r="E146" s="77"/>
      <c r="F146" s="25">
        <f t="shared" si="14"/>
        <v>0</v>
      </c>
      <c r="G146" s="198"/>
      <c r="H146" s="199">
        <v>44060</v>
      </c>
      <c r="I146" s="223">
        <v>5480</v>
      </c>
      <c r="J146" s="230" t="s">
        <v>106</v>
      </c>
      <c r="K146" s="231" t="s">
        <v>190</v>
      </c>
      <c r="L146" s="208"/>
      <c r="M146"/>
      <c r="N146" s="63"/>
      <c r="O146" s="82"/>
    </row>
    <row r="147" s="3" customFormat="1" ht="18" customHeight="1" spans="1:15">
      <c r="A147" s="74"/>
      <c r="B147" s="25">
        <f t="shared" ref="B147:B178" si="15">ROUND(G147/(1+E147),2)</f>
        <v>0</v>
      </c>
      <c r="C147" s="75"/>
      <c r="D147" s="50"/>
      <c r="E147" s="77"/>
      <c r="F147" s="25">
        <f t="shared" si="14"/>
        <v>0</v>
      </c>
      <c r="G147" s="198"/>
      <c r="H147" s="199">
        <v>44060</v>
      </c>
      <c r="I147" s="223">
        <v>34400</v>
      </c>
      <c r="J147" s="230" t="s">
        <v>106</v>
      </c>
      <c r="K147" s="232" t="s">
        <v>191</v>
      </c>
      <c r="L147" s="208"/>
      <c r="M147"/>
      <c r="N147" s="63"/>
      <c r="O147" s="82"/>
    </row>
    <row r="148" s="3" customFormat="1" ht="18" customHeight="1" spans="1:15">
      <c r="A148" s="74"/>
      <c r="B148" s="25">
        <f t="shared" si="15"/>
        <v>0</v>
      </c>
      <c r="C148" s="75"/>
      <c r="D148" s="50"/>
      <c r="E148" s="77"/>
      <c r="F148" s="25">
        <f t="shared" si="14"/>
        <v>0</v>
      </c>
      <c r="G148" s="198"/>
      <c r="H148" s="199">
        <v>44060</v>
      </c>
      <c r="I148" s="223">
        <v>947</v>
      </c>
      <c r="J148" s="216" t="s">
        <v>106</v>
      </c>
      <c r="K148" s="232" t="s">
        <v>123</v>
      </c>
      <c r="L148" s="208"/>
      <c r="M148"/>
      <c r="N148" s="63"/>
      <c r="O148" s="82"/>
    </row>
    <row r="149" s="3" customFormat="1" ht="18" customHeight="1" spans="1:15">
      <c r="A149" s="74"/>
      <c r="B149" s="25">
        <f t="shared" si="15"/>
        <v>1720</v>
      </c>
      <c r="C149" s="75"/>
      <c r="D149" s="50"/>
      <c r="E149" s="77"/>
      <c r="F149" s="25">
        <f t="shared" si="14"/>
        <v>0</v>
      </c>
      <c r="G149" s="198">
        <f>I149</f>
        <v>1720</v>
      </c>
      <c r="H149" s="199">
        <v>44060</v>
      </c>
      <c r="I149" s="215">
        <v>1720</v>
      </c>
      <c r="J149" s="216" t="s">
        <v>106</v>
      </c>
      <c r="K149" s="225" t="s">
        <v>135</v>
      </c>
      <c r="L149" s="82"/>
      <c r="M149" s="63"/>
      <c r="N149" s="63"/>
      <c r="O149" s="82"/>
    </row>
    <row r="150" s="3" customFormat="1" ht="18" customHeight="1" spans="1:15">
      <c r="A150" s="74"/>
      <c r="B150" s="25">
        <f t="shared" si="15"/>
        <v>6880</v>
      </c>
      <c r="C150" s="75"/>
      <c r="D150" s="50"/>
      <c r="E150" s="77"/>
      <c r="F150" s="25">
        <f t="shared" si="14"/>
        <v>0</v>
      </c>
      <c r="G150" s="198">
        <f>I150</f>
        <v>6880</v>
      </c>
      <c r="H150" s="199">
        <v>44060</v>
      </c>
      <c r="I150" s="215">
        <v>6880</v>
      </c>
      <c r="J150" s="216" t="s">
        <v>106</v>
      </c>
      <c r="K150" s="225" t="s">
        <v>135</v>
      </c>
      <c r="L150" s="82"/>
      <c r="M150" s="63"/>
      <c r="N150" s="63"/>
      <c r="O150" s="82"/>
    </row>
    <row r="151" s="3" customFormat="1" ht="18" customHeight="1" spans="1:15">
      <c r="A151" s="74"/>
      <c r="B151" s="25">
        <f t="shared" si="15"/>
        <v>0</v>
      </c>
      <c r="C151" s="75"/>
      <c r="D151" s="50"/>
      <c r="E151" s="77"/>
      <c r="F151" s="25">
        <f t="shared" si="14"/>
        <v>0</v>
      </c>
      <c r="G151" s="198"/>
      <c r="H151" s="199">
        <v>44019</v>
      </c>
      <c r="I151" s="215">
        <v>200</v>
      </c>
      <c r="J151" s="230" t="s">
        <v>106</v>
      </c>
      <c r="K151" s="225" t="s">
        <v>110</v>
      </c>
      <c r="L151" s="82"/>
      <c r="M151" s="63"/>
      <c r="N151" s="63"/>
      <c r="O151" s="82"/>
    </row>
    <row r="152" s="3" customFormat="1" ht="18" customHeight="1" spans="1:15">
      <c r="A152" s="74"/>
      <c r="B152" s="25">
        <f t="shared" si="15"/>
        <v>0</v>
      </c>
      <c r="C152" s="75"/>
      <c r="D152" s="50"/>
      <c r="E152" s="77"/>
      <c r="F152" s="25">
        <f t="shared" si="14"/>
        <v>0</v>
      </c>
      <c r="G152" s="198"/>
      <c r="H152" s="200">
        <v>44012</v>
      </c>
      <c r="I152" s="218">
        <v>-2000000</v>
      </c>
      <c r="J152" s="219"/>
      <c r="K152" s="221" t="s">
        <v>162</v>
      </c>
      <c r="L152" s="82"/>
      <c r="M152" s="63"/>
      <c r="N152" s="63"/>
      <c r="O152" s="82"/>
    </row>
    <row r="153" s="3" customFormat="1" ht="18" customHeight="1" spans="1:15">
      <c r="A153" s="74"/>
      <c r="B153" s="25">
        <f t="shared" si="15"/>
        <v>0</v>
      </c>
      <c r="C153" s="75"/>
      <c r="D153" s="50"/>
      <c r="E153" s="77"/>
      <c r="F153" s="25">
        <f t="shared" si="14"/>
        <v>0</v>
      </c>
      <c r="G153" s="198"/>
      <c r="H153" s="199">
        <v>44012</v>
      </c>
      <c r="I153" s="233">
        <v>100</v>
      </c>
      <c r="J153" s="216" t="s">
        <v>106</v>
      </c>
      <c r="K153" s="234" t="s">
        <v>110</v>
      </c>
      <c r="L153" s="82"/>
      <c r="M153" s="63"/>
      <c r="N153" s="63"/>
      <c r="O153" s="82"/>
    </row>
    <row r="154" s="3" customFormat="1" ht="17.1" customHeight="1" spans="1:15">
      <c r="A154" s="74"/>
      <c r="B154" s="25">
        <f t="shared" si="15"/>
        <v>0</v>
      </c>
      <c r="C154" s="75"/>
      <c r="D154" s="50"/>
      <c r="E154" s="77"/>
      <c r="F154" s="25">
        <f t="shared" si="14"/>
        <v>0</v>
      </c>
      <c r="G154" s="198"/>
      <c r="H154" s="199">
        <v>44005</v>
      </c>
      <c r="I154" s="233">
        <v>100</v>
      </c>
      <c r="J154" s="216" t="s">
        <v>106</v>
      </c>
      <c r="K154" s="234" t="s">
        <v>110</v>
      </c>
      <c r="L154" s="82"/>
      <c r="M154" s="63"/>
      <c r="N154" s="63"/>
      <c r="O154" s="82"/>
    </row>
    <row r="155" s="3" customFormat="1" ht="17.1" customHeight="1" spans="1:15">
      <c r="A155" s="74"/>
      <c r="B155" s="25">
        <f t="shared" si="15"/>
        <v>0</v>
      </c>
      <c r="C155" s="75"/>
      <c r="D155" s="50"/>
      <c r="E155" s="77"/>
      <c r="F155" s="25">
        <f t="shared" si="14"/>
        <v>0</v>
      </c>
      <c r="G155" s="198"/>
      <c r="H155" s="36">
        <v>44001</v>
      </c>
      <c r="I155" s="82">
        <v>100</v>
      </c>
      <c r="J155" s="63" t="s">
        <v>106</v>
      </c>
      <c r="K155" s="82" t="s">
        <v>110</v>
      </c>
      <c r="L155" s="82"/>
      <c r="M155" s="63"/>
      <c r="N155" s="63"/>
      <c r="O155" s="82"/>
    </row>
    <row r="156" s="3" customFormat="1" ht="17.1" customHeight="1" spans="1:15">
      <c r="A156" s="74"/>
      <c r="B156" s="25">
        <f t="shared" si="15"/>
        <v>0</v>
      </c>
      <c r="C156" s="75"/>
      <c r="D156" s="50"/>
      <c r="E156" s="77"/>
      <c r="F156" s="25">
        <f t="shared" si="14"/>
        <v>0</v>
      </c>
      <c r="G156" s="198"/>
      <c r="H156" s="36">
        <v>44000</v>
      </c>
      <c r="I156" s="82">
        <v>100</v>
      </c>
      <c r="J156" s="63" t="s">
        <v>106</v>
      </c>
      <c r="K156" s="82" t="s">
        <v>110</v>
      </c>
      <c r="L156" s="82"/>
      <c r="M156" s="63"/>
      <c r="N156" s="63"/>
      <c r="O156" s="82"/>
    </row>
    <row r="157" s="3" customFormat="1" ht="17.1" customHeight="1" spans="1:15">
      <c r="A157" s="74"/>
      <c r="B157" s="25">
        <f t="shared" si="15"/>
        <v>0</v>
      </c>
      <c r="C157" s="75"/>
      <c r="D157" s="50"/>
      <c r="E157" s="77"/>
      <c r="F157" s="25">
        <f t="shared" si="14"/>
        <v>0</v>
      </c>
      <c r="G157" s="198"/>
      <c r="H157" s="36">
        <v>44000</v>
      </c>
      <c r="I157" s="82">
        <v>300</v>
      </c>
      <c r="J157" s="65" t="s">
        <v>106</v>
      </c>
      <c r="K157" s="207" t="s">
        <v>110</v>
      </c>
      <c r="L157" s="82"/>
      <c r="M157" s="63"/>
      <c r="N157" s="63"/>
      <c r="O157" s="82"/>
    </row>
    <row r="158" s="3" customFormat="1" ht="17.1" customHeight="1" spans="1:15">
      <c r="A158" s="74"/>
      <c r="B158" s="25">
        <f t="shared" si="15"/>
        <v>0</v>
      </c>
      <c r="C158" s="75"/>
      <c r="D158" s="50"/>
      <c r="E158" s="77"/>
      <c r="F158" s="25">
        <f t="shared" si="14"/>
        <v>0</v>
      </c>
      <c r="G158" s="198"/>
      <c r="H158" s="36">
        <v>43994</v>
      </c>
      <c r="I158" s="235">
        <v>100</v>
      </c>
      <c r="J158" s="65" t="s">
        <v>106</v>
      </c>
      <c r="K158" s="207" t="s">
        <v>110</v>
      </c>
      <c r="L158" s="82"/>
      <c r="M158" s="63"/>
      <c r="N158" s="63"/>
      <c r="O158" s="82"/>
    </row>
    <row r="159" s="3" customFormat="1" ht="18" customHeight="1" spans="1:15">
      <c r="A159" s="74"/>
      <c r="B159" s="25">
        <f t="shared" si="15"/>
        <v>0</v>
      </c>
      <c r="C159" s="75"/>
      <c r="D159" s="50"/>
      <c r="E159" s="77"/>
      <c r="F159" s="25">
        <f t="shared" si="14"/>
        <v>0</v>
      </c>
      <c r="G159" s="198"/>
      <c r="H159" s="36">
        <v>43994</v>
      </c>
      <c r="I159" s="236">
        <v>72400</v>
      </c>
      <c r="J159" s="65" t="s">
        <v>106</v>
      </c>
      <c r="K159" s="207" t="s">
        <v>121</v>
      </c>
      <c r="L159" s="82"/>
      <c r="M159" s="63"/>
      <c r="N159" s="63"/>
      <c r="O159" s="82"/>
    </row>
    <row r="160" s="3" customFormat="1" ht="18" customHeight="1" spans="1:15">
      <c r="A160" s="74"/>
      <c r="B160" s="25">
        <f t="shared" si="15"/>
        <v>0</v>
      </c>
      <c r="C160" s="75"/>
      <c r="D160" s="50"/>
      <c r="E160" s="77"/>
      <c r="F160" s="25">
        <f t="shared" si="14"/>
        <v>0</v>
      </c>
      <c r="G160" s="198"/>
      <c r="H160" s="36">
        <v>43994</v>
      </c>
      <c r="I160" s="188">
        <v>1992.66055045872</v>
      </c>
      <c r="J160" s="65" t="s">
        <v>106</v>
      </c>
      <c r="K160" s="207" t="s">
        <v>123</v>
      </c>
      <c r="L160" s="82"/>
      <c r="M160" s="63"/>
      <c r="N160" s="63"/>
      <c r="O160" s="82"/>
    </row>
    <row r="161" s="3" customFormat="1" ht="18" customHeight="1" spans="1:15">
      <c r="A161" s="74"/>
      <c r="B161" s="25">
        <f t="shared" si="15"/>
        <v>0</v>
      </c>
      <c r="C161" s="75"/>
      <c r="D161" s="50"/>
      <c r="E161" s="77"/>
      <c r="F161" s="25">
        <f t="shared" si="14"/>
        <v>0</v>
      </c>
      <c r="G161" s="198"/>
      <c r="H161" s="36">
        <v>43994</v>
      </c>
      <c r="I161" s="188">
        <v>18100</v>
      </c>
      <c r="J161" s="65" t="s">
        <v>106</v>
      </c>
      <c r="K161" s="207" t="s">
        <v>157</v>
      </c>
      <c r="L161" s="82"/>
      <c r="M161" s="63"/>
      <c r="N161" s="63"/>
      <c r="O161" s="82"/>
    </row>
    <row r="162" s="3" customFormat="1" ht="18" customHeight="1" spans="1:15">
      <c r="A162" s="74"/>
      <c r="B162" s="25">
        <f t="shared" si="15"/>
        <v>0</v>
      </c>
      <c r="C162" s="75"/>
      <c r="D162" s="50"/>
      <c r="E162" s="77"/>
      <c r="F162" s="25">
        <f t="shared" si="14"/>
        <v>0</v>
      </c>
      <c r="G162" s="198"/>
      <c r="H162" s="36">
        <v>43993</v>
      </c>
      <c r="I162" s="188">
        <v>100</v>
      </c>
      <c r="J162" s="65" t="s">
        <v>106</v>
      </c>
      <c r="K162" s="207" t="s">
        <v>110</v>
      </c>
      <c r="L162" s="82"/>
      <c r="M162" s="63"/>
      <c r="N162" s="63"/>
      <c r="O162" s="82"/>
    </row>
    <row r="163" s="3" customFormat="1" ht="18" customHeight="1" spans="1:15">
      <c r="A163" s="74"/>
      <c r="B163" s="25">
        <f t="shared" si="15"/>
        <v>0</v>
      </c>
      <c r="C163" s="75"/>
      <c r="D163" s="50"/>
      <c r="E163" s="77"/>
      <c r="F163" s="25">
        <f t="shared" si="14"/>
        <v>0</v>
      </c>
      <c r="G163" s="198"/>
      <c r="H163" s="36">
        <v>43966</v>
      </c>
      <c r="I163" s="188">
        <v>100</v>
      </c>
      <c r="J163" s="65" t="s">
        <v>106</v>
      </c>
      <c r="K163" s="207" t="s">
        <v>110</v>
      </c>
      <c r="L163" s="82"/>
      <c r="M163" s="63"/>
      <c r="N163" s="63"/>
      <c r="O163" s="82"/>
    </row>
    <row r="164" s="3" customFormat="1" ht="18" customHeight="1" spans="1:15">
      <c r="A164" s="74"/>
      <c r="B164" s="25">
        <f t="shared" si="15"/>
        <v>0</v>
      </c>
      <c r="C164" s="75"/>
      <c r="D164" s="50"/>
      <c r="E164" s="77"/>
      <c r="F164" s="25">
        <f t="shared" si="14"/>
        <v>0</v>
      </c>
      <c r="G164" s="198"/>
      <c r="H164" s="76">
        <v>10.2</v>
      </c>
      <c r="I164" s="188">
        <v>100</v>
      </c>
      <c r="J164" s="65" t="s">
        <v>106</v>
      </c>
      <c r="K164" s="207" t="s">
        <v>110</v>
      </c>
      <c r="L164" s="82"/>
      <c r="M164" s="63"/>
      <c r="N164" s="63"/>
      <c r="O164" s="82"/>
    </row>
    <row r="165" s="3" customFormat="1" ht="18" customHeight="1" spans="1:15">
      <c r="A165" s="74"/>
      <c r="B165" s="25">
        <f t="shared" si="15"/>
        <v>0</v>
      </c>
      <c r="C165" s="75"/>
      <c r="D165" s="50"/>
      <c r="E165" s="77"/>
      <c r="F165" s="25">
        <f t="shared" si="14"/>
        <v>0</v>
      </c>
      <c r="G165" s="198"/>
      <c r="H165" s="76">
        <v>10.1</v>
      </c>
      <c r="I165" s="188">
        <v>100</v>
      </c>
      <c r="J165" s="65" t="s">
        <v>106</v>
      </c>
      <c r="K165" s="207" t="s">
        <v>110</v>
      </c>
      <c r="L165" s="82"/>
      <c r="M165" s="63"/>
      <c r="N165" s="63"/>
      <c r="O165" s="82"/>
    </row>
    <row r="166" s="3" customFormat="1" ht="18" customHeight="1" spans="1:15">
      <c r="A166" s="74"/>
      <c r="B166" s="25">
        <f t="shared" si="15"/>
        <v>0</v>
      </c>
      <c r="C166" s="75"/>
      <c r="D166" s="50"/>
      <c r="E166" s="77"/>
      <c r="F166" s="25">
        <f t="shared" si="14"/>
        <v>0</v>
      </c>
      <c r="G166" s="198"/>
      <c r="H166" s="76">
        <v>10.1</v>
      </c>
      <c r="I166" s="188">
        <f>B13*0.0006</f>
        <v>853.211009174312</v>
      </c>
      <c r="J166" s="65" t="s">
        <v>106</v>
      </c>
      <c r="K166" s="207" t="s">
        <v>107</v>
      </c>
      <c r="L166" s="82">
        <f>I166+I167+I170+I175+I178+I179+I180+I181+I188+I189+I195+I197+I198</f>
        <v>916149.577981651</v>
      </c>
      <c r="M166" s="63"/>
      <c r="N166" s="63"/>
      <c r="O166" s="82"/>
    </row>
    <row r="167" s="3" customFormat="1" ht="18" customHeight="1" spans="1:15">
      <c r="A167" s="74"/>
      <c r="B167" s="25">
        <f t="shared" si="15"/>
        <v>0</v>
      </c>
      <c r="C167" s="75"/>
      <c r="D167" s="50"/>
      <c r="E167" s="77"/>
      <c r="F167" s="25">
        <f t="shared" si="14"/>
        <v>0</v>
      </c>
      <c r="G167" s="198"/>
      <c r="H167" s="76">
        <v>10.1</v>
      </c>
      <c r="I167" s="188">
        <f>B13*0.02</f>
        <v>28440.3669724771</v>
      </c>
      <c r="J167" s="65" t="s">
        <v>106</v>
      </c>
      <c r="K167" s="207" t="s">
        <v>108</v>
      </c>
      <c r="L167" s="82"/>
      <c r="M167" s="63"/>
      <c r="N167" s="63"/>
      <c r="O167" s="82"/>
    </row>
    <row r="168" s="3" customFormat="1" ht="18" customHeight="1" spans="1:15">
      <c r="A168" s="74"/>
      <c r="B168" s="25">
        <f t="shared" si="15"/>
        <v>0</v>
      </c>
      <c r="C168" s="75"/>
      <c r="D168" s="50"/>
      <c r="E168" s="77"/>
      <c r="F168" s="25">
        <f t="shared" si="14"/>
        <v>0</v>
      </c>
      <c r="G168" s="198"/>
      <c r="H168" s="76">
        <v>10.1</v>
      </c>
      <c r="I168" s="188">
        <f>G13*0.005</f>
        <v>7750</v>
      </c>
      <c r="J168" s="65" t="s">
        <v>106</v>
      </c>
      <c r="K168" s="207" t="s">
        <v>157</v>
      </c>
      <c r="L168" s="82">
        <f>I168+I200</f>
        <v>140600</v>
      </c>
      <c r="M168" s="63"/>
      <c r="N168" s="63"/>
      <c r="O168" s="82"/>
    </row>
    <row r="169" s="3" customFormat="1" ht="18" customHeight="1" spans="1:15">
      <c r="A169" s="74"/>
      <c r="B169" s="25">
        <f t="shared" si="15"/>
        <v>0</v>
      </c>
      <c r="C169" s="75"/>
      <c r="D169" s="50"/>
      <c r="E169" s="77"/>
      <c r="F169" s="25">
        <f t="shared" si="14"/>
        <v>0</v>
      </c>
      <c r="G169" s="198"/>
      <c r="H169" s="36" t="s">
        <v>109</v>
      </c>
      <c r="I169" s="188">
        <v>200</v>
      </c>
      <c r="J169" s="65" t="s">
        <v>106</v>
      </c>
      <c r="K169" s="207" t="s">
        <v>110</v>
      </c>
      <c r="L169" s="82">
        <f>I169+I171+I172+I173+I174+I176+I183+I186+I190+I199+I165</f>
        <v>245132.79</v>
      </c>
      <c r="M169" s="63"/>
      <c r="N169" s="63"/>
      <c r="O169" s="82"/>
    </row>
    <row r="170" s="3" customFormat="1" ht="18" customHeight="1" spans="1:15">
      <c r="A170" s="74"/>
      <c r="B170" s="25">
        <f t="shared" si="15"/>
        <v>0</v>
      </c>
      <c r="C170" s="75"/>
      <c r="D170" s="50"/>
      <c r="E170" s="77"/>
      <c r="F170" s="25">
        <f t="shared" si="14"/>
        <v>0</v>
      </c>
      <c r="G170" s="198"/>
      <c r="H170" s="36" t="s">
        <v>111</v>
      </c>
      <c r="I170" s="237">
        <v>-285325</v>
      </c>
      <c r="J170" s="227" t="s">
        <v>112</v>
      </c>
      <c r="K170" s="205" t="s">
        <v>158</v>
      </c>
      <c r="L170" s="82"/>
      <c r="M170" s="63"/>
      <c r="N170" s="63"/>
      <c r="O170" s="82"/>
    </row>
    <row r="171" s="3" customFormat="1" ht="18" customHeight="1" spans="1:15">
      <c r="A171" s="74"/>
      <c r="B171" s="25">
        <f t="shared" si="15"/>
        <v>0</v>
      </c>
      <c r="C171" s="75"/>
      <c r="D171" s="76"/>
      <c r="E171" s="77"/>
      <c r="F171" s="25">
        <f t="shared" si="14"/>
        <v>0</v>
      </c>
      <c r="G171" s="198"/>
      <c r="H171" s="36" t="s">
        <v>111</v>
      </c>
      <c r="I171" s="188">
        <v>200</v>
      </c>
      <c r="J171" s="65" t="s">
        <v>106</v>
      </c>
      <c r="K171" s="207" t="s">
        <v>110</v>
      </c>
      <c r="L171" s="82"/>
      <c r="M171" s="63"/>
      <c r="N171" s="63"/>
      <c r="O171" s="82"/>
    </row>
    <row r="172" s="3" customFormat="1" ht="18" customHeight="1" spans="1:15">
      <c r="A172" s="74"/>
      <c r="B172" s="25">
        <f t="shared" si="15"/>
        <v>0</v>
      </c>
      <c r="C172" s="75"/>
      <c r="D172" s="76"/>
      <c r="E172" s="77"/>
      <c r="F172" s="25">
        <f t="shared" si="14"/>
        <v>0</v>
      </c>
      <c r="G172" s="198"/>
      <c r="H172" s="36" t="s">
        <v>113</v>
      </c>
      <c r="I172" s="188">
        <v>300</v>
      </c>
      <c r="J172" s="65" t="s">
        <v>106</v>
      </c>
      <c r="K172" s="207" t="s">
        <v>110</v>
      </c>
      <c r="L172" s="82"/>
      <c r="M172" s="63"/>
      <c r="N172" s="63"/>
      <c r="O172" s="82"/>
    </row>
    <row r="173" s="3" customFormat="1" ht="18" customHeight="1" spans="1:15">
      <c r="A173" s="74"/>
      <c r="B173" s="25">
        <f t="shared" si="15"/>
        <v>0</v>
      </c>
      <c r="C173" s="75"/>
      <c r="D173" s="76"/>
      <c r="E173" s="77"/>
      <c r="F173" s="25">
        <f t="shared" si="14"/>
        <v>0</v>
      </c>
      <c r="G173" s="198"/>
      <c r="H173" s="36" t="s">
        <v>114</v>
      </c>
      <c r="I173" s="188">
        <v>9600</v>
      </c>
      <c r="J173" s="65" t="s">
        <v>106</v>
      </c>
      <c r="K173" s="207" t="s">
        <v>115</v>
      </c>
      <c r="L173" s="82"/>
      <c r="M173" s="63"/>
      <c r="N173" s="63"/>
      <c r="O173" s="82"/>
    </row>
    <row r="174" s="3" customFormat="1" ht="18" customHeight="1" spans="1:15">
      <c r="A174" s="74"/>
      <c r="B174" s="25">
        <f t="shared" si="15"/>
        <v>0</v>
      </c>
      <c r="C174" s="75"/>
      <c r="D174" s="76"/>
      <c r="E174" s="77"/>
      <c r="F174" s="25">
        <f t="shared" si="14"/>
        <v>0</v>
      </c>
      <c r="G174" s="198"/>
      <c r="H174" s="36" t="s">
        <v>114</v>
      </c>
      <c r="I174" s="188">
        <v>200</v>
      </c>
      <c r="J174" s="65" t="s">
        <v>106</v>
      </c>
      <c r="K174" s="207" t="s">
        <v>110</v>
      </c>
      <c r="L174" s="82"/>
      <c r="M174" s="63"/>
      <c r="N174" s="63"/>
      <c r="O174" s="82"/>
    </row>
    <row r="175" s="3" customFormat="1" ht="18" customHeight="1" spans="1:15">
      <c r="A175" s="74"/>
      <c r="B175" s="25">
        <f t="shared" si="15"/>
        <v>0</v>
      </c>
      <c r="C175" s="75"/>
      <c r="D175" s="76"/>
      <c r="E175" s="77"/>
      <c r="F175" s="25">
        <f t="shared" si="14"/>
        <v>0</v>
      </c>
      <c r="G175" s="198"/>
      <c r="H175" s="36" t="s">
        <v>114</v>
      </c>
      <c r="I175" s="188">
        <v>-903045</v>
      </c>
      <c r="J175" s="63" t="s">
        <v>112</v>
      </c>
      <c r="K175" s="207" t="s">
        <v>116</v>
      </c>
      <c r="L175" s="82"/>
      <c r="M175" s="63"/>
      <c r="N175" s="63"/>
      <c r="O175" s="82"/>
    </row>
    <row r="176" s="3" customFormat="1" ht="18" customHeight="1" spans="1:15">
      <c r="A176" s="74"/>
      <c r="B176" s="25">
        <f t="shared" si="15"/>
        <v>0</v>
      </c>
      <c r="C176" s="75"/>
      <c r="D176" s="76"/>
      <c r="E176" s="77"/>
      <c r="F176" s="25">
        <f t="shared" si="14"/>
        <v>0</v>
      </c>
      <c r="G176" s="198"/>
      <c r="H176" s="36" t="s">
        <v>117</v>
      </c>
      <c r="I176" s="188">
        <v>232932.79</v>
      </c>
      <c r="J176" s="63" t="s">
        <v>106</v>
      </c>
      <c r="K176" s="207" t="s">
        <v>118</v>
      </c>
      <c r="L176" s="82"/>
      <c r="M176" s="63"/>
      <c r="N176" s="63"/>
      <c r="O176" s="82"/>
    </row>
    <row r="177" s="3" customFormat="1" ht="18" customHeight="1" spans="1:15">
      <c r="A177" s="74"/>
      <c r="B177" s="25">
        <f t="shared" si="15"/>
        <v>0</v>
      </c>
      <c r="C177" s="75"/>
      <c r="D177" s="76"/>
      <c r="E177" s="77"/>
      <c r="F177" s="25">
        <f t="shared" si="14"/>
        <v>0</v>
      </c>
      <c r="G177" s="198"/>
      <c r="H177" s="36" t="s">
        <v>117</v>
      </c>
      <c r="I177" s="188"/>
      <c r="J177" s="63" t="s">
        <v>106</v>
      </c>
      <c r="K177" s="207" t="s">
        <v>119</v>
      </c>
      <c r="L177" s="82"/>
      <c r="M177" s="63"/>
      <c r="N177" s="63"/>
      <c r="O177" s="82"/>
    </row>
    <row r="178" s="3" customFormat="1" ht="18" customHeight="1" spans="1:15">
      <c r="A178" s="74"/>
      <c r="B178" s="25">
        <f t="shared" si="15"/>
        <v>0</v>
      </c>
      <c r="C178" s="75"/>
      <c r="D178" s="76"/>
      <c r="E178" s="77"/>
      <c r="F178" s="25">
        <f t="shared" si="14"/>
        <v>0</v>
      </c>
      <c r="G178" s="198"/>
      <c r="H178" s="36" t="s">
        <v>117</v>
      </c>
      <c r="I178" s="188">
        <v>903045</v>
      </c>
      <c r="J178" s="63" t="s">
        <v>120</v>
      </c>
      <c r="K178" s="207" t="s">
        <v>121</v>
      </c>
      <c r="L178" s="82"/>
      <c r="M178" s="63"/>
      <c r="N178" s="63"/>
      <c r="O178" s="82"/>
    </row>
    <row r="179" s="3" customFormat="1" ht="18" customHeight="1" spans="1:15">
      <c r="A179" s="74"/>
      <c r="B179" s="25">
        <f t="shared" ref="B179:B190" si="16">ROUND(G179/(1+E179),2)</f>
        <v>0</v>
      </c>
      <c r="C179" s="75"/>
      <c r="D179" s="76"/>
      <c r="E179" s="77"/>
      <c r="F179" s="25">
        <f t="shared" ref="F179:F190" si="17">ROUND(G179/(1+E179)*E179,2)</f>
        <v>0</v>
      </c>
      <c r="G179" s="198"/>
      <c r="H179" s="36" t="s">
        <v>117</v>
      </c>
      <c r="I179" s="188">
        <v>485252</v>
      </c>
      <c r="J179" s="63" t="s">
        <v>106</v>
      </c>
      <c r="K179" s="207" t="s">
        <v>122</v>
      </c>
      <c r="L179" s="82"/>
      <c r="M179" s="63"/>
      <c r="N179" s="63"/>
      <c r="O179" s="82"/>
    </row>
    <row r="180" s="3" customFormat="1" ht="18" customHeight="1" spans="1:15">
      <c r="A180" s="74"/>
      <c r="B180" s="25">
        <f t="shared" si="16"/>
        <v>0</v>
      </c>
      <c r="C180" s="75"/>
      <c r="D180" s="76"/>
      <c r="E180" s="77"/>
      <c r="F180" s="25">
        <f t="shared" si="17"/>
        <v>0</v>
      </c>
      <c r="G180" s="198"/>
      <c r="H180" s="36" t="s">
        <v>117</v>
      </c>
      <c r="I180" s="188">
        <v>4789</v>
      </c>
      <c r="J180" s="63" t="s">
        <v>106</v>
      </c>
      <c r="K180" s="207" t="s">
        <v>123</v>
      </c>
      <c r="L180" s="82"/>
      <c r="M180" s="63"/>
      <c r="N180" s="63"/>
      <c r="O180" s="82"/>
    </row>
    <row r="181" s="3" customFormat="1" ht="18" customHeight="1" spans="1:15">
      <c r="A181" s="74"/>
      <c r="B181" s="25">
        <f t="shared" si="16"/>
        <v>0</v>
      </c>
      <c r="C181" s="75"/>
      <c r="D181" s="76"/>
      <c r="E181" s="77"/>
      <c r="F181" s="25">
        <f t="shared" si="17"/>
        <v>0</v>
      </c>
      <c r="G181" s="198"/>
      <c r="H181" s="36" t="s">
        <v>117</v>
      </c>
      <c r="I181" s="237">
        <v>429349</v>
      </c>
      <c r="J181" s="227" t="s">
        <v>106</v>
      </c>
      <c r="K181" s="205" t="s">
        <v>124</v>
      </c>
      <c r="L181" s="82"/>
      <c r="M181" s="63"/>
      <c r="N181" s="63"/>
      <c r="O181" s="82"/>
    </row>
    <row r="182" s="3" customFormat="1" ht="18" customHeight="1" spans="1:15">
      <c r="A182" s="74"/>
      <c r="B182" s="25">
        <f t="shared" si="16"/>
        <v>0</v>
      </c>
      <c r="C182" s="75"/>
      <c r="D182" s="76"/>
      <c r="E182" s="77"/>
      <c r="F182" s="25">
        <f t="shared" si="17"/>
        <v>0</v>
      </c>
      <c r="G182" s="198"/>
      <c r="H182" s="36" t="s">
        <v>117</v>
      </c>
      <c r="I182" s="188">
        <v>87000</v>
      </c>
      <c r="J182" s="63" t="s">
        <v>125</v>
      </c>
      <c r="K182" s="207" t="s">
        <v>126</v>
      </c>
      <c r="L182" s="82"/>
      <c r="M182" s="63"/>
      <c r="N182" s="63"/>
      <c r="O182" s="82"/>
    </row>
    <row r="183" s="2" customFormat="1" ht="18" customHeight="1" spans="1:15">
      <c r="A183" s="48"/>
      <c r="B183" s="25">
        <f t="shared" si="16"/>
        <v>0</v>
      </c>
      <c r="C183" s="49"/>
      <c r="D183" s="50"/>
      <c r="E183" s="70"/>
      <c r="F183" s="25">
        <f t="shared" si="17"/>
        <v>0</v>
      </c>
      <c r="G183" s="189"/>
      <c r="H183" s="36" t="s">
        <v>117</v>
      </c>
      <c r="I183" s="188">
        <v>100</v>
      </c>
      <c r="J183" s="65" t="s">
        <v>106</v>
      </c>
      <c r="K183" s="207" t="s">
        <v>110</v>
      </c>
      <c r="L183" s="82"/>
      <c r="M183" s="56"/>
      <c r="N183" s="65"/>
      <c r="O183" s="67"/>
    </row>
    <row r="184" s="2" customFormat="1" ht="18" customHeight="1" spans="1:15">
      <c r="A184" s="48"/>
      <c r="B184" s="25">
        <f t="shared" si="16"/>
        <v>0</v>
      </c>
      <c r="C184" s="49"/>
      <c r="D184" s="50"/>
      <c r="E184" s="70"/>
      <c r="F184" s="25">
        <f t="shared" si="17"/>
        <v>0</v>
      </c>
      <c r="G184" s="189"/>
      <c r="H184" s="36" t="s">
        <v>117</v>
      </c>
      <c r="I184" s="188"/>
      <c r="J184" s="63"/>
      <c r="K184" s="207"/>
      <c r="L184" s="82"/>
      <c r="M184" s="56"/>
      <c r="N184" s="65"/>
      <c r="O184" s="67"/>
    </row>
    <row r="185" s="2" customFormat="1" ht="18" customHeight="1" spans="1:15">
      <c r="A185" s="48"/>
      <c r="B185" s="25">
        <f t="shared" si="16"/>
        <v>0</v>
      </c>
      <c r="C185" s="49"/>
      <c r="D185" s="50"/>
      <c r="E185" s="70"/>
      <c r="F185" s="25">
        <f t="shared" si="17"/>
        <v>0</v>
      </c>
      <c r="G185" s="189"/>
      <c r="H185" s="36" t="s">
        <v>127</v>
      </c>
      <c r="I185" s="188">
        <v>-93700</v>
      </c>
      <c r="J185" s="63" t="s">
        <v>125</v>
      </c>
      <c r="K185" s="148" t="s">
        <v>126</v>
      </c>
      <c r="L185" s="82"/>
      <c r="M185" s="56"/>
      <c r="N185" s="65"/>
      <c r="O185" s="67"/>
    </row>
    <row r="186" s="2" customFormat="1" ht="18" customHeight="1" spans="1:16">
      <c r="A186" s="48"/>
      <c r="B186" s="25">
        <f t="shared" si="16"/>
        <v>0</v>
      </c>
      <c r="C186" s="49"/>
      <c r="D186" s="50"/>
      <c r="E186" s="70"/>
      <c r="F186" s="25">
        <f t="shared" si="17"/>
        <v>0</v>
      </c>
      <c r="G186" s="189"/>
      <c r="H186" s="36" t="s">
        <v>127</v>
      </c>
      <c r="I186" s="71">
        <v>50</v>
      </c>
      <c r="J186" s="65" t="s">
        <v>106</v>
      </c>
      <c r="K186" s="148" t="s">
        <v>110</v>
      </c>
      <c r="L186" s="82"/>
      <c r="M186" s="56"/>
      <c r="N186" s="65"/>
      <c r="O186" s="67"/>
      <c r="P186" s="2">
        <f>I188+I181+I170</f>
        <v>387045</v>
      </c>
    </row>
    <row r="187" s="2" customFormat="1" ht="18" customHeight="1" spans="1:15">
      <c r="A187" s="48"/>
      <c r="B187" s="25">
        <f t="shared" si="16"/>
        <v>0</v>
      </c>
      <c r="C187" s="49"/>
      <c r="D187" s="50"/>
      <c r="E187" s="70"/>
      <c r="F187" s="25">
        <f t="shared" si="17"/>
        <v>0</v>
      </c>
      <c r="G187" s="189"/>
      <c r="H187" s="36" t="s">
        <v>127</v>
      </c>
      <c r="I187" s="210">
        <v>-21725</v>
      </c>
      <c r="J187" s="56" t="s">
        <v>112</v>
      </c>
      <c r="K187" s="238" t="s">
        <v>159</v>
      </c>
      <c r="L187" s="82"/>
      <c r="M187" s="56"/>
      <c r="N187" s="65"/>
      <c r="O187" s="67"/>
    </row>
    <row r="188" s="2" customFormat="1" ht="18" customHeight="1" spans="1:15">
      <c r="A188" s="48"/>
      <c r="B188" s="25">
        <f t="shared" si="16"/>
        <v>0</v>
      </c>
      <c r="C188" s="49"/>
      <c r="D188" s="50"/>
      <c r="E188" s="46"/>
      <c r="F188" s="25">
        <f t="shared" si="17"/>
        <v>0</v>
      </c>
      <c r="G188" s="189"/>
      <c r="H188" s="36" t="s">
        <v>129</v>
      </c>
      <c r="I188" s="237">
        <v>243021</v>
      </c>
      <c r="J188" s="227" t="s">
        <v>106</v>
      </c>
      <c r="K188" s="205" t="s">
        <v>124</v>
      </c>
      <c r="L188" s="67"/>
      <c r="M188" s="65"/>
      <c r="N188" s="65"/>
      <c r="O188" s="67"/>
    </row>
    <row r="189" s="2" customFormat="1" ht="18" customHeight="1" spans="1:15">
      <c r="A189" s="48"/>
      <c r="B189" s="25">
        <f t="shared" si="16"/>
        <v>0</v>
      </c>
      <c r="C189" s="49"/>
      <c r="D189" s="50"/>
      <c r="E189" s="46"/>
      <c r="F189" s="25">
        <f t="shared" si="17"/>
        <v>0</v>
      </c>
      <c r="G189" s="189"/>
      <c r="H189" s="36" t="s">
        <v>129</v>
      </c>
      <c r="I189" s="188">
        <v>2340</v>
      </c>
      <c r="J189" s="63" t="s">
        <v>106</v>
      </c>
      <c r="K189" s="207" t="s">
        <v>123</v>
      </c>
      <c r="L189" s="67"/>
      <c r="M189" s="65"/>
      <c r="N189" s="65"/>
      <c r="O189" s="67"/>
    </row>
    <row r="190" s="2" customFormat="1" ht="18" customHeight="1" spans="1:15">
      <c r="A190" s="48"/>
      <c r="B190" s="25">
        <f t="shared" si="16"/>
        <v>0</v>
      </c>
      <c r="C190" s="49"/>
      <c r="D190" s="50"/>
      <c r="E190" s="46"/>
      <c r="F190" s="25">
        <f t="shared" si="17"/>
        <v>0</v>
      </c>
      <c r="G190" s="189"/>
      <c r="H190" s="36" t="s">
        <v>129</v>
      </c>
      <c r="I190" s="188">
        <v>500</v>
      </c>
      <c r="J190" s="63" t="s">
        <v>106</v>
      </c>
      <c r="K190" s="148" t="s">
        <v>130</v>
      </c>
      <c r="L190" s="67"/>
      <c r="M190" s="65"/>
      <c r="N190" s="65"/>
      <c r="O190" s="67"/>
    </row>
    <row r="191" s="2" customFormat="1" ht="18" customHeight="1" spans="1:15">
      <c r="A191" s="48"/>
      <c r="B191" s="25"/>
      <c r="C191" s="49"/>
      <c r="D191" s="50"/>
      <c r="E191" s="46"/>
      <c r="F191" s="25"/>
      <c r="G191" s="189"/>
      <c r="H191" s="36" t="s">
        <v>129</v>
      </c>
      <c r="I191" s="210">
        <v>55725</v>
      </c>
      <c r="J191" s="56" t="s">
        <v>120</v>
      </c>
      <c r="K191" s="238" t="s">
        <v>121</v>
      </c>
      <c r="L191" s="67"/>
      <c r="M191" s="65"/>
      <c r="N191" s="65"/>
      <c r="O191" s="67"/>
    </row>
    <row r="192" s="2" customFormat="1" ht="18" customHeight="1" spans="1:15">
      <c r="A192" s="48"/>
      <c r="B192" s="25">
        <f t="shared" ref="B192:B197" si="18">ROUND(G192/(1+E192),2)</f>
        <v>0</v>
      </c>
      <c r="C192" s="49"/>
      <c r="D192" s="50"/>
      <c r="E192" s="46"/>
      <c r="F192" s="25">
        <f t="shared" ref="F192:F197" si="19">ROUND(G192/(1+E192)*E192,2)</f>
        <v>0</v>
      </c>
      <c r="G192" s="189"/>
      <c r="H192" s="36" t="s">
        <v>129</v>
      </c>
      <c r="I192" s="188">
        <v>8500</v>
      </c>
      <c r="J192" s="63" t="s">
        <v>125</v>
      </c>
      <c r="K192" s="148" t="s">
        <v>126</v>
      </c>
      <c r="L192" s="67"/>
      <c r="M192" s="65"/>
      <c r="N192" s="65"/>
      <c r="O192" s="67"/>
    </row>
    <row r="193" s="2" customFormat="1" ht="18" customHeight="1" spans="1:15">
      <c r="A193" s="48"/>
      <c r="B193" s="25">
        <f t="shared" si="18"/>
        <v>0</v>
      </c>
      <c r="C193" s="49"/>
      <c r="D193" s="50"/>
      <c r="E193" s="46"/>
      <c r="F193" s="25">
        <f t="shared" si="19"/>
        <v>0</v>
      </c>
      <c r="G193" s="189"/>
      <c r="H193" s="36" t="s">
        <v>131</v>
      </c>
      <c r="I193" s="188">
        <v>8800</v>
      </c>
      <c r="J193" s="63" t="s">
        <v>125</v>
      </c>
      <c r="K193" s="148" t="s">
        <v>126</v>
      </c>
      <c r="L193" s="67"/>
      <c r="M193" s="65"/>
      <c r="N193" s="65"/>
      <c r="O193" s="67"/>
    </row>
    <row r="194" s="2" customFormat="1" ht="18" customHeight="1" spans="1:15">
      <c r="A194" s="48"/>
      <c r="B194" s="25">
        <f t="shared" si="18"/>
        <v>0</v>
      </c>
      <c r="C194" s="49"/>
      <c r="D194" s="50"/>
      <c r="E194" s="46"/>
      <c r="F194" s="25">
        <f t="shared" si="19"/>
        <v>0</v>
      </c>
      <c r="G194" s="189"/>
      <c r="H194" s="36" t="s">
        <v>131</v>
      </c>
      <c r="I194" s="188">
        <v>35200</v>
      </c>
      <c r="J194" s="63" t="s">
        <v>125</v>
      </c>
      <c r="K194" s="148" t="s">
        <v>126</v>
      </c>
      <c r="L194" s="67"/>
      <c r="M194" s="65"/>
      <c r="N194" s="65"/>
      <c r="O194" s="67"/>
    </row>
    <row r="195" s="2" customFormat="1" ht="18" customHeight="1" spans="1:15">
      <c r="A195" s="48"/>
      <c r="B195" s="25">
        <f t="shared" si="18"/>
        <v>0</v>
      </c>
      <c r="C195" s="49"/>
      <c r="D195" s="50"/>
      <c r="E195" s="46"/>
      <c r="F195" s="25">
        <f t="shared" si="19"/>
        <v>0</v>
      </c>
      <c r="G195" s="189"/>
      <c r="H195" s="36" t="s">
        <v>131</v>
      </c>
      <c r="I195" s="188">
        <f>B10*E212</f>
        <v>2400</v>
      </c>
      <c r="J195" s="63" t="s">
        <v>106</v>
      </c>
      <c r="K195" s="148" t="s">
        <v>132</v>
      </c>
      <c r="L195" s="67"/>
      <c r="M195" s="65"/>
      <c r="N195" s="65"/>
      <c r="O195" s="67"/>
    </row>
    <row r="196" s="1" customFormat="1" ht="18" customHeight="1" spans="1:15">
      <c r="A196" s="43"/>
      <c r="B196" s="25">
        <f t="shared" si="18"/>
        <v>0</v>
      </c>
      <c r="C196" s="44"/>
      <c r="D196" s="45"/>
      <c r="E196" s="46"/>
      <c r="F196" s="25">
        <f t="shared" si="19"/>
        <v>0</v>
      </c>
      <c r="G196" s="189"/>
      <c r="H196" s="31" t="s">
        <v>133</v>
      </c>
      <c r="I196" s="188">
        <v>41200</v>
      </c>
      <c r="J196" s="63" t="s">
        <v>125</v>
      </c>
      <c r="K196" s="148" t="s">
        <v>126</v>
      </c>
      <c r="L196" s="60"/>
      <c r="M196" s="61"/>
      <c r="N196" s="61"/>
      <c r="O196" s="60"/>
    </row>
    <row r="197" s="1" customFormat="1" ht="18" customHeight="1" spans="1:15">
      <c r="A197" s="43"/>
      <c r="B197" s="25">
        <f t="shared" si="18"/>
        <v>0</v>
      </c>
      <c r="C197" s="44"/>
      <c r="D197" s="45"/>
      <c r="E197" s="46"/>
      <c r="F197" s="25">
        <f t="shared" si="19"/>
        <v>0</v>
      </c>
      <c r="G197" s="189"/>
      <c r="H197" s="31" t="s">
        <v>133</v>
      </c>
      <c r="I197" s="188">
        <v>2248</v>
      </c>
      <c r="J197" s="63" t="s">
        <v>106</v>
      </c>
      <c r="K197" s="148" t="s">
        <v>160</v>
      </c>
      <c r="L197" s="60"/>
      <c r="M197" s="61"/>
      <c r="N197" s="61"/>
      <c r="O197" s="60"/>
    </row>
    <row r="198" s="1" customFormat="1" ht="18" customHeight="1" spans="1:15">
      <c r="A198" s="43"/>
      <c r="B198" s="25"/>
      <c r="C198" s="44"/>
      <c r="D198" s="45"/>
      <c r="E198" s="46"/>
      <c r="F198" s="25"/>
      <c r="G198" s="189"/>
      <c r="H198" s="36" t="s">
        <v>134</v>
      </c>
      <c r="I198" s="188">
        <v>2782</v>
      </c>
      <c r="J198" s="63" t="s">
        <v>106</v>
      </c>
      <c r="K198" s="148" t="s">
        <v>160</v>
      </c>
      <c r="L198" s="60"/>
      <c r="M198" s="61"/>
      <c r="N198" s="61"/>
      <c r="O198" s="60"/>
    </row>
    <row r="199" s="1" customFormat="1" ht="18" customHeight="1" spans="1:15">
      <c r="A199" s="43"/>
      <c r="B199" s="25">
        <f>ROUND(G199/(1+E199),2)</f>
        <v>0</v>
      </c>
      <c r="C199" s="44"/>
      <c r="D199" s="45"/>
      <c r="E199" s="46"/>
      <c r="F199" s="25">
        <f>ROUND(G199/(1+E199)*E199,2)</f>
        <v>0</v>
      </c>
      <c r="G199" s="189"/>
      <c r="H199" s="36" t="s">
        <v>134</v>
      </c>
      <c r="I199" s="188">
        <v>950</v>
      </c>
      <c r="J199" s="63" t="s">
        <v>106</v>
      </c>
      <c r="K199" s="148" t="s">
        <v>130</v>
      </c>
      <c r="L199" s="60"/>
      <c r="M199" s="61"/>
      <c r="N199" s="61"/>
      <c r="O199" s="60"/>
    </row>
    <row r="200" s="1" customFormat="1" ht="18" customHeight="1" spans="1:15">
      <c r="A200" s="43"/>
      <c r="B200" s="25">
        <f>ROUND(G200/(1+E200),2)</f>
        <v>132850</v>
      </c>
      <c r="C200" s="44"/>
      <c r="D200" s="45"/>
      <c r="E200" s="46"/>
      <c r="F200" s="25">
        <f>ROUND(G200/(1+E200)*E200,2)</f>
        <v>0</v>
      </c>
      <c r="G200" s="189">
        <f>46100+17600+4400+17000+4250+34800+8700</f>
        <v>132850</v>
      </c>
      <c r="H200" s="31"/>
      <c r="I200" s="32">
        <f>G200</f>
        <v>132850</v>
      </c>
      <c r="J200" s="63" t="s">
        <v>106</v>
      </c>
      <c r="K200" s="148" t="s">
        <v>161</v>
      </c>
      <c r="L200" s="60"/>
      <c r="M200" s="61"/>
      <c r="N200" s="61"/>
      <c r="O200" s="60"/>
    </row>
    <row r="201" s="1" customFormat="1" ht="18" customHeight="1" spans="1:15">
      <c r="A201" s="43"/>
      <c r="B201" s="25"/>
      <c r="C201" s="44"/>
      <c r="D201" s="45"/>
      <c r="E201" s="46"/>
      <c r="F201" s="25"/>
      <c r="G201" s="239"/>
      <c r="H201" s="31"/>
      <c r="I201" s="141">
        <v>-3000000</v>
      </c>
      <c r="J201" s="249"/>
      <c r="K201" s="250" t="s">
        <v>162</v>
      </c>
      <c r="L201" s="60"/>
      <c r="M201" s="61"/>
      <c r="N201" s="61"/>
      <c r="O201" s="60"/>
    </row>
    <row r="202" ht="18" customHeight="1" spans="1:15">
      <c r="A202" s="39" t="s">
        <v>22</v>
      </c>
      <c r="B202" s="38">
        <f>SUM(B30:B200)</f>
        <v>40316162.7</v>
      </c>
      <c r="C202" s="39"/>
      <c r="D202" s="240"/>
      <c r="E202" s="240"/>
      <c r="F202" s="241">
        <f>SUM(F30:F200)</f>
        <v>2267055.64</v>
      </c>
      <c r="G202" s="242">
        <f>SUM(G30:G200)</f>
        <v>42583218.34</v>
      </c>
      <c r="H202" s="243"/>
      <c r="I202" s="190">
        <f>SUM(I30:I201)</f>
        <v>35296793.4885321</v>
      </c>
      <c r="J202" s="251"/>
      <c r="K202" s="252"/>
      <c r="L202" s="191"/>
      <c r="M202" s="40"/>
      <c r="N202" s="40"/>
      <c r="O202" s="191"/>
    </row>
    <row r="203" ht="18" customHeight="1" spans="1:14">
      <c r="A203" s="99"/>
      <c r="B203" s="100">
        <f>B27*0.92-B202</f>
        <v>-7815532.17456217</v>
      </c>
      <c r="C203" s="99"/>
      <c r="D203" s="244"/>
      <c r="E203" s="244"/>
      <c r="F203" s="100">
        <f>F27-F202</f>
        <v>329636.60353628</v>
      </c>
      <c r="G203" s="100"/>
      <c r="H203" s="30" t="s">
        <v>136</v>
      </c>
      <c r="I203" s="190">
        <f>I27-I202</f>
        <v>3333206.51146789</v>
      </c>
      <c r="J203" s="14"/>
      <c r="K203" s="253"/>
      <c r="M203" s="13"/>
      <c r="N203" s="13"/>
    </row>
    <row r="204" ht="18" customHeight="1" spans="1:3">
      <c r="A204" s="6" t="s">
        <v>137</v>
      </c>
      <c r="C204" s="6"/>
    </row>
    <row r="205" ht="18" customHeight="1" spans="1:19">
      <c r="A205" s="30" t="s">
        <v>138</v>
      </c>
      <c r="B205" s="28" t="s">
        <v>139</v>
      </c>
      <c r="C205" s="191"/>
      <c r="D205" s="30" t="s">
        <v>138</v>
      </c>
      <c r="E205" s="27" t="s">
        <v>15</v>
      </c>
      <c r="F205" s="28" t="s">
        <v>139</v>
      </c>
      <c r="G205" s="28" t="s">
        <v>140</v>
      </c>
      <c r="H205" s="28" t="s">
        <v>141</v>
      </c>
      <c r="I205" s="28" t="s">
        <v>142</v>
      </c>
      <c r="K205" s="28" t="s">
        <v>143</v>
      </c>
      <c r="L205" s="254"/>
      <c r="M205" s="28" t="s">
        <v>144</v>
      </c>
      <c r="N205" s="134" t="s">
        <v>144</v>
      </c>
      <c r="O205" s="255"/>
      <c r="P205" s="242" t="s">
        <v>145</v>
      </c>
      <c r="Q205" s="242" t="s">
        <v>163</v>
      </c>
      <c r="R205" s="256" t="s">
        <v>187</v>
      </c>
      <c r="S205" s="257" t="s">
        <v>192</v>
      </c>
    </row>
    <row r="206" ht="18" customHeight="1" spans="1:19">
      <c r="A206" s="191" t="s">
        <v>146</v>
      </c>
      <c r="B206" s="25">
        <f>(B27-B202)*0.25</f>
        <v>-1247347.59743537</v>
      </c>
      <c r="C206" s="191"/>
      <c r="D206" s="18" t="s">
        <v>147</v>
      </c>
      <c r="E206" s="40" t="s">
        <v>148</v>
      </c>
      <c r="F206" s="245">
        <f>F27-F202</f>
        <v>329636.60353628</v>
      </c>
      <c r="G206" s="245">
        <f>F8-F30-F32-F35-F36-F39</f>
        <v>-333763.749090909</v>
      </c>
      <c r="H206" s="245">
        <f>F9-F44</f>
        <v>299461.603636364</v>
      </c>
      <c r="I206" s="245">
        <f>F10-F46-F47-F49-F54-F55-F56-F57-F59</f>
        <v>49772.4599999999</v>
      </c>
      <c r="K206" s="245">
        <f>F11-F80-F81-F82-F83-F84</f>
        <v>205457.659816514</v>
      </c>
      <c r="L206" s="254"/>
      <c r="M206" s="245">
        <f>F12-F85-F93-F94-F96</f>
        <v>390316.376330275</v>
      </c>
      <c r="N206" s="134">
        <v>-259385.7</v>
      </c>
      <c r="O206" s="255"/>
      <c r="P206" s="242"/>
      <c r="Q206" s="258"/>
      <c r="R206" s="234"/>
      <c r="S206" s="257" t="e">
        <f>F198-K198-(M198+N198)</f>
        <v>#VALUE!</v>
      </c>
    </row>
    <row r="207" ht="18" customHeight="1" spans="1:19">
      <c r="A207" s="191" t="s">
        <v>149</v>
      </c>
      <c r="B207" s="21" t="s">
        <v>150</v>
      </c>
      <c r="C207" s="191"/>
      <c r="D207" s="246" t="s">
        <v>151</v>
      </c>
      <c r="E207" s="22">
        <v>0.05</v>
      </c>
      <c r="F207" s="32">
        <f>F206*E207</f>
        <v>16481.830176814</v>
      </c>
      <c r="G207" s="32">
        <v>0</v>
      </c>
      <c r="H207" s="32">
        <v>0</v>
      </c>
      <c r="I207" s="32">
        <v>0</v>
      </c>
      <c r="K207" s="32">
        <f>K206*E207</f>
        <v>10272.8829908257</v>
      </c>
      <c r="L207" s="254"/>
      <c r="M207" s="32">
        <f>M206*E207</f>
        <v>19515.8188165138</v>
      </c>
      <c r="N207" s="134">
        <f>N206*E207</f>
        <v>-12969.285</v>
      </c>
      <c r="O207" s="255"/>
      <c r="P207" s="242"/>
      <c r="Q207" s="258"/>
      <c r="R207" s="234"/>
      <c r="S207" s="257" t="e">
        <f>S206*0.07</f>
        <v>#VALUE!</v>
      </c>
    </row>
    <row r="208" ht="18" customHeight="1" spans="1:19">
      <c r="A208" s="191" t="s">
        <v>123</v>
      </c>
      <c r="B208" s="247">
        <f>B27*0.0006</f>
        <v>21196.0633861551</v>
      </c>
      <c r="C208" s="191"/>
      <c r="D208" s="246" t="s">
        <v>152</v>
      </c>
      <c r="E208" s="22">
        <v>0.03</v>
      </c>
      <c r="F208" s="32">
        <f>F206*E208</f>
        <v>9889.0981060884</v>
      </c>
      <c r="G208" s="32">
        <v>0</v>
      </c>
      <c r="H208" s="32">
        <v>0</v>
      </c>
      <c r="I208" s="32">
        <v>0</v>
      </c>
      <c r="K208" s="32">
        <f>K206*E208</f>
        <v>6163.72979449541</v>
      </c>
      <c r="L208" s="254"/>
      <c r="M208" s="32">
        <f>M206*E208</f>
        <v>11709.4912899083</v>
      </c>
      <c r="N208" s="134">
        <f>N206*E208</f>
        <v>-7781.571</v>
      </c>
      <c r="O208" s="255"/>
      <c r="P208" s="242"/>
      <c r="Q208" s="258"/>
      <c r="R208" s="234"/>
      <c r="S208" s="257" t="e">
        <f>S206*0.03</f>
        <v>#VALUE!</v>
      </c>
    </row>
    <row r="209" ht="18" customHeight="1" spans="1:19">
      <c r="A209" s="191"/>
      <c r="B209" s="32"/>
      <c r="C209" s="191"/>
      <c r="D209" s="246" t="s">
        <v>153</v>
      </c>
      <c r="E209" s="22">
        <v>0.02</v>
      </c>
      <c r="F209" s="32">
        <f>F206*E209</f>
        <v>6592.7320707256</v>
      </c>
      <c r="G209" s="32">
        <v>0</v>
      </c>
      <c r="H209" s="32">
        <v>0</v>
      </c>
      <c r="I209" s="32">
        <v>0</v>
      </c>
      <c r="K209" s="32">
        <f>K206*E209</f>
        <v>4109.15319633028</v>
      </c>
      <c r="L209" s="254"/>
      <c r="M209" s="32">
        <f>M206*E209</f>
        <v>7806.32752660551</v>
      </c>
      <c r="N209" s="134">
        <f>N206*E209</f>
        <v>-5187.714</v>
      </c>
      <c r="O209" s="255"/>
      <c r="P209" s="242"/>
      <c r="Q209" s="258"/>
      <c r="R209" s="234"/>
      <c r="S209" s="257" t="e">
        <f>S206*0.02</f>
        <v>#VALUE!</v>
      </c>
    </row>
    <row r="210" ht="18" customHeight="1" spans="1:19">
      <c r="A210" s="37" t="s">
        <v>154</v>
      </c>
      <c r="B210" s="38">
        <f>SUM(B206:B209)</f>
        <v>-1226151.53404922</v>
      </c>
      <c r="C210" s="191"/>
      <c r="D210" s="37" t="s">
        <v>154</v>
      </c>
      <c r="E210" s="37"/>
      <c r="F210" s="241">
        <f>SUM(F206:F209)</f>
        <v>362600.263889908</v>
      </c>
      <c r="G210" s="241">
        <v>0</v>
      </c>
      <c r="H210" s="241">
        <v>0</v>
      </c>
      <c r="I210" s="241">
        <v>0</v>
      </c>
      <c r="K210" s="241">
        <f t="shared" ref="K210:N210" si="20">SUM(K206:K209)</f>
        <v>226003.425798165</v>
      </c>
      <c r="L210" s="254"/>
      <c r="M210" s="241">
        <f t="shared" si="20"/>
        <v>429348.013963303</v>
      </c>
      <c r="N210" s="134">
        <f t="shared" si="20"/>
        <v>-285324.27</v>
      </c>
      <c r="O210" s="255"/>
      <c r="P210" s="242"/>
      <c r="Q210" s="258"/>
      <c r="R210" s="234"/>
      <c r="S210" s="257" t="e">
        <f>SUM(S206:S209)</f>
        <v>#VALUE!</v>
      </c>
    </row>
    <row r="211" ht="18" customHeight="1" spans="3:19">
      <c r="C211" s="6"/>
      <c r="D211" s="20" t="s">
        <v>149</v>
      </c>
      <c r="E211" s="248">
        <v>0.0003</v>
      </c>
      <c r="F211" s="32">
        <v>0</v>
      </c>
      <c r="G211" s="32"/>
      <c r="H211" s="32"/>
      <c r="I211" s="32">
        <v>0</v>
      </c>
      <c r="K211" s="32"/>
      <c r="M211" s="32"/>
      <c r="N211" s="134"/>
      <c r="O211" s="255"/>
      <c r="P211" s="242"/>
      <c r="Q211" s="258"/>
      <c r="R211" s="234"/>
      <c r="S211" s="257"/>
    </row>
    <row r="212" ht="18" customHeight="1" spans="3:19">
      <c r="C212" s="6"/>
      <c r="D212" s="20" t="s">
        <v>123</v>
      </c>
      <c r="E212" s="248">
        <v>0.0006</v>
      </c>
      <c r="F212" s="32">
        <f>B27*E212</f>
        <v>21196.0633861551</v>
      </c>
      <c r="G212" s="32">
        <f>B8*E212</f>
        <v>2781.81818181818</v>
      </c>
      <c r="H212" s="32">
        <f>B9*E212</f>
        <v>2247.27272727273</v>
      </c>
      <c r="I212" s="32">
        <f>B10*E212</f>
        <v>2400</v>
      </c>
      <c r="K212" s="32">
        <f>B11*E212</f>
        <v>2339.4495412844</v>
      </c>
      <c r="L212" s="254"/>
      <c r="M212" s="32">
        <f>B12*E212</f>
        <v>4788.99082568807</v>
      </c>
      <c r="N212" s="134"/>
      <c r="O212" s="255"/>
      <c r="P212" s="242">
        <v>853.21</v>
      </c>
      <c r="Q212" s="258">
        <f>E212*B14</f>
        <v>1992.66055045872</v>
      </c>
      <c r="R212" s="256">
        <f>E212*B15</f>
        <v>946.788990825688</v>
      </c>
      <c r="S212" s="257">
        <f>B16*E212</f>
        <v>2845.87155963303</v>
      </c>
    </row>
    <row r="213" ht="18" customHeight="1" spans="3:19">
      <c r="C213" s="6"/>
      <c r="D213" s="39" t="s">
        <v>22</v>
      </c>
      <c r="E213" s="39"/>
      <c r="F213" s="190">
        <f>F210+F211+F212</f>
        <v>383796.327276063</v>
      </c>
      <c r="G213" s="190"/>
      <c r="H213" s="190"/>
      <c r="I213" s="190"/>
      <c r="K213" s="190"/>
      <c r="M213" s="191">
        <f>M210+M212</f>
        <v>434137.004788991</v>
      </c>
      <c r="N213" s="134"/>
      <c r="O213" s="255"/>
      <c r="P213" s="242"/>
      <c r="Q213" s="258"/>
      <c r="R213" s="234"/>
      <c r="S213" s="257"/>
    </row>
    <row r="214" ht="18" customHeight="1" spans="3:19">
      <c r="C214" s="6"/>
      <c r="D214" s="20" t="s">
        <v>121</v>
      </c>
      <c r="E214" s="248">
        <v>0.02</v>
      </c>
      <c r="F214" s="32">
        <f>B27*E214</f>
        <v>706535.446205171</v>
      </c>
      <c r="G214" s="32"/>
      <c r="H214" s="32"/>
      <c r="I214" s="32"/>
      <c r="K214" s="190"/>
      <c r="M214" s="32">
        <f>(SUM(B8:B12))*E214</f>
        <v>485251.042535446</v>
      </c>
      <c r="N214" s="134"/>
      <c r="O214" s="255"/>
      <c r="P214" s="242">
        <f>B13*0.02</f>
        <v>28440.3669724771</v>
      </c>
      <c r="Q214" s="258">
        <f>G14*E214</f>
        <v>72400</v>
      </c>
      <c r="R214" s="256">
        <f>G15*E214</f>
        <v>34400</v>
      </c>
      <c r="S214" s="257">
        <f>G16*E214</f>
        <v>103400</v>
      </c>
    </row>
    <row r="215" ht="18" customHeight="1" spans="3:3">
      <c r="C215" s="6"/>
    </row>
    <row r="216" ht="18" customHeight="1" spans="3:3">
      <c r="C216" s="6"/>
    </row>
    <row r="217" ht="18" customHeight="1" spans="3:3">
      <c r="C217" s="6"/>
    </row>
    <row r="218" spans="3:3">
      <c r="C218" s="6"/>
    </row>
    <row r="219" spans="3:3">
      <c r="C219" s="6"/>
    </row>
    <row r="220" spans="3:3">
      <c r="C220" s="6"/>
    </row>
    <row r="221" spans="3:3">
      <c r="C221" s="6"/>
    </row>
    <row r="222" spans="3:3">
      <c r="C222" s="6"/>
    </row>
    <row r="223" spans="3:3">
      <c r="C223" s="6"/>
    </row>
    <row r="224" spans="3:3">
      <c r="C224" s="6"/>
    </row>
    <row r="225" spans="3:3">
      <c r="C225" s="6"/>
    </row>
    <row r="226" spans="3:3">
      <c r="C226" s="6"/>
    </row>
    <row r="227" spans="3:3">
      <c r="C227" s="6"/>
    </row>
    <row r="228" spans="3:3">
      <c r="C228" s="6"/>
    </row>
    <row r="229" spans="3:3">
      <c r="C229" s="6"/>
    </row>
    <row r="230" spans="3:3">
      <c r="C230" s="6"/>
    </row>
    <row r="231" spans="3:3">
      <c r="C231" s="6"/>
    </row>
    <row r="232" spans="3:3">
      <c r="C232" s="6"/>
    </row>
    <row r="233" spans="3:3">
      <c r="C233" s="6"/>
    </row>
  </sheetData>
  <autoFilter ref="A29:Q214">
    <extLst/>
  </autoFilter>
  <mergeCells count="18">
    <mergeCell ref="A2:J2"/>
    <mergeCell ref="H3:J3"/>
    <mergeCell ref="C6:D6"/>
    <mergeCell ref="E6:F6"/>
    <mergeCell ref="H6:J6"/>
    <mergeCell ref="N205:O205"/>
    <mergeCell ref="N206:O206"/>
    <mergeCell ref="N207:O207"/>
    <mergeCell ref="N208:O208"/>
    <mergeCell ref="N209:O209"/>
    <mergeCell ref="N210:O210"/>
    <mergeCell ref="N211:O211"/>
    <mergeCell ref="N212:O212"/>
    <mergeCell ref="N213:O213"/>
    <mergeCell ref="N214:O214"/>
    <mergeCell ref="A6:A7"/>
    <mergeCell ref="B6:B7"/>
    <mergeCell ref="G6:G7"/>
  </mergeCells>
  <pageMargins left="0.75" right="0.75" top="1" bottom="1" header="0.5" footer="0.5"/>
  <pageSetup paperSize="9" orientation="portrait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6"/>
  <sheetViews>
    <sheetView topLeftCell="C136" workbookViewId="0">
      <selection activeCell="K26" sqref="K26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9" customWidth="1"/>
    <col min="5" max="5" width="6" style="9" customWidth="1"/>
    <col min="6" max="6" width="13.1333333333333" style="10" customWidth="1"/>
    <col min="7" max="7" width="14.1333333333333" style="11" customWidth="1"/>
    <col min="8" max="8" width="13.1333333333333" style="9" customWidth="1"/>
    <col min="9" max="9" width="18.75" style="10" customWidth="1"/>
    <col min="10" max="10" width="6.13333333333333" style="12" customWidth="1"/>
    <col min="11" max="11" width="26.6333333333333" style="13" customWidth="1"/>
    <col min="12" max="12" width="12.75" style="13" customWidth="1"/>
    <col min="13" max="13" width="11.6333333333333" style="13" customWidth="1"/>
    <col min="14" max="14" width="5.63333333333333" style="13" customWidth="1"/>
    <col min="15" max="15" width="9" style="13" customWidth="1"/>
    <col min="16" max="16" width="14.6333333333333" style="13" customWidth="1"/>
    <col min="17" max="17" width="13.8833333333333" style="13" customWidth="1"/>
    <col min="18" max="18" width="14.1333333333333" style="13" customWidth="1"/>
    <col min="19" max="19" width="14.3833333333333" style="13" customWidth="1"/>
    <col min="20" max="20" width="9.63333333333333" style="13"/>
    <col min="21" max="23" width="9" style="13"/>
    <col min="24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7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21">
        <v>51348718</v>
      </c>
      <c r="E2" s="22" t="s">
        <v>3</v>
      </c>
      <c r="F2" s="21"/>
      <c r="G2" s="23" t="s">
        <v>4</v>
      </c>
      <c r="H2" s="24" t="s">
        <v>5</v>
      </c>
      <c r="I2" s="51"/>
      <c r="J2" s="52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2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 t="s">
        <v>172</v>
      </c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9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9"/>
      <c r="H6" s="30" t="s">
        <v>17</v>
      </c>
      <c r="I6" s="28" t="s">
        <v>18</v>
      </c>
      <c r="J6" s="30" t="s">
        <v>19</v>
      </c>
    </row>
    <row r="7" ht="18" customHeight="1" spans="1:11">
      <c r="A7" s="31">
        <v>43242</v>
      </c>
      <c r="B7" s="32">
        <f t="shared" ref="B7:B25" si="0">G7/(1+C7+E7)</f>
        <v>4636363.63636364</v>
      </c>
      <c r="C7" s="33">
        <v>0.02</v>
      </c>
      <c r="D7" s="23">
        <f t="shared" ref="D7:D17" si="1">G7/(1+E7+C7)*C7</f>
        <v>92727.2727272727</v>
      </c>
      <c r="E7" s="33">
        <v>0.08</v>
      </c>
      <c r="F7" s="21">
        <f t="shared" ref="F7:F25" si="2">G7/(1+C7+E7)*E7</f>
        <v>370909.090909091</v>
      </c>
      <c r="G7" s="34">
        <v>5100000</v>
      </c>
      <c r="H7" s="31">
        <v>43250</v>
      </c>
      <c r="I7" s="21">
        <v>5100000</v>
      </c>
      <c r="J7" s="40" t="s">
        <v>20</v>
      </c>
      <c r="K7" s="13">
        <v>5100000</v>
      </c>
    </row>
    <row r="8" ht="18" customHeight="1" spans="1:11">
      <c r="A8" s="31">
        <v>43304</v>
      </c>
      <c r="B8" s="32">
        <f t="shared" si="0"/>
        <v>3745454.54545454</v>
      </c>
      <c r="C8" s="33">
        <v>0.02</v>
      </c>
      <c r="D8" s="23">
        <f t="shared" si="1"/>
        <v>74909.0909090909</v>
      </c>
      <c r="E8" s="33">
        <v>0.08</v>
      </c>
      <c r="F8" s="21">
        <f t="shared" si="2"/>
        <v>299636.363636364</v>
      </c>
      <c r="G8" s="34">
        <v>4120000</v>
      </c>
      <c r="H8" s="31">
        <v>43314</v>
      </c>
      <c r="I8" s="21">
        <v>3296000</v>
      </c>
      <c r="J8" s="40" t="s">
        <v>20</v>
      </c>
      <c r="K8" s="13">
        <v>3296000</v>
      </c>
    </row>
    <row r="9" ht="18" customHeight="1" spans="1:11">
      <c r="A9" s="31">
        <v>43487</v>
      </c>
      <c r="B9" s="32">
        <f t="shared" si="0"/>
        <v>4000000</v>
      </c>
      <c r="C9" s="33">
        <v>0.02</v>
      </c>
      <c r="D9" s="23">
        <f t="shared" si="1"/>
        <v>80000</v>
      </c>
      <c r="E9" s="33">
        <v>0.08</v>
      </c>
      <c r="F9" s="21">
        <f t="shared" si="2"/>
        <v>320000</v>
      </c>
      <c r="G9" s="34">
        <v>4400000</v>
      </c>
      <c r="H9" s="31">
        <v>43320</v>
      </c>
      <c r="I9" s="21">
        <v>824000</v>
      </c>
      <c r="J9" s="40" t="s">
        <v>21</v>
      </c>
      <c r="K9" s="13">
        <v>824000</v>
      </c>
    </row>
    <row r="10" ht="18" customHeight="1" spans="1:11">
      <c r="A10" s="31">
        <v>43759</v>
      </c>
      <c r="B10" s="32">
        <f t="shared" si="0"/>
        <v>3899082.56880734</v>
      </c>
      <c r="C10" s="33">
        <v>0.02</v>
      </c>
      <c r="D10" s="23">
        <f t="shared" si="1"/>
        <v>77981.6513761468</v>
      </c>
      <c r="E10" s="35">
        <v>0.07</v>
      </c>
      <c r="F10" s="21">
        <f t="shared" si="2"/>
        <v>272935.779816514</v>
      </c>
      <c r="G10" s="34">
        <v>4250000</v>
      </c>
      <c r="H10" s="31">
        <v>43494</v>
      </c>
      <c r="I10" s="21">
        <v>3520000</v>
      </c>
      <c r="J10" s="40" t="s">
        <v>20</v>
      </c>
      <c r="K10" s="13">
        <v>3520000</v>
      </c>
    </row>
    <row r="11" ht="18" customHeight="1" spans="1:11">
      <c r="A11" s="31">
        <v>43816</v>
      </c>
      <c r="B11" s="32">
        <f t="shared" si="0"/>
        <v>7981651.37614679</v>
      </c>
      <c r="C11" s="33">
        <v>0.02</v>
      </c>
      <c r="D11" s="23">
        <f t="shared" si="1"/>
        <v>159633.027522936</v>
      </c>
      <c r="E11" s="35">
        <v>0.07</v>
      </c>
      <c r="F11" s="21">
        <f t="shared" si="2"/>
        <v>558715.596330275</v>
      </c>
      <c r="G11" s="34">
        <v>8700000</v>
      </c>
      <c r="H11" s="31">
        <v>43494</v>
      </c>
      <c r="I11" s="21">
        <v>880000</v>
      </c>
      <c r="J11" s="40" t="s">
        <v>21</v>
      </c>
      <c r="K11" s="13">
        <v>880000</v>
      </c>
    </row>
    <row r="12" ht="18" customHeight="1" spans="1:11">
      <c r="A12" s="31">
        <v>43931</v>
      </c>
      <c r="B12" s="32">
        <f t="shared" si="0"/>
        <v>1422018.34862385</v>
      </c>
      <c r="C12" s="33">
        <v>0.02</v>
      </c>
      <c r="D12" s="23">
        <f t="shared" si="1"/>
        <v>28440.3669724771</v>
      </c>
      <c r="E12" s="35">
        <v>0.07</v>
      </c>
      <c r="F12" s="21">
        <f t="shared" si="2"/>
        <v>99541.2844036697</v>
      </c>
      <c r="G12" s="34">
        <v>1550000</v>
      </c>
      <c r="H12" s="31">
        <v>43767</v>
      </c>
      <c r="I12" s="21">
        <v>3400000</v>
      </c>
      <c r="J12" s="40" t="s">
        <v>20</v>
      </c>
      <c r="K12" s="13">
        <v>2896000</v>
      </c>
    </row>
    <row r="13" ht="18" customHeight="1" spans="1:11">
      <c r="A13" s="31">
        <v>43984</v>
      </c>
      <c r="B13" s="32">
        <f t="shared" si="0"/>
        <v>3321100.91743119</v>
      </c>
      <c r="C13" s="33">
        <v>0.02</v>
      </c>
      <c r="D13" s="23">
        <f t="shared" si="1"/>
        <v>66422.0183486239</v>
      </c>
      <c r="E13" s="35">
        <v>0.07</v>
      </c>
      <c r="F13" s="21">
        <f t="shared" si="2"/>
        <v>232477.064220183</v>
      </c>
      <c r="G13" s="34">
        <v>3620000</v>
      </c>
      <c r="H13" s="31">
        <v>43767</v>
      </c>
      <c r="I13" s="21">
        <v>850000</v>
      </c>
      <c r="J13" s="40" t="s">
        <v>21</v>
      </c>
      <c r="K13" s="13">
        <v>724000</v>
      </c>
    </row>
    <row r="14" ht="18" customHeight="1" spans="1:11">
      <c r="A14" s="31">
        <v>44049</v>
      </c>
      <c r="B14" s="32">
        <f t="shared" si="0"/>
        <v>1577981.65137615</v>
      </c>
      <c r="C14" s="35">
        <v>0.02</v>
      </c>
      <c r="D14" s="23">
        <f t="shared" si="1"/>
        <v>31559.6330275229</v>
      </c>
      <c r="E14" s="35">
        <v>0.07</v>
      </c>
      <c r="F14" s="21">
        <f t="shared" si="2"/>
        <v>110458.71559633</v>
      </c>
      <c r="G14" s="34">
        <v>1720000</v>
      </c>
      <c r="H14" s="31">
        <v>43824</v>
      </c>
      <c r="I14" s="21">
        <v>6960000</v>
      </c>
      <c r="J14" s="40" t="s">
        <v>20</v>
      </c>
      <c r="K14" s="13">
        <v>1376000</v>
      </c>
    </row>
    <row r="15" ht="18" customHeight="1" spans="1:11">
      <c r="A15" s="31">
        <v>44077</v>
      </c>
      <c r="B15" s="32">
        <f t="shared" si="0"/>
        <v>4743119.26605505</v>
      </c>
      <c r="C15" s="35">
        <v>0.02</v>
      </c>
      <c r="D15" s="23">
        <f t="shared" si="1"/>
        <v>94862.3853211009</v>
      </c>
      <c r="E15" s="35">
        <v>0.07</v>
      </c>
      <c r="F15" s="21">
        <f t="shared" si="2"/>
        <v>332018.348623853</v>
      </c>
      <c r="G15" s="34">
        <v>5170000</v>
      </c>
      <c r="H15" s="31">
        <v>43824</v>
      </c>
      <c r="I15" s="21">
        <v>1740000</v>
      </c>
      <c r="J15" s="40" t="s">
        <v>21</v>
      </c>
      <c r="K15" s="13">
        <v>344000</v>
      </c>
    </row>
    <row r="16" ht="18" customHeight="1" spans="1:11">
      <c r="A16" s="31">
        <v>44187</v>
      </c>
      <c r="B16" s="32">
        <f t="shared" si="0"/>
        <v>2376146.78899083</v>
      </c>
      <c r="C16" s="35">
        <v>0.02</v>
      </c>
      <c r="D16" s="23">
        <f t="shared" si="1"/>
        <v>47522.9357798165</v>
      </c>
      <c r="E16" s="35">
        <v>0.07</v>
      </c>
      <c r="F16" s="21">
        <f t="shared" si="2"/>
        <v>166330.275229358</v>
      </c>
      <c r="G16" s="34">
        <v>2590000</v>
      </c>
      <c r="H16" s="36">
        <v>43949</v>
      </c>
      <c r="I16" s="21">
        <v>310000</v>
      </c>
      <c r="J16" s="40" t="s">
        <v>21</v>
      </c>
      <c r="K16" s="13">
        <v>4136000</v>
      </c>
    </row>
    <row r="17" ht="18" customHeight="1" spans="1:11">
      <c r="A17" s="31"/>
      <c r="B17" s="32">
        <f t="shared" si="0"/>
        <v>0</v>
      </c>
      <c r="C17" s="33"/>
      <c r="D17" s="23">
        <f t="shared" si="1"/>
        <v>0</v>
      </c>
      <c r="E17" s="33"/>
      <c r="F17" s="21">
        <f t="shared" si="2"/>
        <v>0</v>
      </c>
      <c r="G17" s="34"/>
      <c r="H17" s="31">
        <v>43949</v>
      </c>
      <c r="I17" s="21">
        <v>1240000</v>
      </c>
      <c r="J17" s="40" t="s">
        <v>20</v>
      </c>
      <c r="K17" s="13">
        <v>1034000</v>
      </c>
    </row>
    <row r="18" ht="18" customHeight="1" spans="1:10">
      <c r="A18" s="31"/>
      <c r="B18" s="32">
        <f t="shared" si="0"/>
        <v>0</v>
      </c>
      <c r="C18" s="33"/>
      <c r="D18" s="23"/>
      <c r="E18" s="33"/>
      <c r="F18" s="21">
        <f t="shared" si="2"/>
        <v>0</v>
      </c>
      <c r="G18" s="34"/>
      <c r="H18" s="31">
        <v>43994</v>
      </c>
      <c r="I18" s="21">
        <v>2896000</v>
      </c>
      <c r="J18" s="40" t="s">
        <v>20</v>
      </c>
    </row>
    <row r="19" ht="18" customHeight="1" spans="1:10">
      <c r="A19" s="31"/>
      <c r="B19" s="32">
        <f t="shared" si="0"/>
        <v>0</v>
      </c>
      <c r="C19" s="33"/>
      <c r="D19" s="23"/>
      <c r="E19" s="33"/>
      <c r="F19" s="21">
        <f t="shared" si="2"/>
        <v>0</v>
      </c>
      <c r="G19" s="34"/>
      <c r="H19" s="31">
        <v>43994</v>
      </c>
      <c r="I19" s="21">
        <v>724000</v>
      </c>
      <c r="J19" s="40" t="s">
        <v>164</v>
      </c>
    </row>
    <row r="20" ht="18" customHeight="1" spans="1:10">
      <c r="A20" s="31"/>
      <c r="B20" s="32">
        <f t="shared" si="0"/>
        <v>0</v>
      </c>
      <c r="C20" s="33"/>
      <c r="D20" s="23"/>
      <c r="E20" s="33"/>
      <c r="F20" s="21">
        <f t="shared" si="2"/>
        <v>0</v>
      </c>
      <c r="G20" s="34"/>
      <c r="H20" s="31">
        <v>44057</v>
      </c>
      <c r="I20" s="21">
        <v>1376000</v>
      </c>
      <c r="J20" s="40" t="s">
        <v>20</v>
      </c>
    </row>
    <row r="21" ht="18" customHeight="1" spans="1:10">
      <c r="A21" s="31"/>
      <c r="B21" s="32">
        <f t="shared" si="0"/>
        <v>0</v>
      </c>
      <c r="C21" s="33"/>
      <c r="D21" s="23"/>
      <c r="E21" s="33"/>
      <c r="F21" s="21">
        <f t="shared" si="2"/>
        <v>0</v>
      </c>
      <c r="G21" s="34"/>
      <c r="H21" s="31">
        <v>44057</v>
      </c>
      <c r="I21" s="21">
        <v>344000</v>
      </c>
      <c r="J21" s="40" t="s">
        <v>164</v>
      </c>
    </row>
    <row r="22" ht="18" customHeight="1" spans="1:10">
      <c r="A22" s="31"/>
      <c r="B22" s="32">
        <f t="shared" si="0"/>
        <v>0</v>
      </c>
      <c r="C22" s="33"/>
      <c r="D22" s="23"/>
      <c r="E22" s="33"/>
      <c r="F22" s="21">
        <f t="shared" si="2"/>
        <v>0</v>
      </c>
      <c r="G22" s="34"/>
      <c r="H22" s="31">
        <v>44085</v>
      </c>
      <c r="I22" s="21">
        <v>4136000</v>
      </c>
      <c r="J22" s="40" t="s">
        <v>20</v>
      </c>
    </row>
    <row r="23" ht="18" customHeight="1" spans="1:10">
      <c r="A23" s="31"/>
      <c r="B23" s="32">
        <f t="shared" si="0"/>
        <v>0</v>
      </c>
      <c r="C23" s="33"/>
      <c r="D23" s="23"/>
      <c r="E23" s="33"/>
      <c r="F23" s="21">
        <f t="shared" si="2"/>
        <v>0</v>
      </c>
      <c r="G23" s="34"/>
      <c r="H23" s="31">
        <v>44085</v>
      </c>
      <c r="I23" s="21">
        <v>1034000</v>
      </c>
      <c r="J23" s="40" t="s">
        <v>164</v>
      </c>
    </row>
    <row r="24" ht="18" customHeight="1" spans="1:10">
      <c r="A24" s="31"/>
      <c r="B24" s="32"/>
      <c r="C24" s="33"/>
      <c r="D24" s="23"/>
      <c r="E24" s="33"/>
      <c r="F24" s="21"/>
      <c r="G24" s="34"/>
      <c r="H24" s="31"/>
      <c r="I24" s="21"/>
      <c r="J24" s="40"/>
    </row>
    <row r="25" ht="18" customHeight="1" spans="1:10">
      <c r="A25" s="31"/>
      <c r="B25" s="32"/>
      <c r="C25" s="33"/>
      <c r="D25" s="23"/>
      <c r="E25" s="33"/>
      <c r="F25" s="21"/>
      <c r="G25" s="34"/>
      <c r="H25" s="31"/>
      <c r="I25" s="21"/>
      <c r="J25" s="40"/>
    </row>
    <row r="26" ht="18" customHeight="1" spans="1:10">
      <c r="A26" s="31"/>
      <c r="B26" s="32">
        <f>G26/(1+C26+E26)</f>
        <v>0</v>
      </c>
      <c r="C26" s="33"/>
      <c r="D26" s="23"/>
      <c r="E26" s="33"/>
      <c r="F26" s="21">
        <f>G26/(1+C26+E26)*E26</f>
        <v>0</v>
      </c>
      <c r="G26" s="34"/>
      <c r="H26" s="31"/>
      <c r="I26" s="21"/>
      <c r="J26" s="40"/>
    </row>
    <row r="27" ht="18" customHeight="1" spans="1:10">
      <c r="A27" s="31"/>
      <c r="B27" s="32">
        <f>G27/(1+C27+E27)</f>
        <v>0</v>
      </c>
      <c r="C27" s="33"/>
      <c r="D27" s="23">
        <f>G27/(1+E27+C27)*C27</f>
        <v>0</v>
      </c>
      <c r="E27" s="33"/>
      <c r="F27" s="21">
        <f>G27/(1+C27+E27)*E27</f>
        <v>0</v>
      </c>
      <c r="G27" s="34"/>
      <c r="H27" s="31"/>
      <c r="I27" s="21"/>
      <c r="J27" s="40"/>
    </row>
    <row r="28" ht="18" customHeight="1" spans="1:10">
      <c r="A28" s="37" t="s">
        <v>22</v>
      </c>
      <c r="B28" s="38">
        <f>SUM(B7:B27)</f>
        <v>37702919.0992494</v>
      </c>
      <c r="C28" s="39"/>
      <c r="D28" s="28">
        <f>SUM(D7:D27)</f>
        <v>754058.381984988</v>
      </c>
      <c r="E28" s="27"/>
      <c r="F28" s="28">
        <f>SUM(F7:F27)</f>
        <v>2763022.51876564</v>
      </c>
      <c r="G28" s="29">
        <f>SUM(G7:G27)</f>
        <v>41220000</v>
      </c>
      <c r="H28" s="40"/>
      <c r="I28" s="28">
        <f>SUM(I7:I27)</f>
        <v>38630000</v>
      </c>
      <c r="J28" s="40"/>
    </row>
    <row r="29" ht="30" customHeight="1" spans="1:12">
      <c r="A29" s="6" t="s">
        <v>23</v>
      </c>
      <c r="J29" s="9"/>
      <c r="K29" s="9"/>
      <c r="L29" s="12"/>
    </row>
    <row r="30" ht="18" customHeight="1" spans="1:15">
      <c r="A30" s="41" t="s">
        <v>24</v>
      </c>
      <c r="B30" s="28" t="s">
        <v>25</v>
      </c>
      <c r="C30" s="27" t="s">
        <v>26</v>
      </c>
      <c r="D30" s="27" t="s">
        <v>27</v>
      </c>
      <c r="E30" s="27" t="s">
        <v>15</v>
      </c>
      <c r="F30" s="28" t="s">
        <v>28</v>
      </c>
      <c r="G30" s="29" t="s">
        <v>13</v>
      </c>
      <c r="H30" s="27" t="s">
        <v>29</v>
      </c>
      <c r="I30" s="28" t="s">
        <v>30</v>
      </c>
      <c r="J30" s="27" t="s">
        <v>19</v>
      </c>
      <c r="K30" s="54"/>
      <c r="L30" s="30" t="s">
        <v>32</v>
      </c>
      <c r="M30" s="30" t="s">
        <v>33</v>
      </c>
      <c r="N30" s="30" t="s">
        <v>34</v>
      </c>
      <c r="O30" s="30" t="s">
        <v>35</v>
      </c>
    </row>
    <row r="31" s="1" customFormat="1" ht="18" customHeight="1" spans="1:16">
      <c r="A31" s="43">
        <v>43070</v>
      </c>
      <c r="B31" s="25">
        <f t="shared" ref="B31:B94" si="3">ROUND(G31/(1+E31),2)</f>
        <v>2830.19</v>
      </c>
      <c r="C31" s="44"/>
      <c r="D31" s="45" t="s">
        <v>36</v>
      </c>
      <c r="E31" s="46">
        <v>0.06</v>
      </c>
      <c r="F31" s="34">
        <f t="shared" ref="F31:F94" si="4">ROUND(G31/(1+E31)*E31,2)</f>
        <v>169.81</v>
      </c>
      <c r="G31" s="47">
        <v>3000</v>
      </c>
      <c r="H31" s="31"/>
      <c r="I31" s="58"/>
      <c r="J31" s="40"/>
      <c r="K31" s="147"/>
      <c r="L31" s="60" t="s">
        <v>38</v>
      </c>
      <c r="M31" s="61"/>
      <c r="N31" s="61"/>
      <c r="O31" s="60"/>
      <c r="P31" s="62"/>
    </row>
    <row r="32" s="1" customFormat="1" ht="18" customHeight="1" spans="1:16">
      <c r="A32" s="43">
        <v>43071</v>
      </c>
      <c r="B32" s="25">
        <f t="shared" si="3"/>
        <v>3000</v>
      </c>
      <c r="C32" s="44"/>
      <c r="D32" s="45" t="s">
        <v>39</v>
      </c>
      <c r="E32" s="46"/>
      <c r="F32" s="34">
        <f t="shared" si="4"/>
        <v>0</v>
      </c>
      <c r="G32" s="47">
        <v>3000</v>
      </c>
      <c r="H32" s="31"/>
      <c r="I32" s="58"/>
      <c r="J32" s="40"/>
      <c r="K32" s="147"/>
      <c r="L32" s="60" t="s">
        <v>38</v>
      </c>
      <c r="M32" s="61"/>
      <c r="N32" s="61"/>
      <c r="O32" s="60"/>
      <c r="P32" s="62"/>
    </row>
    <row r="33" s="1" customFormat="1" ht="18" customHeight="1" spans="1:16">
      <c r="A33" s="43">
        <v>43072</v>
      </c>
      <c r="B33" s="25">
        <f t="shared" si="3"/>
        <v>12824.53</v>
      </c>
      <c r="C33" s="44"/>
      <c r="D33" s="45" t="s">
        <v>36</v>
      </c>
      <c r="E33" s="46">
        <v>0.06</v>
      </c>
      <c r="F33" s="34">
        <f t="shared" si="4"/>
        <v>769.47</v>
      </c>
      <c r="G33" s="47">
        <v>13594</v>
      </c>
      <c r="H33" s="31"/>
      <c r="I33" s="58"/>
      <c r="J33" s="40"/>
      <c r="K33" s="147"/>
      <c r="L33" s="60" t="s">
        <v>41</v>
      </c>
      <c r="M33" s="61"/>
      <c r="N33" s="61"/>
      <c r="O33" s="60"/>
      <c r="P33" s="62"/>
    </row>
    <row r="34" s="1" customFormat="1" ht="18" customHeight="1" spans="1:16">
      <c r="A34" s="43">
        <v>43073</v>
      </c>
      <c r="B34" s="25">
        <f t="shared" si="3"/>
        <v>1206</v>
      </c>
      <c r="C34" s="44"/>
      <c r="D34" s="45" t="s">
        <v>39</v>
      </c>
      <c r="E34" s="46"/>
      <c r="F34" s="34">
        <f t="shared" si="4"/>
        <v>0</v>
      </c>
      <c r="G34" s="47">
        <v>1206</v>
      </c>
      <c r="H34" s="31"/>
      <c r="I34" s="58"/>
      <c r="J34" s="40"/>
      <c r="K34" s="147"/>
      <c r="L34" s="60" t="s">
        <v>42</v>
      </c>
      <c r="M34" s="61"/>
      <c r="N34" s="61"/>
      <c r="O34" s="60"/>
      <c r="P34" s="62"/>
    </row>
    <row r="35" s="1" customFormat="1" ht="18" customHeight="1" spans="1:16">
      <c r="A35" s="43">
        <v>43074</v>
      </c>
      <c r="B35" s="25">
        <f t="shared" si="3"/>
        <v>13191.34</v>
      </c>
      <c r="C35" s="44"/>
      <c r="D35" s="45" t="s">
        <v>39</v>
      </c>
      <c r="E35" s="46"/>
      <c r="F35" s="34">
        <f t="shared" si="4"/>
        <v>0</v>
      </c>
      <c r="G35" s="47">
        <v>13191.34</v>
      </c>
      <c r="H35" s="31"/>
      <c r="I35" s="58"/>
      <c r="J35" s="40"/>
      <c r="K35" s="147">
        <v>3400000</v>
      </c>
      <c r="L35" s="60" t="s">
        <v>43</v>
      </c>
      <c r="M35" s="61"/>
      <c r="N35" s="61"/>
      <c r="O35" s="60"/>
      <c r="P35" s="62"/>
    </row>
    <row r="36" s="1" customFormat="1" ht="18" customHeight="1" spans="1:16">
      <c r="A36" s="43">
        <v>43149</v>
      </c>
      <c r="B36" s="25">
        <f t="shared" si="3"/>
        <v>1924.53</v>
      </c>
      <c r="C36" s="44"/>
      <c r="D36" s="45" t="s">
        <v>36</v>
      </c>
      <c r="E36" s="46">
        <v>0.06</v>
      </c>
      <c r="F36" s="34">
        <f t="shared" si="4"/>
        <v>115.47</v>
      </c>
      <c r="G36" s="47">
        <v>2040</v>
      </c>
      <c r="H36" s="31"/>
      <c r="I36" s="58"/>
      <c r="J36" s="40"/>
      <c r="K36" s="147">
        <v>850000</v>
      </c>
      <c r="L36" s="60" t="s">
        <v>41</v>
      </c>
      <c r="M36" s="61"/>
      <c r="N36" s="61"/>
      <c r="O36" s="60"/>
      <c r="P36" s="62"/>
    </row>
    <row r="37" s="1" customFormat="1" ht="25" customHeight="1" spans="1:16">
      <c r="A37" s="43">
        <v>43177</v>
      </c>
      <c r="B37" s="25">
        <f t="shared" si="3"/>
        <v>2830.19</v>
      </c>
      <c r="C37" s="44"/>
      <c r="D37" s="45" t="s">
        <v>36</v>
      </c>
      <c r="E37" s="46">
        <v>0.06</v>
      </c>
      <c r="F37" s="34">
        <f t="shared" si="4"/>
        <v>169.81</v>
      </c>
      <c r="G37" s="47">
        <v>3000</v>
      </c>
      <c r="H37" s="31"/>
      <c r="I37" s="58"/>
      <c r="J37" s="40"/>
      <c r="K37" s="147"/>
      <c r="L37" s="60" t="s">
        <v>45</v>
      </c>
      <c r="M37" s="61"/>
      <c r="N37" s="61"/>
      <c r="O37" s="60"/>
      <c r="P37" s="62"/>
    </row>
    <row r="38" s="1" customFormat="1" ht="19" customHeight="1" spans="1:16">
      <c r="A38" s="43">
        <v>43178</v>
      </c>
      <c r="B38" s="25">
        <f t="shared" si="3"/>
        <v>12529.12</v>
      </c>
      <c r="C38" s="44"/>
      <c r="D38" s="45" t="s">
        <v>39</v>
      </c>
      <c r="E38" s="46"/>
      <c r="F38" s="34">
        <f t="shared" si="4"/>
        <v>0</v>
      </c>
      <c r="G38" s="47">
        <v>12529.12</v>
      </c>
      <c r="H38" s="31"/>
      <c r="I38" s="58"/>
      <c r="J38" s="40"/>
      <c r="K38" s="147"/>
      <c r="L38" s="60" t="s">
        <v>46</v>
      </c>
      <c r="M38" s="61"/>
      <c r="N38" s="61"/>
      <c r="O38" s="60"/>
      <c r="P38" s="62"/>
    </row>
    <row r="39" s="1" customFormat="1" ht="18" customHeight="1" spans="1:16">
      <c r="A39" s="43">
        <v>43177</v>
      </c>
      <c r="B39" s="25">
        <f t="shared" si="3"/>
        <v>7575</v>
      </c>
      <c r="C39" s="44"/>
      <c r="D39" s="45" t="s">
        <v>39</v>
      </c>
      <c r="E39" s="46"/>
      <c r="F39" s="34">
        <f t="shared" si="4"/>
        <v>0</v>
      </c>
      <c r="G39" s="47">
        <v>7575</v>
      </c>
      <c r="H39" s="31"/>
      <c r="I39" s="58"/>
      <c r="J39" s="40"/>
      <c r="K39" s="147"/>
      <c r="L39" s="60" t="s">
        <v>46</v>
      </c>
      <c r="M39" s="61"/>
      <c r="N39" s="61"/>
      <c r="O39" s="60"/>
      <c r="P39" s="62"/>
    </row>
    <row r="40" s="1" customFormat="1" ht="18" customHeight="1" spans="1:23">
      <c r="A40" s="43">
        <v>43238</v>
      </c>
      <c r="B40" s="25">
        <f t="shared" si="3"/>
        <v>4396551.72</v>
      </c>
      <c r="C40" s="44"/>
      <c r="D40" s="45" t="s">
        <v>36</v>
      </c>
      <c r="E40" s="46">
        <v>0.16</v>
      </c>
      <c r="F40" s="34">
        <f t="shared" si="4"/>
        <v>703448.28</v>
      </c>
      <c r="G40" s="47">
        <v>5100000</v>
      </c>
      <c r="H40" s="31">
        <v>43251</v>
      </c>
      <c r="I40" s="58">
        <v>2500000</v>
      </c>
      <c r="J40" s="40" t="s">
        <v>20</v>
      </c>
      <c r="K40" s="59" t="s">
        <v>47</v>
      </c>
      <c r="L40" s="61" t="s">
        <v>48</v>
      </c>
      <c r="M40" s="61"/>
      <c r="N40" s="61"/>
      <c r="O40" s="61"/>
      <c r="P40" s="62"/>
      <c r="Q40" s="62"/>
      <c r="R40" s="62"/>
      <c r="S40" s="62"/>
      <c r="T40" s="62"/>
      <c r="U40" s="62"/>
      <c r="V40" s="62"/>
      <c r="W40" s="62"/>
    </row>
    <row r="41" s="1" customFormat="1" ht="18" customHeight="1" spans="1:23">
      <c r="A41" s="43"/>
      <c r="B41" s="25">
        <f t="shared" si="3"/>
        <v>0</v>
      </c>
      <c r="C41" s="44"/>
      <c r="D41" s="45"/>
      <c r="E41" s="46"/>
      <c r="F41" s="34">
        <f t="shared" si="4"/>
        <v>0</v>
      </c>
      <c r="G41" s="47"/>
      <c r="H41" s="31">
        <v>43255</v>
      </c>
      <c r="I41" s="58">
        <v>2530768</v>
      </c>
      <c r="J41" s="40" t="s">
        <v>20</v>
      </c>
      <c r="K41" s="59" t="s">
        <v>47</v>
      </c>
      <c r="L41" s="61"/>
      <c r="M41" s="61"/>
      <c r="N41" s="61"/>
      <c r="O41" s="61"/>
      <c r="P41" s="62"/>
      <c r="Q41" s="62"/>
      <c r="R41" s="62"/>
      <c r="S41" s="62"/>
      <c r="T41" s="62"/>
      <c r="U41" s="62"/>
      <c r="V41" s="62"/>
      <c r="W41" s="62"/>
    </row>
    <row r="42" s="1" customFormat="1" ht="18" customHeight="1" spans="1:23">
      <c r="A42" s="43"/>
      <c r="B42" s="25">
        <f t="shared" si="3"/>
        <v>0</v>
      </c>
      <c r="C42" s="44"/>
      <c r="D42" s="45"/>
      <c r="E42" s="46"/>
      <c r="F42" s="34">
        <f t="shared" si="4"/>
        <v>0</v>
      </c>
      <c r="G42" s="47"/>
      <c r="H42" s="31">
        <v>43255</v>
      </c>
      <c r="I42" s="58">
        <v>69232</v>
      </c>
      <c r="J42" s="40" t="s">
        <v>20</v>
      </c>
      <c r="K42" s="59" t="s">
        <v>47</v>
      </c>
      <c r="L42" s="61"/>
      <c r="M42" s="61"/>
      <c r="N42" s="61"/>
      <c r="O42" s="61"/>
      <c r="P42" s="62"/>
      <c r="Q42" s="62"/>
      <c r="R42" s="62"/>
      <c r="S42" s="62"/>
      <c r="T42" s="62"/>
      <c r="U42" s="62"/>
      <c r="V42" s="62"/>
      <c r="W42" s="62"/>
    </row>
    <row r="43" s="1" customFormat="1" ht="18" customHeight="1" spans="1:23">
      <c r="A43" s="43"/>
      <c r="B43" s="25">
        <f t="shared" si="3"/>
        <v>0</v>
      </c>
      <c r="C43" s="44"/>
      <c r="D43" s="45"/>
      <c r="E43" s="46"/>
      <c r="F43" s="34">
        <f t="shared" si="4"/>
        <v>0</v>
      </c>
      <c r="G43" s="47"/>
      <c r="H43" s="31">
        <v>43252</v>
      </c>
      <c r="I43" s="58">
        <v>-29323</v>
      </c>
      <c r="J43" s="40" t="s">
        <v>21</v>
      </c>
      <c r="K43" s="59" t="s">
        <v>50</v>
      </c>
      <c r="L43" s="61"/>
      <c r="M43" s="61"/>
      <c r="N43" s="61"/>
      <c r="O43" s="61"/>
      <c r="P43" s="62"/>
      <c r="Q43" s="62"/>
      <c r="R43" s="62"/>
      <c r="S43" s="62"/>
      <c r="T43" s="62"/>
      <c r="U43" s="62"/>
      <c r="V43" s="62"/>
      <c r="W43" s="62"/>
    </row>
    <row r="44" s="1" customFormat="1" ht="18" customHeight="1" spans="1:23">
      <c r="A44" s="43"/>
      <c r="B44" s="25">
        <f t="shared" si="3"/>
        <v>0</v>
      </c>
      <c r="C44" s="44"/>
      <c r="D44" s="45"/>
      <c r="E44" s="46"/>
      <c r="F44" s="34">
        <f t="shared" si="4"/>
        <v>0</v>
      </c>
      <c r="G44" s="47"/>
      <c r="H44" s="31">
        <v>43255</v>
      </c>
      <c r="I44" s="58">
        <v>-39909</v>
      </c>
      <c r="J44" s="40" t="s">
        <v>21</v>
      </c>
      <c r="K44" s="59" t="s">
        <v>50</v>
      </c>
      <c r="L44" s="61"/>
      <c r="M44" s="61"/>
      <c r="N44" s="61"/>
      <c r="O44" s="61"/>
      <c r="P44" s="62"/>
      <c r="Q44" s="62"/>
      <c r="R44" s="62"/>
      <c r="S44" s="62"/>
      <c r="T44" s="62"/>
      <c r="U44" s="62"/>
      <c r="V44" s="62"/>
      <c r="W44" s="62"/>
    </row>
    <row r="45" s="1" customFormat="1" ht="18" customHeight="1" spans="1:23">
      <c r="A45" s="43">
        <v>43269</v>
      </c>
      <c r="B45" s="25">
        <f t="shared" si="3"/>
        <v>5825.24</v>
      </c>
      <c r="C45" s="44"/>
      <c r="D45" s="45" t="s">
        <v>36</v>
      </c>
      <c r="E45" s="46">
        <v>0.03</v>
      </c>
      <c r="F45" s="34">
        <f t="shared" si="4"/>
        <v>174.76</v>
      </c>
      <c r="G45" s="47">
        <v>6000</v>
      </c>
      <c r="H45" s="31">
        <v>43264</v>
      </c>
      <c r="I45" s="58">
        <v>6000</v>
      </c>
      <c r="J45" s="40" t="s">
        <v>20</v>
      </c>
      <c r="K45" s="59" t="s">
        <v>51</v>
      </c>
      <c r="L45" s="61" t="s">
        <v>52</v>
      </c>
      <c r="M45" s="61"/>
      <c r="N45" s="61"/>
      <c r="O45" s="61"/>
      <c r="P45" s="62"/>
      <c r="Q45" s="62"/>
      <c r="R45" s="62"/>
      <c r="S45" s="62"/>
      <c r="T45" s="62"/>
      <c r="U45" s="62"/>
      <c r="V45" s="62"/>
      <c r="W45" s="62"/>
    </row>
    <row r="46" s="1" customFormat="1" ht="18" customHeight="1" spans="1:23">
      <c r="A46" s="43"/>
      <c r="B46" s="25">
        <f t="shared" si="3"/>
        <v>0</v>
      </c>
      <c r="C46" s="44"/>
      <c r="D46" s="45"/>
      <c r="E46" s="46"/>
      <c r="F46" s="34">
        <f t="shared" si="4"/>
        <v>0</v>
      </c>
      <c r="G46" s="47"/>
      <c r="H46" s="31">
        <v>43263</v>
      </c>
      <c r="I46" s="58">
        <v>-6000</v>
      </c>
      <c r="J46" s="40" t="s">
        <v>21</v>
      </c>
      <c r="K46" s="59" t="s">
        <v>50</v>
      </c>
      <c r="L46" s="61"/>
      <c r="M46" s="61"/>
      <c r="N46" s="61"/>
      <c r="O46" s="61"/>
      <c r="P46" s="62"/>
      <c r="Q46" s="62"/>
      <c r="R46" s="62"/>
      <c r="S46" s="62"/>
      <c r="T46" s="62"/>
      <c r="U46" s="62"/>
      <c r="V46" s="62"/>
      <c r="W46" s="62"/>
    </row>
    <row r="47" s="2" customFormat="1" ht="18" customHeight="1" spans="1:23">
      <c r="A47" s="48">
        <v>43335</v>
      </c>
      <c r="B47" s="25">
        <f t="shared" si="3"/>
        <v>4000000</v>
      </c>
      <c r="C47" s="49"/>
      <c r="D47" s="50" t="s">
        <v>36</v>
      </c>
      <c r="E47" s="46">
        <v>0.03</v>
      </c>
      <c r="F47" s="34">
        <f t="shared" si="4"/>
        <v>120000</v>
      </c>
      <c r="G47" s="47">
        <v>4120000</v>
      </c>
      <c r="H47" s="36">
        <v>43335</v>
      </c>
      <c r="I47" s="34">
        <v>2000000</v>
      </c>
      <c r="J47" s="63" t="s">
        <v>20</v>
      </c>
      <c r="K47" s="64" t="s">
        <v>53</v>
      </c>
      <c r="L47" s="65" t="s">
        <v>54</v>
      </c>
      <c r="M47" s="65"/>
      <c r="N47" s="65"/>
      <c r="O47" s="65"/>
      <c r="P47" s="66"/>
      <c r="Q47" s="66"/>
      <c r="R47" s="66"/>
      <c r="S47" s="66"/>
      <c r="T47" s="66"/>
      <c r="U47" s="66"/>
      <c r="V47" s="66"/>
      <c r="W47" s="66"/>
    </row>
    <row r="48" s="2" customFormat="1" ht="18" customHeight="1" spans="1:16">
      <c r="A48" s="48"/>
      <c r="B48" s="25">
        <f t="shared" si="3"/>
        <v>1344.34</v>
      </c>
      <c r="C48" s="49">
        <v>3</v>
      </c>
      <c r="D48" s="50" t="s">
        <v>36</v>
      </c>
      <c r="E48" s="46">
        <v>0.06</v>
      </c>
      <c r="F48" s="34">
        <f t="shared" si="4"/>
        <v>80.66</v>
      </c>
      <c r="G48" s="47">
        <f>285+690+450</f>
        <v>1425</v>
      </c>
      <c r="H48" s="36"/>
      <c r="I48" s="34"/>
      <c r="J48" s="63"/>
      <c r="K48" s="148"/>
      <c r="L48" s="67" t="s">
        <v>41</v>
      </c>
      <c r="M48" s="65"/>
      <c r="N48" s="65"/>
      <c r="O48" s="68">
        <v>43335</v>
      </c>
      <c r="P48" s="66"/>
    </row>
    <row r="49" s="2" customFormat="1" ht="18" customHeight="1" spans="1:16">
      <c r="A49" s="48"/>
      <c r="B49" s="25">
        <f t="shared" si="3"/>
        <v>6510</v>
      </c>
      <c r="C49" s="49"/>
      <c r="D49" s="50" t="s">
        <v>39</v>
      </c>
      <c r="E49" s="46"/>
      <c r="F49" s="34">
        <f t="shared" si="4"/>
        <v>0</v>
      </c>
      <c r="G49" s="47">
        <v>6510</v>
      </c>
      <c r="H49" s="36"/>
      <c r="I49" s="34"/>
      <c r="J49" s="63"/>
      <c r="K49" s="148"/>
      <c r="L49" s="67" t="s">
        <v>57</v>
      </c>
      <c r="M49" s="65"/>
      <c r="N49" s="65"/>
      <c r="O49" s="68">
        <v>43335</v>
      </c>
      <c r="P49" s="66"/>
    </row>
    <row r="50" s="2" customFormat="1" ht="18" customHeight="1" spans="1:16">
      <c r="A50" s="48"/>
      <c r="B50" s="25">
        <f t="shared" si="3"/>
        <v>11436.89</v>
      </c>
      <c r="C50" s="49">
        <v>2</v>
      </c>
      <c r="D50" s="50" t="s">
        <v>36</v>
      </c>
      <c r="E50" s="46">
        <v>0.03</v>
      </c>
      <c r="F50" s="34">
        <f t="shared" si="4"/>
        <v>343.11</v>
      </c>
      <c r="G50" s="47">
        <f>7740+4040</f>
        <v>11780</v>
      </c>
      <c r="H50" s="36"/>
      <c r="I50" s="34"/>
      <c r="J50" s="63"/>
      <c r="K50" s="148">
        <v>6960000</v>
      </c>
      <c r="L50" s="67" t="s">
        <v>59</v>
      </c>
      <c r="M50" s="65"/>
      <c r="N50" s="65"/>
      <c r="O50" s="68">
        <v>43335</v>
      </c>
      <c r="P50" s="66"/>
    </row>
    <row r="51" s="2" customFormat="1" ht="18" customHeight="1" spans="1:16">
      <c r="A51" s="48"/>
      <c r="B51" s="25">
        <f t="shared" si="3"/>
        <v>1800</v>
      </c>
      <c r="C51" s="49"/>
      <c r="D51" s="50" t="s">
        <v>39</v>
      </c>
      <c r="E51" s="46"/>
      <c r="F51" s="34">
        <f t="shared" si="4"/>
        <v>0</v>
      </c>
      <c r="G51" s="47">
        <v>1800</v>
      </c>
      <c r="H51" s="36"/>
      <c r="I51" s="34"/>
      <c r="J51" s="63"/>
      <c r="K51" s="148">
        <v>1740000</v>
      </c>
      <c r="L51" s="67" t="s">
        <v>60</v>
      </c>
      <c r="M51" s="65"/>
      <c r="N51" s="65"/>
      <c r="O51" s="68">
        <v>43335</v>
      </c>
      <c r="P51" s="66"/>
    </row>
    <row r="52" s="2" customFormat="1" ht="18" customHeight="1" spans="1:16">
      <c r="A52" s="48"/>
      <c r="B52" s="25">
        <f t="shared" si="3"/>
        <v>26788.86</v>
      </c>
      <c r="C52" s="49"/>
      <c r="D52" s="50" t="s">
        <v>61</v>
      </c>
      <c r="E52" s="46"/>
      <c r="F52" s="34">
        <f t="shared" si="4"/>
        <v>0</v>
      </c>
      <c r="G52" s="47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52" s="36"/>
      <c r="I52" s="34"/>
      <c r="J52" s="63"/>
      <c r="K52" s="148"/>
      <c r="L52" s="67" t="s">
        <v>63</v>
      </c>
      <c r="M52" s="65"/>
      <c r="N52" s="65"/>
      <c r="O52" s="68">
        <v>43335</v>
      </c>
      <c r="P52" s="66"/>
    </row>
    <row r="53" s="2" customFormat="1" ht="18" customHeight="1" spans="1:16">
      <c r="A53" s="48"/>
      <c r="B53" s="25">
        <f t="shared" si="3"/>
        <v>4285.5</v>
      </c>
      <c r="C53" s="49"/>
      <c r="D53" s="50" t="s">
        <v>61</v>
      </c>
      <c r="E53" s="46"/>
      <c r="F53" s="34">
        <f t="shared" si="4"/>
        <v>0</v>
      </c>
      <c r="G53" s="47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53" s="36"/>
      <c r="I53" s="34"/>
      <c r="J53" s="63"/>
      <c r="K53" s="148"/>
      <c r="L53" s="67" t="s">
        <v>63</v>
      </c>
      <c r="M53" s="65"/>
      <c r="N53" s="65"/>
      <c r="O53" s="68">
        <v>43335</v>
      </c>
      <c r="P53" s="66"/>
    </row>
    <row r="54" s="2" customFormat="1" ht="18" customHeight="1" spans="1:16">
      <c r="A54" s="48"/>
      <c r="B54" s="25">
        <f t="shared" si="3"/>
        <v>9856.03</v>
      </c>
      <c r="C54" s="49"/>
      <c r="D54" s="50" t="s">
        <v>39</v>
      </c>
      <c r="E54" s="46"/>
      <c r="F54" s="34">
        <f t="shared" si="4"/>
        <v>0</v>
      </c>
      <c r="G54" s="47">
        <f>200.03+500+400+286+300+410+910+405+530+300+500+230+280+295+285+400+380+405+200+200+400+425+405+300+310+300+300</f>
        <v>9856.03</v>
      </c>
      <c r="H54" s="36"/>
      <c r="I54" s="34"/>
      <c r="J54" s="63"/>
      <c r="K54" s="148"/>
      <c r="L54" s="67" t="s">
        <v>43</v>
      </c>
      <c r="M54" s="65"/>
      <c r="N54" s="65"/>
      <c r="O54" s="68">
        <v>43335</v>
      </c>
      <c r="P54" s="66"/>
    </row>
    <row r="55" s="2" customFormat="1" ht="18" customHeight="1" spans="1:16">
      <c r="A55" s="48">
        <v>43435</v>
      </c>
      <c r="B55" s="25">
        <f t="shared" si="3"/>
        <v>53286.79</v>
      </c>
      <c r="C55" s="49"/>
      <c r="D55" s="50" t="s">
        <v>36</v>
      </c>
      <c r="E55" s="46">
        <v>0.06</v>
      </c>
      <c r="F55" s="34">
        <f t="shared" si="4"/>
        <v>3197.21</v>
      </c>
      <c r="G55" s="47">
        <v>56484</v>
      </c>
      <c r="H55" s="36"/>
      <c r="I55" s="34"/>
      <c r="J55" s="63"/>
      <c r="K55" s="148"/>
      <c r="L55" s="67" t="s">
        <v>66</v>
      </c>
      <c r="M55" s="65"/>
      <c r="N55" s="65"/>
      <c r="O55" s="67"/>
      <c r="P55" s="66"/>
    </row>
    <row r="56" s="2" customFormat="1" ht="18" customHeight="1" spans="1:23">
      <c r="A56" s="48">
        <v>43435</v>
      </c>
      <c r="B56" s="25">
        <f t="shared" si="3"/>
        <v>5825.24</v>
      </c>
      <c r="C56" s="49"/>
      <c r="D56" s="50" t="s">
        <v>36</v>
      </c>
      <c r="E56" s="46">
        <v>0.03</v>
      </c>
      <c r="F56" s="34">
        <f t="shared" si="4"/>
        <v>174.76</v>
      </c>
      <c r="G56" s="47">
        <v>6000</v>
      </c>
      <c r="H56" s="36">
        <v>43369</v>
      </c>
      <c r="I56" s="34">
        <v>6000</v>
      </c>
      <c r="J56" s="63" t="s">
        <v>20</v>
      </c>
      <c r="K56" s="64" t="s">
        <v>51</v>
      </c>
      <c r="L56" s="65" t="s">
        <v>52</v>
      </c>
      <c r="M56" s="65"/>
      <c r="N56" s="65"/>
      <c r="O56" s="65"/>
      <c r="P56" s="66"/>
      <c r="Q56" s="66"/>
      <c r="R56" s="66"/>
      <c r="S56" s="66"/>
      <c r="T56" s="66"/>
      <c r="U56" s="66"/>
      <c r="V56" s="66"/>
      <c r="W56" s="66"/>
    </row>
    <row r="57" s="2" customFormat="1" ht="18" customHeight="1" spans="1:23">
      <c r="A57" s="48">
        <v>43313</v>
      </c>
      <c r="B57" s="25">
        <f t="shared" si="3"/>
        <v>4654.31</v>
      </c>
      <c r="C57" s="49"/>
      <c r="D57" s="50" t="s">
        <v>36</v>
      </c>
      <c r="E57" s="46">
        <v>0.16</v>
      </c>
      <c r="F57" s="34">
        <f t="shared" si="4"/>
        <v>744.69</v>
      </c>
      <c r="G57" s="47">
        <v>5399</v>
      </c>
      <c r="H57" s="36">
        <v>43369</v>
      </c>
      <c r="I57" s="34">
        <v>-6000</v>
      </c>
      <c r="J57" s="63" t="s">
        <v>21</v>
      </c>
      <c r="K57" s="59" t="s">
        <v>50</v>
      </c>
      <c r="L57" s="65"/>
      <c r="M57" s="65"/>
      <c r="N57" s="65"/>
      <c r="O57" s="65"/>
      <c r="P57" s="66"/>
      <c r="Q57" s="66"/>
      <c r="R57" s="66"/>
      <c r="S57" s="66"/>
      <c r="T57" s="66"/>
      <c r="U57" s="66"/>
      <c r="V57" s="66"/>
      <c r="W57" s="66"/>
    </row>
    <row r="58" s="2" customFormat="1" ht="18" customHeight="1" spans="1:16">
      <c r="A58" s="48">
        <v>43435</v>
      </c>
      <c r="B58" s="25">
        <f t="shared" si="3"/>
        <v>933.96</v>
      </c>
      <c r="C58" s="49"/>
      <c r="D58" s="50" t="s">
        <v>36</v>
      </c>
      <c r="E58" s="46">
        <v>0.06</v>
      </c>
      <c r="F58" s="34">
        <f t="shared" si="4"/>
        <v>56.04</v>
      </c>
      <c r="G58" s="47">
        <f>90+45+855</f>
        <v>990</v>
      </c>
      <c r="H58" s="36"/>
      <c r="I58" s="34"/>
      <c r="J58" s="63"/>
      <c r="K58" s="148"/>
      <c r="L58" s="67" t="s">
        <v>41</v>
      </c>
      <c r="M58" s="65"/>
      <c r="N58" s="65"/>
      <c r="O58" s="67"/>
      <c r="P58" s="66"/>
    </row>
    <row r="59" s="2" customFormat="1" ht="18" customHeight="1" spans="1:16">
      <c r="A59" s="48">
        <v>43435</v>
      </c>
      <c r="B59" s="25">
        <f t="shared" si="3"/>
        <v>43031</v>
      </c>
      <c r="C59" s="49"/>
      <c r="D59" s="50"/>
      <c r="E59" s="46"/>
      <c r="F59" s="34">
        <f t="shared" si="4"/>
        <v>0</v>
      </c>
      <c r="G59" s="47">
        <v>43031</v>
      </c>
      <c r="H59" s="36"/>
      <c r="I59" s="34"/>
      <c r="J59" s="63"/>
      <c r="K59" s="148"/>
      <c r="L59" s="67" t="s">
        <v>68</v>
      </c>
      <c r="M59" s="65"/>
      <c r="N59" s="65"/>
      <c r="O59" s="67"/>
      <c r="P59" s="66"/>
    </row>
    <row r="60" s="2" customFormat="1" ht="18" customHeight="1" spans="1:23">
      <c r="A60" s="48">
        <v>43466</v>
      </c>
      <c r="B60" s="25">
        <f t="shared" si="3"/>
        <v>4854368.93</v>
      </c>
      <c r="C60" s="49"/>
      <c r="D60" s="50" t="s">
        <v>36</v>
      </c>
      <c r="E60" s="46">
        <v>0.03</v>
      </c>
      <c r="F60" s="34">
        <f t="shared" si="4"/>
        <v>145631.07</v>
      </c>
      <c r="G60" s="47">
        <f>5*1000000</f>
        <v>5000000</v>
      </c>
      <c r="H60" s="36">
        <v>43340</v>
      </c>
      <c r="I60" s="34">
        <v>2095952</v>
      </c>
      <c r="J60" s="63" t="s">
        <v>20</v>
      </c>
      <c r="K60" s="64" t="s">
        <v>53</v>
      </c>
      <c r="L60" s="65" t="s">
        <v>54</v>
      </c>
      <c r="M60" s="65"/>
      <c r="N60" s="65"/>
      <c r="O60" s="65"/>
      <c r="P60" s="66"/>
      <c r="Q60" s="66"/>
      <c r="R60" s="66"/>
      <c r="S60" s="66"/>
      <c r="T60" s="66"/>
      <c r="U60" s="66"/>
      <c r="V60" s="66"/>
      <c r="W60" s="66"/>
    </row>
    <row r="61" s="2" customFormat="1" ht="18" customHeight="1" spans="1:23">
      <c r="A61" s="48"/>
      <c r="B61" s="25">
        <f t="shared" si="3"/>
        <v>0</v>
      </c>
      <c r="C61" s="49"/>
      <c r="D61" s="50"/>
      <c r="E61" s="46"/>
      <c r="F61" s="58">
        <f t="shared" si="4"/>
        <v>0</v>
      </c>
      <c r="G61" s="47"/>
      <c r="H61" s="36">
        <v>43495</v>
      </c>
      <c r="I61" s="34">
        <v>3464800</v>
      </c>
      <c r="J61" s="63" t="s">
        <v>20</v>
      </c>
      <c r="K61" s="64" t="s">
        <v>53</v>
      </c>
      <c r="L61" s="65" t="s">
        <v>54</v>
      </c>
      <c r="M61" s="65"/>
      <c r="N61" s="65"/>
      <c r="O61" s="65"/>
      <c r="P61" s="66"/>
      <c r="Q61" s="66"/>
      <c r="R61" s="66"/>
      <c r="S61" s="66"/>
      <c r="T61" s="66"/>
      <c r="U61" s="66"/>
      <c r="V61" s="66"/>
      <c r="W61" s="66"/>
    </row>
    <row r="62" s="2" customFormat="1" ht="18" customHeight="1" spans="1:23">
      <c r="A62" s="48"/>
      <c r="B62" s="25">
        <f t="shared" si="3"/>
        <v>0</v>
      </c>
      <c r="C62" s="49"/>
      <c r="D62" s="50"/>
      <c r="E62" s="46"/>
      <c r="F62" s="58">
        <f t="shared" si="4"/>
        <v>0</v>
      </c>
      <c r="G62" s="47"/>
      <c r="H62" s="36">
        <v>43497</v>
      </c>
      <c r="I62" s="34">
        <v>866800</v>
      </c>
      <c r="J62" s="63" t="s">
        <v>20</v>
      </c>
      <c r="K62" s="64" t="s">
        <v>53</v>
      </c>
      <c r="L62" s="65" t="s">
        <v>54</v>
      </c>
      <c r="M62" s="65"/>
      <c r="N62" s="65"/>
      <c r="O62" s="65"/>
      <c r="P62" s="66"/>
      <c r="Q62" s="66"/>
      <c r="R62" s="66"/>
      <c r="S62" s="66"/>
      <c r="T62" s="66"/>
      <c r="U62" s="66"/>
      <c r="V62" s="66"/>
      <c r="W62" s="66"/>
    </row>
    <row r="63" s="2" customFormat="1" ht="18" customHeight="1" spans="1:23">
      <c r="A63" s="48"/>
      <c r="B63" s="25">
        <f t="shared" si="3"/>
        <v>0</v>
      </c>
      <c r="C63" s="49"/>
      <c r="D63" s="50"/>
      <c r="E63" s="46"/>
      <c r="F63" s="58">
        <f t="shared" si="4"/>
        <v>0</v>
      </c>
      <c r="G63" s="47"/>
      <c r="H63" s="36">
        <v>43629</v>
      </c>
      <c r="I63" s="34">
        <v>84810</v>
      </c>
      <c r="J63" s="63" t="s">
        <v>20</v>
      </c>
      <c r="K63" s="64" t="s">
        <v>69</v>
      </c>
      <c r="L63" s="65" t="s">
        <v>70</v>
      </c>
      <c r="M63" s="65"/>
      <c r="N63" s="65"/>
      <c r="O63" s="65"/>
      <c r="P63" s="66"/>
      <c r="Q63" s="66"/>
      <c r="R63" s="66"/>
      <c r="S63" s="66"/>
      <c r="T63" s="66"/>
      <c r="U63" s="66"/>
      <c r="V63" s="66"/>
      <c r="W63" s="66"/>
    </row>
    <row r="64" s="2" customFormat="1" ht="18" customHeight="1" spans="1:23">
      <c r="A64" s="48"/>
      <c r="B64" s="25">
        <f t="shared" si="3"/>
        <v>0</v>
      </c>
      <c r="C64" s="49"/>
      <c r="D64" s="50"/>
      <c r="E64" s="46"/>
      <c r="F64" s="58">
        <f t="shared" si="4"/>
        <v>0</v>
      </c>
      <c r="G64" s="47"/>
      <c r="H64" s="36">
        <v>43629</v>
      </c>
      <c r="I64" s="34">
        <v>-84810</v>
      </c>
      <c r="J64" s="63" t="s">
        <v>21</v>
      </c>
      <c r="K64" s="59" t="s">
        <v>50</v>
      </c>
      <c r="L64" s="65"/>
      <c r="M64" s="65"/>
      <c r="N64" s="65"/>
      <c r="O64" s="65"/>
      <c r="P64" s="66"/>
      <c r="Q64" s="66"/>
      <c r="R64" s="66"/>
      <c r="S64" s="66"/>
      <c r="T64" s="66"/>
      <c r="U64" s="66"/>
      <c r="V64" s="66"/>
      <c r="W64" s="66"/>
    </row>
    <row r="65" s="2" customFormat="1" ht="18" customHeight="1" spans="1:23">
      <c r="A65" s="48"/>
      <c r="B65" s="25">
        <f t="shared" si="3"/>
        <v>0</v>
      </c>
      <c r="C65" s="49"/>
      <c r="D65" s="50"/>
      <c r="E65" s="46"/>
      <c r="F65" s="58">
        <f t="shared" si="4"/>
        <v>0</v>
      </c>
      <c r="G65" s="47"/>
      <c r="H65" s="36">
        <v>43657</v>
      </c>
      <c r="I65" s="34">
        <v>66753</v>
      </c>
      <c r="J65" s="63" t="s">
        <v>20</v>
      </c>
      <c r="K65" s="64" t="s">
        <v>69</v>
      </c>
      <c r="L65" s="65" t="s">
        <v>70</v>
      </c>
      <c r="M65" s="65"/>
      <c r="N65" s="65"/>
      <c r="O65" s="65"/>
      <c r="P65" s="66"/>
      <c r="Q65" s="66"/>
      <c r="R65" s="66"/>
      <c r="S65" s="66"/>
      <c r="T65" s="66"/>
      <c r="U65" s="66"/>
      <c r="V65" s="66"/>
      <c r="W65" s="66"/>
    </row>
    <row r="66" s="2" customFormat="1" ht="18" customHeight="1" spans="1:23">
      <c r="A66" s="48"/>
      <c r="B66" s="25">
        <f t="shared" si="3"/>
        <v>0</v>
      </c>
      <c r="C66" s="49"/>
      <c r="D66" s="50"/>
      <c r="E66" s="46"/>
      <c r="F66" s="58">
        <f t="shared" si="4"/>
        <v>0</v>
      </c>
      <c r="G66" s="47"/>
      <c r="H66" s="36">
        <v>43657</v>
      </c>
      <c r="I66" s="34">
        <v>-66753</v>
      </c>
      <c r="J66" s="63" t="s">
        <v>21</v>
      </c>
      <c r="K66" s="64" t="s">
        <v>50</v>
      </c>
      <c r="L66" s="65"/>
      <c r="M66" s="65"/>
      <c r="N66" s="65"/>
      <c r="O66" s="65"/>
      <c r="P66" s="66"/>
      <c r="Q66" s="66"/>
      <c r="R66" s="66"/>
      <c r="S66" s="66"/>
      <c r="T66" s="66"/>
      <c r="U66" s="66"/>
      <c r="V66" s="66"/>
      <c r="W66" s="66"/>
    </row>
    <row r="67" s="2" customFormat="1" ht="18" customHeight="1" spans="1:23">
      <c r="A67" s="48"/>
      <c r="B67" s="25">
        <f t="shared" si="3"/>
        <v>0</v>
      </c>
      <c r="C67" s="49"/>
      <c r="D67" s="50"/>
      <c r="E67" s="46"/>
      <c r="F67" s="58">
        <f t="shared" si="4"/>
        <v>0</v>
      </c>
      <c r="G67" s="47"/>
      <c r="H67" s="36">
        <v>43668</v>
      </c>
      <c r="I67" s="34">
        <v>67731.14</v>
      </c>
      <c r="J67" s="63" t="s">
        <v>20</v>
      </c>
      <c r="K67" s="64" t="s">
        <v>71</v>
      </c>
      <c r="L67" s="65" t="s">
        <v>70</v>
      </c>
      <c r="M67" s="65"/>
      <c r="N67" s="65"/>
      <c r="O67" s="65"/>
      <c r="P67" s="66"/>
      <c r="Q67" s="66"/>
      <c r="R67" s="66"/>
      <c r="S67" s="66"/>
      <c r="T67" s="66"/>
      <c r="U67" s="66"/>
      <c r="V67" s="66"/>
      <c r="W67" s="66"/>
    </row>
    <row r="68" s="2" customFormat="1" ht="18" customHeight="1" spans="1:23">
      <c r="A68" s="48"/>
      <c r="B68" s="25">
        <f t="shared" si="3"/>
        <v>0</v>
      </c>
      <c r="C68" s="49"/>
      <c r="D68" s="50"/>
      <c r="E68" s="46"/>
      <c r="F68" s="58">
        <f t="shared" si="4"/>
        <v>0</v>
      </c>
      <c r="G68" s="47"/>
      <c r="H68" s="69">
        <v>43671</v>
      </c>
      <c r="I68" s="34">
        <v>-67731.14</v>
      </c>
      <c r="J68" s="65" t="s">
        <v>20</v>
      </c>
      <c r="K68" s="64" t="s">
        <v>71</v>
      </c>
      <c r="L68" s="65" t="s">
        <v>72</v>
      </c>
      <c r="M68" s="65"/>
      <c r="N68" s="65"/>
      <c r="O68" s="65"/>
      <c r="P68" s="66"/>
      <c r="Q68" s="66"/>
      <c r="R68" s="66"/>
      <c r="S68" s="66"/>
      <c r="T68" s="66"/>
      <c r="U68" s="66"/>
      <c r="V68" s="66"/>
      <c r="W68" s="66"/>
    </row>
    <row r="69" s="2" customFormat="1" ht="18" customHeight="1" spans="1:23">
      <c r="A69" s="48">
        <v>43678</v>
      </c>
      <c r="B69" s="25">
        <f t="shared" si="3"/>
        <v>1000020</v>
      </c>
      <c r="C69" s="49"/>
      <c r="D69" s="50" t="s">
        <v>73</v>
      </c>
      <c r="E69" s="46"/>
      <c r="F69" s="58">
        <f t="shared" si="4"/>
        <v>0</v>
      </c>
      <c r="G69" s="47">
        <v>1000020</v>
      </c>
      <c r="H69" s="69">
        <v>43676</v>
      </c>
      <c r="I69" s="34">
        <v>500000</v>
      </c>
      <c r="J69" s="65" t="s">
        <v>21</v>
      </c>
      <c r="K69" s="64" t="s">
        <v>74</v>
      </c>
      <c r="L69" s="64" t="s">
        <v>75</v>
      </c>
      <c r="M69" s="65" t="s">
        <v>76</v>
      </c>
      <c r="N69" s="65"/>
      <c r="O69" s="65"/>
      <c r="P69" s="66"/>
      <c r="Q69" s="66"/>
      <c r="R69" s="66"/>
      <c r="S69" s="66"/>
      <c r="T69" s="66"/>
      <c r="U69" s="66"/>
      <c r="V69" s="66"/>
      <c r="W69" s="66"/>
    </row>
    <row r="70" s="2" customFormat="1" ht="18" customHeight="1" spans="1:23">
      <c r="A70" s="48"/>
      <c r="B70" s="25">
        <f t="shared" si="3"/>
        <v>0</v>
      </c>
      <c r="C70" s="49"/>
      <c r="D70" s="50"/>
      <c r="E70" s="46"/>
      <c r="F70" s="58">
        <f t="shared" si="4"/>
        <v>0</v>
      </c>
      <c r="G70" s="47"/>
      <c r="H70" s="69">
        <v>43682</v>
      </c>
      <c r="I70" s="34">
        <v>500000</v>
      </c>
      <c r="J70" s="65" t="s">
        <v>21</v>
      </c>
      <c r="K70" s="64" t="s">
        <v>74</v>
      </c>
      <c r="L70" s="65" t="s">
        <v>77</v>
      </c>
      <c r="M70" s="65" t="s">
        <v>76</v>
      </c>
      <c r="N70" s="65"/>
      <c r="O70" s="65"/>
      <c r="P70" s="66"/>
      <c r="Q70" s="66"/>
      <c r="R70" s="66"/>
      <c r="S70" s="66"/>
      <c r="T70" s="66"/>
      <c r="U70" s="66"/>
      <c r="V70" s="66"/>
      <c r="W70" s="66"/>
    </row>
    <row r="71" s="2" customFormat="1" ht="18" customHeight="1" spans="1:23">
      <c r="A71" s="48">
        <v>43678</v>
      </c>
      <c r="B71" s="25">
        <f t="shared" si="3"/>
        <v>1000080</v>
      </c>
      <c r="C71" s="49"/>
      <c r="D71" s="50" t="s">
        <v>73</v>
      </c>
      <c r="E71" s="46"/>
      <c r="F71" s="58">
        <f t="shared" si="4"/>
        <v>0</v>
      </c>
      <c r="G71" s="47">
        <v>1000080</v>
      </c>
      <c r="H71" s="69">
        <v>43691</v>
      </c>
      <c r="I71" s="34">
        <v>1000000</v>
      </c>
      <c r="J71" s="65" t="s">
        <v>21</v>
      </c>
      <c r="K71" s="64" t="s">
        <v>78</v>
      </c>
      <c r="L71" s="65" t="s">
        <v>79</v>
      </c>
      <c r="M71" s="65" t="s">
        <v>76</v>
      </c>
      <c r="N71" s="65"/>
      <c r="O71" s="65"/>
      <c r="P71" s="66"/>
      <c r="Q71" s="66"/>
      <c r="R71" s="66"/>
      <c r="S71" s="66"/>
      <c r="T71" s="66"/>
      <c r="U71" s="66"/>
      <c r="V71" s="66"/>
      <c r="W71" s="66"/>
    </row>
    <row r="72" s="2" customFormat="1" ht="18" customHeight="1" spans="1:23">
      <c r="A72" s="48"/>
      <c r="B72" s="25">
        <f t="shared" si="3"/>
        <v>0</v>
      </c>
      <c r="C72" s="49"/>
      <c r="D72" s="50"/>
      <c r="E72" s="46"/>
      <c r="F72" s="58">
        <f t="shared" si="4"/>
        <v>0</v>
      </c>
      <c r="G72" s="47"/>
      <c r="H72" s="69">
        <v>43691</v>
      </c>
      <c r="I72" s="34">
        <v>-100000</v>
      </c>
      <c r="J72" s="65" t="s">
        <v>21</v>
      </c>
      <c r="K72" s="64" t="s">
        <v>50</v>
      </c>
      <c r="L72" s="65"/>
      <c r="M72" s="65"/>
      <c r="N72" s="65"/>
      <c r="O72" s="65"/>
      <c r="P72" s="66"/>
      <c r="Q72" s="66"/>
      <c r="R72" s="66"/>
      <c r="S72" s="66"/>
      <c r="T72" s="66"/>
      <c r="U72" s="66"/>
      <c r="V72" s="66"/>
      <c r="W72" s="66"/>
    </row>
    <row r="73" s="2" customFormat="1" ht="18" customHeight="1" spans="1:23">
      <c r="A73" s="48"/>
      <c r="B73" s="25">
        <f t="shared" si="3"/>
        <v>0</v>
      </c>
      <c r="C73" s="49"/>
      <c r="D73" s="50"/>
      <c r="E73" s="46"/>
      <c r="F73" s="58">
        <f t="shared" si="4"/>
        <v>0</v>
      </c>
      <c r="G73" s="47"/>
      <c r="H73" s="69">
        <v>43692</v>
      </c>
      <c r="I73" s="34">
        <v>100000</v>
      </c>
      <c r="J73" s="65" t="s">
        <v>20</v>
      </c>
      <c r="K73" s="64" t="s">
        <v>80</v>
      </c>
      <c r="L73" s="65" t="s">
        <v>81</v>
      </c>
      <c r="M73" s="65"/>
      <c r="N73" s="65"/>
      <c r="O73" s="65"/>
      <c r="P73" s="66"/>
      <c r="Q73" s="66"/>
      <c r="R73" s="66"/>
      <c r="S73" s="66"/>
      <c r="T73" s="66"/>
      <c r="U73" s="66"/>
      <c r="V73" s="66"/>
      <c r="W73" s="66"/>
    </row>
    <row r="74" s="2" customFormat="1" ht="18" customHeight="1" spans="1:23">
      <c r="A74" s="48"/>
      <c r="B74" s="25">
        <f t="shared" si="3"/>
        <v>0</v>
      </c>
      <c r="C74" s="49"/>
      <c r="D74" s="50"/>
      <c r="E74" s="46"/>
      <c r="F74" s="58">
        <f t="shared" si="4"/>
        <v>0</v>
      </c>
      <c r="G74" s="47"/>
      <c r="H74" s="69">
        <v>43703</v>
      </c>
      <c r="I74" s="34">
        <v>-100000</v>
      </c>
      <c r="J74" s="65" t="s">
        <v>21</v>
      </c>
      <c r="K74" s="64" t="s">
        <v>50</v>
      </c>
      <c r="L74" s="65"/>
      <c r="M74" s="65"/>
      <c r="N74" s="65"/>
      <c r="O74" s="65"/>
      <c r="P74" s="66"/>
      <c r="Q74" s="66"/>
      <c r="R74" s="66"/>
      <c r="S74" s="66"/>
      <c r="T74" s="66"/>
      <c r="U74" s="66"/>
      <c r="V74" s="66"/>
      <c r="W74" s="66"/>
    </row>
    <row r="75" s="2" customFormat="1" ht="18" customHeight="1" spans="1:23">
      <c r="A75" s="48"/>
      <c r="B75" s="25">
        <f t="shared" si="3"/>
        <v>0</v>
      </c>
      <c r="C75" s="49"/>
      <c r="D75" s="50"/>
      <c r="E75" s="46"/>
      <c r="F75" s="58">
        <f t="shared" si="4"/>
        <v>0</v>
      </c>
      <c r="G75" s="47"/>
      <c r="H75" s="69">
        <v>43704</v>
      </c>
      <c r="I75" s="34">
        <v>100000</v>
      </c>
      <c r="J75" s="65" t="s">
        <v>20</v>
      </c>
      <c r="K75" s="64" t="s">
        <v>80</v>
      </c>
      <c r="L75" s="65"/>
      <c r="M75" s="65"/>
      <c r="N75" s="65"/>
      <c r="O75" s="65"/>
      <c r="P75" s="66"/>
      <c r="Q75" s="66"/>
      <c r="R75" s="66"/>
      <c r="S75" s="66"/>
      <c r="T75" s="66"/>
      <c r="U75" s="66"/>
      <c r="V75" s="66"/>
      <c r="W75" s="66"/>
    </row>
    <row r="76" s="2" customFormat="1" ht="18" customHeight="1" spans="1:23">
      <c r="A76" s="48"/>
      <c r="B76" s="25">
        <f t="shared" si="3"/>
        <v>0</v>
      </c>
      <c r="C76" s="49"/>
      <c r="D76" s="50"/>
      <c r="E76" s="46"/>
      <c r="F76" s="58">
        <f t="shared" si="4"/>
        <v>0</v>
      </c>
      <c r="G76" s="47"/>
      <c r="H76" s="69">
        <v>43717</v>
      </c>
      <c r="I76" s="34">
        <v>-100000</v>
      </c>
      <c r="J76" s="65" t="s">
        <v>21</v>
      </c>
      <c r="K76" s="64" t="s">
        <v>50</v>
      </c>
      <c r="L76" s="65"/>
      <c r="M76" s="65"/>
      <c r="N76" s="65"/>
      <c r="O76" s="65"/>
      <c r="P76" s="66"/>
      <c r="Q76" s="66"/>
      <c r="R76" s="66"/>
      <c r="S76" s="66"/>
      <c r="T76" s="66"/>
      <c r="U76" s="66"/>
      <c r="V76" s="66"/>
      <c r="W76" s="66"/>
    </row>
    <row r="77" s="2" customFormat="1" ht="18" customHeight="1" spans="1:23">
      <c r="A77" s="48"/>
      <c r="B77" s="25">
        <f t="shared" si="3"/>
        <v>0</v>
      </c>
      <c r="C77" s="49"/>
      <c r="D77" s="50"/>
      <c r="E77" s="46"/>
      <c r="F77" s="58">
        <f t="shared" si="4"/>
        <v>0</v>
      </c>
      <c r="G77" s="47"/>
      <c r="H77" s="69">
        <v>43718</v>
      </c>
      <c r="I77" s="34">
        <v>100000</v>
      </c>
      <c r="J77" s="65" t="s">
        <v>20</v>
      </c>
      <c r="K77" s="64" t="s">
        <v>80</v>
      </c>
      <c r="L77" s="65"/>
      <c r="M77" s="65"/>
      <c r="N77" s="65"/>
      <c r="O77" s="65"/>
      <c r="P77" s="66"/>
      <c r="Q77" s="66"/>
      <c r="R77" s="66"/>
      <c r="S77" s="66"/>
      <c r="T77" s="66"/>
      <c r="U77" s="66"/>
      <c r="V77" s="66"/>
      <c r="W77" s="66"/>
    </row>
    <row r="78" s="2" customFormat="1" ht="18" customHeight="1" spans="1:23">
      <c r="A78" s="48"/>
      <c r="B78" s="25">
        <f t="shared" si="3"/>
        <v>0</v>
      </c>
      <c r="C78" s="49"/>
      <c r="D78" s="50"/>
      <c r="E78" s="46"/>
      <c r="F78" s="58">
        <f t="shared" si="4"/>
        <v>0</v>
      </c>
      <c r="G78" s="47"/>
      <c r="H78" s="69">
        <v>43735</v>
      </c>
      <c r="I78" s="34">
        <v>300000</v>
      </c>
      <c r="J78" s="65" t="s">
        <v>20</v>
      </c>
      <c r="K78" s="64" t="s">
        <v>80</v>
      </c>
      <c r="L78" s="65"/>
      <c r="M78" s="65" t="s">
        <v>76</v>
      </c>
      <c r="N78" s="65"/>
      <c r="O78" s="65"/>
      <c r="P78" s="66"/>
      <c r="Q78" s="66"/>
      <c r="R78" s="66"/>
      <c r="S78" s="66"/>
      <c r="T78" s="66"/>
      <c r="U78" s="66"/>
      <c r="V78" s="66"/>
      <c r="W78" s="66"/>
    </row>
    <row r="79" s="2" customFormat="1" ht="18" customHeight="1" spans="1:23">
      <c r="A79" s="48"/>
      <c r="B79" s="25">
        <f t="shared" si="3"/>
        <v>0</v>
      </c>
      <c r="C79" s="49"/>
      <c r="D79" s="50"/>
      <c r="E79" s="46"/>
      <c r="F79" s="58">
        <f t="shared" si="4"/>
        <v>0</v>
      </c>
      <c r="G79" s="47"/>
      <c r="H79" s="69">
        <v>43748</v>
      </c>
      <c r="I79" s="34">
        <v>500000</v>
      </c>
      <c r="J79" s="65" t="s">
        <v>20</v>
      </c>
      <c r="K79" s="64" t="s">
        <v>80</v>
      </c>
      <c r="L79" s="65"/>
      <c r="M79" s="65" t="s">
        <v>76</v>
      </c>
      <c r="N79" s="65"/>
      <c r="O79" s="65"/>
      <c r="P79" s="66"/>
      <c r="Q79" s="66"/>
      <c r="R79" s="66"/>
      <c r="S79" s="66"/>
      <c r="T79" s="66"/>
      <c r="U79" s="66"/>
      <c r="V79" s="66"/>
      <c r="W79" s="66"/>
    </row>
    <row r="80" s="2" customFormat="1" ht="18" customHeight="1" spans="1:16">
      <c r="A80" s="48">
        <v>43709</v>
      </c>
      <c r="B80" s="25">
        <f t="shared" si="3"/>
        <v>12426.15</v>
      </c>
      <c r="C80" s="49"/>
      <c r="D80" s="50" t="s">
        <v>39</v>
      </c>
      <c r="E80" s="46"/>
      <c r="F80" s="58">
        <f t="shared" si="4"/>
        <v>0</v>
      </c>
      <c r="G80" s="47">
        <v>12426.15</v>
      </c>
      <c r="H80" s="69"/>
      <c r="I80" s="34"/>
      <c r="J80" s="65"/>
      <c r="K80" s="148" t="s">
        <v>68</v>
      </c>
      <c r="L80" s="67"/>
      <c r="M80" s="65"/>
      <c r="N80" s="65"/>
      <c r="O80" s="67"/>
      <c r="P80" s="66"/>
    </row>
    <row r="81" s="2" customFormat="1" ht="18" customHeight="1" spans="1:16">
      <c r="A81" s="48">
        <v>43709</v>
      </c>
      <c r="B81" s="25">
        <f t="shared" si="3"/>
        <v>10316.04</v>
      </c>
      <c r="C81" s="49"/>
      <c r="D81" s="50" t="s">
        <v>36</v>
      </c>
      <c r="E81" s="70">
        <v>0.06</v>
      </c>
      <c r="F81" s="58">
        <f t="shared" si="4"/>
        <v>618.96</v>
      </c>
      <c r="G81" s="47">
        <v>10935</v>
      </c>
      <c r="H81" s="69"/>
      <c r="I81" s="34"/>
      <c r="J81" s="65"/>
      <c r="K81" s="148" t="s">
        <v>82</v>
      </c>
      <c r="L81" s="67" t="s">
        <v>41</v>
      </c>
      <c r="M81" s="65"/>
      <c r="N81" s="65"/>
      <c r="O81" s="67"/>
      <c r="P81" s="66"/>
    </row>
    <row r="82" s="2" customFormat="1" ht="18" customHeight="1" spans="1:16">
      <c r="A82" s="48">
        <v>43709</v>
      </c>
      <c r="B82" s="25">
        <f t="shared" si="3"/>
        <v>10424.53</v>
      </c>
      <c r="C82" s="49"/>
      <c r="D82" s="50" t="s">
        <v>36</v>
      </c>
      <c r="E82" s="70">
        <v>0.06</v>
      </c>
      <c r="F82" s="58">
        <f t="shared" si="4"/>
        <v>625.47</v>
      </c>
      <c r="G82" s="47">
        <v>11050</v>
      </c>
      <c r="H82" s="69"/>
      <c r="I82" s="34"/>
      <c r="J82" s="65"/>
      <c r="K82" s="148" t="s">
        <v>82</v>
      </c>
      <c r="L82" s="67" t="s">
        <v>52</v>
      </c>
      <c r="M82" s="65"/>
      <c r="N82" s="65"/>
      <c r="O82" s="67"/>
      <c r="P82" s="66"/>
    </row>
    <row r="83" s="2" customFormat="1" ht="18" customHeight="1" spans="1:16">
      <c r="A83" s="48">
        <v>43709</v>
      </c>
      <c r="B83" s="25">
        <f t="shared" si="3"/>
        <v>80009.43</v>
      </c>
      <c r="C83" s="49"/>
      <c r="D83" s="50" t="s">
        <v>36</v>
      </c>
      <c r="E83" s="70">
        <v>0.06</v>
      </c>
      <c r="F83" s="58">
        <f t="shared" si="4"/>
        <v>4800.57</v>
      </c>
      <c r="G83" s="47">
        <v>84810</v>
      </c>
      <c r="H83" s="69"/>
      <c r="I83" s="34"/>
      <c r="J83" s="65"/>
      <c r="K83" s="148" t="s">
        <v>69</v>
      </c>
      <c r="L83" s="67" t="s">
        <v>83</v>
      </c>
      <c r="M83" s="65"/>
      <c r="N83" s="65"/>
      <c r="O83" s="67"/>
      <c r="P83" s="66"/>
    </row>
    <row r="84" s="2" customFormat="1" ht="18" customHeight="1" spans="1:16">
      <c r="A84" s="48">
        <v>43709</v>
      </c>
      <c r="B84" s="25">
        <f t="shared" si="3"/>
        <v>63897.3</v>
      </c>
      <c r="C84" s="49"/>
      <c r="D84" s="50" t="s">
        <v>36</v>
      </c>
      <c r="E84" s="70">
        <v>0.06</v>
      </c>
      <c r="F84" s="58">
        <f t="shared" si="4"/>
        <v>3833.84</v>
      </c>
      <c r="G84" s="47">
        <v>67731.14</v>
      </c>
      <c r="H84" s="69"/>
      <c r="I84" s="34"/>
      <c r="J84" s="65"/>
      <c r="K84" s="148" t="s">
        <v>69</v>
      </c>
      <c r="L84" s="67" t="s">
        <v>83</v>
      </c>
      <c r="M84" s="65"/>
      <c r="N84" s="65"/>
      <c r="O84" s="67"/>
      <c r="P84" s="66"/>
    </row>
    <row r="85" s="2" customFormat="1" ht="18" customHeight="1" spans="1:23">
      <c r="A85" s="48">
        <v>43739</v>
      </c>
      <c r="B85" s="25">
        <f t="shared" si="3"/>
        <v>443071.38</v>
      </c>
      <c r="C85" s="49"/>
      <c r="D85" s="50" t="s">
        <v>36</v>
      </c>
      <c r="E85" s="70">
        <v>0.13</v>
      </c>
      <c r="F85" s="58">
        <f t="shared" si="4"/>
        <v>57599.28</v>
      </c>
      <c r="G85" s="47">
        <v>500670.66</v>
      </c>
      <c r="H85" s="69">
        <v>43767</v>
      </c>
      <c r="I85" s="34">
        <v>200000</v>
      </c>
      <c r="J85" s="65" t="s">
        <v>20</v>
      </c>
      <c r="K85" s="64" t="s">
        <v>80</v>
      </c>
      <c r="L85" s="65" t="s">
        <v>84</v>
      </c>
      <c r="M85" s="65"/>
      <c r="N85" s="65"/>
      <c r="O85" s="65"/>
      <c r="P85" s="66"/>
      <c r="Q85" s="66"/>
      <c r="R85" s="66"/>
      <c r="S85" s="66"/>
      <c r="T85" s="66"/>
      <c r="U85" s="66"/>
      <c r="V85" s="66"/>
      <c r="W85" s="66"/>
    </row>
    <row r="86" s="145" customFormat="1" ht="18" customHeight="1" spans="1:16">
      <c r="A86" s="149">
        <v>43739</v>
      </c>
      <c r="B86" s="150">
        <f t="shared" si="3"/>
        <v>257787.35</v>
      </c>
      <c r="C86" s="151"/>
      <c r="D86" s="152" t="s">
        <v>36</v>
      </c>
      <c r="E86" s="153">
        <v>0.13</v>
      </c>
      <c r="F86" s="89">
        <f t="shared" si="4"/>
        <v>33512.35</v>
      </c>
      <c r="G86" s="89">
        <v>291299.7</v>
      </c>
      <c r="H86" s="154"/>
      <c r="I86" s="89"/>
      <c r="J86" s="163" t="s">
        <v>20</v>
      </c>
      <c r="K86" s="164" t="s">
        <v>80</v>
      </c>
      <c r="L86" s="165" t="s">
        <v>85</v>
      </c>
      <c r="M86" s="163"/>
      <c r="N86" s="163"/>
      <c r="O86" s="165"/>
      <c r="P86" s="166"/>
    </row>
    <row r="87" s="2" customFormat="1" ht="18" customHeight="1" spans="1:23">
      <c r="A87" s="48"/>
      <c r="B87" s="25">
        <f t="shared" si="3"/>
        <v>0</v>
      </c>
      <c r="C87" s="49"/>
      <c r="D87" s="50"/>
      <c r="E87" s="70"/>
      <c r="F87" s="58">
        <f t="shared" si="4"/>
        <v>0</v>
      </c>
      <c r="G87" s="47"/>
      <c r="H87" s="69">
        <v>43769</v>
      </c>
      <c r="I87" s="34">
        <v>600000</v>
      </c>
      <c r="J87" s="65" t="s">
        <v>20</v>
      </c>
      <c r="K87" s="64" t="s">
        <v>53</v>
      </c>
      <c r="L87" s="65" t="s">
        <v>54</v>
      </c>
      <c r="M87" s="65"/>
      <c r="N87" s="65"/>
      <c r="O87" s="65"/>
      <c r="P87" s="66"/>
      <c r="Q87" s="66"/>
      <c r="R87" s="66"/>
      <c r="S87" s="66"/>
      <c r="T87" s="66"/>
      <c r="U87" s="66"/>
      <c r="V87" s="66"/>
      <c r="W87" s="66"/>
    </row>
    <row r="88" s="2" customFormat="1" ht="18" customHeight="1" spans="1:23">
      <c r="A88" s="48">
        <v>43770</v>
      </c>
      <c r="B88" s="25">
        <f t="shared" si="3"/>
        <v>500010</v>
      </c>
      <c r="C88" s="49"/>
      <c r="D88" s="50" t="s">
        <v>73</v>
      </c>
      <c r="E88" s="70"/>
      <c r="F88" s="58">
        <f t="shared" si="4"/>
        <v>0</v>
      </c>
      <c r="G88" s="47">
        <v>500010</v>
      </c>
      <c r="H88" s="69">
        <v>43773</v>
      </c>
      <c r="I88" s="34">
        <v>500010</v>
      </c>
      <c r="J88" s="65" t="s">
        <v>21</v>
      </c>
      <c r="K88" s="64" t="s">
        <v>74</v>
      </c>
      <c r="L88" s="65" t="s">
        <v>86</v>
      </c>
      <c r="M88" s="65"/>
      <c r="N88" s="65"/>
      <c r="O88" s="65"/>
      <c r="P88" s="66"/>
      <c r="Q88" s="66"/>
      <c r="R88" s="66"/>
      <c r="S88" s="66"/>
      <c r="T88" s="66"/>
      <c r="U88" s="66"/>
      <c r="V88" s="66"/>
      <c r="W88" s="66"/>
    </row>
    <row r="89" s="2" customFormat="1" ht="18" customHeight="1" spans="1:23">
      <c r="A89" s="48">
        <v>43770</v>
      </c>
      <c r="B89" s="25">
        <f t="shared" si="3"/>
        <v>300000</v>
      </c>
      <c r="C89" s="49"/>
      <c r="D89" s="50" t="s">
        <v>73</v>
      </c>
      <c r="E89" s="70"/>
      <c r="F89" s="58">
        <f t="shared" si="4"/>
        <v>0</v>
      </c>
      <c r="G89" s="47">
        <v>300000</v>
      </c>
      <c r="H89" s="69">
        <v>43773</v>
      </c>
      <c r="I89" s="34">
        <v>300000</v>
      </c>
      <c r="J89" s="65" t="s">
        <v>21</v>
      </c>
      <c r="K89" s="64" t="s">
        <v>87</v>
      </c>
      <c r="L89" s="65" t="s">
        <v>88</v>
      </c>
      <c r="M89" s="65"/>
      <c r="N89" s="65"/>
      <c r="O89" s="65"/>
      <c r="P89" s="66"/>
      <c r="Q89" s="66"/>
      <c r="R89" s="66"/>
      <c r="S89" s="66"/>
      <c r="T89" s="66"/>
      <c r="U89" s="66"/>
      <c r="V89" s="66"/>
      <c r="W89" s="66"/>
    </row>
    <row r="90" s="2" customFormat="1" ht="18" customHeight="1" spans="1:23">
      <c r="A90" s="48">
        <v>43770</v>
      </c>
      <c r="B90" s="25">
        <f t="shared" si="3"/>
        <v>300000</v>
      </c>
      <c r="C90" s="49"/>
      <c r="D90" s="50" t="s">
        <v>73</v>
      </c>
      <c r="E90" s="70"/>
      <c r="F90" s="58">
        <f t="shared" si="4"/>
        <v>0</v>
      </c>
      <c r="G90" s="47">
        <v>300000</v>
      </c>
      <c r="H90" s="69">
        <v>43773</v>
      </c>
      <c r="I90" s="34">
        <v>300000</v>
      </c>
      <c r="J90" s="65" t="s">
        <v>21</v>
      </c>
      <c r="K90" s="64" t="s">
        <v>89</v>
      </c>
      <c r="L90" s="65" t="s">
        <v>88</v>
      </c>
      <c r="M90" s="65"/>
      <c r="N90" s="65"/>
      <c r="O90" s="65"/>
      <c r="P90" s="66"/>
      <c r="Q90" s="66"/>
      <c r="R90" s="66"/>
      <c r="S90" s="66"/>
      <c r="T90" s="66"/>
      <c r="U90" s="66"/>
      <c r="V90" s="66"/>
      <c r="W90" s="66"/>
    </row>
    <row r="91" s="2" customFormat="1" ht="18" customHeight="1" spans="1:23">
      <c r="A91" s="48">
        <v>43770</v>
      </c>
      <c r="B91" s="25">
        <f t="shared" si="3"/>
        <v>300060</v>
      </c>
      <c r="C91" s="49"/>
      <c r="D91" s="50" t="s">
        <v>73</v>
      </c>
      <c r="E91" s="70"/>
      <c r="F91" s="58">
        <f t="shared" si="4"/>
        <v>0</v>
      </c>
      <c r="G91" s="47">
        <v>300060</v>
      </c>
      <c r="H91" s="69">
        <v>43773</v>
      </c>
      <c r="I91" s="34">
        <v>300060</v>
      </c>
      <c r="J91" s="65" t="s">
        <v>21</v>
      </c>
      <c r="K91" s="64" t="s">
        <v>90</v>
      </c>
      <c r="L91" s="65" t="s">
        <v>91</v>
      </c>
      <c r="M91" s="65"/>
      <c r="N91" s="65"/>
      <c r="O91" s="65"/>
      <c r="P91" s="66"/>
      <c r="Q91" s="66"/>
      <c r="R91" s="66"/>
      <c r="S91" s="66"/>
      <c r="T91" s="66"/>
      <c r="U91" s="66"/>
      <c r="V91" s="66"/>
      <c r="W91" s="66"/>
    </row>
    <row r="92" s="2" customFormat="1" ht="18" customHeight="1" spans="1:23">
      <c r="A92" s="48">
        <v>43770</v>
      </c>
      <c r="B92" s="25">
        <f t="shared" si="3"/>
        <v>0</v>
      </c>
      <c r="C92" s="49"/>
      <c r="D92" s="50"/>
      <c r="E92" s="70"/>
      <c r="F92" s="58">
        <f t="shared" si="4"/>
        <v>0</v>
      </c>
      <c r="G92" s="47"/>
      <c r="H92" s="69">
        <v>43773</v>
      </c>
      <c r="I92" s="34">
        <v>500000</v>
      </c>
      <c r="J92" s="65" t="s">
        <v>20</v>
      </c>
      <c r="K92" s="64" t="s">
        <v>92</v>
      </c>
      <c r="L92" s="65" t="s">
        <v>93</v>
      </c>
      <c r="M92" s="65"/>
      <c r="N92" s="65"/>
      <c r="O92" s="65"/>
      <c r="P92" s="66"/>
      <c r="Q92" s="66"/>
      <c r="R92" s="66"/>
      <c r="S92" s="66"/>
      <c r="T92" s="66"/>
      <c r="U92" s="66"/>
      <c r="V92" s="66"/>
      <c r="W92" s="66"/>
    </row>
    <row r="93" s="2" customFormat="1" ht="18" customHeight="1" spans="1:23">
      <c r="A93" s="48"/>
      <c r="B93" s="25">
        <f t="shared" si="3"/>
        <v>0</v>
      </c>
      <c r="C93" s="49"/>
      <c r="D93" s="50"/>
      <c r="E93" s="70"/>
      <c r="F93" s="58">
        <f t="shared" si="4"/>
        <v>0</v>
      </c>
      <c r="G93" s="47"/>
      <c r="H93" s="69">
        <v>43775</v>
      </c>
      <c r="I93" s="34">
        <v>800000</v>
      </c>
      <c r="J93" s="65" t="s">
        <v>20</v>
      </c>
      <c r="K93" s="64" t="s">
        <v>94</v>
      </c>
      <c r="L93" s="65" t="s">
        <v>95</v>
      </c>
      <c r="M93" s="65"/>
      <c r="N93" s="65"/>
      <c r="O93" s="65"/>
      <c r="P93" s="66"/>
      <c r="Q93" s="66"/>
      <c r="R93" s="66"/>
      <c r="S93" s="66"/>
      <c r="T93" s="66"/>
      <c r="U93" s="66"/>
      <c r="V93" s="66"/>
      <c r="W93" s="66"/>
    </row>
    <row r="94" s="2" customFormat="1" ht="26" customHeight="1" spans="1:23">
      <c r="A94" s="48">
        <v>43770</v>
      </c>
      <c r="B94" s="25">
        <f t="shared" si="3"/>
        <v>1165048.54</v>
      </c>
      <c r="C94" s="49"/>
      <c r="D94" s="50" t="s">
        <v>36</v>
      </c>
      <c r="E94" s="70">
        <v>0.03</v>
      </c>
      <c r="F94" s="34">
        <f t="shared" si="4"/>
        <v>34951.46</v>
      </c>
      <c r="G94" s="47">
        <f>96000*12+48000</f>
        <v>1200000</v>
      </c>
      <c r="H94" s="69">
        <v>43776</v>
      </c>
      <c r="I94" s="34">
        <v>400000</v>
      </c>
      <c r="J94" s="65" t="s">
        <v>20</v>
      </c>
      <c r="K94" s="64" t="s">
        <v>94</v>
      </c>
      <c r="L94" s="65" t="s">
        <v>95</v>
      </c>
      <c r="M94" s="65"/>
      <c r="N94" s="65"/>
      <c r="O94" s="65"/>
      <c r="P94" s="66"/>
      <c r="Q94" s="66"/>
      <c r="R94" s="66"/>
      <c r="S94" s="66"/>
      <c r="T94" s="66"/>
      <c r="U94" s="66"/>
      <c r="V94" s="66"/>
      <c r="W94" s="66"/>
    </row>
    <row r="95" s="2" customFormat="1" ht="21" customHeight="1" spans="1:23">
      <c r="A95" s="48">
        <v>43770</v>
      </c>
      <c r="B95" s="25">
        <f t="shared" ref="B95:B97" si="5">ROUND(G95/(1+E95),2)</f>
        <v>326256.05</v>
      </c>
      <c r="C95" s="49"/>
      <c r="D95" s="50" t="s">
        <v>36</v>
      </c>
      <c r="E95" s="70">
        <v>0.13</v>
      </c>
      <c r="F95" s="34">
        <f t="shared" ref="F95:F97" si="6">ROUND(G95/(1+E95)*E95,2)</f>
        <v>42413.29</v>
      </c>
      <c r="G95" s="47">
        <v>368669.34</v>
      </c>
      <c r="H95" s="69"/>
      <c r="I95" s="34"/>
      <c r="J95" s="65"/>
      <c r="K95" s="64" t="s">
        <v>80</v>
      </c>
      <c r="L95" s="65" t="s">
        <v>96</v>
      </c>
      <c r="M95" s="65"/>
      <c r="N95" s="65"/>
      <c r="O95" s="65"/>
      <c r="P95" s="66"/>
      <c r="Q95" s="66"/>
      <c r="R95" s="66"/>
      <c r="S95" s="66"/>
      <c r="T95" s="66"/>
      <c r="U95" s="66"/>
      <c r="V95" s="66"/>
      <c r="W95" s="66"/>
    </row>
    <row r="96" s="2" customFormat="1" ht="18" customHeight="1" spans="1:23">
      <c r="A96" s="48">
        <v>43770</v>
      </c>
      <c r="B96" s="25">
        <f t="shared" si="5"/>
        <v>199980</v>
      </c>
      <c r="C96" s="49"/>
      <c r="D96" s="50" t="s">
        <v>73</v>
      </c>
      <c r="E96" s="70"/>
      <c r="F96" s="34">
        <f t="shared" si="6"/>
        <v>0</v>
      </c>
      <c r="G96" s="47">
        <v>199980</v>
      </c>
      <c r="H96" s="69">
        <v>43784</v>
      </c>
      <c r="I96" s="34">
        <v>199980</v>
      </c>
      <c r="J96" s="65" t="s">
        <v>21</v>
      </c>
      <c r="K96" s="64" t="s">
        <v>97</v>
      </c>
      <c r="L96" s="65" t="s">
        <v>98</v>
      </c>
      <c r="M96" s="65" t="s">
        <v>76</v>
      </c>
      <c r="N96" s="65"/>
      <c r="O96" s="65"/>
      <c r="P96" s="66"/>
      <c r="Q96" s="66"/>
      <c r="R96" s="66"/>
      <c r="S96" s="66"/>
      <c r="T96" s="66"/>
      <c r="U96" s="66"/>
      <c r="V96" s="66"/>
      <c r="W96" s="66"/>
    </row>
    <row r="97" s="3" customFormat="1" ht="17" customHeight="1" spans="1:23">
      <c r="A97" s="74">
        <v>43770</v>
      </c>
      <c r="B97" s="25">
        <f t="shared" si="5"/>
        <v>442477.88</v>
      </c>
      <c r="C97" s="75"/>
      <c r="D97" s="76" t="s">
        <v>36</v>
      </c>
      <c r="E97" s="77">
        <v>0.13</v>
      </c>
      <c r="F97" s="34">
        <f t="shared" si="6"/>
        <v>57522.12</v>
      </c>
      <c r="G97" s="78">
        <v>500000</v>
      </c>
      <c r="H97" s="69"/>
      <c r="I97" s="34"/>
      <c r="J97" s="65"/>
      <c r="K97" s="64" t="s">
        <v>92</v>
      </c>
      <c r="L97" s="65" t="s">
        <v>99</v>
      </c>
      <c r="M97" s="65" t="s">
        <v>100</v>
      </c>
      <c r="N97" s="63"/>
      <c r="O97" s="63"/>
      <c r="P97" s="81"/>
      <c r="Q97" s="81"/>
      <c r="R97" s="81"/>
      <c r="S97" s="81"/>
      <c r="T97" s="81"/>
      <c r="U97" s="81"/>
      <c r="V97" s="81"/>
      <c r="W97" s="81"/>
    </row>
    <row r="98" s="3" customFormat="1" ht="18" customHeight="1" spans="1:23">
      <c r="A98" s="74"/>
      <c r="B98" s="25"/>
      <c r="C98" s="75"/>
      <c r="D98" s="76"/>
      <c r="E98" s="77"/>
      <c r="F98" s="34"/>
      <c r="G98" s="78"/>
      <c r="H98" s="69">
        <v>43819</v>
      </c>
      <c r="I98" s="34">
        <v>92448</v>
      </c>
      <c r="J98" s="65" t="s">
        <v>20</v>
      </c>
      <c r="K98" s="64" t="s">
        <v>53</v>
      </c>
      <c r="L98" s="65" t="s">
        <v>54</v>
      </c>
      <c r="M98" s="65"/>
      <c r="N98" s="63"/>
      <c r="O98" s="63"/>
      <c r="P98" s="81"/>
      <c r="Q98" s="81"/>
      <c r="R98" s="81"/>
      <c r="S98" s="81"/>
      <c r="T98" s="81"/>
      <c r="U98" s="81"/>
      <c r="V98" s="81"/>
      <c r="W98" s="81"/>
    </row>
    <row r="99" s="3" customFormat="1" ht="18" customHeight="1" spans="1:23">
      <c r="A99" s="74"/>
      <c r="B99" s="71">
        <f t="shared" ref="B99:B107" si="7">ROUND(G99/(1+E99),2)</f>
        <v>0</v>
      </c>
      <c r="C99" s="75"/>
      <c r="D99" s="76"/>
      <c r="E99" s="77"/>
      <c r="F99" s="34">
        <f t="shared" ref="F99:F107" si="8">ROUND(G99/(1+E99)*E99,2)</f>
        <v>0</v>
      </c>
      <c r="G99" s="78"/>
      <c r="H99" s="69">
        <v>43829</v>
      </c>
      <c r="I99" s="34">
        <v>800000</v>
      </c>
      <c r="J99" s="65" t="s">
        <v>20</v>
      </c>
      <c r="K99" s="64" t="s">
        <v>80</v>
      </c>
      <c r="L99" s="65" t="s">
        <v>81</v>
      </c>
      <c r="M99" s="65"/>
      <c r="N99" s="63"/>
      <c r="O99" s="63"/>
      <c r="P99" s="81"/>
      <c r="Q99" s="81"/>
      <c r="R99" s="81"/>
      <c r="S99" s="81"/>
      <c r="T99" s="81"/>
      <c r="U99" s="81"/>
      <c r="V99" s="81"/>
      <c r="W99" s="81"/>
    </row>
    <row r="100" s="3" customFormat="1" ht="18" customHeight="1" spans="1:16">
      <c r="A100" s="74">
        <v>43800</v>
      </c>
      <c r="B100" s="25">
        <f t="shared" si="7"/>
        <v>650987.86</v>
      </c>
      <c r="C100" s="75"/>
      <c r="D100" s="76" t="s">
        <v>36</v>
      </c>
      <c r="E100" s="77">
        <v>0.13</v>
      </c>
      <c r="F100" s="58">
        <f t="shared" si="8"/>
        <v>84628.42</v>
      </c>
      <c r="G100" s="78">
        <v>735616.28</v>
      </c>
      <c r="H100" s="69"/>
      <c r="I100" s="34"/>
      <c r="J100" s="65"/>
      <c r="K100" s="148" t="s">
        <v>80</v>
      </c>
      <c r="L100" s="67" t="s">
        <v>101</v>
      </c>
      <c r="M100" s="65" t="s">
        <v>100</v>
      </c>
      <c r="N100" s="63"/>
      <c r="O100" s="82"/>
      <c r="P100" s="81"/>
    </row>
    <row r="101" s="146" customFormat="1" ht="18" customHeight="1" spans="1:23">
      <c r="A101" s="155">
        <v>43800</v>
      </c>
      <c r="B101" s="156">
        <f t="shared" si="7"/>
        <v>5825242.72</v>
      </c>
      <c r="C101" s="157"/>
      <c r="D101" s="158" t="s">
        <v>36</v>
      </c>
      <c r="E101" s="159">
        <v>0.03</v>
      </c>
      <c r="F101" s="160">
        <f t="shared" si="8"/>
        <v>174757.28</v>
      </c>
      <c r="G101" s="161">
        <f>1000000*6</f>
        <v>6000000</v>
      </c>
      <c r="H101" s="162">
        <v>43843</v>
      </c>
      <c r="I101" s="160">
        <v>1000000</v>
      </c>
      <c r="J101" s="167" t="s">
        <v>20</v>
      </c>
      <c r="K101" s="168" t="s">
        <v>53</v>
      </c>
      <c r="L101" s="167" t="s">
        <v>54</v>
      </c>
      <c r="M101" s="167" t="s">
        <v>100</v>
      </c>
      <c r="N101" s="169"/>
      <c r="O101" s="169" t="s">
        <v>102</v>
      </c>
      <c r="P101" s="170"/>
      <c r="Q101" s="170"/>
      <c r="R101" s="170"/>
      <c r="S101" s="170"/>
      <c r="T101" s="170"/>
      <c r="U101" s="170"/>
      <c r="V101" s="170"/>
      <c r="W101" s="170"/>
    </row>
    <row r="102" s="3" customFormat="1" ht="18" customHeight="1" spans="1:23">
      <c r="A102" s="74">
        <v>43831</v>
      </c>
      <c r="B102" s="25">
        <f t="shared" si="7"/>
        <v>3623633.45</v>
      </c>
      <c r="C102" s="75"/>
      <c r="D102" s="50" t="s">
        <v>36</v>
      </c>
      <c r="E102" s="77">
        <v>0.09</v>
      </c>
      <c r="F102" s="58">
        <f t="shared" si="8"/>
        <v>326127.01</v>
      </c>
      <c r="G102" s="78">
        <f>1000000*3+949760.46</f>
        <v>3949760.46</v>
      </c>
      <c r="H102" s="69">
        <v>43844</v>
      </c>
      <c r="I102" s="34">
        <v>500000</v>
      </c>
      <c r="J102" s="65" t="s">
        <v>20</v>
      </c>
      <c r="K102" s="64" t="s">
        <v>103</v>
      </c>
      <c r="L102" s="65" t="s">
        <v>54</v>
      </c>
      <c r="M102" s="65" t="s">
        <v>100</v>
      </c>
      <c r="N102" s="63"/>
      <c r="O102" s="63"/>
      <c r="P102" s="81"/>
      <c r="Q102" s="81"/>
      <c r="R102" s="81"/>
      <c r="S102" s="81"/>
      <c r="T102" s="81"/>
      <c r="U102" s="81"/>
      <c r="V102" s="81"/>
      <c r="W102" s="81"/>
    </row>
    <row r="103" s="3" customFormat="1" ht="18" customHeight="1" spans="1:23">
      <c r="A103" s="74"/>
      <c r="B103" s="25">
        <f t="shared" si="7"/>
        <v>0</v>
      </c>
      <c r="C103" s="75"/>
      <c r="D103" s="76"/>
      <c r="E103" s="77"/>
      <c r="F103" s="58">
        <f t="shared" si="8"/>
        <v>0</v>
      </c>
      <c r="G103" s="78"/>
      <c r="H103" s="69">
        <v>43845</v>
      </c>
      <c r="I103" s="34">
        <v>2000000</v>
      </c>
      <c r="J103" s="65" t="s">
        <v>20</v>
      </c>
      <c r="K103" s="64" t="s">
        <v>103</v>
      </c>
      <c r="L103" s="65" t="s">
        <v>54</v>
      </c>
      <c r="M103" s="65"/>
      <c r="N103" s="63"/>
      <c r="O103" s="63"/>
      <c r="P103" s="81"/>
      <c r="Q103" s="81"/>
      <c r="R103" s="81"/>
      <c r="S103" s="81"/>
      <c r="T103" s="81"/>
      <c r="U103" s="81"/>
      <c r="V103" s="81"/>
      <c r="W103" s="81"/>
    </row>
    <row r="104" s="3" customFormat="1" ht="18" customHeight="1" spans="1:23">
      <c r="A104" s="74"/>
      <c r="B104" s="25">
        <f t="shared" si="7"/>
        <v>0</v>
      </c>
      <c r="C104" s="75"/>
      <c r="D104" s="76"/>
      <c r="E104" s="77"/>
      <c r="F104" s="58">
        <f t="shared" si="8"/>
        <v>0</v>
      </c>
      <c r="G104" s="78"/>
      <c r="H104" s="69">
        <v>43849</v>
      </c>
      <c r="I104" s="34">
        <v>1449760.46</v>
      </c>
      <c r="J104" s="65" t="s">
        <v>20</v>
      </c>
      <c r="K104" s="64" t="s">
        <v>103</v>
      </c>
      <c r="L104" s="65" t="s">
        <v>54</v>
      </c>
      <c r="M104" s="65"/>
      <c r="N104" s="63"/>
      <c r="O104" s="63"/>
      <c r="P104" s="81"/>
      <c r="Q104" s="81"/>
      <c r="R104" s="81"/>
      <c r="S104" s="81"/>
      <c r="T104" s="81"/>
      <c r="U104" s="81"/>
      <c r="V104" s="81"/>
      <c r="W104" s="81"/>
    </row>
    <row r="105" s="3" customFormat="1" ht="18" customHeight="1" spans="1:23">
      <c r="A105" s="74">
        <v>43831</v>
      </c>
      <c r="B105" s="25">
        <f t="shared" si="7"/>
        <v>600000</v>
      </c>
      <c r="C105" s="75"/>
      <c r="D105" s="50" t="s">
        <v>73</v>
      </c>
      <c r="E105" s="77"/>
      <c r="F105" s="58">
        <f t="shared" si="8"/>
        <v>0</v>
      </c>
      <c r="G105" s="78">
        <v>600000</v>
      </c>
      <c r="H105" s="69">
        <v>43850</v>
      </c>
      <c r="I105" s="34">
        <v>600000</v>
      </c>
      <c r="J105" s="65" t="s">
        <v>21</v>
      </c>
      <c r="K105" s="64" t="s">
        <v>89</v>
      </c>
      <c r="L105" s="65" t="s">
        <v>104</v>
      </c>
      <c r="M105" s="65"/>
      <c r="N105" s="63"/>
      <c r="O105" s="63"/>
      <c r="P105" s="81"/>
      <c r="Q105" s="81"/>
      <c r="R105" s="81"/>
      <c r="S105" s="81"/>
      <c r="T105" s="81"/>
      <c r="U105" s="81"/>
      <c r="V105" s="81"/>
      <c r="W105" s="81"/>
    </row>
    <row r="106" s="3" customFormat="1" ht="18" customHeight="1" spans="1:23">
      <c r="A106" s="74">
        <v>43831</v>
      </c>
      <c r="B106" s="25">
        <f t="shared" si="7"/>
        <v>600000</v>
      </c>
      <c r="C106" s="75"/>
      <c r="D106" s="50" t="s">
        <v>73</v>
      </c>
      <c r="E106" s="77"/>
      <c r="F106" s="58">
        <f t="shared" si="8"/>
        <v>0</v>
      </c>
      <c r="G106" s="78">
        <v>600000</v>
      </c>
      <c r="H106" s="69">
        <v>43850</v>
      </c>
      <c r="I106" s="34">
        <v>600000</v>
      </c>
      <c r="J106" s="65" t="s">
        <v>21</v>
      </c>
      <c r="K106" s="64" t="s">
        <v>87</v>
      </c>
      <c r="L106" s="65" t="s">
        <v>104</v>
      </c>
      <c r="M106" s="65"/>
      <c r="N106" s="63"/>
      <c r="O106" s="63"/>
      <c r="P106" s="81"/>
      <c r="Q106" s="81"/>
      <c r="R106" s="81"/>
      <c r="S106" s="81"/>
      <c r="T106" s="81"/>
      <c r="U106" s="81"/>
      <c r="V106" s="81"/>
      <c r="W106" s="81"/>
    </row>
    <row r="107" s="3" customFormat="1" ht="18" customHeight="1" spans="1:23">
      <c r="A107" s="74">
        <v>43891</v>
      </c>
      <c r="B107" s="25">
        <f t="shared" si="7"/>
        <v>530100</v>
      </c>
      <c r="C107" s="75"/>
      <c r="D107" s="50" t="s">
        <v>73</v>
      </c>
      <c r="E107" s="77"/>
      <c r="F107" s="58">
        <f t="shared" si="8"/>
        <v>0</v>
      </c>
      <c r="G107" s="78">
        <v>530100</v>
      </c>
      <c r="H107" s="69">
        <v>43903</v>
      </c>
      <c r="I107" s="34">
        <v>530000</v>
      </c>
      <c r="J107" s="65" t="s">
        <v>21</v>
      </c>
      <c r="K107" s="64" t="s">
        <v>105</v>
      </c>
      <c r="L107" s="65" t="s">
        <v>77</v>
      </c>
      <c r="M107" s="65"/>
      <c r="N107" s="56" t="s">
        <v>198</v>
      </c>
      <c r="O107" s="63"/>
      <c r="P107" s="81"/>
      <c r="Q107" s="81"/>
      <c r="R107" s="81"/>
      <c r="S107" s="81"/>
      <c r="T107" s="81"/>
      <c r="U107" s="81"/>
      <c r="V107" s="81"/>
      <c r="W107" s="81"/>
    </row>
    <row r="108" s="3" customFormat="1" ht="18" customHeight="1" spans="1:23">
      <c r="A108" s="74">
        <v>43952</v>
      </c>
      <c r="B108" s="25">
        <f>298648.6+188837.04+318653.29</f>
        <v>806138.93</v>
      </c>
      <c r="C108" s="75">
        <v>3</v>
      </c>
      <c r="D108" s="50" t="s">
        <v>36</v>
      </c>
      <c r="E108" s="77">
        <v>0.13</v>
      </c>
      <c r="F108" s="58">
        <f>38824.32+24548.82+41424.93</f>
        <v>104798.07</v>
      </c>
      <c r="G108" s="78">
        <f>337472.92+213385.86+360078.22</f>
        <v>910937</v>
      </c>
      <c r="H108" s="69">
        <v>43903</v>
      </c>
      <c r="I108" s="34">
        <v>200000</v>
      </c>
      <c r="J108" s="65" t="s">
        <v>20</v>
      </c>
      <c r="K108" s="64" t="s">
        <v>80</v>
      </c>
      <c r="L108" s="65" t="s">
        <v>169</v>
      </c>
      <c r="M108" s="65" t="s">
        <v>100</v>
      </c>
      <c r="N108" s="63" t="s">
        <v>100</v>
      </c>
      <c r="O108" s="63"/>
      <c r="P108" s="81"/>
      <c r="Q108" s="81"/>
      <c r="R108" s="81"/>
      <c r="S108" s="81"/>
      <c r="T108" s="81"/>
      <c r="U108" s="81"/>
      <c r="V108" s="81"/>
      <c r="W108" s="81"/>
    </row>
    <row r="109" s="3" customFormat="1" ht="18" customHeight="1" spans="1:23">
      <c r="A109" s="74"/>
      <c r="B109" s="25">
        <f>ROUND(G109/(1+E109),2)</f>
        <v>0</v>
      </c>
      <c r="C109" s="75"/>
      <c r="D109" s="50"/>
      <c r="E109" s="77"/>
      <c r="F109" s="58">
        <f>ROUND(G109/(1+E109)*E109,2)</f>
        <v>0</v>
      </c>
      <c r="G109" s="78"/>
      <c r="H109" s="69">
        <v>43950</v>
      </c>
      <c r="I109" s="34">
        <v>400000</v>
      </c>
      <c r="J109" s="65" t="s">
        <v>20</v>
      </c>
      <c r="K109" s="64" t="s">
        <v>155</v>
      </c>
      <c r="L109" s="65" t="s">
        <v>81</v>
      </c>
      <c r="M109" s="65"/>
      <c r="N109" s="83"/>
      <c r="O109" s="63"/>
      <c r="P109" s="81"/>
      <c r="Q109" s="81"/>
      <c r="R109" s="81"/>
      <c r="S109" s="81"/>
      <c r="T109" s="81"/>
      <c r="U109" s="81"/>
      <c r="V109" s="81"/>
      <c r="W109" s="81"/>
    </row>
    <row r="110" s="3" customFormat="1" ht="18" customHeight="1" spans="1:23">
      <c r="A110" s="74"/>
      <c r="B110" s="25">
        <f>ROUND(G110/(1+E110),2)</f>
        <v>0</v>
      </c>
      <c r="C110" s="75"/>
      <c r="D110" s="50"/>
      <c r="E110" s="77"/>
      <c r="F110" s="58">
        <f>ROUND(G110/(1+E110)*E110,2)</f>
        <v>0</v>
      </c>
      <c r="G110" s="78"/>
      <c r="H110" s="69">
        <v>43951</v>
      </c>
      <c r="I110" s="34">
        <v>440000</v>
      </c>
      <c r="J110" s="65" t="s">
        <v>21</v>
      </c>
      <c r="K110" s="64" t="s">
        <v>105</v>
      </c>
      <c r="L110" s="65"/>
      <c r="M110" s="65"/>
      <c r="N110" s="63"/>
      <c r="O110" s="63"/>
      <c r="P110" s="81"/>
      <c r="Q110" s="81"/>
      <c r="R110" s="81"/>
      <c r="S110" s="81"/>
      <c r="T110" s="81"/>
      <c r="U110" s="81"/>
      <c r="V110" s="81"/>
      <c r="W110" s="81"/>
    </row>
    <row r="111" s="3" customFormat="1" ht="18" customHeight="1" spans="1:23">
      <c r="A111" s="74"/>
      <c r="B111" s="25"/>
      <c r="C111" s="75"/>
      <c r="D111" s="50"/>
      <c r="E111" s="77"/>
      <c r="F111" s="58"/>
      <c r="G111" s="78"/>
      <c r="H111" s="69">
        <v>43957</v>
      </c>
      <c r="I111" s="34">
        <v>530000</v>
      </c>
      <c r="J111" s="65" t="s">
        <v>21</v>
      </c>
      <c r="K111" s="64" t="s">
        <v>105</v>
      </c>
      <c r="L111" s="65"/>
      <c r="M111" s="65"/>
      <c r="N111" s="63"/>
      <c r="O111" s="63"/>
      <c r="P111" s="81"/>
      <c r="Q111" s="81"/>
      <c r="R111" s="81"/>
      <c r="S111" s="81"/>
      <c r="T111" s="81"/>
      <c r="U111" s="81"/>
      <c r="V111" s="81"/>
      <c r="W111" s="81"/>
    </row>
    <row r="112" s="3" customFormat="1" ht="18" customHeight="1" spans="1:23">
      <c r="A112" s="74"/>
      <c r="B112" s="25">
        <f t="shared" ref="B112:B136" si="9">ROUND(G112/(1+E112),2)</f>
        <v>0</v>
      </c>
      <c r="C112" s="75"/>
      <c r="D112" s="50"/>
      <c r="E112" s="77"/>
      <c r="F112" s="58">
        <f t="shared" ref="F112:F136" si="10">ROUND(G112/(1+E112)*E112,2)</f>
        <v>0</v>
      </c>
      <c r="G112" s="78"/>
      <c r="H112" s="69">
        <v>43966</v>
      </c>
      <c r="I112" s="34">
        <v>150000</v>
      </c>
      <c r="J112" s="65" t="s">
        <v>199</v>
      </c>
      <c r="K112" s="64" t="s">
        <v>155</v>
      </c>
      <c r="L112" s="65" t="s">
        <v>81</v>
      </c>
      <c r="M112" s="65"/>
      <c r="N112" s="63"/>
      <c r="O112" s="63"/>
      <c r="P112" s="81"/>
      <c r="Q112" s="81"/>
      <c r="R112" s="81"/>
      <c r="S112" s="81"/>
      <c r="T112" s="81"/>
      <c r="U112" s="81"/>
      <c r="V112" s="81"/>
      <c r="W112" s="81"/>
    </row>
    <row r="113" s="3" customFormat="1" ht="17.1" customHeight="1" spans="1:16">
      <c r="A113" s="74">
        <v>44013</v>
      </c>
      <c r="B113" s="25">
        <f t="shared" si="9"/>
        <v>2632.08</v>
      </c>
      <c r="C113" s="75">
        <v>1</v>
      </c>
      <c r="D113" s="50" t="s">
        <v>36</v>
      </c>
      <c r="E113" s="77">
        <v>0.06</v>
      </c>
      <c r="F113" s="58">
        <f t="shared" si="10"/>
        <v>157.92</v>
      </c>
      <c r="G113" s="78">
        <v>2790</v>
      </c>
      <c r="H113" s="69"/>
      <c r="I113" s="34"/>
      <c r="J113" s="65"/>
      <c r="K113" s="148" t="s">
        <v>156</v>
      </c>
      <c r="L113" s="67" t="s">
        <v>52</v>
      </c>
      <c r="M113" s="65" t="s">
        <v>171</v>
      </c>
      <c r="N113" s="63"/>
      <c r="O113" s="82"/>
      <c r="P113" s="81"/>
    </row>
    <row r="114" s="3" customFormat="1" ht="17.1" customHeight="1" spans="1:23">
      <c r="A114" s="74"/>
      <c r="B114" s="25">
        <f t="shared" si="9"/>
        <v>0</v>
      </c>
      <c r="C114" s="75"/>
      <c r="D114" s="50"/>
      <c r="E114" s="77"/>
      <c r="F114" s="58">
        <f t="shared" si="10"/>
        <v>0</v>
      </c>
      <c r="G114" s="78"/>
      <c r="H114" s="69">
        <v>43994</v>
      </c>
      <c r="I114" s="34">
        <v>100000</v>
      </c>
      <c r="J114" s="65" t="s">
        <v>199</v>
      </c>
      <c r="K114" s="64" t="s">
        <v>155</v>
      </c>
      <c r="L114" s="65"/>
      <c r="M114" s="65"/>
      <c r="N114" s="63"/>
      <c r="O114" s="63"/>
      <c r="P114" s="81"/>
      <c r="Q114" s="81"/>
      <c r="R114" s="81"/>
      <c r="S114" s="81"/>
      <c r="T114" s="81"/>
      <c r="U114" s="81"/>
      <c r="V114" s="81"/>
      <c r="W114" s="81"/>
    </row>
    <row r="115" s="3" customFormat="1" ht="17.1" customHeight="1" spans="1:23">
      <c r="A115" s="74"/>
      <c r="B115" s="25">
        <f t="shared" si="9"/>
        <v>0</v>
      </c>
      <c r="C115" s="75"/>
      <c r="D115" s="50"/>
      <c r="E115" s="77"/>
      <c r="F115" s="58">
        <f t="shared" si="10"/>
        <v>0</v>
      </c>
      <c r="G115" s="78"/>
      <c r="H115" s="69">
        <v>43994</v>
      </c>
      <c r="I115" s="34">
        <v>1000000</v>
      </c>
      <c r="J115" s="65" t="s">
        <v>20</v>
      </c>
      <c r="K115" s="84" t="s">
        <v>53</v>
      </c>
      <c r="L115" s="65" t="s">
        <v>54</v>
      </c>
      <c r="M115" s="65"/>
      <c r="N115" s="63"/>
      <c r="O115" s="63"/>
      <c r="P115" s="81"/>
      <c r="Q115" s="81"/>
      <c r="R115" s="81"/>
      <c r="S115" s="81"/>
      <c r="T115" s="81"/>
      <c r="U115" s="81"/>
      <c r="V115" s="81"/>
      <c r="W115" s="81"/>
    </row>
    <row r="116" s="3" customFormat="1" ht="17.1" customHeight="1" spans="1:23">
      <c r="A116" s="74"/>
      <c r="B116" s="25">
        <f t="shared" si="9"/>
        <v>0</v>
      </c>
      <c r="C116" s="75"/>
      <c r="D116" s="50"/>
      <c r="E116" s="77"/>
      <c r="F116" s="58">
        <f t="shared" si="10"/>
        <v>0</v>
      </c>
      <c r="G116" s="78"/>
      <c r="H116" s="69">
        <v>44000</v>
      </c>
      <c r="I116" s="85">
        <v>500000</v>
      </c>
      <c r="J116" s="65" t="s">
        <v>20</v>
      </c>
      <c r="K116" s="86" t="s">
        <v>166</v>
      </c>
      <c r="L116" s="65"/>
      <c r="M116" s="65"/>
      <c r="N116" s="63"/>
      <c r="O116" s="63"/>
      <c r="P116" s="81"/>
      <c r="Q116" s="81"/>
      <c r="R116" s="81"/>
      <c r="S116" s="81"/>
      <c r="T116" s="81"/>
      <c r="U116" s="81"/>
      <c r="V116" s="81"/>
      <c r="W116" s="81"/>
    </row>
    <row r="117" s="3" customFormat="1" ht="17.1" customHeight="1" spans="1:23">
      <c r="A117" s="74">
        <v>44013</v>
      </c>
      <c r="B117" s="71">
        <f t="shared" si="9"/>
        <v>600040</v>
      </c>
      <c r="C117" s="75"/>
      <c r="D117" s="50" t="s">
        <v>173</v>
      </c>
      <c r="E117" s="80"/>
      <c r="F117" s="34">
        <f t="shared" si="10"/>
        <v>0</v>
      </c>
      <c r="G117" s="78">
        <v>600040</v>
      </c>
      <c r="H117" s="69">
        <v>44000</v>
      </c>
      <c r="I117" s="85">
        <v>600040</v>
      </c>
      <c r="J117" s="65" t="s">
        <v>20</v>
      </c>
      <c r="K117" s="86" t="s">
        <v>74</v>
      </c>
      <c r="L117" s="65" t="s">
        <v>174</v>
      </c>
      <c r="M117" s="65" t="s">
        <v>100</v>
      </c>
      <c r="N117" s="56" t="s">
        <v>198</v>
      </c>
      <c r="O117" s="63" t="s">
        <v>175</v>
      </c>
      <c r="P117" s="81"/>
      <c r="Q117" s="81"/>
      <c r="R117" s="81"/>
      <c r="S117" s="81"/>
      <c r="T117" s="81"/>
      <c r="U117" s="81"/>
      <c r="V117" s="81"/>
      <c r="W117" s="81"/>
    </row>
    <row r="118" s="3" customFormat="1" ht="17.1" customHeight="1" spans="1:23">
      <c r="A118" s="74">
        <v>44013</v>
      </c>
      <c r="B118" s="71">
        <f t="shared" si="9"/>
        <v>600120</v>
      </c>
      <c r="C118" s="75"/>
      <c r="D118" s="50" t="s">
        <v>173</v>
      </c>
      <c r="E118" s="80"/>
      <c r="F118" s="34">
        <f t="shared" si="10"/>
        <v>0</v>
      </c>
      <c r="G118" s="78">
        <v>600120</v>
      </c>
      <c r="H118" s="69">
        <v>44000</v>
      </c>
      <c r="I118" s="85">
        <v>600120</v>
      </c>
      <c r="J118" s="65" t="s">
        <v>20</v>
      </c>
      <c r="K118" s="86" t="s">
        <v>78</v>
      </c>
      <c r="L118" s="65" t="s">
        <v>176</v>
      </c>
      <c r="M118" s="87" t="s">
        <v>100</v>
      </c>
      <c r="N118" s="56" t="s">
        <v>198</v>
      </c>
      <c r="O118" s="63" t="s">
        <v>177</v>
      </c>
      <c r="P118" s="81"/>
      <c r="Q118" s="81"/>
      <c r="R118" s="81"/>
      <c r="S118" s="81"/>
      <c r="T118" s="81"/>
      <c r="U118" s="81"/>
      <c r="V118" s="81"/>
      <c r="W118" s="81"/>
    </row>
    <row r="119" s="3" customFormat="1" ht="17.1" customHeight="1" spans="1:23">
      <c r="A119" s="74">
        <v>44013</v>
      </c>
      <c r="B119" s="71">
        <f t="shared" si="9"/>
        <v>300000</v>
      </c>
      <c r="C119" s="75"/>
      <c r="D119" s="50" t="s">
        <v>173</v>
      </c>
      <c r="E119" s="80"/>
      <c r="F119" s="34">
        <f t="shared" si="10"/>
        <v>0</v>
      </c>
      <c r="G119" s="78">
        <v>300000</v>
      </c>
      <c r="H119" s="69">
        <v>44001</v>
      </c>
      <c r="I119" s="85">
        <v>300000</v>
      </c>
      <c r="J119" s="65" t="s">
        <v>20</v>
      </c>
      <c r="K119" s="86" t="s">
        <v>89</v>
      </c>
      <c r="L119" s="65" t="s">
        <v>178</v>
      </c>
      <c r="M119" s="87" t="s">
        <v>100</v>
      </c>
      <c r="N119" s="56" t="s">
        <v>198</v>
      </c>
      <c r="O119" s="63" t="s">
        <v>179</v>
      </c>
      <c r="P119" s="81"/>
      <c r="Q119" s="81"/>
      <c r="R119" s="81"/>
      <c r="S119" s="81"/>
      <c r="T119" s="81"/>
      <c r="U119" s="81"/>
      <c r="V119" s="81"/>
      <c r="W119" s="81"/>
    </row>
    <row r="120" s="3" customFormat="1" ht="17.1" customHeight="1" spans="1:23">
      <c r="A120" s="74">
        <v>44013</v>
      </c>
      <c r="B120" s="71">
        <f t="shared" si="9"/>
        <v>300000</v>
      </c>
      <c r="C120" s="75"/>
      <c r="D120" s="50" t="s">
        <v>173</v>
      </c>
      <c r="E120" s="80"/>
      <c r="F120" s="34">
        <f t="shared" si="10"/>
        <v>0</v>
      </c>
      <c r="G120" s="78">
        <v>300000</v>
      </c>
      <c r="H120" s="69">
        <v>44004</v>
      </c>
      <c r="I120" s="85">
        <v>300000</v>
      </c>
      <c r="J120" s="65" t="s">
        <v>20</v>
      </c>
      <c r="K120" s="86" t="s">
        <v>87</v>
      </c>
      <c r="L120" s="65" t="s">
        <v>178</v>
      </c>
      <c r="M120" s="87" t="s">
        <v>100</v>
      </c>
      <c r="N120" s="56" t="s">
        <v>198</v>
      </c>
      <c r="O120" s="63" t="s">
        <v>180</v>
      </c>
      <c r="P120" s="81"/>
      <c r="Q120" s="81"/>
      <c r="R120" s="81"/>
      <c r="S120" s="81"/>
      <c r="T120" s="81"/>
      <c r="U120" s="81"/>
      <c r="V120" s="81"/>
      <c r="W120" s="81"/>
    </row>
    <row r="121" s="3" customFormat="1" ht="18" customHeight="1" spans="1:23">
      <c r="A121" s="74"/>
      <c r="B121" s="25">
        <f t="shared" si="9"/>
        <v>0</v>
      </c>
      <c r="C121" s="75"/>
      <c r="D121" s="50"/>
      <c r="E121" s="77"/>
      <c r="F121" s="58">
        <f t="shared" si="10"/>
        <v>0</v>
      </c>
      <c r="G121" s="78"/>
      <c r="H121" s="69">
        <v>44005</v>
      </c>
      <c r="I121" s="85">
        <v>170000</v>
      </c>
      <c r="J121" s="65" t="s">
        <v>20</v>
      </c>
      <c r="K121" s="84" t="s">
        <v>155</v>
      </c>
      <c r="L121" s="65"/>
      <c r="M121" s="65"/>
      <c r="N121" s="63"/>
      <c r="O121" s="63"/>
      <c r="P121" s="81"/>
      <c r="Q121" s="81"/>
      <c r="R121" s="81"/>
      <c r="S121" s="81"/>
      <c r="T121" s="81"/>
      <c r="U121" s="81"/>
      <c r="V121" s="81"/>
      <c r="W121" s="81"/>
    </row>
    <row r="122" s="3" customFormat="1" ht="18" customHeight="1" spans="1:23">
      <c r="A122" s="74"/>
      <c r="B122" s="25">
        <f t="shared" si="9"/>
        <v>0</v>
      </c>
      <c r="C122" s="75"/>
      <c r="D122" s="50"/>
      <c r="E122" s="77"/>
      <c r="F122" s="58">
        <f t="shared" si="10"/>
        <v>0</v>
      </c>
      <c r="G122" s="78"/>
      <c r="H122" s="69">
        <v>44012</v>
      </c>
      <c r="I122" s="85">
        <v>1000000</v>
      </c>
      <c r="J122" s="65" t="s">
        <v>164</v>
      </c>
      <c r="K122" s="64" t="s">
        <v>80</v>
      </c>
      <c r="L122" s="65" t="s">
        <v>81</v>
      </c>
      <c r="M122" s="65" t="s">
        <v>76</v>
      </c>
      <c r="N122" s="63"/>
      <c r="O122" s="63"/>
      <c r="P122" s="81"/>
      <c r="Q122" s="81"/>
      <c r="R122" s="81"/>
      <c r="S122" s="81"/>
      <c r="T122" s="81"/>
      <c r="U122" s="81"/>
      <c r="V122" s="81"/>
      <c r="W122" s="81"/>
    </row>
    <row r="123" s="3" customFormat="1" ht="18" customHeight="1" spans="1:23">
      <c r="A123" s="74"/>
      <c r="B123" s="25">
        <f t="shared" si="9"/>
        <v>0</v>
      </c>
      <c r="C123" s="75"/>
      <c r="D123" s="50"/>
      <c r="E123" s="77"/>
      <c r="F123" s="58">
        <f t="shared" si="10"/>
        <v>0</v>
      </c>
      <c r="G123" s="78"/>
      <c r="H123" s="69">
        <v>44019</v>
      </c>
      <c r="I123" s="85">
        <v>500000</v>
      </c>
      <c r="J123" s="65" t="s">
        <v>20</v>
      </c>
      <c r="K123" s="64" t="s">
        <v>80</v>
      </c>
      <c r="L123" s="65"/>
      <c r="M123" s="65" t="s">
        <v>76</v>
      </c>
      <c r="N123" s="63"/>
      <c r="O123" s="63"/>
      <c r="P123" s="81"/>
      <c r="Q123" s="81"/>
      <c r="R123" s="81"/>
      <c r="S123" s="81"/>
      <c r="T123" s="81"/>
      <c r="U123" s="81"/>
      <c r="V123" s="81"/>
      <c r="W123" s="81"/>
    </row>
    <row r="124" s="3" customFormat="1" ht="18" customHeight="1" spans="1:23">
      <c r="A124" s="74">
        <v>44013</v>
      </c>
      <c r="B124" s="71">
        <f t="shared" si="9"/>
        <v>505080.8</v>
      </c>
      <c r="C124" s="75"/>
      <c r="D124" s="50" t="s">
        <v>173</v>
      </c>
      <c r="E124" s="80"/>
      <c r="F124" s="34">
        <f t="shared" si="10"/>
        <v>0</v>
      </c>
      <c r="G124" s="78">
        <v>505080.8</v>
      </c>
      <c r="H124" s="69">
        <v>44019</v>
      </c>
      <c r="I124" s="85">
        <v>500000</v>
      </c>
      <c r="J124" s="65" t="s">
        <v>20</v>
      </c>
      <c r="K124" s="86" t="s">
        <v>74</v>
      </c>
      <c r="L124" s="65" t="s">
        <v>181</v>
      </c>
      <c r="M124" s="65" t="s">
        <v>100</v>
      </c>
      <c r="N124" s="56" t="s">
        <v>198</v>
      </c>
      <c r="O124" s="63" t="s">
        <v>182</v>
      </c>
      <c r="P124" s="81"/>
      <c r="Q124" s="81"/>
      <c r="R124" s="81"/>
      <c r="S124" s="81"/>
      <c r="T124" s="81"/>
      <c r="U124" s="81"/>
      <c r="V124" s="81"/>
      <c r="W124" s="81"/>
    </row>
    <row r="125" s="3" customFormat="1" ht="18" customHeight="1" spans="1:16">
      <c r="A125" s="74">
        <v>44013</v>
      </c>
      <c r="B125" s="71">
        <f t="shared" si="9"/>
        <v>970000</v>
      </c>
      <c r="C125" s="75"/>
      <c r="D125" s="50" t="s">
        <v>173</v>
      </c>
      <c r="E125" s="80"/>
      <c r="F125" s="34">
        <f t="shared" si="10"/>
        <v>0</v>
      </c>
      <c r="G125" s="78">
        <v>970000</v>
      </c>
      <c r="H125" s="69"/>
      <c r="I125" s="85"/>
      <c r="J125" s="65"/>
      <c r="K125" s="148" t="s">
        <v>105</v>
      </c>
      <c r="L125" s="67" t="s">
        <v>183</v>
      </c>
      <c r="M125" s="65" t="s">
        <v>200</v>
      </c>
      <c r="N125" s="56" t="s">
        <v>198</v>
      </c>
      <c r="O125" s="82" t="s">
        <v>184</v>
      </c>
      <c r="P125" s="81"/>
    </row>
    <row r="126" s="3" customFormat="1" ht="18" customHeight="1" spans="1:16">
      <c r="A126" s="74">
        <v>44013</v>
      </c>
      <c r="B126" s="25">
        <f t="shared" si="9"/>
        <v>458715.6</v>
      </c>
      <c r="C126" s="75"/>
      <c r="D126" s="50" t="s">
        <v>36</v>
      </c>
      <c r="E126" s="77">
        <v>0.09</v>
      </c>
      <c r="F126" s="58">
        <f t="shared" si="10"/>
        <v>41284.4</v>
      </c>
      <c r="G126" s="78">
        <v>500000</v>
      </c>
      <c r="H126" s="69"/>
      <c r="I126" s="85"/>
      <c r="J126" s="65"/>
      <c r="K126" s="171" t="s">
        <v>166</v>
      </c>
      <c r="L126" s="67" t="s">
        <v>185</v>
      </c>
      <c r="M126" s="90" t="s">
        <v>100</v>
      </c>
      <c r="N126" s="63"/>
      <c r="O126" s="82"/>
      <c r="P126" s="81"/>
    </row>
    <row r="127" s="3" customFormat="1" ht="18" customHeight="1" spans="1:16">
      <c r="A127" s="74">
        <v>44044</v>
      </c>
      <c r="B127" s="25">
        <f t="shared" si="9"/>
        <v>1039119.43</v>
      </c>
      <c r="C127" s="75"/>
      <c r="D127" s="50" t="s">
        <v>36</v>
      </c>
      <c r="E127" s="77">
        <v>0.13</v>
      </c>
      <c r="F127" s="58">
        <f t="shared" si="10"/>
        <v>135085.53</v>
      </c>
      <c r="G127" s="78">
        <f>304573.99+869630.97</f>
        <v>1174204.96</v>
      </c>
      <c r="H127" s="69"/>
      <c r="I127" s="85"/>
      <c r="J127" s="65"/>
      <c r="K127" s="171" t="s">
        <v>80</v>
      </c>
      <c r="L127" s="67" t="s">
        <v>186</v>
      </c>
      <c r="M127" s="90" t="s">
        <v>100</v>
      </c>
      <c r="N127" s="63" t="s">
        <v>100</v>
      </c>
      <c r="O127" s="82"/>
      <c r="P127" s="81"/>
    </row>
    <row r="128" s="3" customFormat="1" ht="18" customHeight="1" spans="1:23">
      <c r="A128" s="74">
        <v>44044</v>
      </c>
      <c r="B128" s="25">
        <f t="shared" si="9"/>
        <v>875700</v>
      </c>
      <c r="C128" s="75"/>
      <c r="D128" s="50" t="s">
        <v>173</v>
      </c>
      <c r="E128" s="77"/>
      <c r="F128" s="58">
        <f t="shared" si="10"/>
        <v>0</v>
      </c>
      <c r="G128" s="78">
        <v>875700</v>
      </c>
      <c r="H128" s="69">
        <v>44067</v>
      </c>
      <c r="I128" s="85">
        <v>875700</v>
      </c>
      <c r="J128" s="65" t="s">
        <v>21</v>
      </c>
      <c r="K128" s="86" t="s">
        <v>78</v>
      </c>
      <c r="L128" s="65" t="s">
        <v>188</v>
      </c>
      <c r="M128" s="87"/>
      <c r="N128" s="63" t="s">
        <v>100</v>
      </c>
      <c r="O128" s="63"/>
      <c r="P128" s="81"/>
      <c r="Q128" s="81"/>
      <c r="R128" s="81"/>
      <c r="S128" s="81"/>
      <c r="T128" s="81"/>
      <c r="U128" s="81"/>
      <c r="V128" s="81"/>
      <c r="W128" s="81"/>
    </row>
    <row r="129" s="3" customFormat="1" ht="18" customHeight="1" spans="1:23">
      <c r="A129" s="74">
        <v>44044</v>
      </c>
      <c r="B129" s="25">
        <f t="shared" si="9"/>
        <v>194850</v>
      </c>
      <c r="C129" s="75"/>
      <c r="D129" s="50" t="s">
        <v>173</v>
      </c>
      <c r="E129" s="77"/>
      <c r="F129" s="58">
        <f t="shared" si="10"/>
        <v>0</v>
      </c>
      <c r="G129" s="78">
        <v>194850</v>
      </c>
      <c r="H129" s="69">
        <v>44069</v>
      </c>
      <c r="I129" s="85">
        <v>194850</v>
      </c>
      <c r="J129" s="65" t="s">
        <v>21</v>
      </c>
      <c r="K129" s="86" t="s">
        <v>74</v>
      </c>
      <c r="L129" s="65" t="s">
        <v>189</v>
      </c>
      <c r="M129" s="87"/>
      <c r="N129" s="63" t="s">
        <v>100</v>
      </c>
      <c r="O129" s="63"/>
      <c r="P129" s="81"/>
      <c r="Q129" s="81"/>
      <c r="R129" s="81"/>
      <c r="S129" s="81"/>
      <c r="T129" s="81"/>
      <c r="U129" s="81"/>
      <c r="V129" s="81"/>
      <c r="W129" s="81"/>
    </row>
    <row r="130" s="3" customFormat="1" ht="18" customHeight="1" spans="1:23">
      <c r="A130" s="74"/>
      <c r="B130" s="25">
        <f t="shared" si="9"/>
        <v>0</v>
      </c>
      <c r="C130" s="75"/>
      <c r="D130" s="50"/>
      <c r="E130" s="77"/>
      <c r="F130" s="58">
        <f t="shared" si="10"/>
        <v>0</v>
      </c>
      <c r="G130" s="78"/>
      <c r="H130" s="69">
        <v>44069</v>
      </c>
      <c r="I130" s="85">
        <v>500000</v>
      </c>
      <c r="J130" s="65" t="s">
        <v>20</v>
      </c>
      <c r="K130" s="86" t="s">
        <v>53</v>
      </c>
      <c r="L130" s="65"/>
      <c r="M130" s="87"/>
      <c r="N130" s="63"/>
      <c r="O130" s="63"/>
      <c r="P130" s="81"/>
      <c r="Q130" s="81"/>
      <c r="R130" s="81"/>
      <c r="S130" s="81"/>
      <c r="T130" s="81"/>
      <c r="U130" s="81"/>
      <c r="V130" s="81"/>
      <c r="W130" s="81"/>
    </row>
    <row r="131" s="3" customFormat="1" ht="18" customHeight="1" spans="1:23">
      <c r="A131" s="74">
        <v>44044</v>
      </c>
      <c r="B131" s="25"/>
      <c r="C131" s="75"/>
      <c r="D131" s="50"/>
      <c r="E131" s="77"/>
      <c r="F131" s="58">
        <f t="shared" si="10"/>
        <v>0</v>
      </c>
      <c r="G131" s="172">
        <v>28242</v>
      </c>
      <c r="H131" s="69">
        <v>44067</v>
      </c>
      <c r="I131" s="85">
        <v>28242</v>
      </c>
      <c r="J131" s="65" t="s">
        <v>20</v>
      </c>
      <c r="K131" s="86" t="s">
        <v>65</v>
      </c>
      <c r="L131" s="65"/>
      <c r="M131" s="87"/>
      <c r="N131" s="63"/>
      <c r="O131" s="63"/>
      <c r="P131" s="81"/>
      <c r="Q131" s="81"/>
      <c r="R131" s="81"/>
      <c r="S131" s="81"/>
      <c r="T131" s="81"/>
      <c r="U131" s="81"/>
      <c r="V131" s="81"/>
      <c r="W131" s="81"/>
    </row>
    <row r="132" s="3" customFormat="1" ht="18" customHeight="1" spans="1:23">
      <c r="A132" s="74"/>
      <c r="B132" s="25">
        <f t="shared" si="9"/>
        <v>0</v>
      </c>
      <c r="C132" s="75"/>
      <c r="D132" s="50"/>
      <c r="E132" s="77"/>
      <c r="F132" s="58">
        <f t="shared" si="10"/>
        <v>0</v>
      </c>
      <c r="G132" s="78"/>
      <c r="H132" s="69">
        <v>44081</v>
      </c>
      <c r="I132" s="85">
        <v>73950</v>
      </c>
      <c r="J132" s="65" t="s">
        <v>20</v>
      </c>
      <c r="K132" s="86" t="s">
        <v>193</v>
      </c>
      <c r="L132" s="65"/>
      <c r="M132" s="87"/>
      <c r="N132" s="63"/>
      <c r="O132" s="63"/>
      <c r="P132" s="81"/>
      <c r="Q132" s="81"/>
      <c r="R132" s="81"/>
      <c r="S132" s="81"/>
      <c r="T132" s="81"/>
      <c r="U132" s="81"/>
      <c r="V132" s="81"/>
      <c r="W132" s="81"/>
    </row>
    <row r="133" s="3" customFormat="1" ht="18" customHeight="1" spans="1:23">
      <c r="A133" s="74">
        <v>44075</v>
      </c>
      <c r="B133" s="25">
        <f t="shared" si="9"/>
        <v>300000</v>
      </c>
      <c r="C133" s="75"/>
      <c r="D133" s="50" t="s">
        <v>173</v>
      </c>
      <c r="E133" s="77"/>
      <c r="F133" s="58">
        <f t="shared" si="10"/>
        <v>0</v>
      </c>
      <c r="G133" s="78">
        <v>300000</v>
      </c>
      <c r="H133" s="69">
        <v>44083</v>
      </c>
      <c r="I133" s="85">
        <v>300000</v>
      </c>
      <c r="J133" s="65" t="s">
        <v>21</v>
      </c>
      <c r="K133" s="86" t="s">
        <v>105</v>
      </c>
      <c r="L133" s="65" t="s">
        <v>194</v>
      </c>
      <c r="M133" s="65"/>
      <c r="N133" s="63" t="s">
        <v>100</v>
      </c>
      <c r="O133" s="63"/>
      <c r="P133" s="81"/>
      <c r="Q133" s="81"/>
      <c r="R133" s="81"/>
      <c r="S133" s="81"/>
      <c r="T133" s="81"/>
      <c r="U133" s="81"/>
      <c r="V133" s="81"/>
      <c r="W133" s="81"/>
    </row>
    <row r="134" s="3" customFormat="1" ht="18" customHeight="1" spans="1:23">
      <c r="A134" s="74"/>
      <c r="B134" s="25">
        <f t="shared" si="9"/>
        <v>0</v>
      </c>
      <c r="C134" s="75"/>
      <c r="D134" s="50"/>
      <c r="E134" s="77"/>
      <c r="F134" s="58">
        <f t="shared" si="10"/>
        <v>0</v>
      </c>
      <c r="G134" s="78"/>
      <c r="H134" s="69">
        <v>44085</v>
      </c>
      <c r="I134" s="85">
        <v>1000000</v>
      </c>
      <c r="J134" s="65" t="s">
        <v>20</v>
      </c>
      <c r="K134" s="86" t="s">
        <v>53</v>
      </c>
      <c r="L134" s="65"/>
      <c r="M134" s="91"/>
      <c r="N134" s="63"/>
      <c r="O134" s="63"/>
      <c r="P134" s="81"/>
      <c r="Q134" s="81"/>
      <c r="R134" s="81"/>
      <c r="S134" s="81"/>
      <c r="T134" s="81"/>
      <c r="U134" s="81"/>
      <c r="V134" s="81"/>
      <c r="W134" s="81"/>
    </row>
    <row r="135" s="3" customFormat="1" ht="18" customHeight="1" spans="1:23">
      <c r="A135" s="74">
        <v>44075</v>
      </c>
      <c r="B135" s="25">
        <f t="shared" si="9"/>
        <v>442500</v>
      </c>
      <c r="C135" s="75"/>
      <c r="D135" s="50" t="s">
        <v>36</v>
      </c>
      <c r="E135" s="77">
        <v>0.13</v>
      </c>
      <c r="F135" s="58">
        <f t="shared" si="10"/>
        <v>57525</v>
      </c>
      <c r="G135" s="78">
        <v>500025</v>
      </c>
      <c r="H135" s="69">
        <v>44088</v>
      </c>
      <c r="I135" s="85">
        <v>500000</v>
      </c>
      <c r="J135" s="65" t="s">
        <v>20</v>
      </c>
      <c r="K135" s="64" t="s">
        <v>92</v>
      </c>
      <c r="L135" s="65"/>
      <c r="M135" s="91"/>
      <c r="N135" s="63"/>
      <c r="O135" s="63"/>
      <c r="P135" s="81"/>
      <c r="Q135" s="81"/>
      <c r="R135" s="81"/>
      <c r="S135" s="81"/>
      <c r="T135" s="81"/>
      <c r="U135" s="81"/>
      <c r="V135" s="81"/>
      <c r="W135" s="81"/>
    </row>
    <row r="136" s="3" customFormat="1" ht="18" customHeight="1" spans="1:23">
      <c r="A136" s="74">
        <v>44075</v>
      </c>
      <c r="B136" s="25">
        <f t="shared" si="9"/>
        <v>1001084.07</v>
      </c>
      <c r="C136" s="75"/>
      <c r="D136" s="50" t="s">
        <v>36</v>
      </c>
      <c r="E136" s="77">
        <v>0.13</v>
      </c>
      <c r="F136" s="58">
        <f t="shared" si="10"/>
        <v>130140.93</v>
      </c>
      <c r="G136" s="78">
        <v>1131225</v>
      </c>
      <c r="H136" s="69">
        <v>44092</v>
      </c>
      <c r="I136" s="85">
        <v>1131250</v>
      </c>
      <c r="J136" s="65" t="s">
        <v>20</v>
      </c>
      <c r="K136" s="64" t="s">
        <v>92</v>
      </c>
      <c r="L136" s="65"/>
      <c r="M136" s="91"/>
      <c r="N136" s="63"/>
      <c r="O136" s="63"/>
      <c r="P136" s="81"/>
      <c r="Q136" s="81"/>
      <c r="R136" s="81"/>
      <c r="S136" s="81"/>
      <c r="T136" s="81"/>
      <c r="U136" s="81"/>
      <c r="V136" s="81"/>
      <c r="W136" s="81"/>
    </row>
    <row r="137" s="3" customFormat="1" ht="18" customHeight="1" spans="1:23">
      <c r="A137" s="74">
        <v>44075</v>
      </c>
      <c r="B137" s="71">
        <v>824720</v>
      </c>
      <c r="C137" s="75">
        <v>1</v>
      </c>
      <c r="D137" s="50" t="s">
        <v>173</v>
      </c>
      <c r="E137" s="80"/>
      <c r="F137" s="34">
        <v>0</v>
      </c>
      <c r="G137" s="47">
        <v>824720</v>
      </c>
      <c r="H137" s="69">
        <v>44090</v>
      </c>
      <c r="I137" s="85">
        <v>694720</v>
      </c>
      <c r="J137" s="65" t="s">
        <v>20</v>
      </c>
      <c r="K137" s="92" t="s">
        <v>201</v>
      </c>
      <c r="L137" s="65"/>
      <c r="M137" s="65" t="s">
        <v>100</v>
      </c>
      <c r="N137" s="56" t="s">
        <v>198</v>
      </c>
      <c r="O137" s="63"/>
      <c r="P137" s="81"/>
      <c r="Q137" s="81"/>
      <c r="R137" s="81"/>
      <c r="S137" s="81"/>
      <c r="T137" s="81"/>
      <c r="U137" s="81"/>
      <c r="V137" s="81"/>
      <c r="W137" s="81"/>
    </row>
    <row r="138" s="3" customFormat="1" ht="18" customHeight="1" spans="1:23">
      <c r="A138" s="74">
        <v>44075</v>
      </c>
      <c r="B138" s="71">
        <v>600000</v>
      </c>
      <c r="C138" s="75">
        <v>1</v>
      </c>
      <c r="D138" s="50" t="s">
        <v>173</v>
      </c>
      <c r="E138" s="80"/>
      <c r="F138" s="34">
        <v>0</v>
      </c>
      <c r="G138" s="47">
        <v>600000</v>
      </c>
      <c r="H138" s="69">
        <v>44090</v>
      </c>
      <c r="I138" s="85">
        <v>600000</v>
      </c>
      <c r="J138" s="65" t="s">
        <v>20</v>
      </c>
      <c r="K138" s="92" t="s">
        <v>202</v>
      </c>
      <c r="L138" s="65"/>
      <c r="M138" s="65" t="s">
        <v>100</v>
      </c>
      <c r="N138" s="56" t="s">
        <v>198</v>
      </c>
      <c r="O138" s="63"/>
      <c r="P138" s="81"/>
      <c r="Q138" s="81"/>
      <c r="R138" s="81"/>
      <c r="S138" s="81"/>
      <c r="T138" s="81"/>
      <c r="U138" s="81"/>
      <c r="V138" s="81"/>
      <c r="W138" s="81"/>
    </row>
    <row r="139" s="3" customFormat="1" ht="18" customHeight="1" spans="1:23">
      <c r="A139" s="74">
        <v>44075</v>
      </c>
      <c r="B139" s="71">
        <v>300000</v>
      </c>
      <c r="C139" s="75">
        <v>1</v>
      </c>
      <c r="D139" s="50" t="s">
        <v>173</v>
      </c>
      <c r="E139" s="80"/>
      <c r="F139" s="34">
        <v>0</v>
      </c>
      <c r="G139" s="47">
        <v>300000</v>
      </c>
      <c r="H139" s="69">
        <v>44090</v>
      </c>
      <c r="I139" s="85">
        <v>300000</v>
      </c>
      <c r="J139" s="65" t="s">
        <v>20</v>
      </c>
      <c r="K139" s="84" t="s">
        <v>203</v>
      </c>
      <c r="L139" s="65"/>
      <c r="M139" s="65" t="s">
        <v>100</v>
      </c>
      <c r="N139" s="56" t="s">
        <v>198</v>
      </c>
      <c r="O139" s="63"/>
      <c r="P139" s="81"/>
      <c r="Q139" s="81"/>
      <c r="R139" s="81"/>
      <c r="S139" s="81"/>
      <c r="T139" s="81"/>
      <c r="U139" s="81"/>
      <c r="V139" s="81"/>
      <c r="W139" s="81"/>
    </row>
    <row r="140" s="3" customFormat="1" ht="18" customHeight="1" spans="1:23">
      <c r="A140" s="74">
        <v>44075</v>
      </c>
      <c r="B140" s="71">
        <v>600000</v>
      </c>
      <c r="C140" s="75">
        <v>1</v>
      </c>
      <c r="D140" s="50" t="s">
        <v>173</v>
      </c>
      <c r="E140" s="80"/>
      <c r="F140" s="34">
        <v>0</v>
      </c>
      <c r="G140" s="47">
        <v>600000</v>
      </c>
      <c r="H140" s="69">
        <v>44090</v>
      </c>
      <c r="I140" s="85">
        <v>600000</v>
      </c>
      <c r="J140" s="65" t="s">
        <v>20</v>
      </c>
      <c r="K140" s="92" t="s">
        <v>204</v>
      </c>
      <c r="L140" s="65"/>
      <c r="M140" s="65" t="s">
        <v>100</v>
      </c>
      <c r="N140" s="56" t="s">
        <v>198</v>
      </c>
      <c r="O140" s="63"/>
      <c r="P140" s="81"/>
      <c r="Q140" s="81"/>
      <c r="R140" s="81"/>
      <c r="S140" s="81"/>
      <c r="T140" s="81"/>
      <c r="U140" s="81"/>
      <c r="V140" s="81"/>
      <c r="W140" s="81"/>
    </row>
    <row r="141" s="3" customFormat="1" ht="18" customHeight="1" spans="1:23">
      <c r="A141" s="74"/>
      <c r="B141" s="71"/>
      <c r="C141" s="75"/>
      <c r="D141" s="50"/>
      <c r="E141" s="80"/>
      <c r="F141" s="89">
        <f>SUM(F102:F140)</f>
        <v>795118.86</v>
      </c>
      <c r="G141" s="47"/>
      <c r="H141" s="42">
        <v>44183</v>
      </c>
      <c r="I141" s="57">
        <v>-1020000</v>
      </c>
      <c r="J141" s="56" t="s">
        <v>76</v>
      </c>
      <c r="K141" s="174" t="s">
        <v>205</v>
      </c>
      <c r="L141" s="65"/>
      <c r="M141" s="65"/>
      <c r="N141" s="56"/>
      <c r="O141" s="63"/>
      <c r="P141" s="81"/>
      <c r="Q141" s="81"/>
      <c r="R141" s="81"/>
      <c r="S141" s="81"/>
      <c r="T141" s="81"/>
      <c r="U141" s="81"/>
      <c r="V141" s="81"/>
      <c r="W141" s="81"/>
    </row>
    <row r="142" s="3" customFormat="1" ht="18" customHeight="1" spans="1:23">
      <c r="A142" s="74"/>
      <c r="B142" s="71"/>
      <c r="C142" s="75"/>
      <c r="D142" s="50"/>
      <c r="E142" s="80"/>
      <c r="F142" s="34"/>
      <c r="G142" s="47"/>
      <c r="H142" s="69">
        <v>44187</v>
      </c>
      <c r="I142" s="85">
        <v>150000</v>
      </c>
      <c r="J142" s="65" t="s">
        <v>20</v>
      </c>
      <c r="K142" s="92" t="s">
        <v>87</v>
      </c>
      <c r="L142" s="65" t="s">
        <v>206</v>
      </c>
      <c r="M142" s="65"/>
      <c r="N142" s="56"/>
      <c r="O142" s="63"/>
      <c r="P142" s="81"/>
      <c r="Q142" s="81"/>
      <c r="R142" s="81"/>
      <c r="S142" s="81"/>
      <c r="T142" s="81"/>
      <c r="U142" s="81"/>
      <c r="V142" s="81"/>
      <c r="W142" s="81"/>
    </row>
    <row r="143" s="3" customFormat="1" ht="18" customHeight="1" spans="1:23">
      <c r="A143" s="74"/>
      <c r="B143" s="71"/>
      <c r="C143" s="75"/>
      <c r="D143" s="50"/>
      <c r="E143" s="80"/>
      <c r="F143" s="34"/>
      <c r="G143" s="47"/>
      <c r="H143" s="69">
        <v>44187</v>
      </c>
      <c r="I143" s="85">
        <v>360000</v>
      </c>
      <c r="J143" s="65" t="s">
        <v>20</v>
      </c>
      <c r="K143" s="92" t="s">
        <v>207</v>
      </c>
      <c r="L143" s="65" t="s">
        <v>208</v>
      </c>
      <c r="M143" s="65"/>
      <c r="N143" s="56"/>
      <c r="O143" s="63"/>
      <c r="P143" s="81"/>
      <c r="Q143" s="81"/>
      <c r="R143" s="81"/>
      <c r="S143" s="81"/>
      <c r="T143" s="81"/>
      <c r="U143" s="81"/>
      <c r="V143" s="81"/>
      <c r="W143" s="81"/>
    </row>
    <row r="144" s="3" customFormat="1" ht="18" customHeight="1" spans="1:23">
      <c r="A144" s="74"/>
      <c r="B144" s="71"/>
      <c r="C144" s="75"/>
      <c r="D144" s="50"/>
      <c r="E144" s="80"/>
      <c r="F144" s="34"/>
      <c r="G144" s="47"/>
      <c r="H144" s="69">
        <v>44187</v>
      </c>
      <c r="I144" s="85">
        <v>300000</v>
      </c>
      <c r="J144" s="65" t="s">
        <v>20</v>
      </c>
      <c r="K144" s="92" t="s">
        <v>209</v>
      </c>
      <c r="L144" s="65" t="s">
        <v>210</v>
      </c>
      <c r="M144" s="65"/>
      <c r="N144" s="56"/>
      <c r="O144" s="63"/>
      <c r="P144" s="81"/>
      <c r="Q144" s="81"/>
      <c r="R144" s="81"/>
      <c r="S144" s="81"/>
      <c r="T144" s="81"/>
      <c r="U144" s="81"/>
      <c r="V144" s="81"/>
      <c r="W144" s="81"/>
    </row>
    <row r="145" s="3" customFormat="1" ht="18" customHeight="1" spans="1:23">
      <c r="A145" s="74"/>
      <c r="B145" s="71"/>
      <c r="C145" s="75"/>
      <c r="D145" s="50"/>
      <c r="E145" s="80"/>
      <c r="F145" s="34"/>
      <c r="G145" s="47"/>
      <c r="H145" s="69">
        <v>44187</v>
      </c>
      <c r="I145" s="85">
        <v>60000</v>
      </c>
      <c r="J145" s="65" t="s">
        <v>20</v>
      </c>
      <c r="K145" s="92" t="s">
        <v>211</v>
      </c>
      <c r="L145" s="65" t="s">
        <v>212</v>
      </c>
      <c r="M145" s="65"/>
      <c r="N145" s="56"/>
      <c r="O145" s="63"/>
      <c r="P145" s="81"/>
      <c r="Q145" s="81"/>
      <c r="R145" s="81"/>
      <c r="S145" s="81"/>
      <c r="T145" s="81"/>
      <c r="U145" s="81"/>
      <c r="V145" s="81"/>
      <c r="W145" s="81"/>
    </row>
    <row r="146" s="3" customFormat="1" ht="18" customHeight="1" spans="1:23">
      <c r="A146" s="74"/>
      <c r="B146" s="71"/>
      <c r="C146" s="75"/>
      <c r="D146" s="50"/>
      <c r="E146" s="80"/>
      <c r="F146" s="34"/>
      <c r="G146" s="47"/>
      <c r="H146" s="69">
        <v>44187</v>
      </c>
      <c r="I146" s="85">
        <v>50000</v>
      </c>
      <c r="J146" s="65" t="s">
        <v>20</v>
      </c>
      <c r="K146" s="92" t="s">
        <v>213</v>
      </c>
      <c r="L146" s="65" t="s">
        <v>214</v>
      </c>
      <c r="M146" s="65"/>
      <c r="N146" s="56"/>
      <c r="O146" s="63"/>
      <c r="P146" s="81"/>
      <c r="Q146" s="81"/>
      <c r="R146" s="81"/>
      <c r="S146" s="81"/>
      <c r="T146" s="81"/>
      <c r="U146" s="81"/>
      <c r="V146" s="81"/>
      <c r="W146" s="81"/>
    </row>
    <row r="147" s="3" customFormat="1" ht="18" customHeight="1" spans="1:23">
      <c r="A147" s="74"/>
      <c r="B147" s="71"/>
      <c r="C147" s="75"/>
      <c r="D147" s="50"/>
      <c r="E147" s="80"/>
      <c r="F147" s="34"/>
      <c r="G147" s="47"/>
      <c r="H147" s="69">
        <v>44187</v>
      </c>
      <c r="I147" s="85">
        <v>100000</v>
      </c>
      <c r="J147" s="65" t="s">
        <v>20</v>
      </c>
      <c r="K147" s="92" t="s">
        <v>215</v>
      </c>
      <c r="L147" s="65" t="s">
        <v>214</v>
      </c>
      <c r="M147" s="65"/>
      <c r="N147" s="56"/>
      <c r="O147" s="63"/>
      <c r="P147" s="81"/>
      <c r="Q147" s="81"/>
      <c r="R147" s="81"/>
      <c r="S147" s="81"/>
      <c r="T147" s="81"/>
      <c r="U147" s="81"/>
      <c r="V147" s="81"/>
      <c r="W147" s="81"/>
    </row>
    <row r="148" s="3" customFormat="1" ht="18" customHeight="1" spans="1:23">
      <c r="A148" s="74"/>
      <c r="B148" s="71"/>
      <c r="C148" s="75"/>
      <c r="D148" s="50"/>
      <c r="E148" s="80"/>
      <c r="F148" s="34"/>
      <c r="G148" s="47"/>
      <c r="H148" s="69"/>
      <c r="I148" s="85"/>
      <c r="J148" s="65"/>
      <c r="K148" s="92"/>
      <c r="L148" s="65"/>
      <c r="M148" s="65"/>
      <c r="N148" s="56"/>
      <c r="O148" s="63"/>
      <c r="P148" s="81"/>
      <c r="Q148" s="81"/>
      <c r="R148" s="81"/>
      <c r="S148" s="81"/>
      <c r="T148" s="81"/>
      <c r="U148" s="81"/>
      <c r="V148" s="81"/>
      <c r="W148" s="81"/>
    </row>
    <row r="149" s="3" customFormat="1" ht="18" customHeight="1" spans="1:23">
      <c r="A149" s="74"/>
      <c r="B149" s="71"/>
      <c r="C149" s="75"/>
      <c r="D149" s="50"/>
      <c r="E149" s="80"/>
      <c r="F149" s="34"/>
      <c r="G149" s="47"/>
      <c r="H149" s="69"/>
      <c r="I149" s="85"/>
      <c r="J149" s="65"/>
      <c r="K149" s="92"/>
      <c r="L149" s="65"/>
      <c r="M149" s="65"/>
      <c r="N149" s="56"/>
      <c r="O149" s="63"/>
      <c r="P149" s="81"/>
      <c r="Q149" s="81"/>
      <c r="R149" s="81"/>
      <c r="S149" s="81"/>
      <c r="T149" s="81"/>
      <c r="U149" s="81"/>
      <c r="V149" s="81"/>
      <c r="W149" s="81"/>
    </row>
    <row r="150" s="3" customFormat="1" ht="18" customHeight="1" spans="1:23">
      <c r="A150" s="74"/>
      <c r="B150" s="71"/>
      <c r="C150" s="75"/>
      <c r="D150" s="50"/>
      <c r="E150" s="80"/>
      <c r="F150" s="34"/>
      <c r="G150" s="47"/>
      <c r="H150" s="69"/>
      <c r="I150" s="85"/>
      <c r="J150" s="65"/>
      <c r="K150" s="92"/>
      <c r="L150" s="65"/>
      <c r="M150" s="65"/>
      <c r="N150" s="56"/>
      <c r="O150" s="63"/>
      <c r="P150" s="81"/>
      <c r="Q150" s="81"/>
      <c r="R150" s="81"/>
      <c r="S150" s="81"/>
      <c r="T150" s="81"/>
      <c r="U150" s="81"/>
      <c r="V150" s="81"/>
      <c r="W150" s="81"/>
    </row>
    <row r="151" s="3" customFormat="1" ht="18" customHeight="1" spans="1:23">
      <c r="A151" s="74"/>
      <c r="B151" s="71"/>
      <c r="C151" s="75"/>
      <c r="D151" s="50"/>
      <c r="E151" s="80"/>
      <c r="F151" s="34"/>
      <c r="G151" s="47"/>
      <c r="H151" s="69"/>
      <c r="I151" s="85"/>
      <c r="J151" s="65"/>
      <c r="K151" s="92"/>
      <c r="L151" s="65"/>
      <c r="M151" s="65"/>
      <c r="N151" s="56"/>
      <c r="O151" s="63"/>
      <c r="P151" s="81"/>
      <c r="Q151" s="81"/>
      <c r="R151" s="81"/>
      <c r="S151" s="81"/>
      <c r="T151" s="81"/>
      <c r="U151" s="81"/>
      <c r="V151" s="81"/>
      <c r="W151" s="81"/>
    </row>
    <row r="152" s="3" customFormat="1" ht="18" customHeight="1" spans="1:23">
      <c r="A152" s="74"/>
      <c r="B152" s="25"/>
      <c r="C152" s="75"/>
      <c r="D152" s="50"/>
      <c r="E152" s="77"/>
      <c r="F152" s="58"/>
      <c r="G152" s="78"/>
      <c r="H152" s="69"/>
      <c r="I152" s="85"/>
      <c r="J152" s="65"/>
      <c r="K152" s="64"/>
      <c r="L152" s="65"/>
      <c r="M152" s="91"/>
      <c r="N152" s="63"/>
      <c r="O152" s="63"/>
      <c r="P152" s="81"/>
      <c r="Q152" s="81"/>
      <c r="R152" s="81"/>
      <c r="S152" s="81"/>
      <c r="T152" s="81"/>
      <c r="U152" s="81"/>
      <c r="V152" s="81"/>
      <c r="W152" s="81"/>
    </row>
    <row r="153" s="3" customFormat="1" ht="18" customHeight="1" spans="1:23">
      <c r="A153" s="74"/>
      <c r="B153" s="25"/>
      <c r="C153" s="75"/>
      <c r="D153" s="50"/>
      <c r="E153" s="77"/>
      <c r="F153" s="58"/>
      <c r="G153" s="78"/>
      <c r="H153" s="173">
        <v>44190</v>
      </c>
      <c r="I153" s="175">
        <v>51800</v>
      </c>
      <c r="J153" s="176" t="s">
        <v>106</v>
      </c>
      <c r="K153" s="177" t="s">
        <v>216</v>
      </c>
      <c r="L153" s="65"/>
      <c r="M153" s="91"/>
      <c r="N153" s="63"/>
      <c r="O153" s="63"/>
      <c r="P153" s="81"/>
      <c r="Q153" s="81"/>
      <c r="R153" s="81"/>
      <c r="S153" s="81"/>
      <c r="T153" s="81"/>
      <c r="U153" s="81"/>
      <c r="V153" s="81"/>
      <c r="W153" s="81"/>
    </row>
    <row r="154" s="3" customFormat="1" ht="18" customHeight="1" spans="1:23">
      <c r="A154" s="74"/>
      <c r="B154" s="25"/>
      <c r="C154" s="75"/>
      <c r="D154" s="50"/>
      <c r="E154" s="77"/>
      <c r="F154" s="58"/>
      <c r="G154" s="78"/>
      <c r="H154" s="173">
        <v>44190</v>
      </c>
      <c r="I154" s="175">
        <v>1425.6880733945</v>
      </c>
      <c r="J154" s="176" t="s">
        <v>106</v>
      </c>
      <c r="K154" s="177" t="s">
        <v>217</v>
      </c>
      <c r="L154" s="65"/>
      <c r="M154" s="91"/>
      <c r="N154" s="63"/>
      <c r="O154" s="63"/>
      <c r="P154" s="81"/>
      <c r="Q154" s="81"/>
      <c r="R154" s="81"/>
      <c r="S154" s="81"/>
      <c r="T154" s="81"/>
      <c r="U154" s="81"/>
      <c r="V154" s="81"/>
      <c r="W154" s="81"/>
    </row>
    <row r="155" s="3" customFormat="1" ht="18" customHeight="1" spans="1:23">
      <c r="A155" s="74"/>
      <c r="B155" s="25"/>
      <c r="C155" s="75"/>
      <c r="D155" s="50"/>
      <c r="E155" s="77"/>
      <c r="F155" s="58"/>
      <c r="G155" s="78"/>
      <c r="H155" s="173">
        <v>44190</v>
      </c>
      <c r="I155" s="175">
        <v>163191.647442201</v>
      </c>
      <c r="J155" s="176" t="s">
        <v>106</v>
      </c>
      <c r="K155" s="177" t="s">
        <v>218</v>
      </c>
      <c r="L155" s="65"/>
      <c r="M155" s="91"/>
      <c r="N155" s="63"/>
      <c r="O155" s="63"/>
      <c r="P155" s="81"/>
      <c r="Q155" s="81"/>
      <c r="R155" s="81"/>
      <c r="S155" s="81"/>
      <c r="T155" s="81"/>
      <c r="U155" s="81"/>
      <c r="V155" s="81"/>
      <c r="W155" s="81"/>
    </row>
    <row r="156" s="3" customFormat="1" ht="18" customHeight="1" spans="1:23">
      <c r="A156" s="74"/>
      <c r="B156" s="25">
        <f t="shared" ref="B156:B193" si="11">ROUND(G156/(1+E156),2)</f>
        <v>0</v>
      </c>
      <c r="C156" s="75"/>
      <c r="D156" s="50"/>
      <c r="E156" s="77"/>
      <c r="F156" s="58">
        <f t="shared" ref="F156:F193" si="12">ROUND(G156/(1+E156)*E156,2)</f>
        <v>0</v>
      </c>
      <c r="G156" s="78"/>
      <c r="H156" s="173">
        <v>44190</v>
      </c>
      <c r="I156" s="175">
        <v>-204415</v>
      </c>
      <c r="J156" s="176" t="s">
        <v>112</v>
      </c>
      <c r="K156" s="177" t="s">
        <v>219</v>
      </c>
      <c r="L156" s="65"/>
      <c r="M156" s="91"/>
      <c r="N156" s="63"/>
      <c r="O156" s="63"/>
      <c r="P156" s="81"/>
      <c r="Q156" s="81"/>
      <c r="R156" s="81"/>
      <c r="S156" s="81"/>
      <c r="T156" s="81"/>
      <c r="U156" s="81"/>
      <c r="V156" s="81"/>
      <c r="W156" s="81"/>
    </row>
    <row r="157" s="3" customFormat="1" ht="18" customHeight="1" spans="1:23">
      <c r="A157" s="74"/>
      <c r="B157" s="25">
        <f t="shared" si="11"/>
        <v>0</v>
      </c>
      <c r="C157" s="75"/>
      <c r="D157" s="50"/>
      <c r="E157" s="77"/>
      <c r="F157" s="58">
        <f t="shared" si="12"/>
        <v>0</v>
      </c>
      <c r="G157" s="78"/>
      <c r="H157" s="69">
        <v>44187</v>
      </c>
      <c r="I157" s="85">
        <v>600</v>
      </c>
      <c r="J157" s="65" t="s">
        <v>106</v>
      </c>
      <c r="K157" s="86" t="s">
        <v>110</v>
      </c>
      <c r="L157" s="65"/>
      <c r="M157" s="91"/>
      <c r="N157" s="63"/>
      <c r="O157" s="63"/>
      <c r="P157" s="81"/>
      <c r="Q157" s="81"/>
      <c r="R157" s="81"/>
      <c r="S157" s="81"/>
      <c r="T157" s="81"/>
      <c r="U157" s="81"/>
      <c r="V157" s="81"/>
      <c r="W157" s="81"/>
    </row>
    <row r="158" s="3" customFormat="1" ht="18" customHeight="1" spans="1:23">
      <c r="A158" s="74"/>
      <c r="B158" s="25">
        <f t="shared" si="11"/>
        <v>0</v>
      </c>
      <c r="C158" s="75"/>
      <c r="D158" s="50"/>
      <c r="E158" s="77"/>
      <c r="F158" s="58">
        <f t="shared" si="12"/>
        <v>0</v>
      </c>
      <c r="G158" s="78"/>
      <c r="H158" s="69" t="s">
        <v>220</v>
      </c>
      <c r="I158" s="85">
        <v>600</v>
      </c>
      <c r="J158" s="65" t="s">
        <v>106</v>
      </c>
      <c r="K158" s="86" t="s">
        <v>110</v>
      </c>
      <c r="L158" s="65"/>
      <c r="M158" s="91"/>
      <c r="N158" s="63"/>
      <c r="O158" s="63"/>
      <c r="P158" s="81"/>
      <c r="Q158" s="81"/>
      <c r="R158" s="81"/>
      <c r="S158" s="81"/>
      <c r="T158" s="81"/>
      <c r="U158" s="81"/>
      <c r="V158" s="81"/>
      <c r="W158" s="81"/>
    </row>
    <row r="159" s="3" customFormat="1" ht="18" customHeight="1" spans="1:23">
      <c r="A159" s="74"/>
      <c r="B159" s="25">
        <f t="shared" si="11"/>
        <v>0</v>
      </c>
      <c r="C159" s="75"/>
      <c r="D159" s="50"/>
      <c r="E159" s="77"/>
      <c r="F159" s="58">
        <f t="shared" si="12"/>
        <v>0</v>
      </c>
      <c r="G159" s="78"/>
      <c r="H159" s="69" t="s">
        <v>195</v>
      </c>
      <c r="I159" s="85">
        <v>200</v>
      </c>
      <c r="J159" s="65" t="s">
        <v>106</v>
      </c>
      <c r="K159" s="86" t="s">
        <v>110</v>
      </c>
      <c r="L159" s="65"/>
      <c r="M159" s="91"/>
      <c r="N159" s="63"/>
      <c r="O159" s="63"/>
      <c r="P159" s="81"/>
      <c r="Q159" s="81"/>
      <c r="R159" s="81"/>
      <c r="S159" s="81"/>
      <c r="T159" s="81"/>
      <c r="U159" s="81"/>
      <c r="V159" s="81"/>
      <c r="W159" s="81"/>
    </row>
    <row r="160" s="3" customFormat="1" ht="18" customHeight="1" spans="1:23">
      <c r="A160" s="74"/>
      <c r="B160" s="25">
        <f t="shared" si="11"/>
        <v>0</v>
      </c>
      <c r="C160" s="75"/>
      <c r="D160" s="50"/>
      <c r="E160" s="77"/>
      <c r="F160" s="58">
        <f t="shared" si="12"/>
        <v>0</v>
      </c>
      <c r="G160" s="78"/>
      <c r="H160" s="69" t="s">
        <v>195</v>
      </c>
      <c r="I160" s="85">
        <v>100</v>
      </c>
      <c r="J160" s="65" t="s">
        <v>106</v>
      </c>
      <c r="K160" s="86" t="s">
        <v>110</v>
      </c>
      <c r="L160" s="65"/>
      <c r="M160" s="91"/>
      <c r="N160" s="63"/>
      <c r="O160" s="63"/>
      <c r="P160" s="81"/>
      <c r="Q160" s="81"/>
      <c r="R160" s="81"/>
      <c r="S160" s="81"/>
      <c r="T160" s="81"/>
      <c r="U160" s="81"/>
      <c r="V160" s="81"/>
      <c r="W160" s="81"/>
    </row>
    <row r="161" s="3" customFormat="1" ht="18" customHeight="1" spans="1:23">
      <c r="A161" s="74"/>
      <c r="B161" s="25">
        <f t="shared" si="11"/>
        <v>0</v>
      </c>
      <c r="C161" s="75"/>
      <c r="D161" s="50"/>
      <c r="E161" s="77"/>
      <c r="F161" s="58">
        <f t="shared" si="12"/>
        <v>0</v>
      </c>
      <c r="G161" s="78"/>
      <c r="H161" s="69" t="s">
        <v>195</v>
      </c>
      <c r="I161" s="178">
        <v>204415</v>
      </c>
      <c r="J161" s="65" t="s">
        <v>106</v>
      </c>
      <c r="K161" s="86" t="s">
        <v>219</v>
      </c>
      <c r="L161" s="65"/>
      <c r="M161" s="91"/>
      <c r="N161" s="63"/>
      <c r="O161" s="63"/>
      <c r="P161" s="81"/>
      <c r="Q161" s="81"/>
      <c r="R161" s="81"/>
      <c r="S161" s="81"/>
      <c r="T161" s="81"/>
      <c r="U161" s="81"/>
      <c r="V161" s="81"/>
      <c r="W161" s="81"/>
    </row>
    <row r="162" s="3" customFormat="1" ht="18" customHeight="1" spans="1:23">
      <c r="A162" s="74"/>
      <c r="B162" s="25">
        <f t="shared" si="11"/>
        <v>0</v>
      </c>
      <c r="C162" s="75"/>
      <c r="D162" s="50"/>
      <c r="E162" s="77"/>
      <c r="F162" s="58">
        <f t="shared" si="12"/>
        <v>0</v>
      </c>
      <c r="G162" s="78"/>
      <c r="H162" s="69" t="s">
        <v>195</v>
      </c>
      <c r="I162" s="85">
        <v>103400</v>
      </c>
      <c r="J162" s="65" t="s">
        <v>106</v>
      </c>
      <c r="K162" s="86" t="s">
        <v>221</v>
      </c>
      <c r="L162" s="65"/>
      <c r="M162" s="91"/>
      <c r="N162" s="63"/>
      <c r="O162" s="63"/>
      <c r="P162" s="81"/>
      <c r="Q162" s="81"/>
      <c r="R162" s="81"/>
      <c r="S162" s="81"/>
      <c r="T162" s="81"/>
      <c r="U162" s="81"/>
      <c r="V162" s="81"/>
      <c r="W162" s="81"/>
    </row>
    <row r="163" s="3" customFormat="1" ht="18" customHeight="1" spans="1:23">
      <c r="A163" s="74"/>
      <c r="B163" s="25">
        <f t="shared" si="11"/>
        <v>0</v>
      </c>
      <c r="C163" s="75"/>
      <c r="D163" s="50"/>
      <c r="E163" s="77"/>
      <c r="F163" s="58">
        <f t="shared" si="12"/>
        <v>0</v>
      </c>
      <c r="G163" s="78"/>
      <c r="H163" s="69" t="s">
        <v>195</v>
      </c>
      <c r="I163" s="85">
        <v>2846</v>
      </c>
      <c r="J163" s="65" t="s">
        <v>106</v>
      </c>
      <c r="K163" s="86" t="s">
        <v>222</v>
      </c>
      <c r="L163" s="65"/>
      <c r="M163" s="91"/>
      <c r="N163" s="63"/>
      <c r="O163" s="63"/>
      <c r="P163" s="81"/>
      <c r="Q163" s="81"/>
      <c r="R163" s="81"/>
      <c r="S163" s="81"/>
      <c r="T163" s="81"/>
      <c r="U163" s="81"/>
      <c r="V163" s="81"/>
      <c r="W163" s="81"/>
    </row>
    <row r="164" s="3" customFormat="1" ht="18" customHeight="1" spans="1:23">
      <c r="A164" s="74"/>
      <c r="B164" s="25">
        <f t="shared" si="11"/>
        <v>25850</v>
      </c>
      <c r="C164" s="75"/>
      <c r="D164" s="50"/>
      <c r="E164" s="77"/>
      <c r="F164" s="58">
        <f t="shared" si="12"/>
        <v>0</v>
      </c>
      <c r="G164" s="78">
        <f>I164</f>
        <v>25850</v>
      </c>
      <c r="H164" s="69" t="s">
        <v>195</v>
      </c>
      <c r="I164" s="85">
        <v>25850</v>
      </c>
      <c r="J164" s="65" t="s">
        <v>106</v>
      </c>
      <c r="K164" s="86" t="s">
        <v>223</v>
      </c>
      <c r="L164" s="65"/>
      <c r="M164" s="91"/>
      <c r="N164" s="63"/>
      <c r="O164" s="63"/>
      <c r="P164" s="81"/>
      <c r="Q164" s="81"/>
      <c r="R164" s="81"/>
      <c r="S164" s="81"/>
      <c r="T164" s="81"/>
      <c r="U164" s="81"/>
      <c r="V164" s="81"/>
      <c r="W164" s="81"/>
    </row>
    <row r="165" s="3" customFormat="1" ht="18" customHeight="1" spans="1:23">
      <c r="A165" s="74"/>
      <c r="B165" s="25">
        <f t="shared" si="11"/>
        <v>0</v>
      </c>
      <c r="C165" s="75"/>
      <c r="D165" s="50"/>
      <c r="E165" s="77"/>
      <c r="F165" s="58">
        <f t="shared" si="12"/>
        <v>0</v>
      </c>
      <c r="G165" s="78"/>
      <c r="H165" s="69"/>
      <c r="I165" s="85">
        <v>-300000</v>
      </c>
      <c r="J165" s="65"/>
      <c r="K165" s="65" t="s">
        <v>162</v>
      </c>
      <c r="L165" s="65"/>
      <c r="M165" s="91"/>
      <c r="N165" s="63"/>
      <c r="O165" s="63"/>
      <c r="P165" s="81"/>
      <c r="Q165" s="81"/>
      <c r="R165" s="81"/>
      <c r="S165" s="81"/>
      <c r="T165" s="81"/>
      <c r="U165" s="81"/>
      <c r="V165" s="81"/>
      <c r="W165" s="81"/>
    </row>
    <row r="166" s="3" customFormat="1" ht="18" customHeight="1" spans="1:23">
      <c r="A166" s="74"/>
      <c r="B166" s="25">
        <f t="shared" si="11"/>
        <v>0</v>
      </c>
      <c r="C166" s="75"/>
      <c r="D166" s="50"/>
      <c r="E166" s="77"/>
      <c r="F166" s="58">
        <f t="shared" si="12"/>
        <v>0</v>
      </c>
      <c r="G166" s="78"/>
      <c r="H166" s="69">
        <v>44081</v>
      </c>
      <c r="I166" s="85">
        <v>50</v>
      </c>
      <c r="J166" s="65" t="s">
        <v>106</v>
      </c>
      <c r="K166" s="86" t="s">
        <v>110</v>
      </c>
      <c r="L166" s="65"/>
      <c r="M166" s="91"/>
      <c r="N166" s="63"/>
      <c r="O166" s="63"/>
      <c r="P166" s="81"/>
      <c r="Q166" s="81"/>
      <c r="R166" s="81"/>
      <c r="S166" s="81"/>
      <c r="T166" s="81"/>
      <c r="U166" s="81"/>
      <c r="V166" s="81"/>
      <c r="W166" s="81"/>
    </row>
    <row r="167" s="3" customFormat="1" ht="18" customHeight="1" spans="1:23">
      <c r="A167" s="74"/>
      <c r="B167" s="25">
        <f t="shared" si="11"/>
        <v>0</v>
      </c>
      <c r="C167" s="75"/>
      <c r="D167" s="50"/>
      <c r="E167" s="77"/>
      <c r="F167" s="58">
        <f t="shared" si="12"/>
        <v>0</v>
      </c>
      <c r="G167" s="78"/>
      <c r="H167" s="69">
        <v>44060</v>
      </c>
      <c r="I167" s="85">
        <v>350</v>
      </c>
      <c r="J167" s="65" t="s">
        <v>106</v>
      </c>
      <c r="K167" s="86" t="s">
        <v>110</v>
      </c>
      <c r="L167" s="65"/>
      <c r="M167" s="91"/>
      <c r="N167" s="63"/>
      <c r="O167" s="63"/>
      <c r="P167" s="81"/>
      <c r="Q167" s="81"/>
      <c r="R167" s="81"/>
      <c r="S167" s="81"/>
      <c r="T167" s="81"/>
      <c r="U167" s="81"/>
      <c r="V167" s="81"/>
      <c r="W167" s="81"/>
    </row>
    <row r="168" s="3" customFormat="1" ht="18" customHeight="1" spans="1:23">
      <c r="A168" s="74"/>
      <c r="B168" s="25">
        <f t="shared" si="11"/>
        <v>0</v>
      </c>
      <c r="C168" s="75"/>
      <c r="D168" s="50"/>
      <c r="E168" s="77"/>
      <c r="F168" s="58">
        <f t="shared" si="12"/>
        <v>0</v>
      </c>
      <c r="G168" s="78"/>
      <c r="H168" s="69">
        <v>44060</v>
      </c>
      <c r="I168" s="85">
        <v>5480</v>
      </c>
      <c r="J168" s="65" t="s">
        <v>106</v>
      </c>
      <c r="K168" s="94" t="s">
        <v>190</v>
      </c>
      <c r="L168" s="65"/>
      <c r="M168" s="91"/>
      <c r="N168" s="63"/>
      <c r="O168" s="63"/>
      <c r="P168" s="81"/>
      <c r="Q168" s="81"/>
      <c r="R168" s="81"/>
      <c r="S168" s="81"/>
      <c r="T168" s="81"/>
      <c r="U168" s="81"/>
      <c r="V168" s="81"/>
      <c r="W168" s="81"/>
    </row>
    <row r="169" s="3" customFormat="1" ht="18" customHeight="1" spans="1:23">
      <c r="A169" s="74"/>
      <c r="B169" s="25">
        <f t="shared" si="11"/>
        <v>0</v>
      </c>
      <c r="C169" s="75"/>
      <c r="D169" s="50"/>
      <c r="E169" s="77"/>
      <c r="F169" s="58">
        <f t="shared" si="12"/>
        <v>0</v>
      </c>
      <c r="G169" s="78"/>
      <c r="H169" s="69">
        <v>44060</v>
      </c>
      <c r="I169" s="85">
        <v>34400</v>
      </c>
      <c r="J169" s="65" t="s">
        <v>106</v>
      </c>
      <c r="K169" s="64" t="s">
        <v>224</v>
      </c>
      <c r="L169" s="65"/>
      <c r="M169" s="91"/>
      <c r="N169" s="63"/>
      <c r="O169" s="63"/>
      <c r="P169" s="81"/>
      <c r="Q169" s="81"/>
      <c r="R169" s="81"/>
      <c r="S169" s="81"/>
      <c r="T169" s="81"/>
      <c r="U169" s="81"/>
      <c r="V169" s="81"/>
      <c r="W169" s="81"/>
    </row>
    <row r="170" s="3" customFormat="1" ht="18" customHeight="1" spans="1:23">
      <c r="A170" s="74"/>
      <c r="B170" s="25">
        <f t="shared" si="11"/>
        <v>0</v>
      </c>
      <c r="C170" s="75"/>
      <c r="D170" s="50"/>
      <c r="E170" s="77"/>
      <c r="F170" s="58">
        <f t="shared" si="12"/>
        <v>0</v>
      </c>
      <c r="G170" s="78"/>
      <c r="H170" s="69">
        <v>44060</v>
      </c>
      <c r="I170" s="85">
        <v>947</v>
      </c>
      <c r="J170" s="65" t="s">
        <v>106</v>
      </c>
      <c r="K170" s="64" t="s">
        <v>225</v>
      </c>
      <c r="L170" s="65"/>
      <c r="M170" s="91"/>
      <c r="N170" s="63"/>
      <c r="O170" s="63"/>
      <c r="P170" s="81"/>
      <c r="Q170" s="81"/>
      <c r="R170" s="81"/>
      <c r="S170" s="81"/>
      <c r="T170" s="81"/>
      <c r="U170" s="81"/>
      <c r="V170" s="81"/>
      <c r="W170" s="81"/>
    </row>
    <row r="171" s="3" customFormat="1" ht="18" customHeight="1" spans="1:23">
      <c r="A171" s="74"/>
      <c r="B171" s="25">
        <f t="shared" si="11"/>
        <v>1720</v>
      </c>
      <c r="C171" s="75"/>
      <c r="D171" s="50"/>
      <c r="E171" s="77"/>
      <c r="F171" s="58">
        <f t="shared" si="12"/>
        <v>0</v>
      </c>
      <c r="G171" s="78">
        <f>I171</f>
        <v>1720</v>
      </c>
      <c r="H171" s="69">
        <v>44060</v>
      </c>
      <c r="I171" s="85">
        <v>1720</v>
      </c>
      <c r="J171" s="65" t="s">
        <v>106</v>
      </c>
      <c r="K171" s="86" t="s">
        <v>226</v>
      </c>
      <c r="L171" s="65"/>
      <c r="M171" s="65"/>
      <c r="N171" s="63"/>
      <c r="O171" s="63"/>
      <c r="P171" s="81"/>
      <c r="Q171" s="81"/>
      <c r="R171" s="81"/>
      <c r="S171" s="81"/>
      <c r="T171" s="81"/>
      <c r="U171" s="81"/>
      <c r="V171" s="81"/>
      <c r="W171" s="81"/>
    </row>
    <row r="172" s="3" customFormat="1" ht="18" customHeight="1" spans="1:23">
      <c r="A172" s="74"/>
      <c r="B172" s="25">
        <f t="shared" si="11"/>
        <v>6880</v>
      </c>
      <c r="C172" s="75"/>
      <c r="D172" s="50"/>
      <c r="E172" s="77"/>
      <c r="F172" s="58">
        <f t="shared" si="12"/>
        <v>0</v>
      </c>
      <c r="G172" s="78">
        <f>I172</f>
        <v>6880</v>
      </c>
      <c r="H172" s="69">
        <v>44060</v>
      </c>
      <c r="I172" s="85">
        <v>6880</v>
      </c>
      <c r="J172" s="65" t="s">
        <v>106</v>
      </c>
      <c r="K172" s="86" t="s">
        <v>226</v>
      </c>
      <c r="L172" s="65"/>
      <c r="M172" s="65"/>
      <c r="N172" s="63"/>
      <c r="O172" s="63"/>
      <c r="P172" s="81"/>
      <c r="Q172" s="81"/>
      <c r="R172" s="81"/>
      <c r="S172" s="81"/>
      <c r="T172" s="81"/>
      <c r="U172" s="81"/>
      <c r="V172" s="81"/>
      <c r="W172" s="81"/>
    </row>
    <row r="173" s="3" customFormat="1" ht="18" customHeight="1" spans="1:23">
      <c r="A173" s="74"/>
      <c r="B173" s="25">
        <f t="shared" si="11"/>
        <v>0</v>
      </c>
      <c r="C173" s="75"/>
      <c r="D173" s="50"/>
      <c r="E173" s="77"/>
      <c r="F173" s="58">
        <f t="shared" si="12"/>
        <v>0</v>
      </c>
      <c r="G173" s="78"/>
      <c r="H173" s="69">
        <v>44019</v>
      </c>
      <c r="I173" s="85">
        <v>200</v>
      </c>
      <c r="J173" s="65" t="s">
        <v>106</v>
      </c>
      <c r="K173" s="86" t="s">
        <v>110</v>
      </c>
      <c r="L173" s="65"/>
      <c r="M173" s="65"/>
      <c r="N173" s="63"/>
      <c r="O173" s="63"/>
      <c r="P173" s="81"/>
      <c r="Q173" s="81"/>
      <c r="R173" s="81"/>
      <c r="S173" s="81"/>
      <c r="T173" s="81"/>
      <c r="U173" s="81"/>
      <c r="V173" s="81"/>
      <c r="W173" s="81"/>
    </row>
    <row r="174" s="3" customFormat="1" ht="18" customHeight="1" spans="1:23">
      <c r="A174" s="74"/>
      <c r="B174" s="25">
        <f t="shared" si="11"/>
        <v>0</v>
      </c>
      <c r="C174" s="75"/>
      <c r="D174" s="50"/>
      <c r="E174" s="77"/>
      <c r="F174" s="58">
        <f t="shared" si="12"/>
        <v>0</v>
      </c>
      <c r="G174" s="78"/>
      <c r="H174" s="69">
        <v>44012</v>
      </c>
      <c r="I174" s="85">
        <v>-2000000</v>
      </c>
      <c r="J174" s="65"/>
      <c r="K174" s="65" t="s">
        <v>162</v>
      </c>
      <c r="L174" s="65"/>
      <c r="M174" s="65"/>
      <c r="N174" s="63"/>
      <c r="O174" s="63"/>
      <c r="P174" s="81"/>
      <c r="Q174" s="81"/>
      <c r="R174" s="81"/>
      <c r="S174" s="81"/>
      <c r="T174" s="81"/>
      <c r="U174" s="81"/>
      <c r="V174" s="81"/>
      <c r="W174" s="81"/>
    </row>
    <row r="175" s="3" customFormat="1" ht="18" customHeight="1" spans="1:23">
      <c r="A175" s="74"/>
      <c r="B175" s="25">
        <f t="shared" si="11"/>
        <v>0</v>
      </c>
      <c r="C175" s="75"/>
      <c r="D175" s="50"/>
      <c r="E175" s="77"/>
      <c r="F175" s="58">
        <f t="shared" si="12"/>
        <v>0</v>
      </c>
      <c r="G175" s="78"/>
      <c r="H175" s="69">
        <v>44012</v>
      </c>
      <c r="I175" s="34">
        <v>100</v>
      </c>
      <c r="J175" s="65" t="s">
        <v>106</v>
      </c>
      <c r="K175" s="65" t="s">
        <v>110</v>
      </c>
      <c r="L175" s="65"/>
      <c r="M175" s="65"/>
      <c r="N175" s="63"/>
      <c r="O175" s="63"/>
      <c r="P175" s="81"/>
      <c r="Q175" s="81"/>
      <c r="R175" s="81"/>
      <c r="S175" s="81"/>
      <c r="T175" s="81"/>
      <c r="U175" s="81"/>
      <c r="V175" s="81"/>
      <c r="W175" s="81"/>
    </row>
    <row r="176" s="3" customFormat="1" ht="17.1" customHeight="1" spans="1:23">
      <c r="A176" s="74"/>
      <c r="B176" s="25">
        <f t="shared" si="11"/>
        <v>0</v>
      </c>
      <c r="C176" s="75"/>
      <c r="D176" s="50"/>
      <c r="E176" s="77"/>
      <c r="F176" s="58">
        <f t="shared" si="12"/>
        <v>0</v>
      </c>
      <c r="G176" s="78"/>
      <c r="H176" s="69">
        <v>44005</v>
      </c>
      <c r="I176" s="34">
        <v>100</v>
      </c>
      <c r="J176" s="65" t="s">
        <v>106</v>
      </c>
      <c r="K176" s="65" t="s">
        <v>110</v>
      </c>
      <c r="L176" s="65"/>
      <c r="M176" s="65"/>
      <c r="N176" s="63"/>
      <c r="O176" s="63"/>
      <c r="P176" s="81"/>
      <c r="Q176" s="81"/>
      <c r="R176" s="81"/>
      <c r="S176" s="81"/>
      <c r="T176" s="81"/>
      <c r="U176" s="81"/>
      <c r="V176" s="81"/>
      <c r="W176" s="81"/>
    </row>
    <row r="177" s="3" customFormat="1" ht="17.1" customHeight="1" spans="1:23">
      <c r="A177" s="74"/>
      <c r="B177" s="25">
        <f t="shared" si="11"/>
        <v>0</v>
      </c>
      <c r="C177" s="75"/>
      <c r="D177" s="50"/>
      <c r="E177" s="77"/>
      <c r="F177" s="58">
        <f t="shared" si="12"/>
        <v>0</v>
      </c>
      <c r="G177" s="78"/>
      <c r="H177" s="69">
        <v>44001</v>
      </c>
      <c r="I177" s="65">
        <v>100</v>
      </c>
      <c r="J177" s="65" t="s">
        <v>106</v>
      </c>
      <c r="K177" s="65" t="s">
        <v>110</v>
      </c>
      <c r="L177" s="65"/>
      <c r="M177" s="65"/>
      <c r="N177" s="63"/>
      <c r="O177" s="63"/>
      <c r="P177" s="81"/>
      <c r="Q177" s="81"/>
      <c r="R177" s="81"/>
      <c r="S177" s="81"/>
      <c r="T177" s="81"/>
      <c r="U177" s="81"/>
      <c r="V177" s="81"/>
      <c r="W177" s="81"/>
    </row>
    <row r="178" s="3" customFormat="1" ht="17.1" customHeight="1" spans="1:23">
      <c r="A178" s="74"/>
      <c r="B178" s="25">
        <f t="shared" si="11"/>
        <v>0</v>
      </c>
      <c r="C178" s="75"/>
      <c r="D178" s="50"/>
      <c r="E178" s="77"/>
      <c r="F178" s="58">
        <f t="shared" si="12"/>
        <v>0</v>
      </c>
      <c r="G178" s="78"/>
      <c r="H178" s="69">
        <v>44000</v>
      </c>
      <c r="I178" s="65">
        <v>100</v>
      </c>
      <c r="J178" s="65" t="s">
        <v>106</v>
      </c>
      <c r="K178" s="65" t="s">
        <v>110</v>
      </c>
      <c r="L178" s="65"/>
      <c r="M178" s="65"/>
      <c r="N178" s="63"/>
      <c r="O178" s="63"/>
      <c r="P178" s="81"/>
      <c r="Q178" s="81"/>
      <c r="R178" s="81"/>
      <c r="S178" s="81"/>
      <c r="T178" s="81"/>
      <c r="U178" s="81"/>
      <c r="V178" s="81"/>
      <c r="W178" s="81"/>
    </row>
    <row r="179" s="3" customFormat="1" ht="17.1" customHeight="1" spans="1:23">
      <c r="A179" s="74"/>
      <c r="B179" s="25">
        <f t="shared" si="11"/>
        <v>0</v>
      </c>
      <c r="C179" s="75"/>
      <c r="D179" s="50"/>
      <c r="E179" s="77"/>
      <c r="F179" s="58">
        <f t="shared" si="12"/>
        <v>0</v>
      </c>
      <c r="G179" s="78"/>
      <c r="H179" s="69">
        <v>44000</v>
      </c>
      <c r="I179" s="65">
        <v>300</v>
      </c>
      <c r="J179" s="65" t="s">
        <v>106</v>
      </c>
      <c r="K179" s="64" t="s">
        <v>110</v>
      </c>
      <c r="L179" s="65"/>
      <c r="M179" s="65"/>
      <c r="N179" s="63"/>
      <c r="O179" s="63"/>
      <c r="P179" s="81"/>
      <c r="Q179" s="81"/>
      <c r="R179" s="81"/>
      <c r="S179" s="81"/>
      <c r="T179" s="81"/>
      <c r="U179" s="81"/>
      <c r="V179" s="81"/>
      <c r="W179" s="81"/>
    </row>
    <row r="180" s="3" customFormat="1" ht="17.1" customHeight="1" spans="1:23">
      <c r="A180" s="74"/>
      <c r="B180" s="25">
        <f t="shared" si="11"/>
        <v>0</v>
      </c>
      <c r="C180" s="75"/>
      <c r="D180" s="50"/>
      <c r="E180" s="77"/>
      <c r="F180" s="58">
        <f t="shared" si="12"/>
        <v>0</v>
      </c>
      <c r="G180" s="78"/>
      <c r="H180" s="69">
        <v>43994</v>
      </c>
      <c r="I180" s="92">
        <v>100</v>
      </c>
      <c r="J180" s="65" t="s">
        <v>106</v>
      </c>
      <c r="K180" s="64" t="s">
        <v>110</v>
      </c>
      <c r="L180" s="65"/>
      <c r="M180" s="65"/>
      <c r="N180" s="63"/>
      <c r="O180" s="63"/>
      <c r="P180" s="81"/>
      <c r="Q180" s="81"/>
      <c r="R180" s="81"/>
      <c r="S180" s="81"/>
      <c r="T180" s="81"/>
      <c r="U180" s="81"/>
      <c r="V180" s="81"/>
      <c r="W180" s="81"/>
    </row>
    <row r="181" s="3" customFormat="1" ht="18" customHeight="1" spans="1:23">
      <c r="A181" s="74"/>
      <c r="B181" s="25">
        <f t="shared" si="11"/>
        <v>0</v>
      </c>
      <c r="C181" s="75"/>
      <c r="D181" s="50"/>
      <c r="E181" s="77"/>
      <c r="F181" s="58">
        <f t="shared" si="12"/>
        <v>0</v>
      </c>
      <c r="G181" s="78"/>
      <c r="H181" s="69">
        <v>43994</v>
      </c>
      <c r="I181" s="95">
        <v>72400</v>
      </c>
      <c r="J181" s="65" t="s">
        <v>106</v>
      </c>
      <c r="K181" s="64" t="s">
        <v>227</v>
      </c>
      <c r="L181" s="65"/>
      <c r="M181" s="65"/>
      <c r="N181" s="63"/>
      <c r="O181" s="63"/>
      <c r="P181" s="81"/>
      <c r="Q181" s="81"/>
      <c r="R181" s="81"/>
      <c r="S181" s="81"/>
      <c r="T181" s="81"/>
      <c r="U181" s="81"/>
      <c r="V181" s="81"/>
      <c r="W181" s="81"/>
    </row>
    <row r="182" s="3" customFormat="1" ht="18" customHeight="1" spans="1:23">
      <c r="A182" s="74"/>
      <c r="B182" s="25">
        <f t="shared" si="11"/>
        <v>0</v>
      </c>
      <c r="C182" s="75"/>
      <c r="D182" s="50"/>
      <c r="E182" s="77"/>
      <c r="F182" s="58">
        <f t="shared" si="12"/>
        <v>0</v>
      </c>
      <c r="G182" s="78"/>
      <c r="H182" s="69">
        <v>43994</v>
      </c>
      <c r="I182" s="34">
        <v>1992.66055045872</v>
      </c>
      <c r="J182" s="65" t="s">
        <v>106</v>
      </c>
      <c r="K182" s="64" t="s">
        <v>228</v>
      </c>
      <c r="L182" s="65"/>
      <c r="M182" s="65"/>
      <c r="N182" s="63"/>
      <c r="O182" s="63"/>
      <c r="P182" s="81"/>
      <c r="Q182" s="81"/>
      <c r="R182" s="81"/>
      <c r="S182" s="81"/>
      <c r="T182" s="81"/>
      <c r="U182" s="81"/>
      <c r="V182" s="81"/>
      <c r="W182" s="81"/>
    </row>
    <row r="183" s="3" customFormat="1" ht="18" customHeight="1" spans="1:23">
      <c r="A183" s="74"/>
      <c r="B183" s="25">
        <f t="shared" si="11"/>
        <v>0</v>
      </c>
      <c r="C183" s="75"/>
      <c r="D183" s="50"/>
      <c r="E183" s="77"/>
      <c r="F183" s="58">
        <f t="shared" si="12"/>
        <v>0</v>
      </c>
      <c r="G183" s="78"/>
      <c r="H183" s="69">
        <v>43994</v>
      </c>
      <c r="I183" s="34">
        <v>18100</v>
      </c>
      <c r="J183" s="65" t="s">
        <v>106</v>
      </c>
      <c r="K183" s="64" t="s">
        <v>229</v>
      </c>
      <c r="L183" s="65"/>
      <c r="M183" s="65"/>
      <c r="N183" s="63"/>
      <c r="O183" s="63"/>
      <c r="P183" s="81"/>
      <c r="Q183" s="81"/>
      <c r="R183" s="81"/>
      <c r="S183" s="81"/>
      <c r="T183" s="81"/>
      <c r="U183" s="81"/>
      <c r="V183" s="81"/>
      <c r="W183" s="81"/>
    </row>
    <row r="184" s="3" customFormat="1" ht="18" customHeight="1" spans="1:23">
      <c r="A184" s="74"/>
      <c r="B184" s="25">
        <f t="shared" si="11"/>
        <v>0</v>
      </c>
      <c r="C184" s="75"/>
      <c r="D184" s="50"/>
      <c r="E184" s="77"/>
      <c r="F184" s="58">
        <f t="shared" si="12"/>
        <v>0</v>
      </c>
      <c r="G184" s="78"/>
      <c r="H184" s="69">
        <v>43993</v>
      </c>
      <c r="I184" s="34">
        <v>100</v>
      </c>
      <c r="J184" s="65" t="s">
        <v>106</v>
      </c>
      <c r="K184" s="64" t="s">
        <v>110</v>
      </c>
      <c r="L184" s="65"/>
      <c r="M184" s="65"/>
      <c r="N184" s="63"/>
      <c r="O184" s="63"/>
      <c r="P184" s="81"/>
      <c r="Q184" s="81"/>
      <c r="R184" s="81"/>
      <c r="S184" s="81"/>
      <c r="T184" s="81"/>
      <c r="U184" s="81"/>
      <c r="V184" s="81"/>
      <c r="W184" s="81"/>
    </row>
    <row r="185" s="3" customFormat="1" ht="18" customHeight="1" spans="1:23">
      <c r="A185" s="74"/>
      <c r="B185" s="25">
        <f t="shared" si="11"/>
        <v>0</v>
      </c>
      <c r="C185" s="75"/>
      <c r="D185" s="50"/>
      <c r="E185" s="77"/>
      <c r="F185" s="58">
        <f t="shared" si="12"/>
        <v>0</v>
      </c>
      <c r="G185" s="78"/>
      <c r="H185" s="69">
        <v>43966</v>
      </c>
      <c r="I185" s="34">
        <v>100</v>
      </c>
      <c r="J185" s="65" t="s">
        <v>106</v>
      </c>
      <c r="K185" s="64" t="s">
        <v>110</v>
      </c>
      <c r="L185" s="65"/>
      <c r="M185" s="65"/>
      <c r="N185" s="63"/>
      <c r="O185" s="63"/>
      <c r="P185" s="81"/>
      <c r="Q185" s="81"/>
      <c r="R185" s="81"/>
      <c r="S185" s="81"/>
      <c r="T185" s="81"/>
      <c r="U185" s="81"/>
      <c r="V185" s="81"/>
      <c r="W185" s="81"/>
    </row>
    <row r="186" s="3" customFormat="1" ht="18" customHeight="1" spans="1:23">
      <c r="A186" s="74"/>
      <c r="B186" s="25">
        <f t="shared" si="11"/>
        <v>0</v>
      </c>
      <c r="C186" s="75"/>
      <c r="D186" s="50"/>
      <c r="E186" s="77"/>
      <c r="F186" s="58">
        <f t="shared" si="12"/>
        <v>0</v>
      </c>
      <c r="G186" s="78"/>
      <c r="H186" s="50">
        <v>10.2</v>
      </c>
      <c r="I186" s="34">
        <v>100</v>
      </c>
      <c r="J186" s="65" t="s">
        <v>106</v>
      </c>
      <c r="K186" s="64" t="s">
        <v>110</v>
      </c>
      <c r="L186" s="65"/>
      <c r="M186" s="65"/>
      <c r="N186" s="63"/>
      <c r="O186" s="63"/>
      <c r="P186" s="81"/>
      <c r="Q186" s="81"/>
      <c r="R186" s="81"/>
      <c r="S186" s="81"/>
      <c r="T186" s="81"/>
      <c r="U186" s="81"/>
      <c r="V186" s="81"/>
      <c r="W186" s="81"/>
    </row>
    <row r="187" s="3" customFormat="1" ht="18" customHeight="1" spans="1:23">
      <c r="A187" s="74"/>
      <c r="B187" s="25">
        <f t="shared" si="11"/>
        <v>0</v>
      </c>
      <c r="C187" s="75"/>
      <c r="D187" s="50"/>
      <c r="E187" s="77"/>
      <c r="F187" s="58">
        <f t="shared" si="12"/>
        <v>0</v>
      </c>
      <c r="G187" s="78"/>
      <c r="H187" s="50">
        <v>10.1</v>
      </c>
      <c r="I187" s="34">
        <v>100</v>
      </c>
      <c r="J187" s="65" t="s">
        <v>106</v>
      </c>
      <c r="K187" s="64" t="s">
        <v>110</v>
      </c>
      <c r="L187" s="65"/>
      <c r="M187" s="65"/>
      <c r="N187" s="63"/>
      <c r="O187" s="63"/>
      <c r="P187" s="81"/>
      <c r="Q187" s="81"/>
      <c r="R187" s="81"/>
      <c r="S187" s="81"/>
      <c r="T187" s="81"/>
      <c r="U187" s="81"/>
      <c r="V187" s="81"/>
      <c r="W187" s="81"/>
    </row>
    <row r="188" s="3" customFormat="1" ht="18" customHeight="1" spans="1:23">
      <c r="A188" s="74"/>
      <c r="B188" s="25">
        <f t="shared" si="11"/>
        <v>0</v>
      </c>
      <c r="C188" s="75"/>
      <c r="D188" s="50"/>
      <c r="E188" s="77"/>
      <c r="F188" s="58">
        <f t="shared" si="12"/>
        <v>0</v>
      </c>
      <c r="G188" s="78"/>
      <c r="H188" s="50">
        <v>10.1</v>
      </c>
      <c r="I188" s="34">
        <f>B12*0.0006</f>
        <v>853.211009174312</v>
      </c>
      <c r="J188" s="65" t="s">
        <v>106</v>
      </c>
      <c r="K188" s="64" t="s">
        <v>230</v>
      </c>
      <c r="L188" s="65"/>
      <c r="M188" s="65"/>
      <c r="N188" s="63"/>
      <c r="O188" s="63"/>
      <c r="P188" s="81"/>
      <c r="Q188" s="81"/>
      <c r="R188" s="81"/>
      <c r="S188" s="81"/>
      <c r="T188" s="81"/>
      <c r="U188" s="81"/>
      <c r="V188" s="81"/>
      <c r="W188" s="81"/>
    </row>
    <row r="189" s="3" customFormat="1" ht="18" customHeight="1" spans="1:23">
      <c r="A189" s="74"/>
      <c r="B189" s="25">
        <f t="shared" si="11"/>
        <v>0</v>
      </c>
      <c r="C189" s="75"/>
      <c r="D189" s="50"/>
      <c r="E189" s="77"/>
      <c r="F189" s="58">
        <f t="shared" si="12"/>
        <v>0</v>
      </c>
      <c r="G189" s="78"/>
      <c r="H189" s="50">
        <v>10.1</v>
      </c>
      <c r="I189" s="34">
        <f>B12*0.02</f>
        <v>28440.3669724771</v>
      </c>
      <c r="J189" s="65" t="s">
        <v>106</v>
      </c>
      <c r="K189" s="64" t="s">
        <v>231</v>
      </c>
      <c r="L189" s="65"/>
      <c r="M189" s="65"/>
      <c r="N189" s="63"/>
      <c r="O189" s="63"/>
      <c r="P189" s="81"/>
      <c r="Q189" s="81"/>
      <c r="R189" s="81"/>
      <c r="S189" s="81"/>
      <c r="T189" s="81"/>
      <c r="U189" s="81"/>
      <c r="V189" s="81"/>
      <c r="W189" s="81"/>
    </row>
    <row r="190" s="3" customFormat="1" ht="18" customHeight="1" spans="1:23">
      <c r="A190" s="74"/>
      <c r="B190" s="25">
        <f t="shared" si="11"/>
        <v>0</v>
      </c>
      <c r="C190" s="75"/>
      <c r="D190" s="50"/>
      <c r="E190" s="77"/>
      <c r="F190" s="58">
        <f t="shared" si="12"/>
        <v>0</v>
      </c>
      <c r="G190" s="78"/>
      <c r="H190" s="50">
        <v>10.1</v>
      </c>
      <c r="I190" s="34">
        <f>G12*0.005</f>
        <v>7750</v>
      </c>
      <c r="J190" s="65" t="s">
        <v>106</v>
      </c>
      <c r="K190" s="64" t="s">
        <v>232</v>
      </c>
      <c r="L190" s="65"/>
      <c r="M190" s="65"/>
      <c r="N190" s="63"/>
      <c r="O190" s="63"/>
      <c r="P190" s="81"/>
      <c r="Q190" s="81"/>
      <c r="R190" s="81"/>
      <c r="S190" s="81"/>
      <c r="T190" s="81"/>
      <c r="U190" s="81"/>
      <c r="V190" s="81"/>
      <c r="W190" s="81"/>
    </row>
    <row r="191" s="3" customFormat="1" ht="18" customHeight="1" spans="1:23">
      <c r="A191" s="74"/>
      <c r="B191" s="25">
        <f t="shared" si="11"/>
        <v>0</v>
      </c>
      <c r="C191" s="75"/>
      <c r="D191" s="50"/>
      <c r="E191" s="77"/>
      <c r="F191" s="58">
        <f t="shared" si="12"/>
        <v>0</v>
      </c>
      <c r="G191" s="78"/>
      <c r="H191" s="69" t="s">
        <v>109</v>
      </c>
      <c r="I191" s="34">
        <v>200</v>
      </c>
      <c r="J191" s="65" t="s">
        <v>106</v>
      </c>
      <c r="K191" s="64" t="s">
        <v>110</v>
      </c>
      <c r="L191" s="65"/>
      <c r="M191" s="65"/>
      <c r="N191" s="63"/>
      <c r="O191" s="63"/>
      <c r="P191" s="81"/>
      <c r="Q191" s="81"/>
      <c r="R191" s="81"/>
      <c r="S191" s="81"/>
      <c r="T191" s="81"/>
      <c r="U191" s="81"/>
      <c r="V191" s="81"/>
      <c r="W191" s="81"/>
    </row>
    <row r="192" s="3" customFormat="1" ht="18" customHeight="1" spans="1:23">
      <c r="A192" s="74"/>
      <c r="B192" s="25">
        <f t="shared" si="11"/>
        <v>0</v>
      </c>
      <c r="C192" s="75"/>
      <c r="D192" s="50"/>
      <c r="E192" s="77"/>
      <c r="F192" s="58">
        <f t="shared" si="12"/>
        <v>0</v>
      </c>
      <c r="G192" s="78"/>
      <c r="H192" s="69" t="s">
        <v>111</v>
      </c>
      <c r="I192" s="89">
        <v>-285325</v>
      </c>
      <c r="J192" s="163" t="s">
        <v>112</v>
      </c>
      <c r="K192" s="179" t="s">
        <v>158</v>
      </c>
      <c r="L192" s="65"/>
      <c r="M192" s="65"/>
      <c r="N192" s="63"/>
      <c r="O192" s="63"/>
      <c r="P192" s="81"/>
      <c r="Q192" s="81"/>
      <c r="R192" s="81"/>
      <c r="S192" s="81"/>
      <c r="T192" s="81"/>
      <c r="U192" s="81"/>
      <c r="V192" s="81"/>
      <c r="W192" s="81"/>
    </row>
    <row r="193" s="3" customFormat="1" ht="18" customHeight="1" spans="1:23">
      <c r="A193" s="74"/>
      <c r="B193" s="25">
        <f t="shared" si="11"/>
        <v>0</v>
      </c>
      <c r="C193" s="75"/>
      <c r="D193" s="76"/>
      <c r="E193" s="77"/>
      <c r="F193" s="58">
        <f t="shared" si="12"/>
        <v>0</v>
      </c>
      <c r="G193" s="78"/>
      <c r="H193" s="69" t="s">
        <v>111</v>
      </c>
      <c r="I193" s="34">
        <v>200</v>
      </c>
      <c r="J193" s="65" t="s">
        <v>106</v>
      </c>
      <c r="K193" s="64" t="s">
        <v>110</v>
      </c>
      <c r="L193" s="65"/>
      <c r="M193" s="65"/>
      <c r="N193" s="63"/>
      <c r="O193" s="63"/>
      <c r="P193" s="81"/>
      <c r="Q193" s="81"/>
      <c r="R193" s="81"/>
      <c r="S193" s="81"/>
      <c r="T193" s="81"/>
      <c r="U193" s="81"/>
      <c r="V193" s="81"/>
      <c r="W193" s="81"/>
    </row>
    <row r="194" s="3" customFormat="1" ht="18" customHeight="1" spans="1:23">
      <c r="A194" s="74"/>
      <c r="B194" s="25">
        <f t="shared" ref="B194:B212" si="13">ROUND(G194/(1+E194),2)</f>
        <v>0</v>
      </c>
      <c r="C194" s="75"/>
      <c r="D194" s="76"/>
      <c r="E194" s="77"/>
      <c r="F194" s="58">
        <f t="shared" ref="F194:F212" si="14">ROUND(G194/(1+E194)*E194,2)</f>
        <v>0</v>
      </c>
      <c r="G194" s="78"/>
      <c r="H194" s="69" t="s">
        <v>113</v>
      </c>
      <c r="I194" s="34">
        <v>300</v>
      </c>
      <c r="J194" s="65" t="s">
        <v>106</v>
      </c>
      <c r="K194" s="64" t="s">
        <v>110</v>
      </c>
      <c r="L194" s="65"/>
      <c r="M194" s="65"/>
      <c r="N194" s="63"/>
      <c r="O194" s="63"/>
      <c r="P194" s="81"/>
      <c r="Q194" s="81"/>
      <c r="R194" s="81"/>
      <c r="S194" s="81"/>
      <c r="T194" s="81"/>
      <c r="U194" s="81"/>
      <c r="V194" s="81"/>
      <c r="W194" s="81"/>
    </row>
    <row r="195" s="3" customFormat="1" ht="18" customHeight="1" spans="1:23">
      <c r="A195" s="74"/>
      <c r="B195" s="25">
        <f t="shared" si="13"/>
        <v>0</v>
      </c>
      <c r="C195" s="75"/>
      <c r="D195" s="76"/>
      <c r="E195" s="77"/>
      <c r="F195" s="58">
        <f t="shared" si="14"/>
        <v>0</v>
      </c>
      <c r="G195" s="78"/>
      <c r="H195" s="69" t="s">
        <v>114</v>
      </c>
      <c r="I195" s="34">
        <v>9600</v>
      </c>
      <c r="J195" s="65" t="s">
        <v>106</v>
      </c>
      <c r="K195" s="64" t="s">
        <v>115</v>
      </c>
      <c r="L195" s="65"/>
      <c r="M195" s="65"/>
      <c r="N195" s="63"/>
      <c r="O195" s="63"/>
      <c r="P195" s="81"/>
      <c r="Q195" s="81"/>
      <c r="R195" s="81"/>
      <c r="S195" s="81"/>
      <c r="T195" s="81"/>
      <c r="U195" s="81"/>
      <c r="V195" s="81"/>
      <c r="W195" s="81"/>
    </row>
    <row r="196" s="3" customFormat="1" ht="18" customHeight="1" spans="1:23">
      <c r="A196" s="74"/>
      <c r="B196" s="25">
        <f t="shared" si="13"/>
        <v>0</v>
      </c>
      <c r="C196" s="75"/>
      <c r="D196" s="76"/>
      <c r="E196" s="77"/>
      <c r="F196" s="58">
        <f t="shared" si="14"/>
        <v>0</v>
      </c>
      <c r="G196" s="78"/>
      <c r="H196" s="69" t="s">
        <v>114</v>
      </c>
      <c r="I196" s="34">
        <v>200</v>
      </c>
      <c r="J196" s="65" t="s">
        <v>106</v>
      </c>
      <c r="K196" s="64" t="s">
        <v>110</v>
      </c>
      <c r="L196" s="65"/>
      <c r="M196" s="65"/>
      <c r="N196" s="63"/>
      <c r="O196" s="63"/>
      <c r="P196" s="81"/>
      <c r="Q196" s="81"/>
      <c r="R196" s="81"/>
      <c r="S196" s="81"/>
      <c r="T196" s="81"/>
      <c r="U196" s="81"/>
      <c r="V196" s="81"/>
      <c r="W196" s="81"/>
    </row>
    <row r="197" s="3" customFormat="1" ht="18" customHeight="1" spans="1:23">
      <c r="A197" s="74"/>
      <c r="B197" s="25">
        <f t="shared" si="13"/>
        <v>0</v>
      </c>
      <c r="C197" s="75"/>
      <c r="D197" s="76"/>
      <c r="E197" s="77"/>
      <c r="F197" s="58">
        <f t="shared" si="14"/>
        <v>0</v>
      </c>
      <c r="G197" s="78"/>
      <c r="H197" s="69" t="s">
        <v>114</v>
      </c>
      <c r="I197" s="34">
        <v>-903045</v>
      </c>
      <c r="J197" s="65" t="s">
        <v>112</v>
      </c>
      <c r="K197" s="64" t="s">
        <v>116</v>
      </c>
      <c r="L197" s="65"/>
      <c r="M197" s="65"/>
      <c r="N197" s="63"/>
      <c r="O197" s="63"/>
      <c r="P197" s="81"/>
      <c r="Q197" s="81"/>
      <c r="R197" s="81"/>
      <c r="S197" s="81"/>
      <c r="T197" s="81"/>
      <c r="U197" s="81"/>
      <c r="V197" s="81"/>
      <c r="W197" s="81"/>
    </row>
    <row r="198" s="3" customFormat="1" ht="18" customHeight="1" spans="1:23">
      <c r="A198" s="74"/>
      <c r="B198" s="25">
        <f t="shared" si="13"/>
        <v>0</v>
      </c>
      <c r="C198" s="75"/>
      <c r="D198" s="76"/>
      <c r="E198" s="77"/>
      <c r="F198" s="58">
        <f t="shared" si="14"/>
        <v>0</v>
      </c>
      <c r="G198" s="78"/>
      <c r="H198" s="69" t="s">
        <v>117</v>
      </c>
      <c r="I198" s="34">
        <v>232932.79</v>
      </c>
      <c r="J198" s="65" t="s">
        <v>106</v>
      </c>
      <c r="K198" s="64" t="s">
        <v>118</v>
      </c>
      <c r="L198" s="65"/>
      <c r="M198" s="65"/>
      <c r="N198" s="63"/>
      <c r="O198" s="63"/>
      <c r="P198" s="81"/>
      <c r="Q198" s="81"/>
      <c r="R198" s="81"/>
      <c r="S198" s="81"/>
      <c r="T198" s="81"/>
      <c r="U198" s="81"/>
      <c r="V198" s="81"/>
      <c r="W198" s="81"/>
    </row>
    <row r="199" s="3" customFormat="1" ht="18" customHeight="1" spans="1:23">
      <c r="A199" s="74"/>
      <c r="B199" s="25">
        <f t="shared" si="13"/>
        <v>0</v>
      </c>
      <c r="C199" s="75"/>
      <c r="D199" s="76"/>
      <c r="E199" s="77"/>
      <c r="F199" s="58">
        <f t="shared" si="14"/>
        <v>0</v>
      </c>
      <c r="G199" s="78"/>
      <c r="H199" s="69" t="s">
        <v>117</v>
      </c>
      <c r="I199" s="34"/>
      <c r="J199" s="65" t="s">
        <v>106</v>
      </c>
      <c r="K199" s="64" t="s">
        <v>119</v>
      </c>
      <c r="L199" s="65"/>
      <c r="M199" s="65"/>
      <c r="N199" s="63"/>
      <c r="O199" s="63"/>
      <c r="P199" s="81"/>
      <c r="Q199" s="81"/>
      <c r="R199" s="81"/>
      <c r="S199" s="81"/>
      <c r="T199" s="81"/>
      <c r="U199" s="81"/>
      <c r="V199" s="81"/>
      <c r="W199" s="81"/>
    </row>
    <row r="200" s="3" customFormat="1" ht="18" customHeight="1" spans="1:23">
      <c r="A200" s="74"/>
      <c r="B200" s="25">
        <f t="shared" si="13"/>
        <v>0</v>
      </c>
      <c r="C200" s="75"/>
      <c r="D200" s="76"/>
      <c r="E200" s="77"/>
      <c r="F200" s="58">
        <f t="shared" si="14"/>
        <v>0</v>
      </c>
      <c r="G200" s="78"/>
      <c r="H200" s="69" t="s">
        <v>117</v>
      </c>
      <c r="I200" s="34">
        <v>903045</v>
      </c>
      <c r="J200" s="65" t="s">
        <v>120</v>
      </c>
      <c r="K200" s="64" t="s">
        <v>121</v>
      </c>
      <c r="L200" s="65"/>
      <c r="M200" s="65"/>
      <c r="N200" s="63"/>
      <c r="O200" s="63"/>
      <c r="P200" s="81"/>
      <c r="Q200" s="81"/>
      <c r="R200" s="81"/>
      <c r="S200" s="81"/>
      <c r="T200" s="81"/>
      <c r="U200" s="81"/>
      <c r="V200" s="81"/>
      <c r="W200" s="81"/>
    </row>
    <row r="201" s="3" customFormat="1" ht="18" customHeight="1" spans="1:23">
      <c r="A201" s="74"/>
      <c r="B201" s="25">
        <f t="shared" si="13"/>
        <v>0</v>
      </c>
      <c r="C201" s="75"/>
      <c r="D201" s="76"/>
      <c r="E201" s="77"/>
      <c r="F201" s="58">
        <f t="shared" si="14"/>
        <v>0</v>
      </c>
      <c r="G201" s="78"/>
      <c r="H201" s="69" t="s">
        <v>117</v>
      </c>
      <c r="I201" s="34">
        <v>485252</v>
      </c>
      <c r="J201" s="65" t="s">
        <v>106</v>
      </c>
      <c r="K201" s="64" t="s">
        <v>122</v>
      </c>
      <c r="L201" s="65"/>
      <c r="M201" s="65"/>
      <c r="N201" s="63"/>
      <c r="O201" s="63"/>
      <c r="P201" s="81"/>
      <c r="Q201" s="81"/>
      <c r="R201" s="81"/>
      <c r="S201" s="81"/>
      <c r="T201" s="81"/>
      <c r="U201" s="81"/>
      <c r="V201" s="81"/>
      <c r="W201" s="81"/>
    </row>
    <row r="202" s="3" customFormat="1" ht="18" customHeight="1" spans="1:23">
      <c r="A202" s="74"/>
      <c r="B202" s="25">
        <f t="shared" si="13"/>
        <v>0</v>
      </c>
      <c r="C202" s="75"/>
      <c r="D202" s="76"/>
      <c r="E202" s="77"/>
      <c r="F202" s="58">
        <f t="shared" si="14"/>
        <v>0</v>
      </c>
      <c r="G202" s="78"/>
      <c r="H202" s="69" t="s">
        <v>117</v>
      </c>
      <c r="I202" s="34">
        <v>4789</v>
      </c>
      <c r="J202" s="65" t="s">
        <v>106</v>
      </c>
      <c r="K202" s="64" t="s">
        <v>233</v>
      </c>
      <c r="L202" s="65"/>
      <c r="M202" s="65"/>
      <c r="N202" s="63"/>
      <c r="O202" s="63"/>
      <c r="P202" s="81"/>
      <c r="Q202" s="81"/>
      <c r="R202" s="81"/>
      <c r="S202" s="81"/>
      <c r="T202" s="81"/>
      <c r="U202" s="81"/>
      <c r="V202" s="81"/>
      <c r="W202" s="81"/>
    </row>
    <row r="203" s="3" customFormat="1" ht="18" customHeight="1" spans="1:23">
      <c r="A203" s="74"/>
      <c r="B203" s="25">
        <f t="shared" si="13"/>
        <v>0</v>
      </c>
      <c r="C203" s="75"/>
      <c r="D203" s="76"/>
      <c r="E203" s="77"/>
      <c r="F203" s="58">
        <f t="shared" si="14"/>
        <v>0</v>
      </c>
      <c r="G203" s="78"/>
      <c r="H203" s="69" t="s">
        <v>117</v>
      </c>
      <c r="I203" s="89">
        <v>429349</v>
      </c>
      <c r="J203" s="163" t="s">
        <v>106</v>
      </c>
      <c r="K203" s="179" t="s">
        <v>234</v>
      </c>
      <c r="L203" s="65"/>
      <c r="M203" s="65"/>
      <c r="N203" s="63"/>
      <c r="O203" s="63"/>
      <c r="P203" s="81"/>
      <c r="Q203" s="81"/>
      <c r="R203" s="81"/>
      <c r="S203" s="81"/>
      <c r="T203" s="81"/>
      <c r="U203" s="81"/>
      <c r="V203" s="81"/>
      <c r="W203" s="81"/>
    </row>
    <row r="204" s="3" customFormat="1" ht="18" customHeight="1" spans="1:23">
      <c r="A204" s="74"/>
      <c r="B204" s="25">
        <f t="shared" si="13"/>
        <v>0</v>
      </c>
      <c r="C204" s="75"/>
      <c r="D204" s="76"/>
      <c r="E204" s="77"/>
      <c r="F204" s="58">
        <f t="shared" si="14"/>
        <v>0</v>
      </c>
      <c r="G204" s="78"/>
      <c r="H204" s="69" t="s">
        <v>117</v>
      </c>
      <c r="I204" s="34">
        <v>87000</v>
      </c>
      <c r="J204" s="65" t="s">
        <v>125</v>
      </c>
      <c r="K204" s="64" t="s">
        <v>126</v>
      </c>
      <c r="L204" s="65"/>
      <c r="M204" s="65"/>
      <c r="N204" s="63"/>
      <c r="O204" s="63"/>
      <c r="P204" s="81"/>
      <c r="Q204" s="81"/>
      <c r="R204" s="81"/>
      <c r="S204" s="81"/>
      <c r="T204" s="81"/>
      <c r="U204" s="81"/>
      <c r="V204" s="81"/>
      <c r="W204" s="81"/>
    </row>
    <row r="205" s="2" customFormat="1" ht="18" customHeight="1" spans="1:23">
      <c r="A205" s="48"/>
      <c r="B205" s="25">
        <f t="shared" si="13"/>
        <v>0</v>
      </c>
      <c r="C205" s="49"/>
      <c r="D205" s="50"/>
      <c r="E205" s="70"/>
      <c r="F205" s="58">
        <f t="shared" si="14"/>
        <v>0</v>
      </c>
      <c r="G205" s="47"/>
      <c r="H205" s="69" t="s">
        <v>117</v>
      </c>
      <c r="I205" s="34">
        <v>200</v>
      </c>
      <c r="J205" s="65" t="s">
        <v>106</v>
      </c>
      <c r="K205" s="64" t="s">
        <v>110</v>
      </c>
      <c r="L205" s="65"/>
      <c r="M205" s="65"/>
      <c r="N205" s="65"/>
      <c r="O205" s="65"/>
      <c r="P205" s="66"/>
      <c r="Q205" s="66"/>
      <c r="R205" s="66"/>
      <c r="S205" s="66"/>
      <c r="T205" s="66"/>
      <c r="U205" s="66"/>
      <c r="V205" s="66"/>
      <c r="W205" s="66"/>
    </row>
    <row r="206" s="2" customFormat="1" ht="18" customHeight="1" spans="1:23">
      <c r="A206" s="48"/>
      <c r="B206" s="25">
        <f t="shared" si="13"/>
        <v>0</v>
      </c>
      <c r="C206" s="49"/>
      <c r="D206" s="50"/>
      <c r="E206" s="70"/>
      <c r="F206" s="58">
        <f t="shared" si="14"/>
        <v>0</v>
      </c>
      <c r="G206" s="47"/>
      <c r="H206" s="69" t="s">
        <v>117</v>
      </c>
      <c r="I206" s="34"/>
      <c r="J206" s="65"/>
      <c r="K206" s="64"/>
      <c r="L206" s="65"/>
      <c r="M206" s="65"/>
      <c r="N206" s="65"/>
      <c r="O206" s="65"/>
      <c r="P206" s="66"/>
      <c r="Q206" s="66"/>
      <c r="R206" s="66"/>
      <c r="S206" s="66"/>
      <c r="T206" s="66"/>
      <c r="U206" s="66"/>
      <c r="V206" s="66"/>
      <c r="W206" s="66"/>
    </row>
    <row r="207" s="2" customFormat="1" ht="18" customHeight="1" spans="1:23">
      <c r="A207" s="48"/>
      <c r="B207" s="25">
        <f t="shared" si="13"/>
        <v>0</v>
      </c>
      <c r="C207" s="49"/>
      <c r="D207" s="50"/>
      <c r="E207" s="70"/>
      <c r="F207" s="58">
        <f t="shared" si="14"/>
        <v>0</v>
      </c>
      <c r="G207" s="47"/>
      <c r="H207" s="69" t="s">
        <v>127</v>
      </c>
      <c r="I207" s="34">
        <v>-93700</v>
      </c>
      <c r="J207" s="65" t="s">
        <v>125</v>
      </c>
      <c r="K207" s="64" t="s">
        <v>126</v>
      </c>
      <c r="L207" s="65"/>
      <c r="M207" s="65"/>
      <c r="N207" s="65"/>
      <c r="O207" s="65"/>
      <c r="P207" s="66"/>
      <c r="Q207" s="66"/>
      <c r="R207" s="66"/>
      <c r="S207" s="66"/>
      <c r="T207" s="66"/>
      <c r="U207" s="66"/>
      <c r="V207" s="66"/>
      <c r="W207" s="66"/>
    </row>
    <row r="208" s="2" customFormat="1" ht="18" customHeight="1" spans="1:23">
      <c r="A208" s="48"/>
      <c r="B208" s="25">
        <f t="shared" si="13"/>
        <v>0</v>
      </c>
      <c r="C208" s="49"/>
      <c r="D208" s="50"/>
      <c r="E208" s="70"/>
      <c r="F208" s="58">
        <f t="shared" si="14"/>
        <v>0</v>
      </c>
      <c r="G208" s="47"/>
      <c r="H208" s="69" t="s">
        <v>127</v>
      </c>
      <c r="I208" s="34">
        <v>50</v>
      </c>
      <c r="J208" s="65" t="s">
        <v>106</v>
      </c>
      <c r="K208" s="64" t="s">
        <v>110</v>
      </c>
      <c r="L208" s="65"/>
      <c r="M208" s="65"/>
      <c r="N208" s="65"/>
      <c r="O208" s="65"/>
      <c r="P208" s="66">
        <f>I210+I203+I192</f>
        <v>387045</v>
      </c>
      <c r="Q208" s="66"/>
      <c r="R208" s="66"/>
      <c r="S208" s="66"/>
      <c r="T208" s="66"/>
      <c r="U208" s="66"/>
      <c r="V208" s="66"/>
      <c r="W208" s="66"/>
    </row>
    <row r="209" s="2" customFormat="1" ht="18" customHeight="1" spans="1:23">
      <c r="A209" s="48"/>
      <c r="B209" s="25">
        <f t="shared" si="13"/>
        <v>0</v>
      </c>
      <c r="C209" s="49"/>
      <c r="D209" s="50"/>
      <c r="E209" s="70"/>
      <c r="F209" s="58">
        <f t="shared" si="14"/>
        <v>0</v>
      </c>
      <c r="G209" s="47"/>
      <c r="H209" s="69" t="s">
        <v>127</v>
      </c>
      <c r="I209" s="34">
        <v>-21725</v>
      </c>
      <c r="J209" s="65" t="s">
        <v>112</v>
      </c>
      <c r="K209" s="64" t="s">
        <v>159</v>
      </c>
      <c r="L209" s="65"/>
      <c r="M209" s="65"/>
      <c r="N209" s="65"/>
      <c r="O209" s="65"/>
      <c r="P209" s="66"/>
      <c r="Q209" s="66"/>
      <c r="R209" s="66"/>
      <c r="S209" s="66"/>
      <c r="T209" s="66"/>
      <c r="U209" s="66"/>
      <c r="V209" s="66"/>
      <c r="W209" s="66"/>
    </row>
    <row r="210" s="2" customFormat="1" ht="18" customHeight="1" spans="1:23">
      <c r="A210" s="48"/>
      <c r="B210" s="25">
        <f t="shared" si="13"/>
        <v>0</v>
      </c>
      <c r="C210" s="49"/>
      <c r="D210" s="50"/>
      <c r="E210" s="46"/>
      <c r="F210" s="58">
        <f t="shared" si="14"/>
        <v>0</v>
      </c>
      <c r="G210" s="47"/>
      <c r="H210" s="69" t="s">
        <v>129</v>
      </c>
      <c r="I210" s="89">
        <v>243021</v>
      </c>
      <c r="J210" s="163" t="s">
        <v>106</v>
      </c>
      <c r="K210" s="179" t="s">
        <v>124</v>
      </c>
      <c r="L210" s="65"/>
      <c r="M210" s="65"/>
      <c r="N210" s="65"/>
      <c r="O210" s="65"/>
      <c r="P210" s="66"/>
      <c r="Q210" s="66"/>
      <c r="R210" s="66"/>
      <c r="S210" s="66"/>
      <c r="T210" s="66"/>
      <c r="U210" s="66"/>
      <c r="V210" s="66"/>
      <c r="W210" s="66"/>
    </row>
    <row r="211" s="2" customFormat="1" ht="18" customHeight="1" spans="1:23">
      <c r="A211" s="48"/>
      <c r="B211" s="25">
        <f t="shared" si="13"/>
        <v>0</v>
      </c>
      <c r="C211" s="49"/>
      <c r="D211" s="50"/>
      <c r="E211" s="46"/>
      <c r="F211" s="58">
        <f t="shared" si="14"/>
        <v>0</v>
      </c>
      <c r="G211" s="47"/>
      <c r="H211" s="69" t="s">
        <v>129</v>
      </c>
      <c r="I211" s="34">
        <v>2340</v>
      </c>
      <c r="J211" s="65" t="s">
        <v>106</v>
      </c>
      <c r="K211" s="64" t="s">
        <v>123</v>
      </c>
      <c r="L211" s="65"/>
      <c r="M211" s="65"/>
      <c r="N211" s="65"/>
      <c r="O211" s="65"/>
      <c r="P211" s="66"/>
      <c r="Q211" s="66"/>
      <c r="R211" s="66"/>
      <c r="S211" s="66"/>
      <c r="T211" s="66"/>
      <c r="U211" s="66"/>
      <c r="V211" s="66"/>
      <c r="W211" s="66"/>
    </row>
    <row r="212" s="2" customFormat="1" ht="18" customHeight="1" spans="1:23">
      <c r="A212" s="48"/>
      <c r="B212" s="25">
        <f t="shared" si="13"/>
        <v>0</v>
      </c>
      <c r="C212" s="49"/>
      <c r="D212" s="50"/>
      <c r="E212" s="46"/>
      <c r="F212" s="58">
        <f t="shared" si="14"/>
        <v>0</v>
      </c>
      <c r="G212" s="47"/>
      <c r="H212" s="69" t="s">
        <v>129</v>
      </c>
      <c r="I212" s="34">
        <v>500</v>
      </c>
      <c r="J212" s="65" t="s">
        <v>106</v>
      </c>
      <c r="K212" s="64" t="s">
        <v>130</v>
      </c>
      <c r="L212" s="65"/>
      <c r="M212" s="65"/>
      <c r="N212" s="65"/>
      <c r="O212" s="65"/>
      <c r="P212" s="66"/>
      <c r="Q212" s="66"/>
      <c r="R212" s="66"/>
      <c r="S212" s="66"/>
      <c r="T212" s="66"/>
      <c r="U212" s="66"/>
      <c r="V212" s="66"/>
      <c r="W212" s="66"/>
    </row>
    <row r="213" s="2" customFormat="1" ht="18" customHeight="1" spans="1:23">
      <c r="A213" s="48"/>
      <c r="B213" s="25"/>
      <c r="C213" s="49"/>
      <c r="D213" s="50"/>
      <c r="E213" s="46"/>
      <c r="F213" s="58"/>
      <c r="G213" s="47"/>
      <c r="H213" s="69" t="s">
        <v>129</v>
      </c>
      <c r="I213" s="34">
        <v>55725</v>
      </c>
      <c r="J213" s="65" t="s">
        <v>120</v>
      </c>
      <c r="K213" s="64" t="s">
        <v>121</v>
      </c>
      <c r="L213" s="65"/>
      <c r="M213" s="65"/>
      <c r="N213" s="65"/>
      <c r="O213" s="65"/>
      <c r="P213" s="66"/>
      <c r="Q213" s="66"/>
      <c r="R213" s="66"/>
      <c r="S213" s="66"/>
      <c r="T213" s="66"/>
      <c r="U213" s="66"/>
      <c r="V213" s="66"/>
      <c r="W213" s="66"/>
    </row>
    <row r="214" s="2" customFormat="1" ht="18" customHeight="1" spans="1:23">
      <c r="A214" s="48"/>
      <c r="B214" s="25">
        <f t="shared" ref="B214:B219" si="15">ROUND(G214/(1+E214),2)</f>
        <v>0</v>
      </c>
      <c r="C214" s="49"/>
      <c r="D214" s="50"/>
      <c r="E214" s="46"/>
      <c r="F214" s="58">
        <f t="shared" ref="F214:F219" si="16">ROUND(G214/(1+E214)*E214,2)</f>
        <v>0</v>
      </c>
      <c r="G214" s="47"/>
      <c r="H214" s="69" t="s">
        <v>129</v>
      </c>
      <c r="I214" s="34">
        <v>8500</v>
      </c>
      <c r="J214" s="65" t="s">
        <v>125</v>
      </c>
      <c r="K214" s="64" t="s">
        <v>126</v>
      </c>
      <c r="L214" s="65"/>
      <c r="M214" s="65"/>
      <c r="N214" s="65"/>
      <c r="O214" s="65"/>
      <c r="P214" s="66"/>
      <c r="Q214" s="66"/>
      <c r="R214" s="66"/>
      <c r="S214" s="66"/>
      <c r="T214" s="66"/>
      <c r="U214" s="66"/>
      <c r="V214" s="66"/>
      <c r="W214" s="66"/>
    </row>
    <row r="215" s="2" customFormat="1" ht="18" customHeight="1" spans="1:23">
      <c r="A215" s="48"/>
      <c r="B215" s="25">
        <f t="shared" si="15"/>
        <v>0</v>
      </c>
      <c r="C215" s="49"/>
      <c r="D215" s="50"/>
      <c r="E215" s="46"/>
      <c r="F215" s="58">
        <f t="shared" si="16"/>
        <v>0</v>
      </c>
      <c r="G215" s="47"/>
      <c r="H215" s="69" t="s">
        <v>131</v>
      </c>
      <c r="I215" s="34">
        <v>8800</v>
      </c>
      <c r="J215" s="65" t="s">
        <v>125</v>
      </c>
      <c r="K215" s="64" t="s">
        <v>126</v>
      </c>
      <c r="L215" s="65"/>
      <c r="M215" s="65"/>
      <c r="N215" s="65"/>
      <c r="O215" s="65"/>
      <c r="P215" s="66"/>
      <c r="Q215" s="66"/>
      <c r="R215" s="66"/>
      <c r="S215" s="66"/>
      <c r="T215" s="66"/>
      <c r="U215" s="66"/>
      <c r="V215" s="66"/>
      <c r="W215" s="66"/>
    </row>
    <row r="216" s="2" customFormat="1" ht="18" customHeight="1" spans="1:23">
      <c r="A216" s="48"/>
      <c r="B216" s="25">
        <f t="shared" si="15"/>
        <v>0</v>
      </c>
      <c r="C216" s="49"/>
      <c r="D216" s="50"/>
      <c r="E216" s="46"/>
      <c r="F216" s="58">
        <f t="shared" si="16"/>
        <v>0</v>
      </c>
      <c r="G216" s="47"/>
      <c r="H216" s="69" t="s">
        <v>131</v>
      </c>
      <c r="I216" s="34">
        <v>35200</v>
      </c>
      <c r="J216" s="65" t="s">
        <v>125</v>
      </c>
      <c r="K216" s="64" t="s">
        <v>126</v>
      </c>
      <c r="L216" s="65"/>
      <c r="M216" s="65"/>
      <c r="N216" s="65"/>
      <c r="O216" s="65"/>
      <c r="P216" s="66"/>
      <c r="Q216" s="66"/>
      <c r="R216" s="66"/>
      <c r="S216" s="66"/>
      <c r="T216" s="66"/>
      <c r="U216" s="66"/>
      <c r="V216" s="66"/>
      <c r="W216" s="66"/>
    </row>
    <row r="217" s="2" customFormat="1" ht="18" customHeight="1" spans="1:23">
      <c r="A217" s="48"/>
      <c r="B217" s="25">
        <f t="shared" si="15"/>
        <v>0</v>
      </c>
      <c r="C217" s="49"/>
      <c r="D217" s="50"/>
      <c r="E217" s="46"/>
      <c r="F217" s="58">
        <f t="shared" si="16"/>
        <v>0</v>
      </c>
      <c r="G217" s="47"/>
      <c r="H217" s="69" t="s">
        <v>131</v>
      </c>
      <c r="I217" s="34">
        <f>B9*E235</f>
        <v>2400</v>
      </c>
      <c r="J217" s="65" t="s">
        <v>106</v>
      </c>
      <c r="K217" s="64" t="s">
        <v>132</v>
      </c>
      <c r="L217" s="65"/>
      <c r="M217" s="65"/>
      <c r="N217" s="65"/>
      <c r="O217" s="65"/>
      <c r="P217" s="66"/>
      <c r="Q217" s="66"/>
      <c r="R217" s="66"/>
      <c r="S217" s="66"/>
      <c r="T217" s="66"/>
      <c r="U217" s="66"/>
      <c r="V217" s="66"/>
      <c r="W217" s="66"/>
    </row>
    <row r="218" s="1" customFormat="1" ht="18" customHeight="1" spans="1:23">
      <c r="A218" s="43"/>
      <c r="B218" s="25">
        <f t="shared" si="15"/>
        <v>0</v>
      </c>
      <c r="C218" s="44"/>
      <c r="D218" s="45"/>
      <c r="E218" s="46"/>
      <c r="F218" s="58">
        <f t="shared" si="16"/>
        <v>0</v>
      </c>
      <c r="G218" s="47"/>
      <c r="H218" s="69" t="s">
        <v>133</v>
      </c>
      <c r="I218" s="34">
        <v>41200</v>
      </c>
      <c r="J218" s="65" t="s">
        <v>125</v>
      </c>
      <c r="K218" s="64" t="s">
        <v>126</v>
      </c>
      <c r="L218" s="65"/>
      <c r="M218" s="65"/>
      <c r="N218" s="61"/>
      <c r="O218" s="61"/>
      <c r="P218" s="62"/>
      <c r="Q218" s="62"/>
      <c r="R218" s="62"/>
      <c r="S218" s="62"/>
      <c r="T218" s="62"/>
      <c r="U218" s="62"/>
      <c r="V218" s="62"/>
      <c r="W218" s="62"/>
    </row>
    <row r="219" s="1" customFormat="1" ht="18" customHeight="1" spans="1:23">
      <c r="A219" s="43"/>
      <c r="B219" s="25">
        <f t="shared" si="15"/>
        <v>0</v>
      </c>
      <c r="C219" s="44"/>
      <c r="D219" s="45"/>
      <c r="E219" s="46"/>
      <c r="F219" s="58">
        <f t="shared" si="16"/>
        <v>0</v>
      </c>
      <c r="G219" s="47"/>
      <c r="H219" s="69" t="s">
        <v>133</v>
      </c>
      <c r="I219" s="34">
        <v>2248</v>
      </c>
      <c r="J219" s="65" t="s">
        <v>106</v>
      </c>
      <c r="K219" s="64" t="s">
        <v>160</v>
      </c>
      <c r="L219" s="65"/>
      <c r="M219" s="65"/>
      <c r="N219" s="61"/>
      <c r="O219" s="61"/>
      <c r="P219" s="62"/>
      <c r="Q219" s="62"/>
      <c r="R219" s="62"/>
      <c r="S219" s="62"/>
      <c r="T219" s="62"/>
      <c r="U219" s="62"/>
      <c r="V219" s="62"/>
      <c r="W219" s="62"/>
    </row>
    <row r="220" s="1" customFormat="1" ht="18" customHeight="1" spans="1:23">
      <c r="A220" s="43"/>
      <c r="B220" s="25"/>
      <c r="C220" s="44"/>
      <c r="D220" s="45"/>
      <c r="E220" s="46"/>
      <c r="F220" s="58"/>
      <c r="G220" s="47"/>
      <c r="H220" s="69" t="s">
        <v>134</v>
      </c>
      <c r="I220" s="34">
        <v>2782</v>
      </c>
      <c r="J220" s="65" t="s">
        <v>106</v>
      </c>
      <c r="K220" s="64" t="s">
        <v>160</v>
      </c>
      <c r="L220" s="65"/>
      <c r="M220" s="65"/>
      <c r="N220" s="61"/>
      <c r="O220" s="61"/>
      <c r="P220" s="62"/>
      <c r="Q220" s="62"/>
      <c r="R220" s="62"/>
      <c r="S220" s="62"/>
      <c r="T220" s="62"/>
      <c r="U220" s="62"/>
      <c r="V220" s="62"/>
      <c r="W220" s="62"/>
    </row>
    <row r="221" s="1" customFormat="1" ht="18" customHeight="1" spans="1:23">
      <c r="A221" s="43"/>
      <c r="B221" s="25">
        <f>ROUND(G221/(1+E221),2)</f>
        <v>0</v>
      </c>
      <c r="C221" s="44"/>
      <c r="D221" s="45"/>
      <c r="E221" s="46"/>
      <c r="F221" s="58">
        <f>ROUND(G221/(1+E221)*E221,2)</f>
        <v>0</v>
      </c>
      <c r="G221" s="47"/>
      <c r="H221" s="69" t="s">
        <v>134</v>
      </c>
      <c r="I221" s="34">
        <v>950</v>
      </c>
      <c r="J221" s="65" t="s">
        <v>106</v>
      </c>
      <c r="K221" s="64" t="s">
        <v>130</v>
      </c>
      <c r="L221" s="65"/>
      <c r="M221" s="65"/>
      <c r="N221" s="61"/>
      <c r="O221" s="61"/>
      <c r="P221" s="62"/>
      <c r="Q221" s="62"/>
      <c r="R221" s="62"/>
      <c r="S221" s="62"/>
      <c r="T221" s="62"/>
      <c r="U221" s="62"/>
      <c r="V221" s="62"/>
      <c r="W221" s="62"/>
    </row>
    <row r="222" s="1" customFormat="1" ht="18" customHeight="1" spans="1:23">
      <c r="A222" s="43"/>
      <c r="B222" s="25">
        <f>ROUND(G222/(1+E222),2)</f>
        <v>132850</v>
      </c>
      <c r="C222" s="44"/>
      <c r="D222" s="45"/>
      <c r="E222" s="46"/>
      <c r="F222" s="58">
        <f>ROUND(G222/(1+E222)*E222,2)</f>
        <v>0</v>
      </c>
      <c r="G222" s="47">
        <f>46100+17600+4400+17000+4250+34800+8700</f>
        <v>132850</v>
      </c>
      <c r="H222" s="69"/>
      <c r="I222" s="34">
        <f>G222</f>
        <v>132850</v>
      </c>
      <c r="J222" s="65" t="s">
        <v>106</v>
      </c>
      <c r="K222" s="64" t="s">
        <v>161</v>
      </c>
      <c r="L222" s="65"/>
      <c r="M222" s="65"/>
      <c r="N222" s="61"/>
      <c r="O222" s="61"/>
      <c r="P222" s="62"/>
      <c r="Q222" s="62"/>
      <c r="R222" s="62"/>
      <c r="S222" s="62"/>
      <c r="T222" s="62"/>
      <c r="U222" s="62"/>
      <c r="V222" s="62"/>
      <c r="W222" s="62"/>
    </row>
    <row r="223" s="1" customFormat="1" ht="18" customHeight="1" spans="1:23">
      <c r="A223" s="43"/>
      <c r="B223" s="25"/>
      <c r="C223" s="44"/>
      <c r="D223" s="45"/>
      <c r="E223" s="46"/>
      <c r="F223" s="58"/>
      <c r="G223" s="180"/>
      <c r="H223" s="69"/>
      <c r="I223" s="34">
        <v>-3000000</v>
      </c>
      <c r="J223" s="182"/>
      <c r="K223" s="65" t="s">
        <v>162</v>
      </c>
      <c r="L223" s="65"/>
      <c r="M223" s="65"/>
      <c r="N223" s="61"/>
      <c r="O223" s="61"/>
      <c r="P223" s="62"/>
      <c r="Q223" s="62"/>
      <c r="R223" s="62"/>
      <c r="S223" s="62"/>
      <c r="T223" s="62"/>
      <c r="U223" s="62"/>
      <c r="V223" s="62"/>
      <c r="W223" s="62"/>
    </row>
    <row r="224" ht="18" customHeight="1" spans="1:15">
      <c r="A224" s="39" t="s">
        <v>22</v>
      </c>
      <c r="B224" s="38">
        <f>SUM(B31:B222)</f>
        <v>42614239.3</v>
      </c>
      <c r="C224" s="39"/>
      <c r="D224" s="96"/>
      <c r="E224" s="96"/>
      <c r="F224" s="97">
        <f>SUM(F31:F222)</f>
        <v>3060575.9</v>
      </c>
      <c r="G224" s="98">
        <f>SUM(G31:G222)</f>
        <v>44907938.34</v>
      </c>
      <c r="H224" s="98"/>
      <c r="I224" s="98">
        <f>SUM(I31:I223)</f>
        <v>38636065.8240477</v>
      </c>
      <c r="J224" s="118"/>
      <c r="K224" s="54"/>
      <c r="L224" s="40"/>
      <c r="M224" s="40"/>
      <c r="N224" s="40"/>
      <c r="O224" s="40"/>
    </row>
    <row r="225" ht="18" customHeight="1" spans="1:11">
      <c r="A225" s="99"/>
      <c r="B225" s="100">
        <f>B28*0.92-B224</f>
        <v>-7927553.72869057</v>
      </c>
      <c r="C225" s="99"/>
      <c r="D225" s="101"/>
      <c r="E225" s="101"/>
      <c r="F225" s="102">
        <f>F28-F224</f>
        <v>-297553.381234362</v>
      </c>
      <c r="G225" s="103"/>
      <c r="H225" s="30" t="s">
        <v>136</v>
      </c>
      <c r="I225" s="28">
        <f>I28-I224</f>
        <v>-6065.82404770702</v>
      </c>
      <c r="J225" s="13"/>
      <c r="K225" s="119"/>
    </row>
    <row r="226" ht="18" customHeight="1" spans="1:11">
      <c r="A226" s="99"/>
      <c r="B226" s="100"/>
      <c r="C226" s="99"/>
      <c r="D226" s="101"/>
      <c r="E226" s="101"/>
      <c r="F226" s="102"/>
      <c r="G226" s="103"/>
      <c r="H226" s="104"/>
      <c r="I226" s="102"/>
      <c r="J226" s="13"/>
      <c r="K226" s="119"/>
    </row>
    <row r="227" ht="18" customHeight="1" spans="1:21">
      <c r="A227" s="6" t="s">
        <v>137</v>
      </c>
      <c r="C227" s="6"/>
      <c r="T227" s="137" t="s">
        <v>235</v>
      </c>
      <c r="U227" s="137"/>
    </row>
    <row r="228" s="4" customFormat="1" ht="18" customHeight="1" spans="1:23">
      <c r="A228" s="105" t="s">
        <v>138</v>
      </c>
      <c r="B228" s="105" t="s">
        <v>139</v>
      </c>
      <c r="C228" s="106"/>
      <c r="D228" s="105" t="s">
        <v>138</v>
      </c>
      <c r="E228" s="107" t="s">
        <v>15</v>
      </c>
      <c r="F228" s="105" t="s">
        <v>139</v>
      </c>
      <c r="G228" s="108" t="s">
        <v>236</v>
      </c>
      <c r="H228" s="109" t="s">
        <v>237</v>
      </c>
      <c r="I228" s="109" t="s">
        <v>238</v>
      </c>
      <c r="J228" s="109"/>
      <c r="K228" s="105" t="s">
        <v>239</v>
      </c>
      <c r="L228" s="120" t="s">
        <v>144</v>
      </c>
      <c r="M228" s="120"/>
      <c r="N228" s="121" t="s">
        <v>240</v>
      </c>
      <c r="O228" s="122"/>
      <c r="P228" s="123" t="s">
        <v>145</v>
      </c>
      <c r="Q228" s="105" t="s">
        <v>163</v>
      </c>
      <c r="R228" s="138" t="s">
        <v>187</v>
      </c>
      <c r="S228" s="139" t="s">
        <v>192</v>
      </c>
      <c r="T228" s="115" t="s">
        <v>241</v>
      </c>
      <c r="U228" s="115"/>
      <c r="V228" s="183"/>
      <c r="W228" s="183"/>
    </row>
    <row r="229" s="4" customFormat="1" ht="18" customHeight="1" spans="1:23">
      <c r="A229" s="106" t="s">
        <v>146</v>
      </c>
      <c r="B229" s="110">
        <f>(B28-B224)*0.25</f>
        <v>-1227830.05018766</v>
      </c>
      <c r="C229" s="106"/>
      <c r="D229" s="111" t="s">
        <v>147</v>
      </c>
      <c r="E229" s="112" t="s">
        <v>148</v>
      </c>
      <c r="F229" s="113">
        <f>F28-F224</f>
        <v>-297553.381234362</v>
      </c>
      <c r="G229" s="113">
        <f>F7-F31-F33-F36-F37-F40</f>
        <v>-333763.749090909</v>
      </c>
      <c r="H229" s="113">
        <f>F8-F45-F47-F48-F49+G229-F50</f>
        <v>-154725.915454545</v>
      </c>
      <c r="I229" s="124">
        <v>0</v>
      </c>
      <c r="J229" s="124"/>
      <c r="K229" s="113">
        <f>F9+F10-F55-F60-F56-F57-F58-F81-F82-F83-F84-F85+H229</f>
        <v>220927.974361968</v>
      </c>
      <c r="L229" s="113">
        <f>F11-F86-F94-F95-F97</f>
        <v>390316.376330275</v>
      </c>
      <c r="M229" s="113"/>
      <c r="N229" s="125">
        <f>-(F100+F101)</f>
        <v>-259385.7</v>
      </c>
      <c r="O229" s="126"/>
      <c r="P229" s="111">
        <f>F12-F102</f>
        <v>-226585.72559633</v>
      </c>
      <c r="Q229" s="113">
        <f>F13-F108+P229</f>
        <v>-98906.7313761468</v>
      </c>
      <c r="R229" s="113">
        <f>F14-F113-F126-F127+Q229</f>
        <v>-164975.865779817</v>
      </c>
      <c r="S229" s="126">
        <f>F15-F135-F136+R229</f>
        <v>-20623.4471559633</v>
      </c>
      <c r="T229" s="184">
        <f>F16+S229</f>
        <v>145706.828073395</v>
      </c>
      <c r="U229" s="184"/>
      <c r="V229" s="183"/>
      <c r="W229" s="183"/>
    </row>
    <row r="230" s="4" customFormat="1" ht="18" customHeight="1" spans="1:23">
      <c r="A230" s="106" t="s">
        <v>149</v>
      </c>
      <c r="B230" s="111" t="s">
        <v>150</v>
      </c>
      <c r="C230" s="106"/>
      <c r="D230" s="111" t="s">
        <v>151</v>
      </c>
      <c r="E230" s="21">
        <v>0.05</v>
      </c>
      <c r="F230" s="111">
        <f>F229*E230</f>
        <v>-14877.6690617181</v>
      </c>
      <c r="G230" s="113">
        <v>0</v>
      </c>
      <c r="H230" s="111">
        <v>0</v>
      </c>
      <c r="I230" s="124">
        <v>0</v>
      </c>
      <c r="J230" s="124"/>
      <c r="K230" s="111">
        <f>K229*E230</f>
        <v>11046.3987180984</v>
      </c>
      <c r="L230" s="111">
        <f>L229*E230</f>
        <v>19515.8188165138</v>
      </c>
      <c r="M230" s="111"/>
      <c r="N230" s="127">
        <f>N229*E230</f>
        <v>-12969.285</v>
      </c>
      <c r="O230" s="128"/>
      <c r="P230" s="111"/>
      <c r="Q230" s="111"/>
      <c r="R230" s="142"/>
      <c r="S230" s="126"/>
      <c r="T230" s="184">
        <f>T229*0.07</f>
        <v>10199.4779651376</v>
      </c>
      <c r="U230" s="184"/>
      <c r="V230" s="183"/>
      <c r="W230" s="183"/>
    </row>
    <row r="231" s="4" customFormat="1" ht="18" customHeight="1" spans="1:23">
      <c r="A231" s="106" t="s">
        <v>123</v>
      </c>
      <c r="B231" s="111">
        <f>B28*0.0006</f>
        <v>22621.7514595496</v>
      </c>
      <c r="C231" s="106"/>
      <c r="D231" s="111" t="s">
        <v>152</v>
      </c>
      <c r="E231" s="21">
        <v>0.03</v>
      </c>
      <c r="F231" s="111">
        <f>F229*E231</f>
        <v>-8926.60143703087</v>
      </c>
      <c r="G231" s="113">
        <v>0</v>
      </c>
      <c r="H231" s="111">
        <v>0</v>
      </c>
      <c r="I231" s="124">
        <v>0</v>
      </c>
      <c r="J231" s="124"/>
      <c r="K231" s="111">
        <f>K229*E231</f>
        <v>6627.83923085904</v>
      </c>
      <c r="L231" s="111">
        <f>L229*E231</f>
        <v>11709.4912899083</v>
      </c>
      <c r="M231" s="111"/>
      <c r="N231" s="127">
        <f>N229*E231</f>
        <v>-7781.571</v>
      </c>
      <c r="O231" s="128"/>
      <c r="P231" s="111"/>
      <c r="Q231" s="111"/>
      <c r="R231" s="142"/>
      <c r="S231" s="126"/>
      <c r="T231" s="184">
        <f>T229*E231</f>
        <v>4371.20484220184</v>
      </c>
      <c r="U231" s="184"/>
      <c r="V231" s="183"/>
      <c r="W231" s="183"/>
    </row>
    <row r="232" s="4" customFormat="1" ht="18" customHeight="1" spans="1:23">
      <c r="A232" s="106"/>
      <c r="B232" s="111"/>
      <c r="C232" s="106"/>
      <c r="D232" s="111" t="s">
        <v>153</v>
      </c>
      <c r="E232" s="21">
        <v>0.02</v>
      </c>
      <c r="F232" s="111">
        <f>F229*E232</f>
        <v>-5951.06762468725</v>
      </c>
      <c r="G232" s="113">
        <v>0</v>
      </c>
      <c r="H232" s="111">
        <v>0</v>
      </c>
      <c r="I232" s="124">
        <v>0</v>
      </c>
      <c r="J232" s="124"/>
      <c r="K232" s="111">
        <f>K229*E232</f>
        <v>4418.55948723936</v>
      </c>
      <c r="L232" s="111">
        <v>7807</v>
      </c>
      <c r="M232" s="111"/>
      <c r="N232" s="127">
        <v>-5188</v>
      </c>
      <c r="O232" s="128"/>
      <c r="P232" s="111"/>
      <c r="Q232" s="111"/>
      <c r="R232" s="142"/>
      <c r="S232" s="126"/>
      <c r="T232" s="184">
        <f>T229*E232</f>
        <v>2914.13656146789</v>
      </c>
      <c r="U232" s="184"/>
      <c r="V232" s="183"/>
      <c r="W232" s="183"/>
    </row>
    <row r="233" s="4" customFormat="1" ht="18" customHeight="1" spans="1:23">
      <c r="A233" s="114" t="s">
        <v>154</v>
      </c>
      <c r="B233" s="115">
        <f>SUM(B229:B232)</f>
        <v>-1205208.29872811</v>
      </c>
      <c r="C233" s="106"/>
      <c r="D233" s="105" t="s">
        <v>154</v>
      </c>
      <c r="E233" s="107"/>
      <c r="F233" s="116">
        <f>SUM(F229:F232)</f>
        <v>-327308.719357798</v>
      </c>
      <c r="G233" s="116">
        <v>0</v>
      </c>
      <c r="H233" s="116">
        <v>0</v>
      </c>
      <c r="I233" s="129">
        <v>0</v>
      </c>
      <c r="J233" s="129"/>
      <c r="K233" s="116">
        <f>SUM(K229:K232)</f>
        <v>243020.771798165</v>
      </c>
      <c r="L233" s="116">
        <f>SUM(L229:L232)</f>
        <v>429348.686436697</v>
      </c>
      <c r="M233" s="116"/>
      <c r="N233" s="130">
        <f>SUM(N229:N232)</f>
        <v>-285324.556</v>
      </c>
      <c r="O233" s="131"/>
      <c r="P233" s="116">
        <v>0</v>
      </c>
      <c r="Q233" s="116">
        <v>0</v>
      </c>
      <c r="R233" s="135">
        <v>0</v>
      </c>
      <c r="S233" s="143">
        <v>0</v>
      </c>
      <c r="T233" s="144">
        <f>SUBTOTAL(9,T229:T232)</f>
        <v>163191.647442202</v>
      </c>
      <c r="U233" s="144"/>
      <c r="V233" s="183"/>
      <c r="W233" s="183"/>
    </row>
    <row r="234" s="4" customFormat="1" ht="18" customHeight="1" spans="4:23">
      <c r="D234" s="111" t="s">
        <v>149</v>
      </c>
      <c r="E234" s="112">
        <v>0.0003</v>
      </c>
      <c r="F234" s="111">
        <v>0</v>
      </c>
      <c r="G234" s="113"/>
      <c r="H234" s="111"/>
      <c r="I234" s="124">
        <v>0</v>
      </c>
      <c r="J234" s="124"/>
      <c r="K234" s="111"/>
      <c r="L234" s="111"/>
      <c r="M234" s="111"/>
      <c r="N234" s="132"/>
      <c r="O234" s="133"/>
      <c r="P234" s="123"/>
      <c r="Q234" s="105"/>
      <c r="R234" s="142"/>
      <c r="S234" s="139"/>
      <c r="T234" s="184"/>
      <c r="U234" s="184"/>
      <c r="V234" s="183"/>
      <c r="W234" s="183"/>
    </row>
    <row r="235" s="4" customFormat="1" ht="18" customHeight="1" spans="4:23">
      <c r="D235" s="111" t="s">
        <v>123</v>
      </c>
      <c r="E235" s="112">
        <v>0.0006</v>
      </c>
      <c r="F235" s="111">
        <f>B28*E235</f>
        <v>22621.7514595496</v>
      </c>
      <c r="G235" s="113">
        <f>B7*E235</f>
        <v>2781.81818181818</v>
      </c>
      <c r="H235" s="111">
        <v>2248</v>
      </c>
      <c r="I235" s="124">
        <f>B9*E235</f>
        <v>2400</v>
      </c>
      <c r="J235" s="124"/>
      <c r="K235" s="111">
        <v>2340</v>
      </c>
      <c r="L235" s="111">
        <f>B11*E235</f>
        <v>4788.99082568807</v>
      </c>
      <c r="M235" s="111"/>
      <c r="N235" s="132"/>
      <c r="O235" s="133"/>
      <c r="P235" s="134">
        <v>853.21</v>
      </c>
      <c r="Q235" s="28">
        <f>E235*B13</f>
        <v>1992.66055045872</v>
      </c>
      <c r="R235" s="138">
        <f>E235*B14</f>
        <v>946.788990825688</v>
      </c>
      <c r="S235" s="139">
        <f>B15*E235</f>
        <v>2845.87155963303</v>
      </c>
      <c r="T235" s="184">
        <f>E235*B16</f>
        <v>1425.6880733945</v>
      </c>
      <c r="U235" s="184"/>
      <c r="V235" s="183"/>
      <c r="W235" s="183"/>
    </row>
    <row r="236" s="4" customFormat="1" ht="18" customHeight="1" spans="4:23">
      <c r="D236" s="105" t="s">
        <v>22</v>
      </c>
      <c r="E236" s="107"/>
      <c r="F236" s="116">
        <f>F233+F234+F235</f>
        <v>-304686.967898249</v>
      </c>
      <c r="G236" s="116"/>
      <c r="H236" s="116"/>
      <c r="I236" s="129"/>
      <c r="J236" s="129"/>
      <c r="K236" s="116"/>
      <c r="L236" s="135">
        <f>L233+L235</f>
        <v>434137.677262385</v>
      </c>
      <c r="M236" s="135"/>
      <c r="N236" s="130"/>
      <c r="O236" s="131"/>
      <c r="P236" s="136"/>
      <c r="Q236" s="116"/>
      <c r="R236" s="135"/>
      <c r="S236" s="143"/>
      <c r="T236" s="135"/>
      <c r="U236" s="135"/>
      <c r="V236" s="183"/>
      <c r="W236" s="183"/>
    </row>
    <row r="237" s="4" customFormat="1" ht="18" customHeight="1" spans="4:23">
      <c r="D237" s="111" t="s">
        <v>121</v>
      </c>
      <c r="E237" s="112">
        <v>0.02</v>
      </c>
      <c r="F237" s="111">
        <f>B28*E237</f>
        <v>754058.381984987</v>
      </c>
      <c r="G237" s="113"/>
      <c r="H237" s="111"/>
      <c r="I237" s="109"/>
      <c r="J237" s="109"/>
      <c r="K237" s="105"/>
      <c r="L237" s="111">
        <v>485252</v>
      </c>
      <c r="M237" s="111"/>
      <c r="N237" s="132"/>
      <c r="O237" s="133"/>
      <c r="P237" s="134">
        <f>B12*0.02</f>
        <v>28440.3669724771</v>
      </c>
      <c r="Q237" s="105">
        <f>G13*E237</f>
        <v>72400</v>
      </c>
      <c r="R237" s="138">
        <f>G14*E237</f>
        <v>34400</v>
      </c>
      <c r="S237" s="139">
        <f>G15*E237</f>
        <v>103400</v>
      </c>
      <c r="T237" s="184">
        <f>G16*E237</f>
        <v>51800</v>
      </c>
      <c r="U237" s="184"/>
      <c r="V237" s="183"/>
      <c r="W237" s="183"/>
    </row>
    <row r="238" s="5" customFormat="1" ht="18" customHeight="1" spans="4:23"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  <c r="R238" s="181"/>
      <c r="S238" s="181"/>
      <c r="T238" s="185"/>
      <c r="U238" s="185"/>
      <c r="V238" s="181"/>
      <c r="W238" s="181"/>
    </row>
    <row r="239" ht="18" customHeight="1" spans="3:8">
      <c r="C239" s="6"/>
      <c r="G239" s="11">
        <f>F7-F31-F33-F36-F37-F40+F7-F31-F33-F36-F37-F40</f>
        <v>-667527.498181818</v>
      </c>
      <c r="H239" s="9">
        <f>F7-F31-F33-F36-F37-F40</f>
        <v>-333763.749090909</v>
      </c>
    </row>
    <row r="240" ht="18" customHeight="1" spans="3:9">
      <c r="C240" s="6"/>
      <c r="I240" s="10">
        <f>F9-F55-F60-F56-F57-F58</f>
        <v>170196.23</v>
      </c>
    </row>
    <row r="241" spans="3:3">
      <c r="C241" s="6"/>
    </row>
    <row r="242" spans="3:3">
      <c r="C242" s="6"/>
    </row>
    <row r="243" spans="3:8">
      <c r="C243" s="6"/>
      <c r="H243" s="9" t="s">
        <v>242</v>
      </c>
    </row>
    <row r="244" spans="3:3">
      <c r="C244" s="6"/>
    </row>
    <row r="245" spans="3:3">
      <c r="C245" s="6"/>
    </row>
    <row r="246" spans="3:3">
      <c r="C246" s="6"/>
    </row>
    <row r="247" spans="3:3">
      <c r="C247" s="6"/>
    </row>
    <row r="248" spans="3:3">
      <c r="C248" s="6"/>
    </row>
    <row r="249" spans="3:3">
      <c r="C249" s="6"/>
    </row>
    <row r="250" spans="3:3">
      <c r="C250" s="6"/>
    </row>
    <row r="251" spans="3:3">
      <c r="C251" s="6"/>
    </row>
    <row r="252" spans="3:3">
      <c r="C252" s="6"/>
    </row>
    <row r="253" spans="3:3">
      <c r="C253" s="6"/>
    </row>
    <row r="254" spans="3:3">
      <c r="C254" s="6"/>
    </row>
    <row r="255" spans="3:3">
      <c r="C255" s="6"/>
    </row>
    <row r="256" spans="3:3">
      <c r="C256" s="6"/>
    </row>
  </sheetData>
  <mergeCells count="49">
    <mergeCell ref="A1:J1"/>
    <mergeCell ref="H2:J2"/>
    <mergeCell ref="C5:D5"/>
    <mergeCell ref="E5:F5"/>
    <mergeCell ref="H5:J5"/>
    <mergeCell ref="T227:U227"/>
    <mergeCell ref="I228:J228"/>
    <mergeCell ref="L228:M228"/>
    <mergeCell ref="N228:O228"/>
    <mergeCell ref="T228:U228"/>
    <mergeCell ref="I229:J229"/>
    <mergeCell ref="L229:M229"/>
    <mergeCell ref="N229:O229"/>
    <mergeCell ref="T229:U229"/>
    <mergeCell ref="I230:J230"/>
    <mergeCell ref="L230:M230"/>
    <mergeCell ref="N230:O230"/>
    <mergeCell ref="T230:U230"/>
    <mergeCell ref="I231:J231"/>
    <mergeCell ref="L231:M231"/>
    <mergeCell ref="N231:O231"/>
    <mergeCell ref="T231:U231"/>
    <mergeCell ref="I232:J232"/>
    <mergeCell ref="L232:M232"/>
    <mergeCell ref="N232:O232"/>
    <mergeCell ref="T232:U232"/>
    <mergeCell ref="I233:J233"/>
    <mergeCell ref="L233:M233"/>
    <mergeCell ref="N233:O233"/>
    <mergeCell ref="T233:U233"/>
    <mergeCell ref="I234:J234"/>
    <mergeCell ref="L234:M234"/>
    <mergeCell ref="N234:O234"/>
    <mergeCell ref="T234:U234"/>
    <mergeCell ref="I235:J235"/>
    <mergeCell ref="L235:M235"/>
    <mergeCell ref="N235:O235"/>
    <mergeCell ref="T235:U235"/>
    <mergeCell ref="I236:J236"/>
    <mergeCell ref="L236:M236"/>
    <mergeCell ref="N236:O236"/>
    <mergeCell ref="T236:U236"/>
    <mergeCell ref="I237:J237"/>
    <mergeCell ref="L237:M237"/>
    <mergeCell ref="N237:O237"/>
    <mergeCell ref="T237:U237"/>
    <mergeCell ref="A5:A6"/>
    <mergeCell ref="B5:B6"/>
    <mergeCell ref="G5:G6"/>
  </mergeCells>
  <pageMargins left="0.75" right="0.75" top="1" bottom="1" header="0.5" footer="0.5"/>
  <pageSetup paperSize="9" orientation="portrait"/>
  <headerFooter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04"/>
  <sheetViews>
    <sheetView tabSelected="1" topLeftCell="D275" workbookViewId="0">
      <selection activeCell="D286" sqref="D286:X286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9" customWidth="1"/>
    <col min="5" max="5" width="6" style="9" customWidth="1"/>
    <col min="6" max="6" width="13.1333333333333" style="10" customWidth="1"/>
    <col min="7" max="7" width="14.1333333333333" style="11" customWidth="1"/>
    <col min="8" max="8" width="13.1333333333333" style="9" customWidth="1"/>
    <col min="9" max="9" width="18.75" style="10" customWidth="1"/>
    <col min="10" max="10" width="6.13333333333333" style="12" customWidth="1"/>
    <col min="11" max="11" width="26.6333333333333" style="13" customWidth="1"/>
    <col min="12" max="12" width="12.75" style="13" customWidth="1"/>
    <col min="13" max="13" width="11.6333333333333" style="13" customWidth="1"/>
    <col min="14" max="14" width="5.63333333333333" style="13" customWidth="1"/>
    <col min="15" max="15" width="9" style="13" customWidth="1"/>
    <col min="16" max="16" width="14.6333333333333" style="13" customWidth="1"/>
    <col min="17" max="17" width="13.8833333333333" style="13" customWidth="1"/>
    <col min="18" max="18" width="14.1333333333333" style="13" customWidth="1"/>
    <col min="19" max="19" width="14.3833333333333" style="13" customWidth="1"/>
    <col min="20" max="20" width="9.63333333333333" style="13"/>
    <col min="21" max="23" width="9" style="13"/>
    <col min="24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7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21">
        <v>51348718</v>
      </c>
      <c r="E2" s="22" t="s">
        <v>3</v>
      </c>
      <c r="F2" s="21"/>
      <c r="G2" s="23" t="s">
        <v>4</v>
      </c>
      <c r="H2" s="24" t="s">
        <v>5</v>
      </c>
      <c r="I2" s="51"/>
      <c r="J2" s="52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2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 t="s">
        <v>172</v>
      </c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9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9"/>
      <c r="H6" s="30" t="s">
        <v>17</v>
      </c>
      <c r="I6" s="28" t="s">
        <v>18</v>
      </c>
      <c r="J6" s="30" t="s">
        <v>19</v>
      </c>
    </row>
    <row r="7" ht="18" customHeight="1" spans="1:11">
      <c r="A7" s="31">
        <v>43242</v>
      </c>
      <c r="B7" s="32">
        <f t="shared" ref="B7:B23" si="0">G7/(1+C7+E7)</f>
        <v>4636363.63636364</v>
      </c>
      <c r="C7" s="33">
        <v>0.02</v>
      </c>
      <c r="D7" s="23">
        <f t="shared" ref="D7:D17" si="1">G7/(1+E7+C7)*C7</f>
        <v>92727.2727272727</v>
      </c>
      <c r="E7" s="33">
        <v>0.08</v>
      </c>
      <c r="F7" s="21">
        <f t="shared" ref="F7:F23" si="2">G7/(1+C7+E7)*E7</f>
        <v>370909.090909091</v>
      </c>
      <c r="G7" s="34">
        <v>5100000</v>
      </c>
      <c r="H7" s="31">
        <v>43250</v>
      </c>
      <c r="I7" s="21">
        <v>5100000</v>
      </c>
      <c r="J7" s="40" t="s">
        <v>20</v>
      </c>
      <c r="K7" s="13">
        <v>5100000</v>
      </c>
    </row>
    <row r="8" ht="18" customHeight="1" spans="1:11">
      <c r="A8" s="31">
        <v>43304</v>
      </c>
      <c r="B8" s="32">
        <f t="shared" si="0"/>
        <v>3745454.54545454</v>
      </c>
      <c r="C8" s="33">
        <v>0.02</v>
      </c>
      <c r="D8" s="23">
        <f t="shared" si="1"/>
        <v>74909.0909090909</v>
      </c>
      <c r="E8" s="33">
        <v>0.08</v>
      </c>
      <c r="F8" s="21">
        <f t="shared" si="2"/>
        <v>299636.363636364</v>
      </c>
      <c r="G8" s="34">
        <v>4120000</v>
      </c>
      <c r="H8" s="31">
        <v>43314</v>
      </c>
      <c r="I8" s="21">
        <v>3296000</v>
      </c>
      <c r="J8" s="40" t="s">
        <v>20</v>
      </c>
      <c r="K8" s="13">
        <v>3296000</v>
      </c>
    </row>
    <row r="9" ht="18" customHeight="1" spans="1:11">
      <c r="A9" s="31">
        <v>43487</v>
      </c>
      <c r="B9" s="32">
        <f t="shared" si="0"/>
        <v>4000000</v>
      </c>
      <c r="C9" s="33">
        <v>0.02</v>
      </c>
      <c r="D9" s="23">
        <f t="shared" si="1"/>
        <v>80000</v>
      </c>
      <c r="E9" s="33">
        <v>0.08</v>
      </c>
      <c r="F9" s="21">
        <f t="shared" si="2"/>
        <v>320000</v>
      </c>
      <c r="G9" s="34">
        <v>4400000</v>
      </c>
      <c r="H9" s="31">
        <v>43320</v>
      </c>
      <c r="I9" s="21">
        <v>824000</v>
      </c>
      <c r="J9" s="40" t="s">
        <v>21</v>
      </c>
      <c r="K9" s="13">
        <v>824000</v>
      </c>
    </row>
    <row r="10" ht="18" customHeight="1" spans="1:11">
      <c r="A10" s="31">
        <v>43759</v>
      </c>
      <c r="B10" s="32">
        <f t="shared" si="0"/>
        <v>3899082.56880734</v>
      </c>
      <c r="C10" s="33">
        <v>0.02</v>
      </c>
      <c r="D10" s="23">
        <f t="shared" si="1"/>
        <v>77981.6513761468</v>
      </c>
      <c r="E10" s="35">
        <v>0.07</v>
      </c>
      <c r="F10" s="21">
        <f t="shared" si="2"/>
        <v>272935.779816514</v>
      </c>
      <c r="G10" s="34">
        <v>4250000</v>
      </c>
      <c r="H10" s="31">
        <v>43494</v>
      </c>
      <c r="I10" s="21">
        <v>3520000</v>
      </c>
      <c r="J10" s="40" t="s">
        <v>20</v>
      </c>
      <c r="K10" s="13">
        <v>3520000</v>
      </c>
    </row>
    <row r="11" ht="18" customHeight="1" spans="1:11">
      <c r="A11" s="31">
        <v>43816</v>
      </c>
      <c r="B11" s="32">
        <f t="shared" si="0"/>
        <v>7981651.37614679</v>
      </c>
      <c r="C11" s="33">
        <v>0.02</v>
      </c>
      <c r="D11" s="23">
        <f t="shared" si="1"/>
        <v>159633.027522936</v>
      </c>
      <c r="E11" s="35">
        <v>0.07</v>
      </c>
      <c r="F11" s="21">
        <f t="shared" si="2"/>
        <v>558715.596330275</v>
      </c>
      <c r="G11" s="34">
        <v>8700000</v>
      </c>
      <c r="H11" s="31">
        <v>43494</v>
      </c>
      <c r="I11" s="21">
        <v>880000</v>
      </c>
      <c r="J11" s="40" t="s">
        <v>21</v>
      </c>
      <c r="K11" s="13">
        <v>880000</v>
      </c>
    </row>
    <row r="12" ht="18" customHeight="1" spans="1:11">
      <c r="A12" s="31">
        <v>43931</v>
      </c>
      <c r="B12" s="32">
        <f t="shared" si="0"/>
        <v>1422018.34862385</v>
      </c>
      <c r="C12" s="33">
        <v>0.02</v>
      </c>
      <c r="D12" s="23">
        <f t="shared" si="1"/>
        <v>28440.3669724771</v>
      </c>
      <c r="E12" s="35">
        <v>0.07</v>
      </c>
      <c r="F12" s="21">
        <f t="shared" si="2"/>
        <v>99541.2844036697</v>
      </c>
      <c r="G12" s="34">
        <v>1550000</v>
      </c>
      <c r="H12" s="31">
        <v>43767</v>
      </c>
      <c r="I12" s="21">
        <v>3400000</v>
      </c>
      <c r="J12" s="40" t="s">
        <v>20</v>
      </c>
      <c r="K12" s="13">
        <v>2896000</v>
      </c>
    </row>
    <row r="13" ht="18" customHeight="1" spans="1:11">
      <c r="A13" s="31">
        <v>43984</v>
      </c>
      <c r="B13" s="32">
        <f t="shared" si="0"/>
        <v>3321100.91743119</v>
      </c>
      <c r="C13" s="33">
        <v>0.02</v>
      </c>
      <c r="D13" s="23">
        <f t="shared" si="1"/>
        <v>66422.0183486239</v>
      </c>
      <c r="E13" s="35">
        <v>0.07</v>
      </c>
      <c r="F13" s="21">
        <f t="shared" si="2"/>
        <v>232477.064220183</v>
      </c>
      <c r="G13" s="34">
        <v>3620000</v>
      </c>
      <c r="H13" s="31">
        <v>43767</v>
      </c>
      <c r="I13" s="21">
        <v>850000</v>
      </c>
      <c r="J13" s="40" t="s">
        <v>21</v>
      </c>
      <c r="K13" s="13">
        <v>724000</v>
      </c>
    </row>
    <row r="14" ht="18" customHeight="1" spans="1:11">
      <c r="A14" s="31">
        <v>44049</v>
      </c>
      <c r="B14" s="32">
        <f t="shared" si="0"/>
        <v>1577981.65137615</v>
      </c>
      <c r="C14" s="35">
        <v>0.02</v>
      </c>
      <c r="D14" s="23">
        <f t="shared" si="1"/>
        <v>31559.6330275229</v>
      </c>
      <c r="E14" s="35">
        <v>0.07</v>
      </c>
      <c r="F14" s="21">
        <f t="shared" si="2"/>
        <v>110458.71559633</v>
      </c>
      <c r="G14" s="34">
        <v>1720000</v>
      </c>
      <c r="H14" s="31">
        <v>43824</v>
      </c>
      <c r="I14" s="21">
        <v>6960000</v>
      </c>
      <c r="J14" s="40" t="s">
        <v>20</v>
      </c>
      <c r="K14" s="13">
        <v>1376000</v>
      </c>
    </row>
    <row r="15" ht="18" customHeight="1" spans="1:11">
      <c r="A15" s="31">
        <v>44077</v>
      </c>
      <c r="B15" s="32">
        <f t="shared" si="0"/>
        <v>4743119.26605505</v>
      </c>
      <c r="C15" s="35">
        <v>0.02</v>
      </c>
      <c r="D15" s="23">
        <f t="shared" si="1"/>
        <v>94862.3853211009</v>
      </c>
      <c r="E15" s="35">
        <v>0.07</v>
      </c>
      <c r="F15" s="21">
        <f t="shared" si="2"/>
        <v>332018.348623853</v>
      </c>
      <c r="G15" s="34">
        <v>5170000</v>
      </c>
      <c r="H15" s="31">
        <v>43824</v>
      </c>
      <c r="I15" s="21">
        <v>1740000</v>
      </c>
      <c r="J15" s="40" t="s">
        <v>21</v>
      </c>
      <c r="K15" s="13">
        <v>344000</v>
      </c>
    </row>
    <row r="16" ht="18" customHeight="1" spans="1:11">
      <c r="A16" s="31">
        <v>44187</v>
      </c>
      <c r="B16" s="32">
        <f t="shared" si="0"/>
        <v>2376146.78899083</v>
      </c>
      <c r="C16" s="35">
        <v>0.02</v>
      </c>
      <c r="D16" s="23">
        <f t="shared" si="1"/>
        <v>47522.9357798165</v>
      </c>
      <c r="E16" s="35">
        <v>0.07</v>
      </c>
      <c r="F16" s="21">
        <f t="shared" si="2"/>
        <v>166330.275229358</v>
      </c>
      <c r="G16" s="34">
        <v>2590000</v>
      </c>
      <c r="H16" s="36">
        <v>43949</v>
      </c>
      <c r="I16" s="21">
        <v>310000</v>
      </c>
      <c r="J16" s="40" t="s">
        <v>21</v>
      </c>
      <c r="K16" s="13">
        <v>4136000</v>
      </c>
    </row>
    <row r="17" ht="18" customHeight="1" spans="1:11">
      <c r="A17" s="31">
        <v>44228</v>
      </c>
      <c r="B17" s="32">
        <f t="shared" si="0"/>
        <v>1403669.72477064</v>
      </c>
      <c r="C17" s="35">
        <v>0.02</v>
      </c>
      <c r="D17" s="23">
        <f t="shared" si="1"/>
        <v>28073.3944954128</v>
      </c>
      <c r="E17" s="35">
        <v>0.07</v>
      </c>
      <c r="F17" s="21">
        <f t="shared" si="2"/>
        <v>98256.880733945</v>
      </c>
      <c r="G17" s="34">
        <f>880000+650000</f>
        <v>1530000</v>
      </c>
      <c r="H17" s="31">
        <v>43949</v>
      </c>
      <c r="I17" s="21">
        <v>1240000</v>
      </c>
      <c r="J17" s="40" t="s">
        <v>20</v>
      </c>
      <c r="K17" s="13">
        <v>1034000</v>
      </c>
    </row>
    <row r="18" ht="18" customHeight="1" spans="1:10">
      <c r="A18" s="31"/>
      <c r="B18" s="32">
        <f t="shared" si="0"/>
        <v>0</v>
      </c>
      <c r="C18" s="33"/>
      <c r="D18" s="23"/>
      <c r="E18" s="33"/>
      <c r="F18" s="21">
        <f t="shared" si="2"/>
        <v>0</v>
      </c>
      <c r="G18" s="34"/>
      <c r="H18" s="31">
        <v>43994</v>
      </c>
      <c r="I18" s="21">
        <v>2896000</v>
      </c>
      <c r="J18" s="40" t="s">
        <v>20</v>
      </c>
    </row>
    <row r="19" ht="18" customHeight="1" spans="1:10">
      <c r="A19" s="31"/>
      <c r="B19" s="32">
        <f t="shared" si="0"/>
        <v>0</v>
      </c>
      <c r="C19" s="33"/>
      <c r="D19" s="23"/>
      <c r="E19" s="33"/>
      <c r="F19" s="21">
        <f t="shared" si="2"/>
        <v>0</v>
      </c>
      <c r="G19" s="34"/>
      <c r="H19" s="31">
        <v>43994</v>
      </c>
      <c r="I19" s="21">
        <v>724000</v>
      </c>
      <c r="J19" s="40" t="s">
        <v>164</v>
      </c>
    </row>
    <row r="20" ht="18" customHeight="1" spans="1:10">
      <c r="A20" s="31"/>
      <c r="B20" s="32">
        <f t="shared" si="0"/>
        <v>0</v>
      </c>
      <c r="C20" s="33"/>
      <c r="D20" s="23"/>
      <c r="E20" s="33"/>
      <c r="F20" s="21">
        <f t="shared" si="2"/>
        <v>0</v>
      </c>
      <c r="G20" s="34"/>
      <c r="H20" s="31">
        <v>44057</v>
      </c>
      <c r="I20" s="21">
        <v>1376000</v>
      </c>
      <c r="J20" s="40" t="s">
        <v>20</v>
      </c>
    </row>
    <row r="21" ht="18" customHeight="1" spans="1:10">
      <c r="A21" s="31"/>
      <c r="B21" s="32">
        <f t="shared" si="0"/>
        <v>0</v>
      </c>
      <c r="C21" s="33"/>
      <c r="D21" s="23"/>
      <c r="E21" s="33"/>
      <c r="F21" s="21">
        <f t="shared" si="2"/>
        <v>0</v>
      </c>
      <c r="G21" s="34"/>
      <c r="H21" s="31">
        <v>44057</v>
      </c>
      <c r="I21" s="21">
        <v>344000</v>
      </c>
      <c r="J21" s="40" t="s">
        <v>164</v>
      </c>
    </row>
    <row r="22" ht="18" customHeight="1" spans="1:10">
      <c r="A22" s="31"/>
      <c r="B22" s="32">
        <f t="shared" si="0"/>
        <v>0</v>
      </c>
      <c r="C22" s="33"/>
      <c r="D22" s="23"/>
      <c r="E22" s="33"/>
      <c r="F22" s="21">
        <f t="shared" si="2"/>
        <v>0</v>
      </c>
      <c r="G22" s="34"/>
      <c r="H22" s="31">
        <v>44085</v>
      </c>
      <c r="I22" s="21">
        <v>4136000</v>
      </c>
      <c r="J22" s="40" t="s">
        <v>20</v>
      </c>
    </row>
    <row r="23" ht="18" customHeight="1" spans="1:10">
      <c r="A23" s="31"/>
      <c r="B23" s="32">
        <f t="shared" si="0"/>
        <v>0</v>
      </c>
      <c r="C23" s="33"/>
      <c r="D23" s="23"/>
      <c r="E23" s="33"/>
      <c r="F23" s="21">
        <f t="shared" si="2"/>
        <v>0</v>
      </c>
      <c r="G23" s="34"/>
      <c r="H23" s="31">
        <v>44085</v>
      </c>
      <c r="I23" s="21">
        <v>1034000</v>
      </c>
      <c r="J23" s="40" t="s">
        <v>164</v>
      </c>
    </row>
    <row r="24" ht="18" customHeight="1" spans="1:10">
      <c r="A24" s="31"/>
      <c r="B24" s="32"/>
      <c r="C24" s="33"/>
      <c r="D24" s="23"/>
      <c r="E24" s="33"/>
      <c r="F24" s="21"/>
      <c r="G24" s="34"/>
      <c r="H24" s="31">
        <v>44190</v>
      </c>
      <c r="I24" s="21">
        <v>2072000</v>
      </c>
      <c r="J24" s="40" t="s">
        <v>20</v>
      </c>
    </row>
    <row r="25" ht="18" customHeight="1" spans="1:10">
      <c r="A25" s="31"/>
      <c r="B25" s="32"/>
      <c r="C25" s="33"/>
      <c r="D25" s="23"/>
      <c r="E25" s="33"/>
      <c r="F25" s="21"/>
      <c r="G25" s="34"/>
      <c r="H25" s="31">
        <v>44190</v>
      </c>
      <c r="I25" s="21">
        <v>518000</v>
      </c>
      <c r="J25" s="40" t="s">
        <v>164</v>
      </c>
    </row>
    <row r="26" ht="18" customHeight="1" spans="1:10">
      <c r="A26" s="31"/>
      <c r="B26" s="32"/>
      <c r="C26" s="33"/>
      <c r="D26" s="23"/>
      <c r="E26" s="33"/>
      <c r="F26" s="21"/>
      <c r="G26" s="34"/>
      <c r="H26" s="31">
        <v>44234</v>
      </c>
      <c r="I26" s="21">
        <v>306000</v>
      </c>
      <c r="J26" s="40" t="s">
        <v>164</v>
      </c>
    </row>
    <row r="27" ht="18" customHeight="1" spans="1:10">
      <c r="A27" s="31"/>
      <c r="B27" s="32"/>
      <c r="C27" s="33"/>
      <c r="D27" s="23"/>
      <c r="E27" s="33"/>
      <c r="F27" s="21"/>
      <c r="G27" s="34"/>
      <c r="H27" s="31">
        <v>44234</v>
      </c>
      <c r="I27" s="21">
        <v>1224000</v>
      </c>
      <c r="J27" s="40" t="s">
        <v>20</v>
      </c>
    </row>
    <row r="28" ht="18" customHeight="1" spans="1:10">
      <c r="A28" s="31"/>
      <c r="B28" s="32">
        <f>G28/(1+C28+E28)</f>
        <v>0</v>
      </c>
      <c r="C28" s="33"/>
      <c r="D28" s="23"/>
      <c r="E28" s="33"/>
      <c r="F28" s="21">
        <f>G28/(1+C28+E28)*E28</f>
        <v>0</v>
      </c>
      <c r="G28" s="34"/>
      <c r="H28" s="31"/>
      <c r="I28" s="21"/>
      <c r="J28" s="40"/>
    </row>
    <row r="29" ht="18" customHeight="1" spans="1:10">
      <c r="A29" s="31"/>
      <c r="B29" s="32">
        <f>G29/(1+C29+E29)</f>
        <v>0</v>
      </c>
      <c r="C29" s="33"/>
      <c r="D29" s="23">
        <f>G29/(1+E29+C29)*C29</f>
        <v>0</v>
      </c>
      <c r="E29" s="33"/>
      <c r="F29" s="21">
        <f>G29/(1+C29+E29)*E29</f>
        <v>0</v>
      </c>
      <c r="G29" s="34"/>
      <c r="H29" s="31"/>
      <c r="I29" s="21"/>
      <c r="J29" s="40"/>
    </row>
    <row r="30" ht="18" customHeight="1" spans="1:10">
      <c r="A30" s="37" t="s">
        <v>22</v>
      </c>
      <c r="B30" s="38">
        <f>SUM(B7:B29)</f>
        <v>39106588.82402</v>
      </c>
      <c r="C30" s="39"/>
      <c r="D30" s="28">
        <f>SUM(D7:D29)</f>
        <v>782131.7764804</v>
      </c>
      <c r="E30" s="27"/>
      <c r="F30" s="28">
        <f>SUM(F7:F29)</f>
        <v>2861279.39949958</v>
      </c>
      <c r="G30" s="29">
        <f>SUM(G7:G29)</f>
        <v>42750000</v>
      </c>
      <c r="H30" s="40"/>
      <c r="I30" s="28">
        <f>SUM(I7:I29)</f>
        <v>42750000</v>
      </c>
      <c r="J30" s="40"/>
    </row>
    <row r="31" ht="30" customHeight="1" spans="1:12">
      <c r="A31" s="6" t="s">
        <v>23</v>
      </c>
      <c r="J31" s="9"/>
      <c r="K31" s="9"/>
      <c r="L31" s="12"/>
    </row>
    <row r="32" ht="18" customHeight="1" spans="1:15">
      <c r="A32" s="41" t="s">
        <v>24</v>
      </c>
      <c r="B32" s="28" t="s">
        <v>25</v>
      </c>
      <c r="C32" s="27" t="s">
        <v>26</v>
      </c>
      <c r="D32" s="27" t="s">
        <v>27</v>
      </c>
      <c r="E32" s="27" t="s">
        <v>15</v>
      </c>
      <c r="F32" s="28" t="s">
        <v>28</v>
      </c>
      <c r="G32" s="29" t="s">
        <v>13</v>
      </c>
      <c r="H32" s="27" t="s">
        <v>29</v>
      </c>
      <c r="I32" s="28" t="s">
        <v>30</v>
      </c>
      <c r="J32" s="27" t="s">
        <v>19</v>
      </c>
      <c r="K32" s="54"/>
      <c r="L32" s="30" t="s">
        <v>32</v>
      </c>
      <c r="M32" s="30" t="s">
        <v>33</v>
      </c>
      <c r="N32" s="30" t="s">
        <v>34</v>
      </c>
      <c r="O32" s="30" t="s">
        <v>35</v>
      </c>
    </row>
    <row r="33" customFormat="1" ht="18" customHeight="1" spans="1:16">
      <c r="A33" s="41"/>
      <c r="B33" s="28"/>
      <c r="C33" s="27"/>
      <c r="D33" s="27"/>
      <c r="E33" s="27"/>
      <c r="F33" s="29"/>
      <c r="G33" s="29"/>
      <c r="H33" s="42">
        <v>43675</v>
      </c>
      <c r="I33" s="55">
        <v>-3000000</v>
      </c>
      <c r="J33" s="56" t="s">
        <v>76</v>
      </c>
      <c r="K33" s="56" t="s">
        <v>162</v>
      </c>
      <c r="L33" s="30"/>
      <c r="M33" s="30"/>
      <c r="N33" s="30"/>
      <c r="O33" s="30"/>
      <c r="P33" s="13"/>
    </row>
    <row r="34" customFormat="1" ht="18" customHeight="1" spans="1:16">
      <c r="A34" s="41"/>
      <c r="B34" s="28"/>
      <c r="C34" s="27"/>
      <c r="D34" s="27"/>
      <c r="E34" s="27"/>
      <c r="F34" s="29"/>
      <c r="G34" s="29"/>
      <c r="H34" s="42">
        <v>44010</v>
      </c>
      <c r="I34" s="57">
        <v>-2000000</v>
      </c>
      <c r="J34" s="56" t="s">
        <v>76</v>
      </c>
      <c r="K34" s="56" t="s">
        <v>162</v>
      </c>
      <c r="L34" s="30"/>
      <c r="M34" s="30"/>
      <c r="N34" s="30"/>
      <c r="O34" s="30"/>
      <c r="P34" s="13"/>
    </row>
    <row r="35" customFormat="1" ht="18" customHeight="1" spans="1:16">
      <c r="A35" s="41"/>
      <c r="B35" s="28"/>
      <c r="C35" s="27"/>
      <c r="D35" s="27"/>
      <c r="E35" s="27"/>
      <c r="F35" s="29"/>
      <c r="G35" s="29"/>
      <c r="H35" s="42">
        <v>44082</v>
      </c>
      <c r="I35" s="57">
        <v>-300000</v>
      </c>
      <c r="J35" s="56" t="s">
        <v>76</v>
      </c>
      <c r="K35" s="56" t="s">
        <v>162</v>
      </c>
      <c r="L35" s="30"/>
      <c r="M35" s="30"/>
      <c r="N35" s="30"/>
      <c r="O35" s="30"/>
      <c r="P35" s="13"/>
    </row>
    <row r="36" customFormat="1" ht="18" customHeight="1" spans="1:16">
      <c r="A36" s="41"/>
      <c r="B36" s="28"/>
      <c r="C36" s="27"/>
      <c r="D36" s="27"/>
      <c r="E36" s="27"/>
      <c r="F36" s="29"/>
      <c r="G36" s="29"/>
      <c r="H36" s="42">
        <v>44183</v>
      </c>
      <c r="I36" s="57">
        <v>-1020000</v>
      </c>
      <c r="J36" s="56" t="s">
        <v>76</v>
      </c>
      <c r="K36" s="56" t="s">
        <v>162</v>
      </c>
      <c r="L36" s="30"/>
      <c r="M36" s="30"/>
      <c r="N36" s="30"/>
      <c r="O36" s="30"/>
      <c r="P36" s="13"/>
    </row>
    <row r="37" s="1" customFormat="1" ht="18" customHeight="1" spans="1:16">
      <c r="A37" s="43">
        <v>43070</v>
      </c>
      <c r="B37" s="25">
        <f t="shared" ref="B37:B100" si="3">ROUND(G37/(1+E37),2)</f>
        <v>2830.19</v>
      </c>
      <c r="C37" s="44"/>
      <c r="D37" s="45" t="s">
        <v>36</v>
      </c>
      <c r="E37" s="46">
        <v>0.06</v>
      </c>
      <c r="F37" s="34">
        <f t="shared" ref="F37:F100" si="4">ROUND(G37/(1+E37)*E37,2)</f>
        <v>169.81</v>
      </c>
      <c r="G37" s="47">
        <v>3000</v>
      </c>
      <c r="H37" s="31"/>
      <c r="I37" s="58"/>
      <c r="J37" s="40"/>
      <c r="K37" s="59"/>
      <c r="L37" s="60" t="s">
        <v>38</v>
      </c>
      <c r="M37" s="61"/>
      <c r="N37" s="61"/>
      <c r="O37" s="60"/>
      <c r="P37" s="62"/>
    </row>
    <row r="38" s="1" customFormat="1" ht="18" customHeight="1" spans="1:16">
      <c r="A38" s="43">
        <v>43071</v>
      </c>
      <c r="B38" s="25">
        <f t="shared" si="3"/>
        <v>3000</v>
      </c>
      <c r="C38" s="44"/>
      <c r="D38" s="45" t="s">
        <v>39</v>
      </c>
      <c r="E38" s="46"/>
      <c r="F38" s="34">
        <f t="shared" si="4"/>
        <v>0</v>
      </c>
      <c r="G38" s="47">
        <v>3000</v>
      </c>
      <c r="H38" s="31"/>
      <c r="I38" s="58"/>
      <c r="J38" s="40"/>
      <c r="K38" s="59"/>
      <c r="L38" s="60" t="s">
        <v>38</v>
      </c>
      <c r="M38" s="61"/>
      <c r="N38" s="61"/>
      <c r="O38" s="60"/>
      <c r="P38" s="62"/>
    </row>
    <row r="39" s="1" customFormat="1" ht="18" customHeight="1" spans="1:16">
      <c r="A39" s="43">
        <v>43072</v>
      </c>
      <c r="B39" s="25">
        <f t="shared" si="3"/>
        <v>12824.53</v>
      </c>
      <c r="C39" s="44"/>
      <c r="D39" s="45" t="s">
        <v>36</v>
      </c>
      <c r="E39" s="46">
        <v>0.06</v>
      </c>
      <c r="F39" s="34">
        <f t="shared" si="4"/>
        <v>769.47</v>
      </c>
      <c r="G39" s="47">
        <v>13594</v>
      </c>
      <c r="H39" s="31"/>
      <c r="I39" s="58"/>
      <c r="J39" s="40"/>
      <c r="K39" s="59"/>
      <c r="L39" s="60" t="s">
        <v>41</v>
      </c>
      <c r="M39" s="61"/>
      <c r="N39" s="61"/>
      <c r="O39" s="60"/>
      <c r="P39" s="62"/>
    </row>
    <row r="40" s="1" customFormat="1" ht="18" customHeight="1" spans="1:16">
      <c r="A40" s="43">
        <v>43073</v>
      </c>
      <c r="B40" s="25">
        <f t="shared" si="3"/>
        <v>1206</v>
      </c>
      <c r="C40" s="44"/>
      <c r="D40" s="45" t="s">
        <v>39</v>
      </c>
      <c r="E40" s="46"/>
      <c r="F40" s="34">
        <f t="shared" si="4"/>
        <v>0</v>
      </c>
      <c r="G40" s="47">
        <v>1206</v>
      </c>
      <c r="H40" s="31"/>
      <c r="I40" s="58"/>
      <c r="J40" s="40"/>
      <c r="K40" s="59"/>
      <c r="L40" s="60" t="s">
        <v>42</v>
      </c>
      <c r="M40" s="61"/>
      <c r="N40" s="61"/>
      <c r="O40" s="60"/>
      <c r="P40" s="62"/>
    </row>
    <row r="41" s="1" customFormat="1" ht="18" customHeight="1" spans="1:16">
      <c r="A41" s="43">
        <v>43074</v>
      </c>
      <c r="B41" s="25">
        <f t="shared" si="3"/>
        <v>13191.34</v>
      </c>
      <c r="C41" s="44"/>
      <c r="D41" s="45" t="s">
        <v>39</v>
      </c>
      <c r="E41" s="46"/>
      <c r="F41" s="34">
        <f t="shared" si="4"/>
        <v>0</v>
      </c>
      <c r="G41" s="47">
        <v>13191.34</v>
      </c>
      <c r="H41" s="31"/>
      <c r="I41" s="58"/>
      <c r="J41" s="40"/>
      <c r="K41" s="59">
        <v>3400000</v>
      </c>
      <c r="L41" s="60" t="s">
        <v>43</v>
      </c>
      <c r="M41" s="61"/>
      <c r="N41" s="61"/>
      <c r="O41" s="60"/>
      <c r="P41" s="62"/>
    </row>
    <row r="42" s="1" customFormat="1" ht="18" customHeight="1" spans="1:16">
      <c r="A42" s="43">
        <v>43149</v>
      </c>
      <c r="B42" s="25">
        <f t="shared" si="3"/>
        <v>1924.53</v>
      </c>
      <c r="C42" s="44"/>
      <c r="D42" s="45" t="s">
        <v>36</v>
      </c>
      <c r="E42" s="46">
        <v>0.06</v>
      </c>
      <c r="F42" s="34">
        <f t="shared" si="4"/>
        <v>115.47</v>
      </c>
      <c r="G42" s="47">
        <v>2040</v>
      </c>
      <c r="H42" s="31"/>
      <c r="I42" s="58"/>
      <c r="J42" s="40"/>
      <c r="K42" s="59">
        <v>850000</v>
      </c>
      <c r="L42" s="60" t="s">
        <v>41</v>
      </c>
      <c r="M42" s="61"/>
      <c r="N42" s="61"/>
      <c r="O42" s="60"/>
      <c r="P42" s="62"/>
    </row>
    <row r="43" s="1" customFormat="1" ht="25" customHeight="1" spans="1:16">
      <c r="A43" s="43">
        <v>43177</v>
      </c>
      <c r="B43" s="25">
        <f t="shared" si="3"/>
        <v>2830.19</v>
      </c>
      <c r="C43" s="44"/>
      <c r="D43" s="45" t="s">
        <v>36</v>
      </c>
      <c r="E43" s="46">
        <v>0.06</v>
      </c>
      <c r="F43" s="34">
        <f t="shared" si="4"/>
        <v>169.81</v>
      </c>
      <c r="G43" s="47">
        <v>3000</v>
      </c>
      <c r="H43" s="31"/>
      <c r="I43" s="58"/>
      <c r="J43" s="40"/>
      <c r="K43" s="59"/>
      <c r="L43" s="60" t="s">
        <v>45</v>
      </c>
      <c r="M43" s="61"/>
      <c r="N43" s="61"/>
      <c r="O43" s="60"/>
      <c r="P43" s="62"/>
    </row>
    <row r="44" s="1" customFormat="1" ht="19" customHeight="1" spans="1:16">
      <c r="A44" s="43">
        <v>43178</v>
      </c>
      <c r="B44" s="25">
        <f t="shared" si="3"/>
        <v>12529.12</v>
      </c>
      <c r="C44" s="44"/>
      <c r="D44" s="45" t="s">
        <v>39</v>
      </c>
      <c r="E44" s="46"/>
      <c r="F44" s="34">
        <f t="shared" si="4"/>
        <v>0</v>
      </c>
      <c r="G44" s="47">
        <v>12529.12</v>
      </c>
      <c r="H44" s="31"/>
      <c r="I44" s="58"/>
      <c r="J44" s="40"/>
      <c r="K44" s="59"/>
      <c r="L44" s="60" t="s">
        <v>46</v>
      </c>
      <c r="M44" s="61"/>
      <c r="N44" s="61"/>
      <c r="O44" s="60"/>
      <c r="P44" s="62"/>
    </row>
    <row r="45" s="1" customFormat="1" ht="18" customHeight="1" spans="1:16">
      <c r="A45" s="43">
        <v>43177</v>
      </c>
      <c r="B45" s="25">
        <f t="shared" si="3"/>
        <v>7575</v>
      </c>
      <c r="C45" s="44"/>
      <c r="D45" s="45" t="s">
        <v>39</v>
      </c>
      <c r="E45" s="46"/>
      <c r="F45" s="34">
        <f t="shared" si="4"/>
        <v>0</v>
      </c>
      <c r="G45" s="47">
        <v>7575</v>
      </c>
      <c r="H45" s="31"/>
      <c r="I45" s="58"/>
      <c r="J45" s="40"/>
      <c r="K45" s="59"/>
      <c r="L45" s="60" t="s">
        <v>46</v>
      </c>
      <c r="M45" s="61"/>
      <c r="N45" s="61"/>
      <c r="O45" s="60"/>
      <c r="P45" s="62"/>
    </row>
    <row r="46" s="1" customFormat="1" ht="18" customHeight="1" spans="1:23">
      <c r="A46" s="43">
        <v>43238</v>
      </c>
      <c r="B46" s="25">
        <f t="shared" si="3"/>
        <v>4396551.72</v>
      </c>
      <c r="C46" s="44"/>
      <c r="D46" s="45" t="s">
        <v>36</v>
      </c>
      <c r="E46" s="46">
        <v>0.16</v>
      </c>
      <c r="F46" s="34">
        <f t="shared" si="4"/>
        <v>703448.28</v>
      </c>
      <c r="G46" s="47">
        <v>5100000</v>
      </c>
      <c r="H46" s="31">
        <v>43251</v>
      </c>
      <c r="I46" s="58">
        <v>2500000</v>
      </c>
      <c r="J46" s="40" t="s">
        <v>20</v>
      </c>
      <c r="K46" s="59" t="s">
        <v>47</v>
      </c>
      <c r="L46" s="61" t="s">
        <v>48</v>
      </c>
      <c r="M46" s="61"/>
      <c r="N46" s="61"/>
      <c r="O46" s="61"/>
      <c r="P46" s="62"/>
      <c r="Q46" s="62"/>
      <c r="R46" s="62"/>
      <c r="S46" s="62"/>
      <c r="T46" s="62"/>
      <c r="U46" s="62"/>
      <c r="V46" s="62"/>
      <c r="W46" s="62"/>
    </row>
    <row r="47" s="1" customFormat="1" ht="18" customHeight="1" spans="1:23">
      <c r="A47" s="43"/>
      <c r="B47" s="25">
        <f t="shared" si="3"/>
        <v>0</v>
      </c>
      <c r="C47" s="44"/>
      <c r="D47" s="45"/>
      <c r="E47" s="46"/>
      <c r="F47" s="34">
        <f t="shared" si="4"/>
        <v>0</v>
      </c>
      <c r="G47" s="47"/>
      <c r="H47" s="31">
        <v>43255</v>
      </c>
      <c r="I47" s="58">
        <v>2530768</v>
      </c>
      <c r="J47" s="40" t="s">
        <v>20</v>
      </c>
      <c r="K47" s="59" t="s">
        <v>47</v>
      </c>
      <c r="L47" s="61"/>
      <c r="M47" s="61"/>
      <c r="N47" s="61"/>
      <c r="O47" s="61"/>
      <c r="P47" s="62"/>
      <c r="Q47" s="62"/>
      <c r="R47" s="62"/>
      <c r="S47" s="62"/>
      <c r="T47" s="62"/>
      <c r="U47" s="62"/>
      <c r="V47" s="62"/>
      <c r="W47" s="62"/>
    </row>
    <row r="48" s="1" customFormat="1" ht="18" customHeight="1" spans="1:23">
      <c r="A48" s="43"/>
      <c r="B48" s="25">
        <f t="shared" si="3"/>
        <v>0</v>
      </c>
      <c r="C48" s="44"/>
      <c r="D48" s="45"/>
      <c r="E48" s="46"/>
      <c r="F48" s="34">
        <f t="shared" si="4"/>
        <v>0</v>
      </c>
      <c r="G48" s="47"/>
      <c r="H48" s="31">
        <v>43255</v>
      </c>
      <c r="I48" s="58">
        <v>69232</v>
      </c>
      <c r="J48" s="40" t="s">
        <v>20</v>
      </c>
      <c r="K48" s="59" t="s">
        <v>47</v>
      </c>
      <c r="L48" s="61"/>
      <c r="M48" s="61"/>
      <c r="N48" s="61"/>
      <c r="O48" s="61"/>
      <c r="P48" s="62"/>
      <c r="Q48" s="62"/>
      <c r="R48" s="62"/>
      <c r="S48" s="62"/>
      <c r="T48" s="62"/>
      <c r="U48" s="62"/>
      <c r="V48" s="62"/>
      <c r="W48" s="62"/>
    </row>
    <row r="49" s="1" customFormat="1" ht="18" customHeight="1" spans="1:23">
      <c r="A49" s="43"/>
      <c r="B49" s="25">
        <f t="shared" si="3"/>
        <v>0</v>
      </c>
      <c r="C49" s="44"/>
      <c r="D49" s="45"/>
      <c r="E49" s="46"/>
      <c r="F49" s="34">
        <f t="shared" si="4"/>
        <v>0</v>
      </c>
      <c r="G49" s="47"/>
      <c r="H49" s="31">
        <v>43252</v>
      </c>
      <c r="I49" s="58">
        <v>-29323</v>
      </c>
      <c r="J49" s="40" t="s">
        <v>21</v>
      </c>
      <c r="K49" s="59" t="s">
        <v>50</v>
      </c>
      <c r="L49" s="61"/>
      <c r="M49" s="61"/>
      <c r="N49" s="61"/>
      <c r="O49" s="61"/>
      <c r="P49" s="62"/>
      <c r="Q49" s="62"/>
      <c r="R49" s="62"/>
      <c r="S49" s="62"/>
      <c r="T49" s="62"/>
      <c r="U49" s="62"/>
      <c r="V49" s="62"/>
      <c r="W49" s="62"/>
    </row>
    <row r="50" s="1" customFormat="1" ht="18" customHeight="1" spans="1:23">
      <c r="A50" s="43"/>
      <c r="B50" s="25">
        <f t="shared" si="3"/>
        <v>0</v>
      </c>
      <c r="C50" s="44"/>
      <c r="D50" s="45"/>
      <c r="E50" s="46"/>
      <c r="F50" s="34">
        <f t="shared" si="4"/>
        <v>0</v>
      </c>
      <c r="G50" s="47"/>
      <c r="H50" s="31">
        <v>43255</v>
      </c>
      <c r="I50" s="58">
        <v>-39909</v>
      </c>
      <c r="J50" s="40" t="s">
        <v>21</v>
      </c>
      <c r="K50" s="59" t="s">
        <v>50</v>
      </c>
      <c r="L50" s="61"/>
      <c r="M50" s="61"/>
      <c r="N50" s="61"/>
      <c r="O50" s="61"/>
      <c r="P50" s="62"/>
      <c r="Q50" s="62"/>
      <c r="R50" s="62"/>
      <c r="S50" s="62"/>
      <c r="T50" s="62"/>
      <c r="U50" s="62"/>
      <c r="V50" s="62"/>
      <c r="W50" s="62"/>
    </row>
    <row r="51" s="1" customFormat="1" ht="18" customHeight="1" spans="1:23">
      <c r="A51" s="43">
        <v>43269</v>
      </c>
      <c r="B51" s="25">
        <f t="shared" si="3"/>
        <v>5825.24</v>
      </c>
      <c r="C51" s="44"/>
      <c r="D51" s="45" t="s">
        <v>36</v>
      </c>
      <c r="E51" s="46">
        <v>0.03</v>
      </c>
      <c r="F51" s="34">
        <f t="shared" si="4"/>
        <v>174.76</v>
      </c>
      <c r="G51" s="47">
        <v>6000</v>
      </c>
      <c r="H51" s="31">
        <v>43264</v>
      </c>
      <c r="I51" s="58">
        <v>6000</v>
      </c>
      <c r="J51" s="40" t="s">
        <v>20</v>
      </c>
      <c r="K51" s="59" t="s">
        <v>51</v>
      </c>
      <c r="L51" s="61" t="s">
        <v>52</v>
      </c>
      <c r="M51" s="61"/>
      <c r="N51" s="61"/>
      <c r="O51" s="61"/>
      <c r="P51" s="62"/>
      <c r="Q51" s="62"/>
      <c r="R51" s="62"/>
      <c r="S51" s="62"/>
      <c r="T51" s="62"/>
      <c r="U51" s="62"/>
      <c r="V51" s="62"/>
      <c r="W51" s="62"/>
    </row>
    <row r="52" s="1" customFormat="1" ht="18" customHeight="1" spans="1:23">
      <c r="A52" s="43"/>
      <c r="B52" s="25">
        <f t="shared" si="3"/>
        <v>0</v>
      </c>
      <c r="C52" s="44"/>
      <c r="D52" s="45"/>
      <c r="E52" s="46"/>
      <c r="F52" s="34">
        <f t="shared" si="4"/>
        <v>0</v>
      </c>
      <c r="G52" s="47"/>
      <c r="H52" s="31">
        <v>43263</v>
      </c>
      <c r="I52" s="58">
        <v>-6000</v>
      </c>
      <c r="J52" s="40" t="s">
        <v>21</v>
      </c>
      <c r="K52" s="59" t="s">
        <v>50</v>
      </c>
      <c r="L52" s="61"/>
      <c r="M52" s="61"/>
      <c r="N52" s="61"/>
      <c r="O52" s="61"/>
      <c r="P52" s="62"/>
      <c r="Q52" s="62"/>
      <c r="R52" s="62"/>
      <c r="S52" s="62"/>
      <c r="T52" s="62"/>
      <c r="U52" s="62"/>
      <c r="V52" s="62"/>
      <c r="W52" s="62"/>
    </row>
    <row r="53" s="2" customFormat="1" ht="18" customHeight="1" spans="1:23">
      <c r="A53" s="48">
        <v>43335</v>
      </c>
      <c r="B53" s="25">
        <f t="shared" si="3"/>
        <v>4000000</v>
      </c>
      <c r="C53" s="49"/>
      <c r="D53" s="50" t="s">
        <v>36</v>
      </c>
      <c r="E53" s="46">
        <v>0.03</v>
      </c>
      <c r="F53" s="34">
        <f t="shared" si="4"/>
        <v>120000</v>
      </c>
      <c r="G53" s="47">
        <v>4120000</v>
      </c>
      <c r="H53" s="36">
        <v>43335</v>
      </c>
      <c r="I53" s="34">
        <v>2000000</v>
      </c>
      <c r="J53" s="63" t="s">
        <v>20</v>
      </c>
      <c r="K53" s="64" t="s">
        <v>53</v>
      </c>
      <c r="L53" s="65" t="s">
        <v>54</v>
      </c>
      <c r="M53" s="65"/>
      <c r="N53" s="65"/>
      <c r="O53" s="65"/>
      <c r="P53" s="66"/>
      <c r="Q53" s="66"/>
      <c r="R53" s="66"/>
      <c r="S53" s="66"/>
      <c r="T53" s="66"/>
      <c r="U53" s="66"/>
      <c r="V53" s="66"/>
      <c r="W53" s="66"/>
    </row>
    <row r="54" s="2" customFormat="1" ht="18" customHeight="1" spans="1:16">
      <c r="A54" s="48"/>
      <c r="B54" s="25">
        <f t="shared" si="3"/>
        <v>1344.34</v>
      </c>
      <c r="C54" s="49">
        <v>3</v>
      </c>
      <c r="D54" s="50" t="s">
        <v>36</v>
      </c>
      <c r="E54" s="46">
        <v>0.06</v>
      </c>
      <c r="F54" s="34">
        <f t="shared" si="4"/>
        <v>80.66</v>
      </c>
      <c r="G54" s="47">
        <f>285+690+450</f>
        <v>1425</v>
      </c>
      <c r="H54" s="36"/>
      <c r="I54" s="34"/>
      <c r="J54" s="63"/>
      <c r="K54" s="64"/>
      <c r="L54" s="67" t="s">
        <v>41</v>
      </c>
      <c r="M54" s="65"/>
      <c r="N54" s="65"/>
      <c r="O54" s="68">
        <v>43335</v>
      </c>
      <c r="P54" s="66"/>
    </row>
    <row r="55" s="2" customFormat="1" ht="18" customHeight="1" spans="1:16">
      <c r="A55" s="48"/>
      <c r="B55" s="25">
        <f t="shared" si="3"/>
        <v>6510</v>
      </c>
      <c r="C55" s="49"/>
      <c r="D55" s="50" t="s">
        <v>39</v>
      </c>
      <c r="E55" s="46"/>
      <c r="F55" s="34">
        <f t="shared" si="4"/>
        <v>0</v>
      </c>
      <c r="G55" s="47">
        <v>6510</v>
      </c>
      <c r="H55" s="36"/>
      <c r="I55" s="34"/>
      <c r="J55" s="63"/>
      <c r="K55" s="64"/>
      <c r="L55" s="67" t="s">
        <v>57</v>
      </c>
      <c r="M55" s="65"/>
      <c r="N55" s="65"/>
      <c r="O55" s="68">
        <v>43335</v>
      </c>
      <c r="P55" s="66"/>
    </row>
    <row r="56" s="2" customFormat="1" ht="18" customHeight="1" spans="1:16">
      <c r="A56" s="48"/>
      <c r="B56" s="25">
        <f t="shared" si="3"/>
        <v>11436.89</v>
      </c>
      <c r="C56" s="49">
        <v>2</v>
      </c>
      <c r="D56" s="50" t="s">
        <v>36</v>
      </c>
      <c r="E56" s="46">
        <v>0.03</v>
      </c>
      <c r="F56" s="34">
        <f t="shared" si="4"/>
        <v>343.11</v>
      </c>
      <c r="G56" s="47">
        <f>7740+4040</f>
        <v>11780</v>
      </c>
      <c r="H56" s="36"/>
      <c r="I56" s="34"/>
      <c r="J56" s="63"/>
      <c r="K56" s="64">
        <v>6960000</v>
      </c>
      <c r="L56" s="67" t="s">
        <v>59</v>
      </c>
      <c r="M56" s="65"/>
      <c r="N56" s="65"/>
      <c r="O56" s="68">
        <v>43335</v>
      </c>
      <c r="P56" s="66"/>
    </row>
    <row r="57" s="2" customFormat="1" ht="18" customHeight="1" spans="1:16">
      <c r="A57" s="48"/>
      <c r="B57" s="25">
        <f t="shared" si="3"/>
        <v>1800</v>
      </c>
      <c r="C57" s="49"/>
      <c r="D57" s="50" t="s">
        <v>39</v>
      </c>
      <c r="E57" s="46"/>
      <c r="F57" s="34">
        <f t="shared" si="4"/>
        <v>0</v>
      </c>
      <c r="G57" s="47">
        <v>1800</v>
      </c>
      <c r="H57" s="36"/>
      <c r="I57" s="34"/>
      <c r="J57" s="63"/>
      <c r="K57" s="64">
        <v>1740000</v>
      </c>
      <c r="L57" s="67" t="s">
        <v>60</v>
      </c>
      <c r="M57" s="65"/>
      <c r="N57" s="65"/>
      <c r="O57" s="68">
        <v>43335</v>
      </c>
      <c r="P57" s="66"/>
    </row>
    <row r="58" s="2" customFormat="1" ht="18" customHeight="1" spans="1:16">
      <c r="A58" s="48"/>
      <c r="B58" s="25">
        <f t="shared" si="3"/>
        <v>26788.86</v>
      </c>
      <c r="C58" s="49"/>
      <c r="D58" s="50" t="s">
        <v>61</v>
      </c>
      <c r="E58" s="46"/>
      <c r="F58" s="34">
        <f t="shared" si="4"/>
        <v>0</v>
      </c>
      <c r="G58" s="47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58" s="36"/>
      <c r="I58" s="34"/>
      <c r="J58" s="63"/>
      <c r="K58" s="64"/>
      <c r="L58" s="67" t="s">
        <v>63</v>
      </c>
      <c r="M58" s="65"/>
      <c r="N58" s="65"/>
      <c r="O58" s="68">
        <v>43335</v>
      </c>
      <c r="P58" s="66"/>
    </row>
    <row r="59" s="2" customFormat="1" ht="18" customHeight="1" spans="1:16">
      <c r="A59" s="48"/>
      <c r="B59" s="25">
        <f t="shared" si="3"/>
        <v>4285.5</v>
      </c>
      <c r="C59" s="49"/>
      <c r="D59" s="50" t="s">
        <v>61</v>
      </c>
      <c r="E59" s="46"/>
      <c r="F59" s="34">
        <f t="shared" si="4"/>
        <v>0</v>
      </c>
      <c r="G59" s="47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59" s="36"/>
      <c r="I59" s="34"/>
      <c r="J59" s="63"/>
      <c r="K59" s="64"/>
      <c r="L59" s="67" t="s">
        <v>63</v>
      </c>
      <c r="M59" s="65"/>
      <c r="N59" s="65"/>
      <c r="O59" s="68">
        <v>43335</v>
      </c>
      <c r="P59" s="66"/>
    </row>
    <row r="60" s="2" customFormat="1" ht="18" customHeight="1" spans="1:16">
      <c r="A60" s="48"/>
      <c r="B60" s="25">
        <f t="shared" si="3"/>
        <v>9856.03</v>
      </c>
      <c r="C60" s="49"/>
      <c r="D60" s="50" t="s">
        <v>39</v>
      </c>
      <c r="E60" s="46"/>
      <c r="F60" s="34">
        <f t="shared" si="4"/>
        <v>0</v>
      </c>
      <c r="G60" s="47">
        <f>200.03+500+400+286+300+410+910+405+530+300+500+230+280+295+285+400+380+405+200+200+400+425+405+300+310+300+300</f>
        <v>9856.03</v>
      </c>
      <c r="H60" s="36"/>
      <c r="I60" s="34"/>
      <c r="J60" s="63"/>
      <c r="K60" s="64"/>
      <c r="L60" s="67" t="s">
        <v>43</v>
      </c>
      <c r="M60" s="65"/>
      <c r="N60" s="65"/>
      <c r="O60" s="68">
        <v>43335</v>
      </c>
      <c r="P60" s="66"/>
    </row>
    <row r="61" s="2" customFormat="1" ht="18" customHeight="1" spans="1:16">
      <c r="A61" s="48">
        <v>43435</v>
      </c>
      <c r="B61" s="25">
        <f t="shared" si="3"/>
        <v>53286.79</v>
      </c>
      <c r="C61" s="49"/>
      <c r="D61" s="50" t="s">
        <v>36</v>
      </c>
      <c r="E61" s="46">
        <v>0.06</v>
      </c>
      <c r="F61" s="34">
        <f t="shared" si="4"/>
        <v>3197.21</v>
      </c>
      <c r="G61" s="47">
        <v>56484</v>
      </c>
      <c r="H61" s="36"/>
      <c r="I61" s="34"/>
      <c r="J61" s="63"/>
      <c r="K61" s="64"/>
      <c r="L61" s="67" t="s">
        <v>66</v>
      </c>
      <c r="M61" s="65"/>
      <c r="N61" s="65"/>
      <c r="O61" s="67"/>
      <c r="P61" s="66"/>
    </row>
    <row r="62" s="2" customFormat="1" ht="18" customHeight="1" spans="1:23">
      <c r="A62" s="48">
        <v>43435</v>
      </c>
      <c r="B62" s="25">
        <f t="shared" si="3"/>
        <v>5825.24</v>
      </c>
      <c r="C62" s="49"/>
      <c r="D62" s="50" t="s">
        <v>36</v>
      </c>
      <c r="E62" s="46">
        <v>0.03</v>
      </c>
      <c r="F62" s="34">
        <f t="shared" si="4"/>
        <v>174.76</v>
      </c>
      <c r="G62" s="47">
        <v>6000</v>
      </c>
      <c r="H62" s="36">
        <v>43369</v>
      </c>
      <c r="I62" s="34">
        <v>6000</v>
      </c>
      <c r="J62" s="63" t="s">
        <v>20</v>
      </c>
      <c r="K62" s="64" t="s">
        <v>51</v>
      </c>
      <c r="L62" s="65" t="s">
        <v>52</v>
      </c>
      <c r="M62" s="65"/>
      <c r="N62" s="65"/>
      <c r="O62" s="65"/>
      <c r="P62" s="66"/>
      <c r="Q62" s="66"/>
      <c r="R62" s="66"/>
      <c r="S62" s="66"/>
      <c r="T62" s="66"/>
      <c r="U62" s="66"/>
      <c r="V62" s="66"/>
      <c r="W62" s="66"/>
    </row>
    <row r="63" s="2" customFormat="1" ht="18" customHeight="1" spans="1:23">
      <c r="A63" s="48">
        <v>43313</v>
      </c>
      <c r="B63" s="25">
        <f t="shared" si="3"/>
        <v>4654.31</v>
      </c>
      <c r="C63" s="49"/>
      <c r="D63" s="50" t="s">
        <v>36</v>
      </c>
      <c r="E63" s="46">
        <v>0.16</v>
      </c>
      <c r="F63" s="34">
        <f t="shared" si="4"/>
        <v>744.69</v>
      </c>
      <c r="G63" s="47">
        <v>5399</v>
      </c>
      <c r="H63" s="36">
        <v>43369</v>
      </c>
      <c r="I63" s="34">
        <v>-6000</v>
      </c>
      <c r="J63" s="63" t="s">
        <v>21</v>
      </c>
      <c r="K63" s="59" t="s">
        <v>50</v>
      </c>
      <c r="L63" s="65"/>
      <c r="M63" s="65"/>
      <c r="N63" s="65"/>
      <c r="O63" s="65"/>
      <c r="P63" s="66"/>
      <c r="Q63" s="66"/>
      <c r="R63" s="66"/>
      <c r="S63" s="66"/>
      <c r="T63" s="66"/>
      <c r="U63" s="66"/>
      <c r="V63" s="66"/>
      <c r="W63" s="66"/>
    </row>
    <row r="64" s="2" customFormat="1" ht="18" customHeight="1" spans="1:16">
      <c r="A64" s="48">
        <v>43435</v>
      </c>
      <c r="B64" s="25">
        <f t="shared" si="3"/>
        <v>933.96</v>
      </c>
      <c r="C64" s="49"/>
      <c r="D64" s="50" t="s">
        <v>36</v>
      </c>
      <c r="E64" s="46">
        <v>0.06</v>
      </c>
      <c r="F64" s="34">
        <f t="shared" si="4"/>
        <v>56.04</v>
      </c>
      <c r="G64" s="47">
        <f>90+45+855</f>
        <v>990</v>
      </c>
      <c r="H64" s="36"/>
      <c r="I64" s="34"/>
      <c r="J64" s="63"/>
      <c r="K64" s="64"/>
      <c r="L64" s="67" t="s">
        <v>41</v>
      </c>
      <c r="M64" s="65"/>
      <c r="N64" s="65"/>
      <c r="O64" s="67"/>
      <c r="P64" s="66"/>
    </row>
    <row r="65" s="2" customFormat="1" ht="18" customHeight="1" spans="1:16">
      <c r="A65" s="48">
        <v>43435</v>
      </c>
      <c r="B65" s="25">
        <f t="shared" si="3"/>
        <v>43031</v>
      </c>
      <c r="C65" s="49"/>
      <c r="D65" s="50"/>
      <c r="E65" s="46"/>
      <c r="F65" s="34">
        <f t="shared" si="4"/>
        <v>0</v>
      </c>
      <c r="G65" s="47">
        <v>43031</v>
      </c>
      <c r="H65" s="36"/>
      <c r="I65" s="34"/>
      <c r="J65" s="63"/>
      <c r="K65" s="64"/>
      <c r="L65" s="67" t="s">
        <v>68</v>
      </c>
      <c r="M65" s="65"/>
      <c r="N65" s="65"/>
      <c r="O65" s="67"/>
      <c r="P65" s="66"/>
    </row>
    <row r="66" s="2" customFormat="1" ht="18" customHeight="1" spans="1:23">
      <c r="A66" s="48">
        <v>43466</v>
      </c>
      <c r="B66" s="25">
        <f t="shared" si="3"/>
        <v>4854368.93</v>
      </c>
      <c r="C66" s="49"/>
      <c r="D66" s="50" t="s">
        <v>36</v>
      </c>
      <c r="E66" s="46">
        <v>0.03</v>
      </c>
      <c r="F66" s="34">
        <f t="shared" si="4"/>
        <v>145631.07</v>
      </c>
      <c r="G66" s="47">
        <f>5*1000000</f>
        <v>5000000</v>
      </c>
      <c r="H66" s="36">
        <v>43340</v>
      </c>
      <c r="I66" s="34">
        <v>2095952</v>
      </c>
      <c r="J66" s="63" t="s">
        <v>20</v>
      </c>
      <c r="K66" s="64" t="s">
        <v>53</v>
      </c>
      <c r="L66" s="65" t="s">
        <v>54</v>
      </c>
      <c r="M66" s="65"/>
      <c r="N66" s="65"/>
      <c r="O66" s="65"/>
      <c r="P66" s="66"/>
      <c r="Q66" s="66"/>
      <c r="R66" s="66"/>
      <c r="S66" s="66"/>
      <c r="T66" s="66"/>
      <c r="U66" s="66"/>
      <c r="V66" s="66"/>
      <c r="W66" s="66"/>
    </row>
    <row r="67" s="2" customFormat="1" ht="18" customHeight="1" spans="1:23">
      <c r="A67" s="48"/>
      <c r="B67" s="25">
        <f t="shared" si="3"/>
        <v>0</v>
      </c>
      <c r="C67" s="49"/>
      <c r="D67" s="50"/>
      <c r="E67" s="46"/>
      <c r="F67" s="34">
        <f t="shared" si="4"/>
        <v>0</v>
      </c>
      <c r="G67" s="47"/>
      <c r="H67" s="36">
        <v>43495</v>
      </c>
      <c r="I67" s="34">
        <v>3464800</v>
      </c>
      <c r="J67" s="63" t="s">
        <v>20</v>
      </c>
      <c r="K67" s="64" t="s">
        <v>53</v>
      </c>
      <c r="L67" s="65" t="s">
        <v>54</v>
      </c>
      <c r="M67" s="65"/>
      <c r="N67" s="65"/>
      <c r="O67" s="65"/>
      <c r="P67" s="66"/>
      <c r="Q67" s="66"/>
      <c r="R67" s="66"/>
      <c r="S67" s="66"/>
      <c r="T67" s="66"/>
      <c r="U67" s="66"/>
      <c r="V67" s="66"/>
      <c r="W67" s="66"/>
    </row>
    <row r="68" s="2" customFormat="1" ht="18" customHeight="1" spans="1:23">
      <c r="A68" s="48"/>
      <c r="B68" s="25">
        <f t="shared" si="3"/>
        <v>0</v>
      </c>
      <c r="C68" s="49"/>
      <c r="D68" s="50"/>
      <c r="E68" s="46"/>
      <c r="F68" s="34">
        <f t="shared" si="4"/>
        <v>0</v>
      </c>
      <c r="G68" s="47"/>
      <c r="H68" s="36">
        <v>43497</v>
      </c>
      <c r="I68" s="34">
        <v>866800</v>
      </c>
      <c r="J68" s="63" t="s">
        <v>20</v>
      </c>
      <c r="K68" s="64" t="s">
        <v>53</v>
      </c>
      <c r="L68" s="65" t="s">
        <v>54</v>
      </c>
      <c r="M68" s="65"/>
      <c r="N68" s="65"/>
      <c r="O68" s="65"/>
      <c r="P68" s="66"/>
      <c r="Q68" s="66"/>
      <c r="R68" s="66"/>
      <c r="S68" s="66"/>
      <c r="T68" s="66"/>
      <c r="U68" s="66"/>
      <c r="V68" s="66"/>
      <c r="W68" s="66"/>
    </row>
    <row r="69" s="2" customFormat="1" ht="18" customHeight="1" spans="1:23">
      <c r="A69" s="48"/>
      <c r="B69" s="25">
        <f t="shared" si="3"/>
        <v>0</v>
      </c>
      <c r="C69" s="49"/>
      <c r="D69" s="50"/>
      <c r="E69" s="46"/>
      <c r="F69" s="34">
        <f t="shared" si="4"/>
        <v>0</v>
      </c>
      <c r="G69" s="47"/>
      <c r="H69" s="36">
        <v>43629</v>
      </c>
      <c r="I69" s="34">
        <v>84810</v>
      </c>
      <c r="J69" s="63" t="s">
        <v>20</v>
      </c>
      <c r="K69" s="64" t="s">
        <v>69</v>
      </c>
      <c r="L69" s="65" t="s">
        <v>70</v>
      </c>
      <c r="M69" s="65"/>
      <c r="N69" s="65"/>
      <c r="O69" s="65"/>
      <c r="P69" s="66"/>
      <c r="Q69" s="66"/>
      <c r="R69" s="66"/>
      <c r="S69" s="66"/>
      <c r="T69" s="66"/>
      <c r="U69" s="66"/>
      <c r="V69" s="66"/>
      <c r="W69" s="66"/>
    </row>
    <row r="70" s="2" customFormat="1" ht="18" customHeight="1" spans="1:23">
      <c r="A70" s="48"/>
      <c r="B70" s="25">
        <f t="shared" si="3"/>
        <v>0</v>
      </c>
      <c r="C70" s="49"/>
      <c r="D70" s="50"/>
      <c r="E70" s="46"/>
      <c r="F70" s="34">
        <f t="shared" si="4"/>
        <v>0</v>
      </c>
      <c r="G70" s="47"/>
      <c r="H70" s="36">
        <v>43629</v>
      </c>
      <c r="I70" s="34">
        <v>-84810</v>
      </c>
      <c r="J70" s="63" t="s">
        <v>21</v>
      </c>
      <c r="K70" s="59" t="s">
        <v>50</v>
      </c>
      <c r="L70" s="65"/>
      <c r="M70" s="65"/>
      <c r="N70" s="65"/>
      <c r="O70" s="65"/>
      <c r="P70" s="66"/>
      <c r="Q70" s="66"/>
      <c r="R70" s="66"/>
      <c r="S70" s="66"/>
      <c r="T70" s="66"/>
      <c r="U70" s="66"/>
      <c r="V70" s="66"/>
      <c r="W70" s="66"/>
    </row>
    <row r="71" s="2" customFormat="1" ht="18" customHeight="1" spans="1:23">
      <c r="A71" s="48"/>
      <c r="B71" s="25">
        <f t="shared" si="3"/>
        <v>0</v>
      </c>
      <c r="C71" s="49"/>
      <c r="D71" s="50"/>
      <c r="E71" s="46"/>
      <c r="F71" s="34">
        <f t="shared" si="4"/>
        <v>0</v>
      </c>
      <c r="G71" s="47"/>
      <c r="H71" s="36">
        <v>43657</v>
      </c>
      <c r="I71" s="34">
        <v>66753</v>
      </c>
      <c r="J71" s="63" t="s">
        <v>20</v>
      </c>
      <c r="K71" s="64" t="s">
        <v>69</v>
      </c>
      <c r="L71" s="65" t="s">
        <v>70</v>
      </c>
      <c r="M71" s="65"/>
      <c r="N71" s="65"/>
      <c r="O71" s="65"/>
      <c r="P71" s="66"/>
      <c r="Q71" s="66"/>
      <c r="R71" s="66"/>
      <c r="S71" s="66"/>
      <c r="T71" s="66"/>
      <c r="U71" s="66"/>
      <c r="V71" s="66"/>
      <c r="W71" s="66"/>
    </row>
    <row r="72" s="2" customFormat="1" ht="18" customHeight="1" spans="1:23">
      <c r="A72" s="48"/>
      <c r="B72" s="25">
        <f t="shared" si="3"/>
        <v>0</v>
      </c>
      <c r="C72" s="49"/>
      <c r="D72" s="50"/>
      <c r="E72" s="46"/>
      <c r="F72" s="34">
        <f t="shared" si="4"/>
        <v>0</v>
      </c>
      <c r="G72" s="47"/>
      <c r="H72" s="36">
        <v>43657</v>
      </c>
      <c r="I72" s="34">
        <v>-66753</v>
      </c>
      <c r="J72" s="63" t="s">
        <v>21</v>
      </c>
      <c r="K72" s="64" t="s">
        <v>50</v>
      </c>
      <c r="L72" s="65"/>
      <c r="M72" s="65"/>
      <c r="N72" s="65"/>
      <c r="O72" s="65"/>
      <c r="P72" s="66"/>
      <c r="Q72" s="66"/>
      <c r="R72" s="66"/>
      <c r="S72" s="66"/>
      <c r="T72" s="66"/>
      <c r="U72" s="66"/>
      <c r="V72" s="66"/>
      <c r="W72" s="66"/>
    </row>
    <row r="73" s="2" customFormat="1" ht="18" customHeight="1" spans="1:23">
      <c r="A73" s="48"/>
      <c r="B73" s="25">
        <f t="shared" si="3"/>
        <v>0</v>
      </c>
      <c r="C73" s="49"/>
      <c r="D73" s="50"/>
      <c r="E73" s="46"/>
      <c r="F73" s="34">
        <f t="shared" si="4"/>
        <v>0</v>
      </c>
      <c r="G73" s="47"/>
      <c r="H73" s="36">
        <v>43668</v>
      </c>
      <c r="I73" s="34">
        <v>67731.14</v>
      </c>
      <c r="J73" s="63" t="s">
        <v>20</v>
      </c>
      <c r="K73" s="64" t="s">
        <v>71</v>
      </c>
      <c r="L73" s="65" t="s">
        <v>70</v>
      </c>
      <c r="M73" s="65"/>
      <c r="N73" s="65"/>
      <c r="O73" s="65"/>
      <c r="P73" s="66"/>
      <c r="Q73" s="66"/>
      <c r="R73" s="66"/>
      <c r="S73" s="66"/>
      <c r="T73" s="66"/>
      <c r="U73" s="66"/>
      <c r="V73" s="66"/>
      <c r="W73" s="66"/>
    </row>
    <row r="74" s="2" customFormat="1" ht="18" customHeight="1" spans="1:23">
      <c r="A74" s="48"/>
      <c r="B74" s="25">
        <f t="shared" si="3"/>
        <v>0</v>
      </c>
      <c r="C74" s="49"/>
      <c r="D74" s="50"/>
      <c r="E74" s="46"/>
      <c r="F74" s="34">
        <f t="shared" si="4"/>
        <v>0</v>
      </c>
      <c r="G74" s="47"/>
      <c r="H74" s="69">
        <v>43671</v>
      </c>
      <c r="I74" s="34">
        <v>-67731.14</v>
      </c>
      <c r="J74" s="65" t="s">
        <v>20</v>
      </c>
      <c r="K74" s="64" t="s">
        <v>71</v>
      </c>
      <c r="L74" s="65" t="s">
        <v>72</v>
      </c>
      <c r="M74" s="65"/>
      <c r="N74" s="65"/>
      <c r="O74" s="65"/>
      <c r="P74" s="66"/>
      <c r="Q74" s="66"/>
      <c r="R74" s="66"/>
      <c r="S74" s="66"/>
      <c r="T74" s="66"/>
      <c r="U74" s="66"/>
      <c r="V74" s="66"/>
      <c r="W74" s="66"/>
    </row>
    <row r="75" s="2" customFormat="1" ht="18" customHeight="1" spans="1:23">
      <c r="A75" s="48">
        <v>43678</v>
      </c>
      <c r="B75" s="25">
        <f t="shared" si="3"/>
        <v>1000020</v>
      </c>
      <c r="C75" s="49"/>
      <c r="D75" s="50" t="s">
        <v>73</v>
      </c>
      <c r="E75" s="46"/>
      <c r="F75" s="34">
        <f t="shared" si="4"/>
        <v>0</v>
      </c>
      <c r="G75" s="47">
        <v>1000020</v>
      </c>
      <c r="H75" s="69">
        <v>43676</v>
      </c>
      <c r="I75" s="34">
        <v>500000</v>
      </c>
      <c r="J75" s="65" t="s">
        <v>21</v>
      </c>
      <c r="K75" s="64" t="s">
        <v>74</v>
      </c>
      <c r="L75" s="64" t="s">
        <v>75</v>
      </c>
      <c r="M75" s="65" t="s">
        <v>76</v>
      </c>
      <c r="N75" s="65"/>
      <c r="O75" s="65"/>
      <c r="P75" s="66"/>
      <c r="Q75" s="66"/>
      <c r="R75" s="66"/>
      <c r="S75" s="66"/>
      <c r="T75" s="66"/>
      <c r="U75" s="66"/>
      <c r="V75" s="66"/>
      <c r="W75" s="66"/>
    </row>
    <row r="76" s="2" customFormat="1" ht="18" customHeight="1" spans="1:23">
      <c r="A76" s="48"/>
      <c r="B76" s="25">
        <f t="shared" si="3"/>
        <v>0</v>
      </c>
      <c r="C76" s="49"/>
      <c r="D76" s="50"/>
      <c r="E76" s="46"/>
      <c r="F76" s="34">
        <f t="shared" si="4"/>
        <v>0</v>
      </c>
      <c r="G76" s="47"/>
      <c r="H76" s="69">
        <v>43682</v>
      </c>
      <c r="I76" s="34">
        <v>500000</v>
      </c>
      <c r="J76" s="65" t="s">
        <v>21</v>
      </c>
      <c r="K76" s="64" t="s">
        <v>74</v>
      </c>
      <c r="L76" s="65" t="s">
        <v>77</v>
      </c>
      <c r="M76" s="65" t="s">
        <v>76</v>
      </c>
      <c r="N76" s="65"/>
      <c r="O76" s="65"/>
      <c r="P76" s="66"/>
      <c r="Q76" s="66"/>
      <c r="R76" s="66"/>
      <c r="S76" s="66"/>
      <c r="T76" s="66"/>
      <c r="U76" s="66"/>
      <c r="V76" s="66"/>
      <c r="W76" s="66"/>
    </row>
    <row r="77" s="2" customFormat="1" ht="18" customHeight="1" spans="1:23">
      <c r="A77" s="48">
        <v>43678</v>
      </c>
      <c r="B77" s="25">
        <f t="shared" si="3"/>
        <v>1000080</v>
      </c>
      <c r="C77" s="49"/>
      <c r="D77" s="50" t="s">
        <v>73</v>
      </c>
      <c r="E77" s="46"/>
      <c r="F77" s="34">
        <f t="shared" si="4"/>
        <v>0</v>
      </c>
      <c r="G77" s="47">
        <v>1000080</v>
      </c>
      <c r="H77" s="69">
        <v>43691</v>
      </c>
      <c r="I77" s="34">
        <v>1000000</v>
      </c>
      <c r="J77" s="65" t="s">
        <v>21</v>
      </c>
      <c r="K77" s="64" t="s">
        <v>78</v>
      </c>
      <c r="L77" s="65" t="s">
        <v>79</v>
      </c>
      <c r="M77" s="65" t="s">
        <v>76</v>
      </c>
      <c r="N77" s="65"/>
      <c r="O77" s="65"/>
      <c r="P77" s="66"/>
      <c r="Q77" s="66"/>
      <c r="R77" s="66"/>
      <c r="S77" s="66"/>
      <c r="T77" s="66"/>
      <c r="U77" s="66"/>
      <c r="V77" s="66"/>
      <c r="W77" s="66"/>
    </row>
    <row r="78" s="2" customFormat="1" ht="18" customHeight="1" spans="1:23">
      <c r="A78" s="48"/>
      <c r="B78" s="25">
        <f t="shared" si="3"/>
        <v>0</v>
      </c>
      <c r="C78" s="49"/>
      <c r="D78" s="50"/>
      <c r="E78" s="46"/>
      <c r="F78" s="34">
        <f t="shared" si="4"/>
        <v>0</v>
      </c>
      <c r="G78" s="47"/>
      <c r="H78" s="69">
        <v>43691</v>
      </c>
      <c r="I78" s="34">
        <v>-100000</v>
      </c>
      <c r="J78" s="65" t="s">
        <v>21</v>
      </c>
      <c r="K78" s="64" t="s">
        <v>50</v>
      </c>
      <c r="L78" s="65"/>
      <c r="M78" s="65"/>
      <c r="N78" s="65"/>
      <c r="O78" s="65"/>
      <c r="P78" s="66"/>
      <c r="Q78" s="66"/>
      <c r="R78" s="66"/>
      <c r="S78" s="66"/>
      <c r="T78" s="66"/>
      <c r="U78" s="66"/>
      <c r="V78" s="66"/>
      <c r="W78" s="66"/>
    </row>
    <row r="79" s="2" customFormat="1" ht="18" customHeight="1" spans="1:23">
      <c r="A79" s="48"/>
      <c r="B79" s="25">
        <f t="shared" si="3"/>
        <v>0</v>
      </c>
      <c r="C79" s="49"/>
      <c r="D79" s="50"/>
      <c r="E79" s="46"/>
      <c r="F79" s="34">
        <f t="shared" si="4"/>
        <v>0</v>
      </c>
      <c r="G79" s="47"/>
      <c r="H79" s="69">
        <v>43692</v>
      </c>
      <c r="I79" s="34">
        <v>100000</v>
      </c>
      <c r="J79" s="65" t="s">
        <v>20</v>
      </c>
      <c r="K79" s="64" t="s">
        <v>80</v>
      </c>
      <c r="L79" s="65" t="s">
        <v>81</v>
      </c>
      <c r="M79" s="65"/>
      <c r="N79" s="65"/>
      <c r="O79" s="65"/>
      <c r="P79" s="66"/>
      <c r="Q79" s="66"/>
      <c r="R79" s="66"/>
      <c r="S79" s="66"/>
      <c r="T79" s="66"/>
      <c r="U79" s="66"/>
      <c r="V79" s="66"/>
      <c r="W79" s="66"/>
    </row>
    <row r="80" s="2" customFormat="1" ht="18" customHeight="1" spans="1:23">
      <c r="A80" s="48"/>
      <c r="B80" s="25">
        <f t="shared" si="3"/>
        <v>0</v>
      </c>
      <c r="C80" s="49"/>
      <c r="D80" s="50"/>
      <c r="E80" s="46"/>
      <c r="F80" s="34">
        <f t="shared" si="4"/>
        <v>0</v>
      </c>
      <c r="G80" s="47"/>
      <c r="H80" s="69">
        <v>43703</v>
      </c>
      <c r="I80" s="34">
        <v>-100000</v>
      </c>
      <c r="J80" s="65" t="s">
        <v>21</v>
      </c>
      <c r="K80" s="64" t="s">
        <v>50</v>
      </c>
      <c r="L80" s="65"/>
      <c r="M80" s="65"/>
      <c r="N80" s="65"/>
      <c r="O80" s="65"/>
      <c r="P80" s="66"/>
      <c r="Q80" s="66"/>
      <c r="R80" s="66"/>
      <c r="S80" s="66"/>
      <c r="T80" s="66"/>
      <c r="U80" s="66"/>
      <c r="V80" s="66"/>
      <c r="W80" s="66"/>
    </row>
    <row r="81" s="2" customFormat="1" ht="18" customHeight="1" spans="1:23">
      <c r="A81" s="48"/>
      <c r="B81" s="25">
        <f t="shared" si="3"/>
        <v>0</v>
      </c>
      <c r="C81" s="49"/>
      <c r="D81" s="50"/>
      <c r="E81" s="46"/>
      <c r="F81" s="34">
        <f t="shared" si="4"/>
        <v>0</v>
      </c>
      <c r="G81" s="47"/>
      <c r="H81" s="69">
        <v>43704</v>
      </c>
      <c r="I81" s="34">
        <v>100000</v>
      </c>
      <c r="J81" s="65" t="s">
        <v>20</v>
      </c>
      <c r="K81" s="64" t="s">
        <v>80</v>
      </c>
      <c r="L81" s="65"/>
      <c r="M81" s="65"/>
      <c r="N81" s="65"/>
      <c r="O81" s="65"/>
      <c r="P81" s="66"/>
      <c r="Q81" s="66"/>
      <c r="R81" s="66"/>
      <c r="S81" s="66"/>
      <c r="T81" s="66"/>
      <c r="U81" s="66"/>
      <c r="V81" s="66"/>
      <c r="W81" s="66"/>
    </row>
    <row r="82" s="2" customFormat="1" ht="18" customHeight="1" spans="1:23">
      <c r="A82" s="48"/>
      <c r="B82" s="25">
        <f t="shared" si="3"/>
        <v>0</v>
      </c>
      <c r="C82" s="49"/>
      <c r="D82" s="50"/>
      <c r="E82" s="46"/>
      <c r="F82" s="34">
        <f t="shared" si="4"/>
        <v>0</v>
      </c>
      <c r="G82" s="47"/>
      <c r="H82" s="69">
        <v>43717</v>
      </c>
      <c r="I82" s="34">
        <v>-100000</v>
      </c>
      <c r="J82" s="65" t="s">
        <v>21</v>
      </c>
      <c r="K82" s="64" t="s">
        <v>50</v>
      </c>
      <c r="L82" s="65"/>
      <c r="M82" s="65"/>
      <c r="N82" s="65"/>
      <c r="O82" s="65"/>
      <c r="P82" s="66"/>
      <c r="Q82" s="66"/>
      <c r="R82" s="66"/>
      <c r="S82" s="66"/>
      <c r="T82" s="66"/>
      <c r="U82" s="66"/>
      <c r="V82" s="66"/>
      <c r="W82" s="66"/>
    </row>
    <row r="83" s="2" customFormat="1" ht="18" customHeight="1" spans="1:23">
      <c r="A83" s="48"/>
      <c r="B83" s="25">
        <f t="shared" si="3"/>
        <v>0</v>
      </c>
      <c r="C83" s="49"/>
      <c r="D83" s="50"/>
      <c r="E83" s="46"/>
      <c r="F83" s="34">
        <f t="shared" si="4"/>
        <v>0</v>
      </c>
      <c r="G83" s="47"/>
      <c r="H83" s="69">
        <v>43718</v>
      </c>
      <c r="I83" s="34">
        <v>100000</v>
      </c>
      <c r="J83" s="65" t="s">
        <v>20</v>
      </c>
      <c r="K83" s="64" t="s">
        <v>80</v>
      </c>
      <c r="L83" s="65"/>
      <c r="M83" s="65"/>
      <c r="N83" s="65"/>
      <c r="O83" s="65"/>
      <c r="P83" s="66"/>
      <c r="Q83" s="66"/>
      <c r="R83" s="66"/>
      <c r="S83" s="66"/>
      <c r="T83" s="66"/>
      <c r="U83" s="66"/>
      <c r="V83" s="66"/>
      <c r="W83" s="66"/>
    </row>
    <row r="84" s="2" customFormat="1" ht="18" customHeight="1" spans="1:23">
      <c r="A84" s="48"/>
      <c r="B84" s="25">
        <f t="shared" si="3"/>
        <v>0</v>
      </c>
      <c r="C84" s="49"/>
      <c r="D84" s="50"/>
      <c r="E84" s="46"/>
      <c r="F84" s="34">
        <f t="shared" si="4"/>
        <v>0</v>
      </c>
      <c r="G84" s="47"/>
      <c r="H84" s="69">
        <v>43735</v>
      </c>
      <c r="I84" s="34">
        <v>300000</v>
      </c>
      <c r="J84" s="65" t="s">
        <v>20</v>
      </c>
      <c r="K84" s="64" t="s">
        <v>80</v>
      </c>
      <c r="L84" s="65"/>
      <c r="M84" s="65" t="s">
        <v>76</v>
      </c>
      <c r="N84" s="65"/>
      <c r="O84" s="65"/>
      <c r="P84" s="66"/>
      <c r="Q84" s="66"/>
      <c r="R84" s="66"/>
      <c r="S84" s="66"/>
      <c r="T84" s="66"/>
      <c r="U84" s="66"/>
      <c r="V84" s="66"/>
      <c r="W84" s="66"/>
    </row>
    <row r="85" s="2" customFormat="1" ht="18" customHeight="1" spans="1:23">
      <c r="A85" s="48"/>
      <c r="B85" s="25">
        <f t="shared" si="3"/>
        <v>0</v>
      </c>
      <c r="C85" s="49"/>
      <c r="D85" s="50"/>
      <c r="E85" s="46"/>
      <c r="F85" s="34">
        <f t="shared" si="4"/>
        <v>0</v>
      </c>
      <c r="G85" s="47"/>
      <c r="H85" s="69">
        <v>43748</v>
      </c>
      <c r="I85" s="34">
        <v>500000</v>
      </c>
      <c r="J85" s="65" t="s">
        <v>20</v>
      </c>
      <c r="K85" s="64" t="s">
        <v>80</v>
      </c>
      <c r="L85" s="65"/>
      <c r="M85" s="65" t="s">
        <v>76</v>
      </c>
      <c r="N85" s="65"/>
      <c r="O85" s="65"/>
      <c r="P85" s="66"/>
      <c r="Q85" s="66"/>
      <c r="R85" s="66"/>
      <c r="S85" s="66"/>
      <c r="T85" s="66"/>
      <c r="U85" s="66"/>
      <c r="V85" s="66"/>
      <c r="W85" s="66"/>
    </row>
    <row r="86" s="2" customFormat="1" ht="18" customHeight="1" spans="1:16">
      <c r="A86" s="48">
        <v>43709</v>
      </c>
      <c r="B86" s="25">
        <f t="shared" si="3"/>
        <v>12426.15</v>
      </c>
      <c r="C86" s="49"/>
      <c r="D86" s="50" t="s">
        <v>39</v>
      </c>
      <c r="E86" s="46"/>
      <c r="F86" s="34">
        <f t="shared" si="4"/>
        <v>0</v>
      </c>
      <c r="G86" s="47">
        <v>12426.15</v>
      </c>
      <c r="H86" s="69"/>
      <c r="I86" s="34"/>
      <c r="J86" s="65"/>
      <c r="K86" s="64" t="s">
        <v>68</v>
      </c>
      <c r="L86" s="67"/>
      <c r="M86" s="65"/>
      <c r="N86" s="65"/>
      <c r="O86" s="67"/>
      <c r="P86" s="66"/>
    </row>
    <row r="87" s="2" customFormat="1" ht="18" customHeight="1" spans="1:16">
      <c r="A87" s="48">
        <v>43709</v>
      </c>
      <c r="B87" s="25">
        <f t="shared" si="3"/>
        <v>10316.04</v>
      </c>
      <c r="C87" s="49"/>
      <c r="D87" s="50" t="s">
        <v>36</v>
      </c>
      <c r="E87" s="70">
        <v>0.06</v>
      </c>
      <c r="F87" s="34">
        <f t="shared" si="4"/>
        <v>618.96</v>
      </c>
      <c r="G87" s="47">
        <v>10935</v>
      </c>
      <c r="H87" s="69"/>
      <c r="I87" s="34"/>
      <c r="J87" s="65"/>
      <c r="K87" s="64" t="s">
        <v>82</v>
      </c>
      <c r="L87" s="67" t="s">
        <v>41</v>
      </c>
      <c r="M87" s="65"/>
      <c r="N87" s="65"/>
      <c r="O87" s="67"/>
      <c r="P87" s="66"/>
    </row>
    <row r="88" s="2" customFormat="1" ht="18" customHeight="1" spans="1:16">
      <c r="A88" s="48">
        <v>43709</v>
      </c>
      <c r="B88" s="25">
        <f t="shared" si="3"/>
        <v>10424.53</v>
      </c>
      <c r="C88" s="49"/>
      <c r="D88" s="50" t="s">
        <v>36</v>
      </c>
      <c r="E88" s="70">
        <v>0.06</v>
      </c>
      <c r="F88" s="34">
        <f t="shared" si="4"/>
        <v>625.47</v>
      </c>
      <c r="G88" s="47">
        <v>11050</v>
      </c>
      <c r="H88" s="69"/>
      <c r="I88" s="34"/>
      <c r="J88" s="65"/>
      <c r="K88" s="64" t="s">
        <v>82</v>
      </c>
      <c r="L88" s="67" t="s">
        <v>52</v>
      </c>
      <c r="M88" s="65"/>
      <c r="N88" s="65"/>
      <c r="O88" s="67"/>
      <c r="P88" s="66"/>
    </row>
    <row r="89" s="2" customFormat="1" ht="18" customHeight="1" spans="1:16">
      <c r="A89" s="48">
        <v>43709</v>
      </c>
      <c r="B89" s="25">
        <f t="shared" si="3"/>
        <v>80009.43</v>
      </c>
      <c r="C89" s="49"/>
      <c r="D89" s="50" t="s">
        <v>36</v>
      </c>
      <c r="E89" s="70">
        <v>0.06</v>
      </c>
      <c r="F89" s="34">
        <f t="shared" si="4"/>
        <v>4800.57</v>
      </c>
      <c r="G89" s="47">
        <v>84810</v>
      </c>
      <c r="H89" s="69"/>
      <c r="I89" s="34"/>
      <c r="J89" s="65"/>
      <c r="K89" s="64" t="s">
        <v>69</v>
      </c>
      <c r="L89" s="67" t="s">
        <v>83</v>
      </c>
      <c r="M89" s="65"/>
      <c r="N89" s="65"/>
      <c r="O89" s="67"/>
      <c r="P89" s="66"/>
    </row>
    <row r="90" s="2" customFormat="1" ht="18" customHeight="1" spans="1:16">
      <c r="A90" s="48">
        <v>43709</v>
      </c>
      <c r="B90" s="25">
        <f t="shared" si="3"/>
        <v>63897.3</v>
      </c>
      <c r="C90" s="49"/>
      <c r="D90" s="50" t="s">
        <v>36</v>
      </c>
      <c r="E90" s="70">
        <v>0.06</v>
      </c>
      <c r="F90" s="34">
        <f t="shared" si="4"/>
        <v>3833.84</v>
      </c>
      <c r="G90" s="47">
        <v>67731.14</v>
      </c>
      <c r="H90" s="69"/>
      <c r="I90" s="34"/>
      <c r="J90" s="65"/>
      <c r="K90" s="64" t="s">
        <v>69</v>
      </c>
      <c r="L90" s="67" t="s">
        <v>83</v>
      </c>
      <c r="M90" s="65"/>
      <c r="N90" s="65"/>
      <c r="O90" s="67"/>
      <c r="P90" s="66"/>
    </row>
    <row r="91" s="2" customFormat="1" ht="18" customHeight="1" spans="1:23">
      <c r="A91" s="48">
        <v>43739</v>
      </c>
      <c r="B91" s="25">
        <f t="shared" si="3"/>
        <v>443071.38</v>
      </c>
      <c r="C91" s="49"/>
      <c r="D91" s="50" t="s">
        <v>36</v>
      </c>
      <c r="E91" s="70">
        <v>0.13</v>
      </c>
      <c r="F91" s="34">
        <f t="shared" si="4"/>
        <v>57599.28</v>
      </c>
      <c r="G91" s="47">
        <v>500670.66</v>
      </c>
      <c r="H91" s="69">
        <v>43767</v>
      </c>
      <c r="I91" s="34">
        <v>200000</v>
      </c>
      <c r="J91" s="65" t="s">
        <v>20</v>
      </c>
      <c r="K91" s="64" t="s">
        <v>80</v>
      </c>
      <c r="L91" s="65" t="s">
        <v>84</v>
      </c>
      <c r="M91" s="65"/>
      <c r="N91" s="65"/>
      <c r="O91" s="65"/>
      <c r="P91" s="66"/>
      <c r="Q91" s="66"/>
      <c r="R91" s="66"/>
      <c r="S91" s="66"/>
      <c r="T91" s="66"/>
      <c r="U91" s="66"/>
      <c r="V91" s="66"/>
      <c r="W91" s="66"/>
    </row>
    <row r="92" s="2" customFormat="1" ht="18" customHeight="1" spans="1:16">
      <c r="A92" s="48">
        <v>43739</v>
      </c>
      <c r="B92" s="71">
        <f t="shared" si="3"/>
        <v>257787.35</v>
      </c>
      <c r="C92" s="49"/>
      <c r="D92" s="50" t="s">
        <v>36</v>
      </c>
      <c r="E92" s="72">
        <v>0.13</v>
      </c>
      <c r="F92" s="34">
        <f t="shared" si="4"/>
        <v>33512.35</v>
      </c>
      <c r="G92" s="73">
        <v>291299.7</v>
      </c>
      <c r="H92" s="69"/>
      <c r="I92" s="34"/>
      <c r="J92" s="65" t="s">
        <v>20</v>
      </c>
      <c r="K92" s="64" t="s">
        <v>80</v>
      </c>
      <c r="L92" s="67" t="s">
        <v>85</v>
      </c>
      <c r="M92" s="65"/>
      <c r="N92" s="65"/>
      <c r="O92" s="67"/>
      <c r="P92" s="66"/>
    </row>
    <row r="93" s="2" customFormat="1" ht="18" customHeight="1" spans="1:23">
      <c r="A93" s="48"/>
      <c r="B93" s="25">
        <f t="shared" si="3"/>
        <v>0</v>
      </c>
      <c r="C93" s="49"/>
      <c r="D93" s="50"/>
      <c r="E93" s="70"/>
      <c r="F93" s="34">
        <f t="shared" si="4"/>
        <v>0</v>
      </c>
      <c r="G93" s="47"/>
      <c r="H93" s="69">
        <v>43769</v>
      </c>
      <c r="I93" s="34">
        <v>600000</v>
      </c>
      <c r="J93" s="65" t="s">
        <v>20</v>
      </c>
      <c r="K93" s="64" t="s">
        <v>53</v>
      </c>
      <c r="L93" s="65" t="s">
        <v>54</v>
      </c>
      <c r="M93" s="65"/>
      <c r="N93" s="65"/>
      <c r="O93" s="65"/>
      <c r="P93" s="66"/>
      <c r="Q93" s="66"/>
      <c r="R93" s="66"/>
      <c r="S93" s="66"/>
      <c r="T93" s="66"/>
      <c r="U93" s="66"/>
      <c r="V93" s="66"/>
      <c r="W93" s="66"/>
    </row>
    <row r="94" s="2" customFormat="1" ht="18" customHeight="1" spans="1:23">
      <c r="A94" s="48">
        <v>43770</v>
      </c>
      <c r="B94" s="25">
        <f t="shared" si="3"/>
        <v>500010</v>
      </c>
      <c r="C94" s="49"/>
      <c r="D94" s="50" t="s">
        <v>73</v>
      </c>
      <c r="E94" s="70"/>
      <c r="F94" s="34">
        <f t="shared" si="4"/>
        <v>0</v>
      </c>
      <c r="G94" s="47">
        <v>500010</v>
      </c>
      <c r="H94" s="69">
        <v>43773</v>
      </c>
      <c r="I94" s="34">
        <v>500010</v>
      </c>
      <c r="J94" s="65" t="s">
        <v>21</v>
      </c>
      <c r="K94" s="64" t="s">
        <v>74</v>
      </c>
      <c r="L94" s="65" t="s">
        <v>86</v>
      </c>
      <c r="M94" s="65"/>
      <c r="N94" s="65"/>
      <c r="O94" s="65"/>
      <c r="P94" s="66"/>
      <c r="Q94" s="66"/>
      <c r="R94" s="66"/>
      <c r="S94" s="66"/>
      <c r="T94" s="66"/>
      <c r="U94" s="66"/>
      <c r="V94" s="66"/>
      <c r="W94" s="66"/>
    </row>
    <row r="95" s="2" customFormat="1" ht="18" customHeight="1" spans="1:23">
      <c r="A95" s="48">
        <v>43770</v>
      </c>
      <c r="B95" s="25">
        <f t="shared" si="3"/>
        <v>300000</v>
      </c>
      <c r="C95" s="49"/>
      <c r="D95" s="50" t="s">
        <v>73</v>
      </c>
      <c r="E95" s="70"/>
      <c r="F95" s="34">
        <f t="shared" si="4"/>
        <v>0</v>
      </c>
      <c r="G95" s="47">
        <v>300000</v>
      </c>
      <c r="H95" s="69">
        <v>43773</v>
      </c>
      <c r="I95" s="34">
        <v>300000</v>
      </c>
      <c r="J95" s="65" t="s">
        <v>21</v>
      </c>
      <c r="K95" s="64" t="s">
        <v>87</v>
      </c>
      <c r="L95" s="65" t="s">
        <v>88</v>
      </c>
      <c r="M95" s="65"/>
      <c r="N95" s="65"/>
      <c r="O95" s="65"/>
      <c r="P95" s="66"/>
      <c r="Q95" s="66"/>
      <c r="R95" s="66"/>
      <c r="S95" s="66"/>
      <c r="T95" s="66"/>
      <c r="U95" s="66"/>
      <c r="V95" s="66"/>
      <c r="W95" s="66"/>
    </row>
    <row r="96" s="2" customFormat="1" ht="18" customHeight="1" spans="1:23">
      <c r="A96" s="48">
        <v>43770</v>
      </c>
      <c r="B96" s="25">
        <f t="shared" si="3"/>
        <v>300000</v>
      </c>
      <c r="C96" s="49"/>
      <c r="D96" s="50" t="s">
        <v>73</v>
      </c>
      <c r="E96" s="70"/>
      <c r="F96" s="34">
        <f t="shared" si="4"/>
        <v>0</v>
      </c>
      <c r="G96" s="47">
        <v>300000</v>
      </c>
      <c r="H96" s="69">
        <v>43773</v>
      </c>
      <c r="I96" s="34">
        <v>300000</v>
      </c>
      <c r="J96" s="65" t="s">
        <v>21</v>
      </c>
      <c r="K96" s="64" t="s">
        <v>89</v>
      </c>
      <c r="L96" s="65" t="s">
        <v>88</v>
      </c>
      <c r="M96" s="65"/>
      <c r="N96" s="65"/>
      <c r="O96" s="65"/>
      <c r="P96" s="66"/>
      <c r="Q96" s="66"/>
      <c r="R96" s="66"/>
      <c r="S96" s="66"/>
      <c r="T96" s="66"/>
      <c r="U96" s="66"/>
      <c r="V96" s="66"/>
      <c r="W96" s="66"/>
    </row>
    <row r="97" s="2" customFormat="1" ht="18" customHeight="1" spans="1:23">
      <c r="A97" s="48">
        <v>43770</v>
      </c>
      <c r="B97" s="25">
        <f t="shared" si="3"/>
        <v>300060</v>
      </c>
      <c r="C97" s="49"/>
      <c r="D97" s="50" t="s">
        <v>73</v>
      </c>
      <c r="E97" s="70"/>
      <c r="F97" s="34">
        <f t="shared" si="4"/>
        <v>0</v>
      </c>
      <c r="G97" s="47">
        <v>300060</v>
      </c>
      <c r="H97" s="69">
        <v>43773</v>
      </c>
      <c r="I97" s="34">
        <v>300060</v>
      </c>
      <c r="J97" s="65" t="s">
        <v>21</v>
      </c>
      <c r="K97" s="64" t="s">
        <v>90</v>
      </c>
      <c r="L97" s="65" t="s">
        <v>91</v>
      </c>
      <c r="M97" s="65"/>
      <c r="N97" s="65"/>
      <c r="O97" s="65"/>
      <c r="P97" s="66"/>
      <c r="Q97" s="66"/>
      <c r="R97" s="66"/>
      <c r="S97" s="66"/>
      <c r="T97" s="66"/>
      <c r="U97" s="66"/>
      <c r="V97" s="66"/>
      <c r="W97" s="66"/>
    </row>
    <row r="98" s="2" customFormat="1" ht="18" customHeight="1" spans="1:23">
      <c r="A98" s="48">
        <v>43770</v>
      </c>
      <c r="B98" s="25">
        <f t="shared" si="3"/>
        <v>0</v>
      </c>
      <c r="C98" s="49"/>
      <c r="D98" s="50"/>
      <c r="E98" s="70"/>
      <c r="F98" s="34">
        <f t="shared" si="4"/>
        <v>0</v>
      </c>
      <c r="G98" s="47"/>
      <c r="H98" s="69">
        <v>43773</v>
      </c>
      <c r="I98" s="34">
        <v>500000</v>
      </c>
      <c r="J98" s="65" t="s">
        <v>20</v>
      </c>
      <c r="K98" s="64" t="s">
        <v>92</v>
      </c>
      <c r="L98" s="65" t="s">
        <v>93</v>
      </c>
      <c r="M98" s="65"/>
      <c r="N98" s="65"/>
      <c r="O98" s="65"/>
      <c r="P98" s="66"/>
      <c r="Q98" s="66"/>
      <c r="R98" s="66"/>
      <c r="S98" s="66"/>
      <c r="T98" s="66"/>
      <c r="U98" s="66"/>
      <c r="V98" s="66"/>
      <c r="W98" s="66"/>
    </row>
    <row r="99" s="2" customFormat="1" ht="18" customHeight="1" spans="1:23">
      <c r="A99" s="48"/>
      <c r="B99" s="25">
        <f t="shared" si="3"/>
        <v>0</v>
      </c>
      <c r="C99" s="49"/>
      <c r="D99" s="50"/>
      <c r="E99" s="70"/>
      <c r="F99" s="34">
        <f t="shared" si="4"/>
        <v>0</v>
      </c>
      <c r="G99" s="47"/>
      <c r="H99" s="69">
        <v>43775</v>
      </c>
      <c r="I99" s="34">
        <v>800000</v>
      </c>
      <c r="J99" s="65" t="s">
        <v>20</v>
      </c>
      <c r="K99" s="64" t="s">
        <v>94</v>
      </c>
      <c r="L99" s="65" t="s">
        <v>95</v>
      </c>
      <c r="M99" s="65"/>
      <c r="N99" s="65"/>
      <c r="O99" s="65"/>
      <c r="P99" s="66"/>
      <c r="Q99" s="66"/>
      <c r="R99" s="66"/>
      <c r="S99" s="66"/>
      <c r="T99" s="66"/>
      <c r="U99" s="66"/>
      <c r="V99" s="66"/>
      <c r="W99" s="66"/>
    </row>
    <row r="100" s="2" customFormat="1" ht="26" customHeight="1" spans="1:23">
      <c r="A100" s="48">
        <v>43770</v>
      </c>
      <c r="B100" s="25">
        <f t="shared" si="3"/>
        <v>1165048.54</v>
      </c>
      <c r="C100" s="49"/>
      <c r="D100" s="50" t="s">
        <v>36</v>
      </c>
      <c r="E100" s="70">
        <v>0.03</v>
      </c>
      <c r="F100" s="34">
        <f t="shared" si="4"/>
        <v>34951.46</v>
      </c>
      <c r="G100" s="47">
        <f>96000*12+48000</f>
        <v>1200000</v>
      </c>
      <c r="H100" s="69">
        <v>43776</v>
      </c>
      <c r="I100" s="34">
        <v>400000</v>
      </c>
      <c r="J100" s="65" t="s">
        <v>20</v>
      </c>
      <c r="K100" s="64" t="s">
        <v>94</v>
      </c>
      <c r="L100" s="65" t="s">
        <v>95</v>
      </c>
      <c r="M100" s="65"/>
      <c r="N100" s="65"/>
      <c r="O100" s="65"/>
      <c r="P100" s="66"/>
      <c r="Q100" s="66"/>
      <c r="R100" s="66"/>
      <c r="S100" s="66"/>
      <c r="T100" s="66"/>
      <c r="U100" s="66"/>
      <c r="V100" s="66"/>
      <c r="W100" s="66"/>
    </row>
    <row r="101" s="2" customFormat="1" ht="21" customHeight="1" spans="1:23">
      <c r="A101" s="48">
        <v>43770</v>
      </c>
      <c r="B101" s="25">
        <f t="shared" ref="B101:B103" si="5">ROUND(G101/(1+E101),2)</f>
        <v>326256.05</v>
      </c>
      <c r="C101" s="49"/>
      <c r="D101" s="50" t="s">
        <v>36</v>
      </c>
      <c r="E101" s="70">
        <v>0.13</v>
      </c>
      <c r="F101" s="34">
        <f t="shared" ref="F101:F103" si="6">ROUND(G101/(1+E101)*E101,2)</f>
        <v>42413.29</v>
      </c>
      <c r="G101" s="47">
        <v>368669.34</v>
      </c>
      <c r="H101" s="69"/>
      <c r="I101" s="34"/>
      <c r="J101" s="65"/>
      <c r="K101" s="64" t="s">
        <v>80</v>
      </c>
      <c r="L101" s="65" t="s">
        <v>96</v>
      </c>
      <c r="M101" s="65"/>
      <c r="N101" s="65"/>
      <c r="O101" s="65"/>
      <c r="P101" s="66"/>
      <c r="Q101" s="66"/>
      <c r="R101" s="66"/>
      <c r="S101" s="66"/>
      <c r="T101" s="66"/>
      <c r="U101" s="66"/>
      <c r="V101" s="66"/>
      <c r="W101" s="66"/>
    </row>
    <row r="102" s="2" customFormat="1" ht="18" customHeight="1" spans="1:23">
      <c r="A102" s="48">
        <v>43770</v>
      </c>
      <c r="B102" s="25">
        <f t="shared" si="5"/>
        <v>199980</v>
      </c>
      <c r="C102" s="49"/>
      <c r="D102" s="50" t="s">
        <v>73</v>
      </c>
      <c r="E102" s="70"/>
      <c r="F102" s="34">
        <f t="shared" si="6"/>
        <v>0</v>
      </c>
      <c r="G102" s="47">
        <v>199980</v>
      </c>
      <c r="H102" s="69">
        <v>43784</v>
      </c>
      <c r="I102" s="34">
        <v>199980</v>
      </c>
      <c r="J102" s="65" t="s">
        <v>21</v>
      </c>
      <c r="K102" s="64" t="s">
        <v>97</v>
      </c>
      <c r="L102" s="65" t="s">
        <v>98</v>
      </c>
      <c r="M102" s="65" t="s">
        <v>76</v>
      </c>
      <c r="N102" s="65"/>
      <c r="O102" s="65"/>
      <c r="P102" s="66"/>
      <c r="Q102" s="66"/>
      <c r="R102" s="66"/>
      <c r="S102" s="66"/>
      <c r="T102" s="66"/>
      <c r="U102" s="66"/>
      <c r="V102" s="66"/>
      <c r="W102" s="66"/>
    </row>
    <row r="103" s="3" customFormat="1" ht="17" customHeight="1" spans="1:23">
      <c r="A103" s="74">
        <v>43770</v>
      </c>
      <c r="B103" s="25">
        <f t="shared" si="5"/>
        <v>442477.88</v>
      </c>
      <c r="C103" s="75"/>
      <c r="D103" s="76" t="s">
        <v>36</v>
      </c>
      <c r="E103" s="77">
        <v>0.13</v>
      </c>
      <c r="F103" s="34">
        <f t="shared" si="6"/>
        <v>57522.12</v>
      </c>
      <c r="G103" s="78">
        <v>500000</v>
      </c>
      <c r="H103" s="69"/>
      <c r="I103" s="34"/>
      <c r="J103" s="65"/>
      <c r="K103" s="64" t="s">
        <v>92</v>
      </c>
      <c r="L103" s="65" t="s">
        <v>99</v>
      </c>
      <c r="M103" s="65" t="s">
        <v>100</v>
      </c>
      <c r="N103" s="63"/>
      <c r="O103" s="63"/>
      <c r="P103" s="81"/>
      <c r="Q103" s="81"/>
      <c r="R103" s="81"/>
      <c r="S103" s="81"/>
      <c r="T103" s="81"/>
      <c r="U103" s="81"/>
      <c r="V103" s="81"/>
      <c r="W103" s="81"/>
    </row>
    <row r="104" s="3" customFormat="1" ht="18" customHeight="1" spans="1:23">
      <c r="A104" s="74"/>
      <c r="B104" s="25"/>
      <c r="C104" s="75"/>
      <c r="D104" s="76"/>
      <c r="E104" s="77"/>
      <c r="F104" s="34"/>
      <c r="G104" s="78"/>
      <c r="H104" s="69">
        <v>43819</v>
      </c>
      <c r="I104" s="34">
        <v>92448</v>
      </c>
      <c r="J104" s="65" t="s">
        <v>20</v>
      </c>
      <c r="K104" s="64" t="s">
        <v>53</v>
      </c>
      <c r="L104" s="65" t="s">
        <v>54</v>
      </c>
      <c r="M104" s="65"/>
      <c r="N104" s="63"/>
      <c r="O104" s="63"/>
      <c r="P104" s="81"/>
      <c r="Q104" s="81"/>
      <c r="R104" s="81"/>
      <c r="S104" s="81"/>
      <c r="T104" s="81"/>
      <c r="U104" s="81"/>
      <c r="V104" s="81"/>
      <c r="W104" s="81"/>
    </row>
    <row r="105" s="3" customFormat="1" ht="18" customHeight="1" spans="1:23">
      <c r="A105" s="74"/>
      <c r="B105" s="71">
        <f t="shared" ref="B105:B113" si="7">ROUND(G105/(1+E105),2)</f>
        <v>0</v>
      </c>
      <c r="C105" s="75"/>
      <c r="D105" s="76"/>
      <c r="E105" s="77"/>
      <c r="F105" s="34">
        <f t="shared" ref="F105:F113" si="8">ROUND(G105/(1+E105)*E105,2)</f>
        <v>0</v>
      </c>
      <c r="G105" s="78"/>
      <c r="H105" s="69">
        <v>43829</v>
      </c>
      <c r="I105" s="34">
        <v>800000</v>
      </c>
      <c r="J105" s="65" t="s">
        <v>20</v>
      </c>
      <c r="K105" s="64" t="s">
        <v>80</v>
      </c>
      <c r="L105" s="65" t="s">
        <v>81</v>
      </c>
      <c r="M105" s="65"/>
      <c r="N105" s="63"/>
      <c r="O105" s="63"/>
      <c r="P105" s="81"/>
      <c r="Q105" s="81"/>
      <c r="R105" s="81"/>
      <c r="S105" s="81"/>
      <c r="T105" s="81"/>
      <c r="U105" s="81"/>
      <c r="V105" s="81"/>
      <c r="W105" s="81"/>
    </row>
    <row r="106" s="3" customFormat="1" ht="18" customHeight="1" spans="1:16">
      <c r="A106" s="74">
        <v>43800</v>
      </c>
      <c r="B106" s="25">
        <f t="shared" si="7"/>
        <v>650987.86</v>
      </c>
      <c r="C106" s="75"/>
      <c r="D106" s="76" t="s">
        <v>36</v>
      </c>
      <c r="E106" s="77">
        <v>0.13</v>
      </c>
      <c r="F106" s="34">
        <f t="shared" si="8"/>
        <v>84628.42</v>
      </c>
      <c r="G106" s="78">
        <v>735616.28</v>
      </c>
      <c r="H106" s="69"/>
      <c r="I106" s="34"/>
      <c r="J106" s="65"/>
      <c r="K106" s="64" t="s">
        <v>80</v>
      </c>
      <c r="L106" s="67" t="s">
        <v>101</v>
      </c>
      <c r="M106" s="65" t="s">
        <v>100</v>
      </c>
      <c r="N106" s="63"/>
      <c r="O106" s="82"/>
      <c r="P106" s="81"/>
    </row>
    <row r="107" s="3" customFormat="1" ht="18" customHeight="1" spans="1:23">
      <c r="A107" s="74">
        <v>43800</v>
      </c>
      <c r="B107" s="71">
        <f t="shared" si="7"/>
        <v>5825242.72</v>
      </c>
      <c r="C107" s="75"/>
      <c r="D107" s="50" t="s">
        <v>36</v>
      </c>
      <c r="E107" s="72">
        <v>0.03</v>
      </c>
      <c r="F107" s="34">
        <f t="shared" si="8"/>
        <v>174757.28</v>
      </c>
      <c r="G107" s="79">
        <f>1000000*6</f>
        <v>6000000</v>
      </c>
      <c r="H107" s="69">
        <v>43843</v>
      </c>
      <c r="I107" s="34">
        <v>1000000</v>
      </c>
      <c r="J107" s="65" t="s">
        <v>20</v>
      </c>
      <c r="K107" s="64" t="s">
        <v>53</v>
      </c>
      <c r="L107" s="65" t="s">
        <v>54</v>
      </c>
      <c r="M107" s="65" t="s">
        <v>100</v>
      </c>
      <c r="N107" s="63"/>
      <c r="O107" s="63" t="s">
        <v>102</v>
      </c>
      <c r="P107" s="81"/>
      <c r="Q107" s="81"/>
      <c r="R107" s="81"/>
      <c r="S107" s="81"/>
      <c r="T107" s="81"/>
      <c r="U107" s="81"/>
      <c r="V107" s="81"/>
      <c r="W107" s="81"/>
    </row>
    <row r="108" s="3" customFormat="1" ht="18" customHeight="1" spans="1:23">
      <c r="A108" s="74">
        <v>43831</v>
      </c>
      <c r="B108" s="25">
        <f t="shared" si="7"/>
        <v>3623633.45</v>
      </c>
      <c r="C108" s="75"/>
      <c r="D108" s="50" t="s">
        <v>36</v>
      </c>
      <c r="E108" s="77">
        <v>0.09</v>
      </c>
      <c r="F108" s="34">
        <f t="shared" si="8"/>
        <v>326127.01</v>
      </c>
      <c r="G108" s="78">
        <f>1000000*3+949760.46</f>
        <v>3949760.46</v>
      </c>
      <c r="H108" s="69">
        <v>43844</v>
      </c>
      <c r="I108" s="34">
        <v>500000</v>
      </c>
      <c r="J108" s="65" t="s">
        <v>20</v>
      </c>
      <c r="K108" s="64" t="s">
        <v>103</v>
      </c>
      <c r="L108" s="65" t="s">
        <v>54</v>
      </c>
      <c r="M108" s="65" t="s">
        <v>100</v>
      </c>
      <c r="N108" s="63"/>
      <c r="O108" s="63"/>
      <c r="P108" s="81"/>
      <c r="Q108" s="81"/>
      <c r="R108" s="81"/>
      <c r="S108" s="81"/>
      <c r="T108" s="81"/>
      <c r="U108" s="81"/>
      <c r="V108" s="81"/>
      <c r="W108" s="81"/>
    </row>
    <row r="109" s="3" customFormat="1" ht="18" customHeight="1" spans="1:23">
      <c r="A109" s="74"/>
      <c r="B109" s="25">
        <f t="shared" si="7"/>
        <v>0</v>
      </c>
      <c r="C109" s="75"/>
      <c r="D109" s="76"/>
      <c r="E109" s="77"/>
      <c r="F109" s="34">
        <f t="shared" si="8"/>
        <v>0</v>
      </c>
      <c r="G109" s="78"/>
      <c r="H109" s="69">
        <v>43845</v>
      </c>
      <c r="I109" s="34">
        <v>2000000</v>
      </c>
      <c r="J109" s="65" t="s">
        <v>20</v>
      </c>
      <c r="K109" s="64" t="s">
        <v>103</v>
      </c>
      <c r="L109" s="65" t="s">
        <v>54</v>
      </c>
      <c r="M109" s="65"/>
      <c r="N109" s="63"/>
      <c r="O109" s="63"/>
      <c r="P109" s="81"/>
      <c r="Q109" s="81"/>
      <c r="R109" s="81"/>
      <c r="S109" s="81"/>
      <c r="T109" s="81"/>
      <c r="U109" s="81"/>
      <c r="V109" s="81"/>
      <c r="W109" s="81"/>
    </row>
    <row r="110" s="3" customFormat="1" ht="18" customHeight="1" spans="1:23">
      <c r="A110" s="74"/>
      <c r="B110" s="25">
        <f t="shared" si="7"/>
        <v>0</v>
      </c>
      <c r="C110" s="75"/>
      <c r="D110" s="76"/>
      <c r="E110" s="77"/>
      <c r="F110" s="34">
        <f t="shared" si="8"/>
        <v>0</v>
      </c>
      <c r="G110" s="78"/>
      <c r="H110" s="69">
        <v>43849</v>
      </c>
      <c r="I110" s="34">
        <v>1449760.46</v>
      </c>
      <c r="J110" s="65" t="s">
        <v>20</v>
      </c>
      <c r="K110" s="64" t="s">
        <v>103</v>
      </c>
      <c r="L110" s="65" t="s">
        <v>54</v>
      </c>
      <c r="M110" s="65"/>
      <c r="N110" s="63"/>
      <c r="O110" s="63"/>
      <c r="P110" s="81"/>
      <c r="Q110" s="81"/>
      <c r="R110" s="81"/>
      <c r="S110" s="81"/>
      <c r="T110" s="81"/>
      <c r="U110" s="81"/>
      <c r="V110" s="81"/>
      <c r="W110" s="81"/>
    </row>
    <row r="111" s="3" customFormat="1" ht="18" customHeight="1" spans="1:23">
      <c r="A111" s="74">
        <v>43831</v>
      </c>
      <c r="B111" s="25">
        <f t="shared" si="7"/>
        <v>600000</v>
      </c>
      <c r="C111" s="75"/>
      <c r="D111" s="50" t="s">
        <v>73</v>
      </c>
      <c r="E111" s="77"/>
      <c r="F111" s="34">
        <f t="shared" si="8"/>
        <v>0</v>
      </c>
      <c r="G111" s="78">
        <v>600000</v>
      </c>
      <c r="H111" s="69">
        <v>43850</v>
      </c>
      <c r="I111" s="34">
        <v>600000</v>
      </c>
      <c r="J111" s="65" t="s">
        <v>21</v>
      </c>
      <c r="K111" s="64" t="s">
        <v>89</v>
      </c>
      <c r="L111" s="65" t="s">
        <v>104</v>
      </c>
      <c r="M111" s="65"/>
      <c r="N111" s="63"/>
      <c r="O111" s="63"/>
      <c r="P111" s="81"/>
      <c r="Q111" s="81"/>
      <c r="R111" s="81"/>
      <c r="S111" s="81"/>
      <c r="T111" s="81"/>
      <c r="U111" s="81"/>
      <c r="V111" s="81"/>
      <c r="W111" s="81"/>
    </row>
    <row r="112" s="3" customFormat="1" ht="18" customHeight="1" spans="1:23">
      <c r="A112" s="74">
        <v>43831</v>
      </c>
      <c r="B112" s="25">
        <f t="shared" si="7"/>
        <v>600000</v>
      </c>
      <c r="C112" s="75"/>
      <c r="D112" s="50" t="s">
        <v>73</v>
      </c>
      <c r="E112" s="77"/>
      <c r="F112" s="34">
        <f t="shared" si="8"/>
        <v>0</v>
      </c>
      <c r="G112" s="78">
        <v>600000</v>
      </c>
      <c r="H112" s="69">
        <v>43850</v>
      </c>
      <c r="I112" s="34">
        <v>600000</v>
      </c>
      <c r="J112" s="65" t="s">
        <v>21</v>
      </c>
      <c r="K112" s="64" t="s">
        <v>87</v>
      </c>
      <c r="L112" s="65" t="s">
        <v>104</v>
      </c>
      <c r="M112" s="65"/>
      <c r="N112" s="63"/>
      <c r="O112" s="63"/>
      <c r="P112" s="81"/>
      <c r="Q112" s="81"/>
      <c r="R112" s="81"/>
      <c r="S112" s="81"/>
      <c r="T112" s="81"/>
      <c r="U112" s="81"/>
      <c r="V112" s="81"/>
      <c r="W112" s="81"/>
    </row>
    <row r="113" s="3" customFormat="1" ht="18" customHeight="1" spans="1:23">
      <c r="A113" s="74">
        <v>43891</v>
      </c>
      <c r="B113" s="25">
        <f t="shared" si="7"/>
        <v>530100</v>
      </c>
      <c r="C113" s="75"/>
      <c r="D113" s="50" t="s">
        <v>73</v>
      </c>
      <c r="E113" s="77"/>
      <c r="F113" s="34">
        <f t="shared" si="8"/>
        <v>0</v>
      </c>
      <c r="G113" s="78">
        <v>530100</v>
      </c>
      <c r="H113" s="69">
        <v>43903</v>
      </c>
      <c r="I113" s="34">
        <v>530000</v>
      </c>
      <c r="J113" s="65" t="s">
        <v>21</v>
      </c>
      <c r="K113" s="64" t="s">
        <v>105</v>
      </c>
      <c r="L113" s="65" t="s">
        <v>77</v>
      </c>
      <c r="M113" s="65"/>
      <c r="N113" s="56" t="s">
        <v>198</v>
      </c>
      <c r="O113" s="63"/>
      <c r="P113" s="81"/>
      <c r="Q113" s="81"/>
      <c r="R113" s="81"/>
      <c r="S113" s="81"/>
      <c r="T113" s="81"/>
      <c r="U113" s="81"/>
      <c r="V113" s="81"/>
      <c r="W113" s="81"/>
    </row>
    <row r="114" s="3" customFormat="1" ht="18" customHeight="1" spans="1:23">
      <c r="A114" s="74">
        <v>43952</v>
      </c>
      <c r="B114" s="25">
        <f>298648.6+188837.04+318653.29</f>
        <v>806138.93</v>
      </c>
      <c r="C114" s="75">
        <v>3</v>
      </c>
      <c r="D114" s="50" t="s">
        <v>36</v>
      </c>
      <c r="E114" s="77">
        <v>0.13</v>
      </c>
      <c r="F114" s="34">
        <f>38824.32+24548.82+41424.93</f>
        <v>104798.07</v>
      </c>
      <c r="G114" s="78">
        <f>337472.92+213385.86+360078.22</f>
        <v>910937</v>
      </c>
      <c r="H114" s="69">
        <v>43903</v>
      </c>
      <c r="I114" s="34">
        <v>200000</v>
      </c>
      <c r="J114" s="65" t="s">
        <v>20</v>
      </c>
      <c r="K114" s="64" t="s">
        <v>80</v>
      </c>
      <c r="L114" s="65" t="s">
        <v>169</v>
      </c>
      <c r="M114" s="65" t="s">
        <v>100</v>
      </c>
      <c r="N114" s="63" t="s">
        <v>100</v>
      </c>
      <c r="O114" s="63"/>
      <c r="P114" s="81"/>
      <c r="Q114" s="81"/>
      <c r="R114" s="81"/>
      <c r="S114" s="81"/>
      <c r="T114" s="81"/>
      <c r="U114" s="81"/>
      <c r="V114" s="81"/>
      <c r="W114" s="81"/>
    </row>
    <row r="115" s="3" customFormat="1" ht="18" customHeight="1" spans="1:23">
      <c r="A115" s="74"/>
      <c r="B115" s="25">
        <f t="shared" ref="B115:B137" si="9">ROUND(G115/(1+E115),2)</f>
        <v>0</v>
      </c>
      <c r="C115" s="75"/>
      <c r="D115" s="50"/>
      <c r="E115" s="77"/>
      <c r="F115" s="34">
        <f t="shared" ref="F115:F146" si="10">ROUND(G115/(1+E115)*E115,2)</f>
        <v>0</v>
      </c>
      <c r="G115" s="78"/>
      <c r="H115" s="69">
        <v>43950</v>
      </c>
      <c r="I115" s="34">
        <v>400000</v>
      </c>
      <c r="J115" s="65" t="s">
        <v>20</v>
      </c>
      <c r="K115" s="64" t="s">
        <v>155</v>
      </c>
      <c r="L115" s="65" t="s">
        <v>81</v>
      </c>
      <c r="M115" s="65"/>
      <c r="N115" s="83"/>
      <c r="O115" s="63"/>
      <c r="P115" s="81"/>
      <c r="Q115" s="81"/>
      <c r="R115" s="81"/>
      <c r="S115" s="81"/>
      <c r="T115" s="81"/>
      <c r="U115" s="81"/>
      <c r="V115" s="81"/>
      <c r="W115" s="81"/>
    </row>
    <row r="116" s="3" customFormat="1" ht="18" customHeight="1" spans="1:23">
      <c r="A116" s="74"/>
      <c r="B116" s="25">
        <f t="shared" si="9"/>
        <v>0</v>
      </c>
      <c r="C116" s="75"/>
      <c r="D116" s="50"/>
      <c r="E116" s="77"/>
      <c r="F116" s="34">
        <f t="shared" si="10"/>
        <v>0</v>
      </c>
      <c r="G116" s="78"/>
      <c r="H116" s="69">
        <v>43951</v>
      </c>
      <c r="I116" s="34">
        <v>440000</v>
      </c>
      <c r="J116" s="65" t="s">
        <v>21</v>
      </c>
      <c r="K116" s="64" t="s">
        <v>105</v>
      </c>
      <c r="L116" s="65"/>
      <c r="M116" s="65"/>
      <c r="N116" s="63"/>
      <c r="O116" s="63"/>
      <c r="P116" s="81"/>
      <c r="Q116" s="81"/>
      <c r="R116" s="81"/>
      <c r="S116" s="81"/>
      <c r="T116" s="81"/>
      <c r="U116" s="81"/>
      <c r="V116" s="81"/>
      <c r="W116" s="81"/>
    </row>
    <row r="117" s="3" customFormat="1" ht="18" customHeight="1" spans="1:23">
      <c r="A117" s="74"/>
      <c r="B117" s="25"/>
      <c r="C117" s="75"/>
      <c r="D117" s="50"/>
      <c r="E117" s="77"/>
      <c r="F117" s="34"/>
      <c r="G117" s="78"/>
      <c r="H117" s="69">
        <v>43957</v>
      </c>
      <c r="I117" s="34">
        <v>530000</v>
      </c>
      <c r="J117" s="65" t="s">
        <v>21</v>
      </c>
      <c r="K117" s="64" t="s">
        <v>105</v>
      </c>
      <c r="L117" s="65"/>
      <c r="M117" s="65"/>
      <c r="N117" s="63"/>
      <c r="O117" s="63"/>
      <c r="P117" s="81"/>
      <c r="Q117" s="81"/>
      <c r="R117" s="81"/>
      <c r="S117" s="81"/>
      <c r="T117" s="81"/>
      <c r="U117" s="81"/>
      <c r="V117" s="81"/>
      <c r="W117" s="81"/>
    </row>
    <row r="118" s="3" customFormat="1" ht="18" customHeight="1" spans="1:23">
      <c r="A118" s="74"/>
      <c r="B118" s="25">
        <f t="shared" si="9"/>
        <v>0</v>
      </c>
      <c r="C118" s="75"/>
      <c r="D118" s="50"/>
      <c r="E118" s="77"/>
      <c r="F118" s="34">
        <f t="shared" si="10"/>
        <v>0</v>
      </c>
      <c r="G118" s="78"/>
      <c r="H118" s="69">
        <v>43966</v>
      </c>
      <c r="I118" s="34">
        <v>150000</v>
      </c>
      <c r="J118" s="65" t="s">
        <v>199</v>
      </c>
      <c r="K118" s="64" t="s">
        <v>155</v>
      </c>
      <c r="L118" s="65" t="s">
        <v>81</v>
      </c>
      <c r="M118" s="65"/>
      <c r="N118" s="63"/>
      <c r="O118" s="63"/>
      <c r="P118" s="81"/>
      <c r="Q118" s="81"/>
      <c r="R118" s="81"/>
      <c r="S118" s="81"/>
      <c r="T118" s="81"/>
      <c r="U118" s="81"/>
      <c r="V118" s="81"/>
      <c r="W118" s="81"/>
    </row>
    <row r="119" s="3" customFormat="1" ht="17.1" customHeight="1" spans="1:16">
      <c r="A119" s="74">
        <v>44013</v>
      </c>
      <c r="B119" s="25">
        <f t="shared" si="9"/>
        <v>2632.08</v>
      </c>
      <c r="C119" s="75">
        <v>1</v>
      </c>
      <c r="D119" s="50" t="s">
        <v>36</v>
      </c>
      <c r="E119" s="77">
        <v>0.06</v>
      </c>
      <c r="F119" s="34">
        <f t="shared" si="10"/>
        <v>157.92</v>
      </c>
      <c r="G119" s="78">
        <v>2790</v>
      </c>
      <c r="H119" s="69"/>
      <c r="I119" s="34"/>
      <c r="J119" s="65"/>
      <c r="K119" s="64" t="s">
        <v>156</v>
      </c>
      <c r="L119" s="67" t="s">
        <v>52</v>
      </c>
      <c r="M119" s="65" t="s">
        <v>171</v>
      </c>
      <c r="N119" s="63"/>
      <c r="O119" s="82"/>
      <c r="P119" s="81"/>
    </row>
    <row r="120" s="3" customFormat="1" ht="17.1" customHeight="1" spans="1:23">
      <c r="A120" s="74"/>
      <c r="B120" s="25">
        <f t="shared" si="9"/>
        <v>0</v>
      </c>
      <c r="C120" s="75"/>
      <c r="D120" s="50"/>
      <c r="E120" s="77"/>
      <c r="F120" s="34">
        <f t="shared" si="10"/>
        <v>0</v>
      </c>
      <c r="G120" s="78"/>
      <c r="H120" s="69">
        <v>43994</v>
      </c>
      <c r="I120" s="34">
        <v>100000</v>
      </c>
      <c r="J120" s="65" t="s">
        <v>199</v>
      </c>
      <c r="K120" s="64" t="s">
        <v>155</v>
      </c>
      <c r="L120" s="65"/>
      <c r="M120" s="65"/>
      <c r="N120" s="63"/>
      <c r="O120" s="63"/>
      <c r="P120" s="81"/>
      <c r="Q120" s="81"/>
      <c r="R120" s="81"/>
      <c r="S120" s="81"/>
      <c r="T120" s="81"/>
      <c r="U120" s="81"/>
      <c r="V120" s="81"/>
      <c r="W120" s="81"/>
    </row>
    <row r="121" s="3" customFormat="1" ht="17.1" customHeight="1" spans="1:23">
      <c r="A121" s="74"/>
      <c r="B121" s="25">
        <f t="shared" si="9"/>
        <v>0</v>
      </c>
      <c r="C121" s="75"/>
      <c r="D121" s="50"/>
      <c r="E121" s="77"/>
      <c r="F121" s="34">
        <f t="shared" si="10"/>
        <v>0</v>
      </c>
      <c r="G121" s="78"/>
      <c r="H121" s="69">
        <v>43994</v>
      </c>
      <c r="I121" s="34">
        <v>1000000</v>
      </c>
      <c r="J121" s="65" t="s">
        <v>20</v>
      </c>
      <c r="K121" s="84" t="s">
        <v>53</v>
      </c>
      <c r="L121" s="65" t="s">
        <v>54</v>
      </c>
      <c r="M121" s="65"/>
      <c r="N121" s="63"/>
      <c r="O121" s="63"/>
      <c r="P121" s="81"/>
      <c r="Q121" s="81"/>
      <c r="R121" s="81"/>
      <c r="S121" s="81"/>
      <c r="T121" s="81"/>
      <c r="U121" s="81"/>
      <c r="V121" s="81"/>
      <c r="W121" s="81"/>
    </row>
    <row r="122" s="3" customFormat="1" ht="17.1" customHeight="1" spans="1:23">
      <c r="A122" s="74"/>
      <c r="B122" s="25">
        <f t="shared" si="9"/>
        <v>0</v>
      </c>
      <c r="C122" s="75"/>
      <c r="D122" s="50"/>
      <c r="E122" s="77"/>
      <c r="F122" s="34">
        <f t="shared" si="10"/>
        <v>0</v>
      </c>
      <c r="G122" s="78"/>
      <c r="H122" s="69">
        <v>44000</v>
      </c>
      <c r="I122" s="85">
        <v>500000</v>
      </c>
      <c r="J122" s="65" t="s">
        <v>20</v>
      </c>
      <c r="K122" s="86" t="s">
        <v>166</v>
      </c>
      <c r="L122" s="65"/>
      <c r="M122" s="65"/>
      <c r="N122" s="63"/>
      <c r="O122" s="63"/>
      <c r="P122" s="81"/>
      <c r="Q122" s="81"/>
      <c r="R122" s="81"/>
      <c r="S122" s="81"/>
      <c r="T122" s="81"/>
      <c r="U122" s="81"/>
      <c r="V122" s="81"/>
      <c r="W122" s="81"/>
    </row>
    <row r="123" s="3" customFormat="1" ht="17.1" customHeight="1" spans="1:23">
      <c r="A123" s="74">
        <v>44013</v>
      </c>
      <c r="B123" s="71">
        <f t="shared" si="9"/>
        <v>600040</v>
      </c>
      <c r="C123" s="75"/>
      <c r="D123" s="50" t="s">
        <v>173</v>
      </c>
      <c r="E123" s="80"/>
      <c r="F123" s="34">
        <f t="shared" si="10"/>
        <v>0</v>
      </c>
      <c r="G123" s="78">
        <v>600040</v>
      </c>
      <c r="H123" s="69">
        <v>44000</v>
      </c>
      <c r="I123" s="85">
        <v>600040</v>
      </c>
      <c r="J123" s="65" t="s">
        <v>20</v>
      </c>
      <c r="K123" s="86" t="s">
        <v>74</v>
      </c>
      <c r="L123" s="65" t="s">
        <v>174</v>
      </c>
      <c r="M123" s="65" t="s">
        <v>100</v>
      </c>
      <c r="N123" s="56" t="s">
        <v>198</v>
      </c>
      <c r="O123" s="63" t="s">
        <v>175</v>
      </c>
      <c r="P123" s="81"/>
      <c r="Q123" s="81"/>
      <c r="R123" s="81"/>
      <c r="S123" s="81"/>
      <c r="T123" s="81"/>
      <c r="U123" s="81"/>
      <c r="V123" s="81"/>
      <c r="W123" s="81"/>
    </row>
    <row r="124" s="3" customFormat="1" ht="17.1" customHeight="1" spans="1:23">
      <c r="A124" s="74">
        <v>44013</v>
      </c>
      <c r="B124" s="71">
        <f t="shared" si="9"/>
        <v>600120</v>
      </c>
      <c r="C124" s="75"/>
      <c r="D124" s="50" t="s">
        <v>173</v>
      </c>
      <c r="E124" s="80"/>
      <c r="F124" s="34">
        <f t="shared" si="10"/>
        <v>0</v>
      </c>
      <c r="G124" s="78">
        <v>600120</v>
      </c>
      <c r="H124" s="69">
        <v>44000</v>
      </c>
      <c r="I124" s="85">
        <v>600120</v>
      </c>
      <c r="J124" s="65" t="s">
        <v>20</v>
      </c>
      <c r="K124" s="86" t="s">
        <v>78</v>
      </c>
      <c r="L124" s="65" t="s">
        <v>176</v>
      </c>
      <c r="M124" s="87" t="s">
        <v>100</v>
      </c>
      <c r="N124" s="56" t="s">
        <v>198</v>
      </c>
      <c r="O124" s="63" t="s">
        <v>177</v>
      </c>
      <c r="P124" s="81"/>
      <c r="Q124" s="81"/>
      <c r="R124" s="81"/>
      <c r="S124" s="81"/>
      <c r="T124" s="81"/>
      <c r="U124" s="81"/>
      <c r="V124" s="81"/>
      <c r="W124" s="81"/>
    </row>
    <row r="125" s="3" customFormat="1" ht="17.1" customHeight="1" spans="1:23">
      <c r="A125" s="74">
        <v>44013</v>
      </c>
      <c r="B125" s="71">
        <f t="shared" si="9"/>
        <v>300000</v>
      </c>
      <c r="C125" s="75"/>
      <c r="D125" s="50" t="s">
        <v>173</v>
      </c>
      <c r="E125" s="80"/>
      <c r="F125" s="34">
        <f t="shared" si="10"/>
        <v>0</v>
      </c>
      <c r="G125" s="78">
        <v>300000</v>
      </c>
      <c r="H125" s="69">
        <v>44001</v>
      </c>
      <c r="I125" s="85">
        <v>300000</v>
      </c>
      <c r="J125" s="65" t="s">
        <v>20</v>
      </c>
      <c r="K125" s="86" t="s">
        <v>89</v>
      </c>
      <c r="L125" s="65" t="s">
        <v>178</v>
      </c>
      <c r="M125" s="87" t="s">
        <v>100</v>
      </c>
      <c r="N125" s="56" t="s">
        <v>198</v>
      </c>
      <c r="O125" s="63" t="s">
        <v>179</v>
      </c>
      <c r="P125" s="81"/>
      <c r="Q125" s="81"/>
      <c r="R125" s="81"/>
      <c r="S125" s="81"/>
      <c r="T125" s="81"/>
      <c r="U125" s="81"/>
      <c r="V125" s="81"/>
      <c r="W125" s="81"/>
    </row>
    <row r="126" s="3" customFormat="1" ht="17.1" customHeight="1" spans="1:23">
      <c r="A126" s="74">
        <v>44013</v>
      </c>
      <c r="B126" s="71">
        <f t="shared" si="9"/>
        <v>300000</v>
      </c>
      <c r="C126" s="75"/>
      <c r="D126" s="50" t="s">
        <v>173</v>
      </c>
      <c r="E126" s="80"/>
      <c r="F126" s="34">
        <f t="shared" si="10"/>
        <v>0</v>
      </c>
      <c r="G126" s="78">
        <v>300000</v>
      </c>
      <c r="H126" s="69">
        <v>44004</v>
      </c>
      <c r="I126" s="85">
        <v>300000</v>
      </c>
      <c r="J126" s="65" t="s">
        <v>20</v>
      </c>
      <c r="K126" s="86" t="s">
        <v>87</v>
      </c>
      <c r="L126" s="65" t="s">
        <v>178</v>
      </c>
      <c r="M126" s="87" t="s">
        <v>100</v>
      </c>
      <c r="N126" s="56" t="s">
        <v>198</v>
      </c>
      <c r="O126" s="63" t="s">
        <v>180</v>
      </c>
      <c r="P126" s="81"/>
      <c r="Q126" s="81"/>
      <c r="R126" s="81"/>
      <c r="S126" s="81"/>
      <c r="T126" s="81"/>
      <c r="U126" s="81"/>
      <c r="V126" s="81"/>
      <c r="W126" s="81"/>
    </row>
    <row r="127" s="3" customFormat="1" ht="18" customHeight="1" spans="1:23">
      <c r="A127" s="74"/>
      <c r="B127" s="25">
        <f t="shared" si="9"/>
        <v>0</v>
      </c>
      <c r="C127" s="75"/>
      <c r="D127" s="50"/>
      <c r="E127" s="77"/>
      <c r="F127" s="34">
        <f t="shared" si="10"/>
        <v>0</v>
      </c>
      <c r="G127" s="78"/>
      <c r="H127" s="69">
        <v>44005</v>
      </c>
      <c r="I127" s="85">
        <v>170000</v>
      </c>
      <c r="J127" s="65" t="s">
        <v>20</v>
      </c>
      <c r="K127" s="84" t="s">
        <v>155</v>
      </c>
      <c r="L127" s="65"/>
      <c r="M127" s="65"/>
      <c r="N127" s="63"/>
      <c r="O127" s="63"/>
      <c r="P127" s="81"/>
      <c r="Q127" s="81"/>
      <c r="R127" s="81"/>
      <c r="S127" s="81"/>
      <c r="T127" s="81"/>
      <c r="U127" s="81"/>
      <c r="V127" s="81"/>
      <c r="W127" s="81"/>
    </row>
    <row r="128" s="3" customFormat="1" ht="18" customHeight="1" spans="1:23">
      <c r="A128" s="74"/>
      <c r="B128" s="25">
        <f t="shared" si="9"/>
        <v>0</v>
      </c>
      <c r="C128" s="75"/>
      <c r="D128" s="50"/>
      <c r="E128" s="77"/>
      <c r="F128" s="34">
        <f t="shared" si="10"/>
        <v>0</v>
      </c>
      <c r="G128" s="78"/>
      <c r="H128" s="69">
        <v>44012</v>
      </c>
      <c r="I128" s="85">
        <v>1000000</v>
      </c>
      <c r="J128" s="65" t="s">
        <v>164</v>
      </c>
      <c r="K128" s="64" t="s">
        <v>80</v>
      </c>
      <c r="L128" s="65" t="s">
        <v>81</v>
      </c>
      <c r="M128" s="65" t="s">
        <v>76</v>
      </c>
      <c r="N128" s="63"/>
      <c r="O128" s="63"/>
      <c r="P128" s="81"/>
      <c r="Q128" s="81"/>
      <c r="R128" s="81"/>
      <c r="S128" s="81"/>
      <c r="T128" s="81"/>
      <c r="U128" s="81"/>
      <c r="V128" s="81"/>
      <c r="W128" s="81"/>
    </row>
    <row r="129" s="3" customFormat="1" ht="18" customHeight="1" spans="1:23">
      <c r="A129" s="74"/>
      <c r="B129" s="25">
        <f t="shared" si="9"/>
        <v>0</v>
      </c>
      <c r="C129" s="75"/>
      <c r="D129" s="50"/>
      <c r="E129" s="77"/>
      <c r="F129" s="34">
        <f t="shared" si="10"/>
        <v>0</v>
      </c>
      <c r="G129" s="78"/>
      <c r="H129" s="69">
        <v>44019</v>
      </c>
      <c r="I129" s="85">
        <v>500000</v>
      </c>
      <c r="J129" s="65" t="s">
        <v>20</v>
      </c>
      <c r="K129" s="64" t="s">
        <v>80</v>
      </c>
      <c r="L129" s="65"/>
      <c r="M129" s="65" t="s">
        <v>76</v>
      </c>
      <c r="N129" s="63"/>
      <c r="O129" s="63"/>
      <c r="P129" s="81"/>
      <c r="Q129" s="81"/>
      <c r="R129" s="81"/>
      <c r="S129" s="81"/>
      <c r="T129" s="81"/>
      <c r="U129" s="81"/>
      <c r="V129" s="81"/>
      <c r="W129" s="81"/>
    </row>
    <row r="130" s="3" customFormat="1" ht="18" customHeight="1" spans="1:23">
      <c r="A130" s="74">
        <v>44013</v>
      </c>
      <c r="B130" s="71">
        <f t="shared" si="9"/>
        <v>505080.8</v>
      </c>
      <c r="C130" s="75"/>
      <c r="D130" s="50" t="s">
        <v>173</v>
      </c>
      <c r="E130" s="80"/>
      <c r="F130" s="34">
        <f t="shared" si="10"/>
        <v>0</v>
      </c>
      <c r="G130" s="78">
        <v>505080.8</v>
      </c>
      <c r="H130" s="69">
        <v>44019</v>
      </c>
      <c r="I130" s="85">
        <v>500000</v>
      </c>
      <c r="J130" s="65" t="s">
        <v>20</v>
      </c>
      <c r="K130" s="86" t="s">
        <v>74</v>
      </c>
      <c r="L130" s="65" t="s">
        <v>181</v>
      </c>
      <c r="M130" s="65" t="s">
        <v>100</v>
      </c>
      <c r="N130" s="56" t="s">
        <v>198</v>
      </c>
      <c r="O130" s="63" t="s">
        <v>182</v>
      </c>
      <c r="P130" s="81"/>
      <c r="Q130" s="81"/>
      <c r="R130" s="81"/>
      <c r="S130" s="81"/>
      <c r="T130" s="81"/>
      <c r="U130" s="81"/>
      <c r="V130" s="81"/>
      <c r="W130" s="81"/>
    </row>
    <row r="131" s="3" customFormat="1" ht="18" customHeight="1" spans="1:16">
      <c r="A131" s="74">
        <v>44013</v>
      </c>
      <c r="B131" s="71">
        <f t="shared" si="9"/>
        <v>970000</v>
      </c>
      <c r="C131" s="75"/>
      <c r="D131" s="50" t="s">
        <v>173</v>
      </c>
      <c r="E131" s="80"/>
      <c r="F131" s="34">
        <f t="shared" si="10"/>
        <v>0</v>
      </c>
      <c r="G131" s="78">
        <v>970000</v>
      </c>
      <c r="H131" s="69"/>
      <c r="I131" s="85"/>
      <c r="J131" s="65"/>
      <c r="K131" s="64" t="s">
        <v>105</v>
      </c>
      <c r="L131" s="67" t="s">
        <v>183</v>
      </c>
      <c r="M131" s="65" t="s">
        <v>200</v>
      </c>
      <c r="N131" s="56" t="s">
        <v>198</v>
      </c>
      <c r="O131" s="82" t="s">
        <v>184</v>
      </c>
      <c r="P131" s="81"/>
    </row>
    <row r="132" s="3" customFormat="1" ht="18" customHeight="1" spans="1:16">
      <c r="A132" s="74">
        <v>44013</v>
      </c>
      <c r="B132" s="25">
        <f t="shared" si="9"/>
        <v>458715.6</v>
      </c>
      <c r="C132" s="75"/>
      <c r="D132" s="50" t="s">
        <v>36</v>
      </c>
      <c r="E132" s="77">
        <v>0.09</v>
      </c>
      <c r="F132" s="34">
        <f t="shared" si="10"/>
        <v>41284.4</v>
      </c>
      <c r="G132" s="78">
        <v>500000</v>
      </c>
      <c r="H132" s="69"/>
      <c r="I132" s="85"/>
      <c r="J132" s="65"/>
      <c r="K132" s="86" t="s">
        <v>166</v>
      </c>
      <c r="L132" s="67" t="s">
        <v>185</v>
      </c>
      <c r="M132" s="90" t="s">
        <v>100</v>
      </c>
      <c r="N132" s="63"/>
      <c r="O132" s="82"/>
      <c r="P132" s="81"/>
    </row>
    <row r="133" s="3" customFormat="1" ht="18" customHeight="1" spans="1:16">
      <c r="A133" s="74">
        <v>44044</v>
      </c>
      <c r="B133" s="25">
        <f t="shared" si="9"/>
        <v>1039119.43</v>
      </c>
      <c r="C133" s="75"/>
      <c r="D133" s="50" t="s">
        <v>36</v>
      </c>
      <c r="E133" s="77">
        <v>0.13</v>
      </c>
      <c r="F133" s="34">
        <f t="shared" si="10"/>
        <v>135085.53</v>
      </c>
      <c r="G133" s="78">
        <f>304573.99+869630.97</f>
        <v>1174204.96</v>
      </c>
      <c r="H133" s="69"/>
      <c r="I133" s="85"/>
      <c r="J133" s="65"/>
      <c r="K133" s="86" t="s">
        <v>80</v>
      </c>
      <c r="L133" s="67" t="s">
        <v>186</v>
      </c>
      <c r="M133" s="90" t="s">
        <v>100</v>
      </c>
      <c r="N133" s="63" t="s">
        <v>100</v>
      </c>
      <c r="O133" s="82"/>
      <c r="P133" s="81"/>
    </row>
    <row r="134" s="3" customFormat="1" ht="18" customHeight="1" spans="1:23">
      <c r="A134" s="74">
        <v>44044</v>
      </c>
      <c r="B134" s="25">
        <f t="shared" si="9"/>
        <v>875700</v>
      </c>
      <c r="C134" s="75"/>
      <c r="D134" s="50" t="s">
        <v>173</v>
      </c>
      <c r="E134" s="77"/>
      <c r="F134" s="34">
        <f t="shared" si="10"/>
        <v>0</v>
      </c>
      <c r="G134" s="78">
        <v>875700</v>
      </c>
      <c r="H134" s="69">
        <v>44067</v>
      </c>
      <c r="I134" s="85">
        <v>875700</v>
      </c>
      <c r="J134" s="65" t="s">
        <v>21</v>
      </c>
      <c r="K134" s="86" t="s">
        <v>78</v>
      </c>
      <c r="L134" s="65" t="s">
        <v>188</v>
      </c>
      <c r="M134" s="87"/>
      <c r="N134" s="63" t="s">
        <v>100</v>
      </c>
      <c r="O134" s="63"/>
      <c r="P134" s="81"/>
      <c r="Q134" s="81"/>
      <c r="R134" s="81"/>
      <c r="S134" s="81"/>
      <c r="T134" s="81"/>
      <c r="U134" s="81"/>
      <c r="V134" s="81"/>
      <c r="W134" s="81"/>
    </row>
    <row r="135" s="3" customFormat="1" ht="18" customHeight="1" spans="1:23">
      <c r="A135" s="74">
        <v>44044</v>
      </c>
      <c r="B135" s="25">
        <f t="shared" si="9"/>
        <v>194850</v>
      </c>
      <c r="C135" s="75"/>
      <c r="D135" s="50" t="s">
        <v>173</v>
      </c>
      <c r="E135" s="77"/>
      <c r="F135" s="34">
        <f t="shared" si="10"/>
        <v>0</v>
      </c>
      <c r="G135" s="78">
        <v>194850</v>
      </c>
      <c r="H135" s="69">
        <v>44069</v>
      </c>
      <c r="I135" s="85">
        <v>194850</v>
      </c>
      <c r="J135" s="65" t="s">
        <v>21</v>
      </c>
      <c r="K135" s="86" t="s">
        <v>74</v>
      </c>
      <c r="L135" s="65" t="s">
        <v>189</v>
      </c>
      <c r="M135" s="87"/>
      <c r="N135" s="63" t="s">
        <v>100</v>
      </c>
      <c r="O135" s="63"/>
      <c r="P135" s="81"/>
      <c r="Q135" s="81"/>
      <c r="R135" s="81"/>
      <c r="S135" s="81"/>
      <c r="T135" s="81"/>
      <c r="U135" s="81"/>
      <c r="V135" s="81"/>
      <c r="W135" s="81"/>
    </row>
    <row r="136" s="3" customFormat="1" ht="18" customHeight="1" spans="1:23">
      <c r="A136" s="74"/>
      <c r="B136" s="25">
        <f t="shared" si="9"/>
        <v>0</v>
      </c>
      <c r="C136" s="75"/>
      <c r="D136" s="50"/>
      <c r="E136" s="77"/>
      <c r="F136" s="34">
        <f t="shared" si="10"/>
        <v>0</v>
      </c>
      <c r="G136" s="78"/>
      <c r="H136" s="69">
        <v>44069</v>
      </c>
      <c r="I136" s="85">
        <v>500000</v>
      </c>
      <c r="J136" s="65" t="s">
        <v>20</v>
      </c>
      <c r="K136" s="86" t="s">
        <v>53</v>
      </c>
      <c r="L136" s="65"/>
      <c r="M136" s="87"/>
      <c r="N136" s="63"/>
      <c r="O136" s="63"/>
      <c r="P136" s="81"/>
      <c r="Q136" s="81"/>
      <c r="R136" s="81"/>
      <c r="S136" s="81"/>
      <c r="T136" s="81"/>
      <c r="U136" s="81"/>
      <c r="V136" s="81"/>
      <c r="W136" s="81"/>
    </row>
    <row r="137" s="3" customFormat="1" ht="18" customHeight="1" spans="1:23">
      <c r="A137" s="74">
        <v>44044</v>
      </c>
      <c r="B137" s="71">
        <f t="shared" si="9"/>
        <v>26643.4</v>
      </c>
      <c r="C137" s="75">
        <v>1</v>
      </c>
      <c r="D137" s="50" t="s">
        <v>36</v>
      </c>
      <c r="E137" s="88">
        <v>0.06</v>
      </c>
      <c r="F137" s="89">
        <f t="shared" si="10"/>
        <v>1598.6</v>
      </c>
      <c r="G137" s="73">
        <v>28242</v>
      </c>
      <c r="H137" s="69">
        <v>44067</v>
      </c>
      <c r="I137" s="85">
        <v>28242</v>
      </c>
      <c r="J137" s="65" t="s">
        <v>20</v>
      </c>
      <c r="K137" s="86" t="s">
        <v>65</v>
      </c>
      <c r="L137" s="65"/>
      <c r="M137" s="87"/>
      <c r="N137" s="63"/>
      <c r="O137" s="63"/>
      <c r="P137" s="81"/>
      <c r="Q137" s="81"/>
      <c r="R137" s="81"/>
      <c r="S137" s="81"/>
      <c r="T137" s="81"/>
      <c r="U137" s="81"/>
      <c r="V137" s="81"/>
      <c r="W137" s="81"/>
    </row>
    <row r="138" s="3" customFormat="1" ht="18" customHeight="1" spans="1:23">
      <c r="A138" s="74"/>
      <c r="B138" s="25">
        <f t="shared" ref="B138:B146" si="11">ROUND(G138/(1+E138),2)</f>
        <v>0</v>
      </c>
      <c r="C138" s="75"/>
      <c r="D138" s="50"/>
      <c r="E138" s="77"/>
      <c r="F138" s="34">
        <f t="shared" si="10"/>
        <v>0</v>
      </c>
      <c r="G138" s="78"/>
      <c r="H138" s="69">
        <v>44081</v>
      </c>
      <c r="I138" s="85">
        <v>73950</v>
      </c>
      <c r="J138" s="65" t="s">
        <v>20</v>
      </c>
      <c r="K138" s="86" t="s">
        <v>193</v>
      </c>
      <c r="L138" s="65"/>
      <c r="M138" s="87"/>
      <c r="N138" s="63"/>
      <c r="O138" s="63"/>
      <c r="P138" s="81"/>
      <c r="Q138" s="81"/>
      <c r="R138" s="81"/>
      <c r="S138" s="81"/>
      <c r="T138" s="81"/>
      <c r="U138" s="81"/>
      <c r="V138" s="81"/>
      <c r="W138" s="81"/>
    </row>
    <row r="139" s="3" customFormat="1" ht="18" customHeight="1" spans="1:23">
      <c r="A139" s="74">
        <v>44075</v>
      </c>
      <c r="B139" s="25">
        <f t="shared" si="11"/>
        <v>300000</v>
      </c>
      <c r="C139" s="75"/>
      <c r="D139" s="50" t="s">
        <v>173</v>
      </c>
      <c r="E139" s="77"/>
      <c r="F139" s="34">
        <f t="shared" si="10"/>
        <v>0</v>
      </c>
      <c r="G139" s="78">
        <v>300000</v>
      </c>
      <c r="H139" s="69">
        <v>44083</v>
      </c>
      <c r="I139" s="85">
        <v>300000</v>
      </c>
      <c r="J139" s="65" t="s">
        <v>21</v>
      </c>
      <c r="K139" s="86" t="s">
        <v>105</v>
      </c>
      <c r="L139" s="65" t="s">
        <v>194</v>
      </c>
      <c r="M139" s="65"/>
      <c r="N139" s="63" t="s">
        <v>100</v>
      </c>
      <c r="O139" s="63"/>
      <c r="P139" s="81"/>
      <c r="Q139" s="81"/>
      <c r="R139" s="81"/>
      <c r="S139" s="81"/>
      <c r="T139" s="81"/>
      <c r="U139" s="81"/>
      <c r="V139" s="81"/>
      <c r="W139" s="81"/>
    </row>
    <row r="140" s="3" customFormat="1" ht="18" customHeight="1" spans="1:23">
      <c r="A140" s="74"/>
      <c r="B140" s="25">
        <f t="shared" si="11"/>
        <v>0</v>
      </c>
      <c r="C140" s="75"/>
      <c r="D140" s="50"/>
      <c r="E140" s="77"/>
      <c r="F140" s="34">
        <f t="shared" si="10"/>
        <v>0</v>
      </c>
      <c r="G140" s="78"/>
      <c r="H140" s="69">
        <v>44085</v>
      </c>
      <c r="I140" s="85">
        <v>1000000</v>
      </c>
      <c r="J140" s="65" t="s">
        <v>20</v>
      </c>
      <c r="K140" s="86" t="s">
        <v>53</v>
      </c>
      <c r="L140" s="65"/>
      <c r="M140" s="91"/>
      <c r="N140" s="63"/>
      <c r="O140" s="63"/>
      <c r="P140" s="81"/>
      <c r="Q140" s="81"/>
      <c r="R140" s="81"/>
      <c r="S140" s="81"/>
      <c r="T140" s="81"/>
      <c r="U140" s="81"/>
      <c r="V140" s="81"/>
      <c r="W140" s="81"/>
    </row>
    <row r="141" s="3" customFormat="1" ht="18" customHeight="1" spans="1:23">
      <c r="A141" s="74">
        <v>44075</v>
      </c>
      <c r="B141" s="25">
        <f t="shared" si="11"/>
        <v>442500</v>
      </c>
      <c r="C141" s="75"/>
      <c r="D141" s="50" t="s">
        <v>36</v>
      </c>
      <c r="E141" s="77">
        <v>0.13</v>
      </c>
      <c r="F141" s="34">
        <f t="shared" si="10"/>
        <v>57525</v>
      </c>
      <c r="G141" s="78">
        <v>500025</v>
      </c>
      <c r="H141" s="69">
        <v>44088</v>
      </c>
      <c r="I141" s="85">
        <v>500000</v>
      </c>
      <c r="J141" s="65" t="s">
        <v>20</v>
      </c>
      <c r="K141" s="64" t="s">
        <v>92</v>
      </c>
      <c r="L141" s="65"/>
      <c r="M141" s="91"/>
      <c r="N141" s="63"/>
      <c r="O141" s="63"/>
      <c r="P141" s="81"/>
      <c r="Q141" s="81"/>
      <c r="R141" s="81"/>
      <c r="S141" s="81"/>
      <c r="T141" s="81"/>
      <c r="U141" s="81"/>
      <c r="V141" s="81"/>
      <c r="W141" s="81"/>
    </row>
    <row r="142" s="3" customFormat="1" ht="18" customHeight="1" spans="1:23">
      <c r="A142" s="74">
        <v>44075</v>
      </c>
      <c r="B142" s="25">
        <f t="shared" si="11"/>
        <v>1001084.07</v>
      </c>
      <c r="C142" s="75"/>
      <c r="D142" s="50" t="s">
        <v>36</v>
      </c>
      <c r="E142" s="77">
        <v>0.13</v>
      </c>
      <c r="F142" s="34">
        <f t="shared" si="10"/>
        <v>130140.93</v>
      </c>
      <c r="G142" s="78">
        <v>1131225</v>
      </c>
      <c r="H142" s="69">
        <v>44092</v>
      </c>
      <c r="I142" s="85">
        <v>1131250</v>
      </c>
      <c r="J142" s="65" t="s">
        <v>20</v>
      </c>
      <c r="K142" s="64" t="s">
        <v>92</v>
      </c>
      <c r="L142" s="65"/>
      <c r="M142" s="91"/>
      <c r="N142" s="63"/>
      <c r="O142" s="63"/>
      <c r="P142" s="81"/>
      <c r="Q142" s="81"/>
      <c r="R142" s="81"/>
      <c r="S142" s="81"/>
      <c r="T142" s="81"/>
      <c r="U142" s="81"/>
      <c r="V142" s="81"/>
      <c r="W142" s="81"/>
    </row>
    <row r="143" s="3" customFormat="1" ht="18" customHeight="1" spans="1:23">
      <c r="A143" s="74">
        <v>44075</v>
      </c>
      <c r="B143" s="71">
        <f t="shared" si="11"/>
        <v>824720</v>
      </c>
      <c r="C143" s="75">
        <v>1</v>
      </c>
      <c r="D143" s="50" t="s">
        <v>173</v>
      </c>
      <c r="E143" s="88"/>
      <c r="F143" s="34">
        <f t="shared" si="10"/>
        <v>0</v>
      </c>
      <c r="G143" s="73">
        <v>824720</v>
      </c>
      <c r="H143" s="69">
        <v>44090</v>
      </c>
      <c r="I143" s="85">
        <v>694720</v>
      </c>
      <c r="J143" s="65" t="s">
        <v>20</v>
      </c>
      <c r="K143" s="92" t="s">
        <v>201</v>
      </c>
      <c r="L143" s="65"/>
      <c r="M143" s="65" t="s">
        <v>100</v>
      </c>
      <c r="N143" s="56" t="s">
        <v>198</v>
      </c>
      <c r="O143" s="63"/>
      <c r="P143" s="81"/>
      <c r="Q143" s="81"/>
      <c r="R143" s="81"/>
      <c r="S143" s="81"/>
      <c r="T143" s="81"/>
      <c r="U143" s="81"/>
      <c r="V143" s="81"/>
      <c r="W143" s="81"/>
    </row>
    <row r="144" s="3" customFormat="1" ht="18" customHeight="1" spans="1:23">
      <c r="A144" s="74">
        <v>44075</v>
      </c>
      <c r="B144" s="25">
        <f t="shared" si="11"/>
        <v>600000</v>
      </c>
      <c r="C144" s="75">
        <v>1</v>
      </c>
      <c r="D144" s="50" t="s">
        <v>173</v>
      </c>
      <c r="E144" s="80"/>
      <c r="F144" s="34">
        <f t="shared" si="10"/>
        <v>0</v>
      </c>
      <c r="G144" s="47">
        <v>600000</v>
      </c>
      <c r="H144" s="69">
        <v>44090</v>
      </c>
      <c r="I144" s="85">
        <v>600000</v>
      </c>
      <c r="J144" s="65" t="s">
        <v>20</v>
      </c>
      <c r="K144" s="92" t="s">
        <v>202</v>
      </c>
      <c r="L144" s="65"/>
      <c r="M144" s="65" t="s">
        <v>100</v>
      </c>
      <c r="N144" s="56" t="s">
        <v>198</v>
      </c>
      <c r="O144" s="63"/>
      <c r="P144" s="81"/>
      <c r="Q144" s="81"/>
      <c r="R144" s="81"/>
      <c r="S144" s="81"/>
      <c r="T144" s="81"/>
      <c r="U144" s="81"/>
      <c r="V144" s="81"/>
      <c r="W144" s="81"/>
    </row>
    <row r="145" s="3" customFormat="1" ht="18" customHeight="1" spans="1:23">
      <c r="A145" s="74">
        <v>44075</v>
      </c>
      <c r="B145" s="25">
        <f t="shared" si="11"/>
        <v>300000</v>
      </c>
      <c r="C145" s="75">
        <v>1</v>
      </c>
      <c r="D145" s="50" t="s">
        <v>173</v>
      </c>
      <c r="E145" s="80"/>
      <c r="F145" s="34">
        <f t="shared" si="10"/>
        <v>0</v>
      </c>
      <c r="G145" s="47">
        <v>300000</v>
      </c>
      <c r="H145" s="69">
        <v>44090</v>
      </c>
      <c r="I145" s="85">
        <v>300000</v>
      </c>
      <c r="J145" s="65" t="s">
        <v>20</v>
      </c>
      <c r="K145" s="84" t="s">
        <v>203</v>
      </c>
      <c r="L145" s="65"/>
      <c r="M145" s="65" t="s">
        <v>100</v>
      </c>
      <c r="N145" s="56" t="s">
        <v>198</v>
      </c>
      <c r="O145" s="63"/>
      <c r="P145" s="81"/>
      <c r="Q145" s="81"/>
      <c r="R145" s="81"/>
      <c r="S145" s="81"/>
      <c r="T145" s="81"/>
      <c r="U145" s="81"/>
      <c r="V145" s="81"/>
      <c r="W145" s="81"/>
    </row>
    <row r="146" s="3" customFormat="1" ht="18" customHeight="1" spans="1:23">
      <c r="A146" s="74">
        <v>44075</v>
      </c>
      <c r="B146" s="25">
        <f t="shared" si="11"/>
        <v>600000</v>
      </c>
      <c r="C146" s="75">
        <v>1</v>
      </c>
      <c r="D146" s="50" t="s">
        <v>173</v>
      </c>
      <c r="E146" s="80"/>
      <c r="F146" s="34">
        <f t="shared" si="10"/>
        <v>0</v>
      </c>
      <c r="G146" s="47">
        <v>600000</v>
      </c>
      <c r="H146" s="69">
        <v>44090</v>
      </c>
      <c r="I146" s="85">
        <v>600000</v>
      </c>
      <c r="J146" s="65" t="s">
        <v>20</v>
      </c>
      <c r="K146" s="92" t="s">
        <v>204</v>
      </c>
      <c r="L146" s="65"/>
      <c r="M146" s="65" t="s">
        <v>100</v>
      </c>
      <c r="N146" s="56" t="s">
        <v>198</v>
      </c>
      <c r="O146" s="63"/>
      <c r="P146" s="81"/>
      <c r="Q146" s="81"/>
      <c r="R146" s="81"/>
      <c r="S146" s="81"/>
      <c r="T146" s="81"/>
      <c r="U146" s="81"/>
      <c r="V146" s="81"/>
      <c r="W146" s="81"/>
    </row>
    <row r="147" s="3" customFormat="1" ht="18" customHeight="1" spans="1:23">
      <c r="A147" s="74"/>
      <c r="B147" s="25">
        <f t="shared" ref="B147:B153" si="12">ROUND(G147/(1+E147),2)</f>
        <v>0</v>
      </c>
      <c r="C147" s="75"/>
      <c r="D147" s="50"/>
      <c r="E147" s="80"/>
      <c r="F147" s="34">
        <f t="shared" ref="F147:F153" si="13">ROUND(G147/(1+E147)*E147,2)</f>
        <v>0</v>
      </c>
      <c r="G147" s="47"/>
      <c r="H147" s="69">
        <v>44187</v>
      </c>
      <c r="I147" s="85">
        <v>150000</v>
      </c>
      <c r="J147" s="65" t="s">
        <v>20</v>
      </c>
      <c r="K147" s="92" t="s">
        <v>87</v>
      </c>
      <c r="L147" s="65" t="s">
        <v>206</v>
      </c>
      <c r="M147" s="65"/>
      <c r="N147" s="56"/>
      <c r="O147" s="63"/>
      <c r="P147" s="81"/>
      <c r="Q147" s="81"/>
      <c r="R147" s="81"/>
      <c r="S147" s="81"/>
      <c r="T147" s="81"/>
      <c r="U147" s="81"/>
      <c r="V147" s="81"/>
      <c r="W147" s="81"/>
    </row>
    <row r="148" s="3" customFormat="1" ht="18" customHeight="1" spans="1:23">
      <c r="A148" s="74"/>
      <c r="B148" s="25">
        <f t="shared" si="12"/>
        <v>0</v>
      </c>
      <c r="C148" s="75"/>
      <c r="D148" s="50"/>
      <c r="E148" s="80"/>
      <c r="F148" s="34">
        <f t="shared" si="13"/>
        <v>0</v>
      </c>
      <c r="G148" s="47"/>
      <c r="H148" s="69">
        <v>44187</v>
      </c>
      <c r="I148" s="85">
        <v>360000</v>
      </c>
      <c r="J148" s="65" t="s">
        <v>20</v>
      </c>
      <c r="K148" s="92" t="s">
        <v>207</v>
      </c>
      <c r="L148" s="65" t="s">
        <v>208</v>
      </c>
      <c r="M148" s="65"/>
      <c r="N148" s="56"/>
      <c r="O148" s="63"/>
      <c r="P148" s="81"/>
      <c r="Q148" s="81"/>
      <c r="R148" s="81"/>
      <c r="S148" s="81"/>
      <c r="T148" s="81"/>
      <c r="U148" s="81"/>
      <c r="V148" s="81"/>
      <c r="W148" s="81"/>
    </row>
    <row r="149" s="3" customFormat="1" ht="18" customHeight="1" spans="1:23">
      <c r="A149" s="74">
        <v>44166</v>
      </c>
      <c r="B149" s="25">
        <f t="shared" si="12"/>
        <v>265486.73</v>
      </c>
      <c r="C149" s="75">
        <v>3</v>
      </c>
      <c r="D149" s="50" t="s">
        <v>36</v>
      </c>
      <c r="E149" s="80">
        <v>0.13</v>
      </c>
      <c r="F149" s="34">
        <f t="shared" si="13"/>
        <v>34513.27</v>
      </c>
      <c r="G149" s="47">
        <v>300000</v>
      </c>
      <c r="H149" s="69">
        <v>44187</v>
      </c>
      <c r="I149" s="85">
        <v>300000</v>
      </c>
      <c r="J149" s="65" t="s">
        <v>20</v>
      </c>
      <c r="K149" s="92" t="s">
        <v>209</v>
      </c>
      <c r="L149" s="65" t="s">
        <v>210</v>
      </c>
      <c r="M149" s="65"/>
      <c r="N149" s="56"/>
      <c r="O149" s="63"/>
      <c r="P149" s="81"/>
      <c r="Q149" s="81"/>
      <c r="R149" s="81"/>
      <c r="S149" s="81"/>
      <c r="T149" s="81"/>
      <c r="U149" s="81"/>
      <c r="V149" s="81"/>
      <c r="W149" s="81"/>
    </row>
    <row r="150" s="3" customFormat="1" ht="18" customHeight="1" spans="1:23">
      <c r="A150" s="74"/>
      <c r="B150" s="25">
        <f t="shared" si="12"/>
        <v>0</v>
      </c>
      <c r="C150" s="75"/>
      <c r="D150" s="50"/>
      <c r="E150" s="80"/>
      <c r="F150" s="34">
        <f t="shared" si="13"/>
        <v>0</v>
      </c>
      <c r="G150" s="47"/>
      <c r="H150" s="69">
        <v>44187</v>
      </c>
      <c r="I150" s="85">
        <v>60000</v>
      </c>
      <c r="J150" s="65" t="s">
        <v>20</v>
      </c>
      <c r="K150" s="92" t="s">
        <v>211</v>
      </c>
      <c r="L150" s="65" t="s">
        <v>212</v>
      </c>
      <c r="M150" s="65"/>
      <c r="N150" s="56"/>
      <c r="O150" s="63"/>
      <c r="P150" s="81"/>
      <c r="Q150" s="81"/>
      <c r="R150" s="81"/>
      <c r="S150" s="81"/>
      <c r="T150" s="81"/>
      <c r="U150" s="81"/>
      <c r="V150" s="81"/>
      <c r="W150" s="81"/>
    </row>
    <row r="151" s="3" customFormat="1" ht="18" customHeight="1" spans="1:23">
      <c r="A151" s="74"/>
      <c r="B151" s="25">
        <f t="shared" si="12"/>
        <v>0</v>
      </c>
      <c r="C151" s="75"/>
      <c r="D151" s="50"/>
      <c r="E151" s="80"/>
      <c r="F151" s="34">
        <f t="shared" si="13"/>
        <v>0</v>
      </c>
      <c r="G151" s="47"/>
      <c r="H151" s="69">
        <v>44187</v>
      </c>
      <c r="I151" s="85">
        <v>50000</v>
      </c>
      <c r="J151" s="65" t="s">
        <v>20</v>
      </c>
      <c r="K151" s="92" t="s">
        <v>213</v>
      </c>
      <c r="L151" s="65" t="s">
        <v>214</v>
      </c>
      <c r="M151" s="65"/>
      <c r="N151" s="56"/>
      <c r="O151" s="63"/>
      <c r="P151" s="81"/>
      <c r="Q151" s="81"/>
      <c r="R151" s="81"/>
      <c r="S151" s="81"/>
      <c r="T151" s="81"/>
      <c r="U151" s="81"/>
      <c r="V151" s="81"/>
      <c r="W151" s="81"/>
    </row>
    <row r="152" s="3" customFormat="1" ht="18" customHeight="1" spans="1:23">
      <c r="A152" s="74"/>
      <c r="B152" s="25">
        <f t="shared" si="12"/>
        <v>0</v>
      </c>
      <c r="C152" s="75"/>
      <c r="D152" s="50"/>
      <c r="E152" s="80"/>
      <c r="F152" s="34">
        <f t="shared" si="13"/>
        <v>0</v>
      </c>
      <c r="G152" s="47"/>
      <c r="H152" s="69">
        <v>44187</v>
      </c>
      <c r="I152" s="85">
        <v>100000</v>
      </c>
      <c r="J152" s="65" t="s">
        <v>20</v>
      </c>
      <c r="K152" s="92" t="s">
        <v>215</v>
      </c>
      <c r="L152" s="65" t="s">
        <v>214</v>
      </c>
      <c r="M152" s="65"/>
      <c r="N152" s="56"/>
      <c r="O152" s="63"/>
      <c r="P152" s="81"/>
      <c r="Q152" s="81"/>
      <c r="R152" s="81"/>
      <c r="S152" s="81"/>
      <c r="T152" s="81"/>
      <c r="U152" s="81"/>
      <c r="V152" s="81"/>
      <c r="W152" s="81"/>
    </row>
    <row r="153" s="3" customFormat="1" ht="18" customHeight="1" spans="1:23">
      <c r="A153" s="74">
        <v>44197</v>
      </c>
      <c r="B153" s="25">
        <f t="shared" si="12"/>
        <v>300000</v>
      </c>
      <c r="C153" s="75">
        <v>4</v>
      </c>
      <c r="D153" s="50" t="s">
        <v>173</v>
      </c>
      <c r="E153" s="80">
        <v>0</v>
      </c>
      <c r="F153" s="34">
        <f t="shared" si="13"/>
        <v>0</v>
      </c>
      <c r="G153" s="47">
        <f>75000*4</f>
        <v>300000</v>
      </c>
      <c r="H153" s="69">
        <v>44222</v>
      </c>
      <c r="I153" s="85">
        <v>300000</v>
      </c>
      <c r="J153" s="65" t="s">
        <v>20</v>
      </c>
      <c r="K153" s="92" t="s">
        <v>89</v>
      </c>
      <c r="L153" s="65"/>
      <c r="M153" s="65"/>
      <c r="N153" s="56"/>
      <c r="O153" s="63"/>
      <c r="P153" s="81"/>
      <c r="Q153" s="81"/>
      <c r="R153" s="81"/>
      <c r="S153" s="81"/>
      <c r="T153" s="81"/>
      <c r="U153" s="81"/>
      <c r="V153" s="81"/>
      <c r="W153" s="81"/>
    </row>
    <row r="154" s="3" customFormat="1" ht="18" customHeight="1" spans="1:23">
      <c r="A154" s="74"/>
      <c r="B154" s="25">
        <f t="shared" ref="B154:B162" si="14">ROUND(G154/(1+E154),2)</f>
        <v>0</v>
      </c>
      <c r="C154" s="75"/>
      <c r="D154" s="50"/>
      <c r="E154" s="80"/>
      <c r="F154" s="34">
        <f t="shared" ref="F154:F162" si="15">ROUND(G154/(1+E154)*E154,2)</f>
        <v>0</v>
      </c>
      <c r="G154" s="47"/>
      <c r="H154" s="69">
        <v>44225</v>
      </c>
      <c r="I154" s="85">
        <v>300000</v>
      </c>
      <c r="J154" s="65" t="s">
        <v>20</v>
      </c>
      <c r="K154" s="92" t="s">
        <v>243</v>
      </c>
      <c r="L154" s="65"/>
      <c r="M154" s="65"/>
      <c r="N154" s="56"/>
      <c r="O154" s="63"/>
      <c r="P154" s="81"/>
      <c r="Q154" s="81"/>
      <c r="R154" s="81"/>
      <c r="S154" s="81"/>
      <c r="T154" s="81"/>
      <c r="U154" s="81"/>
      <c r="V154" s="81"/>
      <c r="W154" s="81"/>
    </row>
    <row r="155" s="3" customFormat="1" ht="18" customHeight="1" spans="1:23">
      <c r="A155" s="74"/>
      <c r="B155" s="25">
        <f t="shared" si="14"/>
        <v>0</v>
      </c>
      <c r="C155" s="75"/>
      <c r="D155" s="50"/>
      <c r="E155" s="80"/>
      <c r="F155" s="34">
        <f t="shared" si="15"/>
        <v>0</v>
      </c>
      <c r="G155" s="47"/>
      <c r="H155" s="69">
        <v>44225</v>
      </c>
      <c r="I155" s="85">
        <v>100000</v>
      </c>
      <c r="J155" s="65" t="s">
        <v>20</v>
      </c>
      <c r="K155" s="92" t="s">
        <v>244</v>
      </c>
      <c r="L155" s="65"/>
      <c r="M155" s="65"/>
      <c r="N155" s="56"/>
      <c r="O155" s="63"/>
      <c r="P155" s="81"/>
      <c r="Q155" s="81"/>
      <c r="R155" s="81"/>
      <c r="S155" s="81"/>
      <c r="T155" s="81"/>
      <c r="U155" s="81"/>
      <c r="V155" s="81"/>
      <c r="W155" s="81"/>
    </row>
    <row r="156" s="3" customFormat="1" ht="18" customHeight="1" spans="1:23">
      <c r="A156" s="74"/>
      <c r="B156" s="25">
        <f t="shared" si="14"/>
        <v>0</v>
      </c>
      <c r="C156" s="75"/>
      <c r="D156" s="50"/>
      <c r="E156" s="80"/>
      <c r="F156" s="34">
        <f t="shared" si="15"/>
        <v>0</v>
      </c>
      <c r="G156" s="47"/>
      <c r="H156" s="69">
        <v>44225</v>
      </c>
      <c r="I156" s="85">
        <v>100000</v>
      </c>
      <c r="J156" s="65" t="s">
        <v>20</v>
      </c>
      <c r="K156" s="92" t="s">
        <v>245</v>
      </c>
      <c r="L156" s="65"/>
      <c r="M156" s="65"/>
      <c r="N156" s="56"/>
      <c r="O156" s="63"/>
      <c r="P156" s="81"/>
      <c r="Q156" s="81"/>
      <c r="R156" s="81"/>
      <c r="S156" s="81"/>
      <c r="T156" s="81"/>
      <c r="U156" s="81"/>
      <c r="V156" s="81"/>
      <c r="W156" s="81"/>
    </row>
    <row r="157" s="3" customFormat="1" ht="18" customHeight="1" spans="1:23">
      <c r="A157" s="74"/>
      <c r="B157" s="25">
        <f t="shared" si="14"/>
        <v>0</v>
      </c>
      <c r="C157" s="75"/>
      <c r="D157" s="50"/>
      <c r="E157" s="80"/>
      <c r="F157" s="34">
        <f t="shared" si="15"/>
        <v>0</v>
      </c>
      <c r="G157" s="47"/>
      <c r="H157" s="69">
        <v>44225</v>
      </c>
      <c r="I157" s="85">
        <v>100000</v>
      </c>
      <c r="J157" s="65" t="s">
        <v>20</v>
      </c>
      <c r="K157" s="92" t="s">
        <v>246</v>
      </c>
      <c r="L157" s="65"/>
      <c r="M157" s="65"/>
      <c r="N157" s="56"/>
      <c r="O157" s="63"/>
      <c r="P157" s="81"/>
      <c r="Q157" s="81"/>
      <c r="R157" s="81"/>
      <c r="S157" s="81"/>
      <c r="T157" s="81"/>
      <c r="U157" s="81"/>
      <c r="V157" s="81"/>
      <c r="W157" s="81"/>
    </row>
    <row r="158" s="3" customFormat="1" ht="18" customHeight="1" spans="1:23">
      <c r="A158" s="74"/>
      <c r="B158" s="25">
        <f t="shared" si="14"/>
        <v>0</v>
      </c>
      <c r="C158" s="75"/>
      <c r="D158" s="50"/>
      <c r="E158" s="80"/>
      <c r="F158" s="34">
        <f t="shared" si="15"/>
        <v>0</v>
      </c>
      <c r="G158" s="47"/>
      <c r="H158" s="69">
        <v>44225</v>
      </c>
      <c r="I158" s="85">
        <v>100000</v>
      </c>
      <c r="J158" s="65" t="s">
        <v>20</v>
      </c>
      <c r="K158" s="92" t="s">
        <v>247</v>
      </c>
      <c r="L158" s="65"/>
      <c r="M158" s="65"/>
      <c r="N158" s="56"/>
      <c r="O158" s="63"/>
      <c r="P158" s="81"/>
      <c r="Q158" s="81"/>
      <c r="R158" s="81"/>
      <c r="S158" s="81"/>
      <c r="T158" s="81"/>
      <c r="U158" s="81"/>
      <c r="V158" s="81"/>
      <c r="W158" s="81"/>
    </row>
    <row r="159" s="3" customFormat="1" ht="18" customHeight="1" spans="1:23">
      <c r="A159" s="74"/>
      <c r="B159" s="25">
        <f t="shared" si="14"/>
        <v>0</v>
      </c>
      <c r="C159" s="75"/>
      <c r="D159" s="50"/>
      <c r="E159" s="80"/>
      <c r="F159" s="34">
        <f t="shared" si="15"/>
        <v>0</v>
      </c>
      <c r="G159" s="47"/>
      <c r="H159" s="69">
        <v>44225</v>
      </c>
      <c r="I159" s="85">
        <v>100000</v>
      </c>
      <c r="J159" s="65" t="s">
        <v>20</v>
      </c>
      <c r="K159" s="92" t="s">
        <v>248</v>
      </c>
      <c r="L159" s="65"/>
      <c r="M159" s="65"/>
      <c r="N159" s="56"/>
      <c r="O159" s="63"/>
      <c r="P159" s="81"/>
      <c r="Q159" s="81"/>
      <c r="R159" s="81"/>
      <c r="S159" s="81"/>
      <c r="T159" s="81"/>
      <c r="U159" s="81"/>
      <c r="V159" s="81"/>
      <c r="W159" s="81"/>
    </row>
    <row r="160" s="3" customFormat="1" ht="18" customHeight="1" spans="1:23">
      <c r="A160" s="74"/>
      <c r="B160" s="25">
        <f t="shared" si="14"/>
        <v>0</v>
      </c>
      <c r="C160" s="75"/>
      <c r="D160" s="50"/>
      <c r="E160" s="80"/>
      <c r="F160" s="34">
        <f t="shared" si="15"/>
        <v>0</v>
      </c>
      <c r="G160" s="47"/>
      <c r="H160" s="69">
        <v>44225</v>
      </c>
      <c r="I160" s="85">
        <v>200000</v>
      </c>
      <c r="J160" s="65" t="s">
        <v>20</v>
      </c>
      <c r="K160" s="92" t="s">
        <v>249</v>
      </c>
      <c r="L160" s="65"/>
      <c r="M160" s="65"/>
      <c r="N160" s="56"/>
      <c r="O160" s="63"/>
      <c r="P160" s="81"/>
      <c r="Q160" s="81"/>
      <c r="R160" s="81"/>
      <c r="S160" s="81"/>
      <c r="T160" s="81"/>
      <c r="U160" s="81"/>
      <c r="V160" s="81"/>
      <c r="W160" s="81"/>
    </row>
    <row r="161" s="3" customFormat="1" ht="18" customHeight="1" spans="1:23">
      <c r="A161" s="74">
        <v>44197</v>
      </c>
      <c r="B161" s="25">
        <f t="shared" si="14"/>
        <v>183486.24</v>
      </c>
      <c r="C161" s="75">
        <v>1</v>
      </c>
      <c r="D161" s="50" t="s">
        <v>36</v>
      </c>
      <c r="E161" s="80">
        <v>0.09</v>
      </c>
      <c r="F161" s="34">
        <f t="shared" si="15"/>
        <v>16513.76</v>
      </c>
      <c r="G161" s="47">
        <v>200000</v>
      </c>
      <c r="H161" s="69">
        <v>44225</v>
      </c>
      <c r="I161" s="85">
        <v>200000</v>
      </c>
      <c r="J161" s="65" t="s">
        <v>20</v>
      </c>
      <c r="K161" s="92" t="s">
        <v>166</v>
      </c>
      <c r="L161" s="65"/>
      <c r="M161" s="65"/>
      <c r="N161" s="56"/>
      <c r="O161" s="63"/>
      <c r="P161" s="81"/>
      <c r="Q161" s="81"/>
      <c r="R161" s="81"/>
      <c r="S161" s="81"/>
      <c r="T161" s="81"/>
      <c r="U161" s="81"/>
      <c r="V161" s="81"/>
      <c r="W161" s="81"/>
    </row>
    <row r="162" s="3" customFormat="1" ht="18" customHeight="1" spans="1:23">
      <c r="A162" s="74">
        <v>44256</v>
      </c>
      <c r="B162" s="25">
        <f t="shared" si="14"/>
        <v>176991.15</v>
      </c>
      <c r="C162" s="75">
        <v>2</v>
      </c>
      <c r="D162" s="50" t="s">
        <v>36</v>
      </c>
      <c r="E162" s="80">
        <v>0.13</v>
      </c>
      <c r="F162" s="89">
        <f t="shared" si="15"/>
        <v>23008.85</v>
      </c>
      <c r="G162" s="47">
        <v>200000</v>
      </c>
      <c r="H162" s="69">
        <v>44235</v>
      </c>
      <c r="I162" s="85">
        <v>200000</v>
      </c>
      <c r="J162" s="65" t="s">
        <v>20</v>
      </c>
      <c r="K162" s="92" t="s">
        <v>250</v>
      </c>
      <c r="L162" s="65"/>
      <c r="M162" s="65"/>
      <c r="N162" s="56"/>
      <c r="O162" s="63"/>
      <c r="P162" s="81"/>
      <c r="Q162" s="81"/>
      <c r="R162" s="81"/>
      <c r="S162" s="81"/>
      <c r="T162" s="81"/>
      <c r="U162" s="81"/>
      <c r="V162" s="81"/>
      <c r="W162" s="81"/>
    </row>
    <row r="163" s="3" customFormat="1" ht="18" customHeight="1" spans="1:23">
      <c r="A163" s="74"/>
      <c r="B163" s="25"/>
      <c r="C163" s="75"/>
      <c r="D163" s="50"/>
      <c r="E163" s="80"/>
      <c r="F163" s="34"/>
      <c r="G163" s="47"/>
      <c r="H163" s="69">
        <v>44235</v>
      </c>
      <c r="I163" s="85">
        <v>1000000</v>
      </c>
      <c r="J163" s="65" t="s">
        <v>20</v>
      </c>
      <c r="K163" s="92" t="s">
        <v>165</v>
      </c>
      <c r="L163" s="65"/>
      <c r="M163" s="65"/>
      <c r="N163" s="56"/>
      <c r="O163" s="63"/>
      <c r="P163" s="81"/>
      <c r="Q163" s="81"/>
      <c r="R163" s="81"/>
      <c r="S163" s="81"/>
      <c r="T163" s="81"/>
      <c r="U163" s="81"/>
      <c r="V163" s="81"/>
      <c r="W163" s="81"/>
    </row>
    <row r="164" s="3" customFormat="1" ht="18" customHeight="1" spans="1:23">
      <c r="A164" s="74"/>
      <c r="B164" s="25"/>
      <c r="C164" s="75"/>
      <c r="D164" s="50"/>
      <c r="E164" s="80"/>
      <c r="F164" s="34"/>
      <c r="G164" s="47"/>
      <c r="H164" s="69">
        <v>44271</v>
      </c>
      <c r="I164" s="85">
        <v>100000</v>
      </c>
      <c r="J164" s="65" t="s">
        <v>20</v>
      </c>
      <c r="K164" s="92" t="s">
        <v>207</v>
      </c>
      <c r="L164" s="65"/>
      <c r="M164" s="65"/>
      <c r="N164" s="56"/>
      <c r="O164" s="63"/>
      <c r="P164" s="81"/>
      <c r="Q164" s="81"/>
      <c r="R164" s="81"/>
      <c r="S164" s="81"/>
      <c r="T164" s="81"/>
      <c r="U164" s="81"/>
      <c r="V164" s="81"/>
      <c r="W164" s="81"/>
    </row>
    <row r="165" s="3" customFormat="1" ht="18" customHeight="1" spans="1:23">
      <c r="A165" s="74"/>
      <c r="B165" s="25"/>
      <c r="C165" s="75"/>
      <c r="D165" s="50"/>
      <c r="E165" s="80"/>
      <c r="F165" s="34"/>
      <c r="G165" s="47"/>
      <c r="H165" s="69">
        <v>44306</v>
      </c>
      <c r="I165" s="85"/>
      <c r="J165" s="65" t="s">
        <v>20</v>
      </c>
      <c r="K165" s="92" t="s">
        <v>251</v>
      </c>
      <c r="L165" s="65" t="s">
        <v>252</v>
      </c>
      <c r="M165" s="65"/>
      <c r="N165" s="56"/>
      <c r="O165" s="63"/>
      <c r="P165" s="81"/>
      <c r="Q165" s="81"/>
      <c r="R165" s="81"/>
      <c r="S165" s="81"/>
      <c r="T165" s="81"/>
      <c r="U165" s="81"/>
      <c r="V165" s="81"/>
      <c r="W165" s="81"/>
    </row>
    <row r="166" s="3" customFormat="1" ht="18" customHeight="1" spans="1:23">
      <c r="A166" s="74"/>
      <c r="B166" s="25"/>
      <c r="C166" s="75"/>
      <c r="D166" s="50"/>
      <c r="E166" s="80"/>
      <c r="F166" s="34"/>
      <c r="G166" s="47"/>
      <c r="H166" s="69">
        <v>44312</v>
      </c>
      <c r="I166" s="85">
        <v>150000</v>
      </c>
      <c r="J166" s="65" t="s">
        <v>20</v>
      </c>
      <c r="K166" s="92" t="s">
        <v>165</v>
      </c>
      <c r="L166" s="65"/>
      <c r="M166" s="65"/>
      <c r="N166" s="56"/>
      <c r="O166" s="63"/>
      <c r="P166" s="81"/>
      <c r="Q166" s="81"/>
      <c r="R166" s="81"/>
      <c r="S166" s="81"/>
      <c r="T166" s="81"/>
      <c r="U166" s="81"/>
      <c r="V166" s="81"/>
      <c r="W166" s="81"/>
    </row>
    <row r="167" s="3" customFormat="1" ht="18" customHeight="1" spans="1:23">
      <c r="A167" s="74"/>
      <c r="B167" s="25"/>
      <c r="C167" s="75"/>
      <c r="D167" s="50"/>
      <c r="E167" s="80"/>
      <c r="F167" s="34"/>
      <c r="G167" s="47"/>
      <c r="H167" s="69">
        <v>44326</v>
      </c>
      <c r="I167" s="85">
        <v>180000</v>
      </c>
      <c r="J167" s="65" t="s">
        <v>20</v>
      </c>
      <c r="K167" s="92" t="s">
        <v>165</v>
      </c>
      <c r="L167" s="65"/>
      <c r="M167" s="65"/>
      <c r="N167" s="56"/>
      <c r="O167" s="63"/>
      <c r="P167" s="81"/>
      <c r="Q167" s="81"/>
      <c r="R167" s="81"/>
      <c r="S167" s="81"/>
      <c r="T167" s="81"/>
      <c r="U167" s="81"/>
      <c r="V167" s="81"/>
      <c r="W167" s="81"/>
    </row>
    <row r="168" s="3" customFormat="1" ht="18" customHeight="1" spans="1:23">
      <c r="A168" s="74"/>
      <c r="B168" s="25"/>
      <c r="C168" s="75"/>
      <c r="D168" s="50"/>
      <c r="E168" s="80"/>
      <c r="F168" s="58"/>
      <c r="G168" s="47"/>
      <c r="H168" s="69">
        <v>44336</v>
      </c>
      <c r="I168" s="85">
        <v>200000</v>
      </c>
      <c r="J168" s="65" t="s">
        <v>20</v>
      </c>
      <c r="K168" s="92" t="s">
        <v>165</v>
      </c>
      <c r="L168" s="65"/>
      <c r="M168" s="65"/>
      <c r="N168" s="56"/>
      <c r="O168" s="63"/>
      <c r="P168" s="81"/>
      <c r="Q168" s="81"/>
      <c r="R168" s="81"/>
      <c r="S168" s="81"/>
      <c r="T168" s="81"/>
      <c r="U168" s="81"/>
      <c r="V168" s="81"/>
      <c r="W168" s="81"/>
    </row>
    <row r="169" s="3" customFormat="1" ht="18" customHeight="1" spans="1:23">
      <c r="A169" s="74"/>
      <c r="B169" s="25"/>
      <c r="C169" s="75"/>
      <c r="D169" s="50"/>
      <c r="E169" s="80"/>
      <c r="F169" s="58"/>
      <c r="G169" s="47"/>
      <c r="H169" s="69">
        <v>44344</v>
      </c>
      <c r="I169" s="85">
        <v>181800</v>
      </c>
      <c r="J169" s="65" t="s">
        <v>20</v>
      </c>
      <c r="K169" s="92" t="s">
        <v>165</v>
      </c>
      <c r="L169" s="65"/>
      <c r="M169" s="65"/>
      <c r="N169" s="56"/>
      <c r="O169" s="63"/>
      <c r="P169" s="81"/>
      <c r="Q169" s="81"/>
      <c r="R169" s="81"/>
      <c r="S169" s="81"/>
      <c r="T169" s="81"/>
      <c r="U169" s="81"/>
      <c r="V169" s="81"/>
      <c r="W169" s="81"/>
    </row>
    <row r="170" s="3" customFormat="1" ht="18" customHeight="1" spans="1:23">
      <c r="A170" s="74"/>
      <c r="B170" s="25"/>
      <c r="C170" s="75"/>
      <c r="D170" s="50"/>
      <c r="E170" s="80"/>
      <c r="F170" s="58"/>
      <c r="G170" s="47"/>
      <c r="H170" s="69"/>
      <c r="I170" s="85"/>
      <c r="J170" s="65"/>
      <c r="K170" s="92"/>
      <c r="L170" s="65"/>
      <c r="M170" s="65"/>
      <c r="N170" s="56"/>
      <c r="O170" s="63"/>
      <c r="P170" s="81"/>
      <c r="Q170" s="81"/>
      <c r="R170" s="81"/>
      <c r="S170" s="81"/>
      <c r="T170" s="81"/>
      <c r="U170" s="81"/>
      <c r="V170" s="81"/>
      <c r="W170" s="81"/>
    </row>
    <row r="171" s="3" customFormat="1" ht="18" customHeight="1" spans="1:23">
      <c r="A171" s="74"/>
      <c r="B171" s="25"/>
      <c r="C171" s="75"/>
      <c r="D171" s="50"/>
      <c r="E171" s="80"/>
      <c r="F171" s="58"/>
      <c r="G171" s="47"/>
      <c r="H171" s="69"/>
      <c r="I171" s="85"/>
      <c r="J171" s="65"/>
      <c r="K171" s="92"/>
      <c r="L171" s="65"/>
      <c r="M171" s="65"/>
      <c r="N171" s="56"/>
      <c r="O171" s="63"/>
      <c r="P171" s="81"/>
      <c r="Q171" s="81"/>
      <c r="R171" s="81"/>
      <c r="S171" s="81"/>
      <c r="T171" s="81"/>
      <c r="U171" s="81"/>
      <c r="V171" s="81"/>
      <c r="W171" s="81"/>
    </row>
    <row r="172" s="3" customFormat="1" ht="18" customHeight="1" spans="1:23">
      <c r="A172" s="74"/>
      <c r="B172" s="25"/>
      <c r="C172" s="75"/>
      <c r="D172" s="50"/>
      <c r="E172" s="80"/>
      <c r="F172" s="58"/>
      <c r="G172" s="47"/>
      <c r="H172" s="69"/>
      <c r="I172" s="85"/>
      <c r="J172" s="65"/>
      <c r="K172" s="92"/>
      <c r="L172" s="65"/>
      <c r="M172" s="65"/>
      <c r="N172" s="56"/>
      <c r="O172" s="63"/>
      <c r="P172" s="81"/>
      <c r="Q172" s="81"/>
      <c r="R172" s="81"/>
      <c r="S172" s="81"/>
      <c r="T172" s="81"/>
      <c r="U172" s="81"/>
      <c r="V172" s="81"/>
      <c r="W172" s="81"/>
    </row>
    <row r="173" s="3" customFormat="1" ht="18" customHeight="1" spans="1:23">
      <c r="A173" s="74"/>
      <c r="B173" s="25"/>
      <c r="C173" s="75"/>
      <c r="D173" s="50"/>
      <c r="E173" s="80"/>
      <c r="F173" s="58"/>
      <c r="G173" s="47"/>
      <c r="H173" s="69"/>
      <c r="I173" s="85"/>
      <c r="J173" s="65"/>
      <c r="K173" s="92"/>
      <c r="L173" s="65"/>
      <c r="M173" s="65"/>
      <c r="N173" s="56"/>
      <c r="O173" s="63"/>
      <c r="P173" s="81"/>
      <c r="Q173" s="81"/>
      <c r="R173" s="81"/>
      <c r="S173" s="81"/>
      <c r="T173" s="81"/>
      <c r="U173" s="81"/>
      <c r="V173" s="81"/>
      <c r="W173" s="81"/>
    </row>
    <row r="174" s="3" customFormat="1" ht="18" customHeight="1" spans="1:23">
      <c r="A174" s="74"/>
      <c r="B174" s="25"/>
      <c r="C174" s="75"/>
      <c r="D174" s="50"/>
      <c r="E174" s="80"/>
      <c r="F174" s="58"/>
      <c r="G174" s="47"/>
      <c r="H174" s="69"/>
      <c r="I174" s="85"/>
      <c r="J174" s="65"/>
      <c r="K174" s="92"/>
      <c r="L174" s="65"/>
      <c r="M174" s="65"/>
      <c r="N174" s="56"/>
      <c r="O174" s="63"/>
      <c r="P174" s="81"/>
      <c r="Q174" s="81"/>
      <c r="R174" s="81"/>
      <c r="S174" s="81"/>
      <c r="T174" s="81"/>
      <c r="U174" s="81"/>
      <c r="V174" s="81"/>
      <c r="W174" s="81"/>
    </row>
    <row r="175" s="3" customFormat="1" ht="18" customHeight="1" spans="1:23">
      <c r="A175" s="74"/>
      <c r="B175" s="25"/>
      <c r="C175" s="75"/>
      <c r="D175" s="50"/>
      <c r="E175" s="80"/>
      <c r="F175" s="58"/>
      <c r="G175" s="47"/>
      <c r="H175" s="69"/>
      <c r="I175" s="85"/>
      <c r="J175" s="65"/>
      <c r="K175" s="92"/>
      <c r="L175" s="65"/>
      <c r="M175" s="65"/>
      <c r="N175" s="56"/>
      <c r="O175" s="63"/>
      <c r="P175" s="81"/>
      <c r="Q175" s="81"/>
      <c r="R175" s="81"/>
      <c r="S175" s="81"/>
      <c r="T175" s="81"/>
      <c r="U175" s="81"/>
      <c r="V175" s="81"/>
      <c r="W175" s="81"/>
    </row>
    <row r="176" s="3" customFormat="1" ht="18" customHeight="1" spans="1:23">
      <c r="A176" s="74"/>
      <c r="B176" s="25"/>
      <c r="C176" s="75"/>
      <c r="D176" s="50"/>
      <c r="E176" s="80"/>
      <c r="F176" s="58"/>
      <c r="G176" s="47"/>
      <c r="H176" s="69"/>
      <c r="I176" s="85"/>
      <c r="J176" s="65"/>
      <c r="K176" s="92"/>
      <c r="L176" s="65"/>
      <c r="M176" s="65"/>
      <c r="N176" s="56"/>
      <c r="O176" s="63"/>
      <c r="P176" s="81"/>
      <c r="Q176" s="81"/>
      <c r="R176" s="81"/>
      <c r="S176" s="81"/>
      <c r="T176" s="81"/>
      <c r="U176" s="81"/>
      <c r="V176" s="81"/>
      <c r="W176" s="81"/>
    </row>
    <row r="177" s="3" customFormat="1" ht="18" customHeight="1" spans="1:23">
      <c r="A177" s="74"/>
      <c r="B177" s="25"/>
      <c r="C177" s="75"/>
      <c r="D177" s="50"/>
      <c r="E177" s="80"/>
      <c r="F177" s="58"/>
      <c r="G177" s="47"/>
      <c r="H177" s="69"/>
      <c r="I177" s="85"/>
      <c r="J177" s="65"/>
      <c r="K177" s="92"/>
      <c r="L177" s="65"/>
      <c r="M177" s="65"/>
      <c r="N177" s="56"/>
      <c r="O177" s="63"/>
      <c r="P177" s="81"/>
      <c r="Q177" s="81"/>
      <c r="R177" s="81"/>
      <c r="S177" s="81"/>
      <c r="T177" s="81"/>
      <c r="U177" s="81"/>
      <c r="V177" s="81"/>
      <c r="W177" s="81"/>
    </row>
    <row r="178" s="3" customFormat="1" ht="18" customHeight="1" spans="1:23">
      <c r="A178" s="74"/>
      <c r="B178" s="25"/>
      <c r="C178" s="75"/>
      <c r="D178" s="50"/>
      <c r="E178" s="80"/>
      <c r="F178" s="58"/>
      <c r="G178" s="47"/>
      <c r="H178" s="69"/>
      <c r="I178" s="85"/>
      <c r="J178" s="65"/>
      <c r="K178" s="92"/>
      <c r="L178" s="65"/>
      <c r="M178" s="65"/>
      <c r="N178" s="56"/>
      <c r="O178" s="63"/>
      <c r="P178" s="81"/>
      <c r="Q178" s="81"/>
      <c r="R178" s="81"/>
      <c r="S178" s="81"/>
      <c r="T178" s="81"/>
      <c r="U178" s="81"/>
      <c r="V178" s="81"/>
      <c r="W178" s="81"/>
    </row>
    <row r="179" s="3" customFormat="1" ht="18" customHeight="1" spans="1:23">
      <c r="A179" s="74"/>
      <c r="B179" s="25"/>
      <c r="C179" s="75"/>
      <c r="D179" s="50"/>
      <c r="E179" s="80"/>
      <c r="F179" s="58"/>
      <c r="G179" s="47"/>
      <c r="H179" s="69"/>
      <c r="I179" s="85"/>
      <c r="J179" s="65"/>
      <c r="K179" s="92"/>
      <c r="L179" s="65"/>
      <c r="M179" s="65"/>
      <c r="N179" s="56"/>
      <c r="O179" s="63"/>
      <c r="P179" s="81"/>
      <c r="Q179" s="81"/>
      <c r="R179" s="81"/>
      <c r="S179" s="81"/>
      <c r="T179" s="81"/>
      <c r="U179" s="81"/>
      <c r="V179" s="81"/>
      <c r="W179" s="81"/>
    </row>
    <row r="180" s="3" customFormat="1" ht="18" customHeight="1" spans="1:23">
      <c r="A180" s="74"/>
      <c r="B180" s="25"/>
      <c r="C180" s="75"/>
      <c r="D180" s="50"/>
      <c r="E180" s="80"/>
      <c r="F180" s="58"/>
      <c r="G180" s="47"/>
      <c r="H180" s="69">
        <v>44358</v>
      </c>
      <c r="I180" s="85">
        <v>13200</v>
      </c>
      <c r="J180" s="65" t="s">
        <v>106</v>
      </c>
      <c r="K180" s="92" t="s">
        <v>253</v>
      </c>
      <c r="L180" s="65"/>
      <c r="M180" s="65"/>
      <c r="N180" s="56"/>
      <c r="O180" s="63"/>
      <c r="P180" s="81"/>
      <c r="Q180" s="81"/>
      <c r="R180" s="81"/>
      <c r="S180" s="81"/>
      <c r="T180" s="81"/>
      <c r="U180" s="81"/>
      <c r="V180" s="81"/>
      <c r="W180" s="81"/>
    </row>
    <row r="181" s="3" customFormat="1" ht="18" customHeight="1" spans="1:23">
      <c r="A181" s="74"/>
      <c r="B181" s="25"/>
      <c r="C181" s="75"/>
      <c r="D181" s="50"/>
      <c r="E181" s="80"/>
      <c r="F181" s="58"/>
      <c r="G181" s="47"/>
      <c r="H181" s="69">
        <v>44358</v>
      </c>
      <c r="I181" s="85">
        <v>16200</v>
      </c>
      <c r="J181" s="65" t="s">
        <v>106</v>
      </c>
      <c r="K181" s="92" t="s">
        <v>254</v>
      </c>
      <c r="L181" s="65"/>
      <c r="M181" s="65"/>
      <c r="N181" s="56"/>
      <c r="O181" s="63"/>
      <c r="P181" s="81"/>
      <c r="Q181" s="81"/>
      <c r="R181" s="81"/>
      <c r="S181" s="81"/>
      <c r="T181" s="81"/>
      <c r="U181" s="81"/>
      <c r="V181" s="81"/>
      <c r="W181" s="81"/>
    </row>
    <row r="182" s="3" customFormat="1" ht="18" customHeight="1" spans="1:23">
      <c r="A182" s="74"/>
      <c r="B182" s="25"/>
      <c r="C182" s="75"/>
      <c r="D182" s="50"/>
      <c r="E182" s="80"/>
      <c r="F182" s="58"/>
      <c r="G182" s="47"/>
      <c r="H182" s="69">
        <v>44357</v>
      </c>
      <c r="I182" s="85">
        <v>650</v>
      </c>
      <c r="J182" s="65" t="s">
        <v>255</v>
      </c>
      <c r="K182" s="93" t="s">
        <v>256</v>
      </c>
      <c r="L182" s="65"/>
      <c r="M182" s="65"/>
      <c r="N182" s="56"/>
      <c r="O182" s="63"/>
      <c r="P182" s="81"/>
      <c r="Q182" s="81"/>
      <c r="R182" s="81"/>
      <c r="S182" s="81"/>
      <c r="T182" s="81"/>
      <c r="U182" s="81"/>
      <c r="V182" s="81"/>
      <c r="W182" s="81"/>
    </row>
    <row r="183" s="3" customFormat="1" ht="18" customHeight="1" spans="1:23">
      <c r="A183" s="74"/>
      <c r="B183" s="25"/>
      <c r="C183" s="75"/>
      <c r="D183" s="50"/>
      <c r="E183" s="80"/>
      <c r="F183" s="58"/>
      <c r="G183" s="47"/>
      <c r="H183" s="69">
        <v>44357</v>
      </c>
      <c r="I183" s="85">
        <v>349</v>
      </c>
      <c r="J183" s="65" t="s">
        <v>255</v>
      </c>
      <c r="K183" s="93" t="s">
        <v>257</v>
      </c>
      <c r="L183" s="65"/>
      <c r="M183" s="65"/>
      <c r="N183" s="56"/>
      <c r="O183" s="63"/>
      <c r="P183" s="81"/>
      <c r="Q183" s="81"/>
      <c r="R183" s="81"/>
      <c r="S183" s="81"/>
      <c r="T183" s="81"/>
      <c r="U183" s="81"/>
      <c r="V183" s="81"/>
      <c r="W183" s="81"/>
    </row>
    <row r="184" s="3" customFormat="1" ht="18" customHeight="1" spans="1:23">
      <c r="A184" s="74"/>
      <c r="B184" s="25"/>
      <c r="C184" s="75"/>
      <c r="D184" s="50"/>
      <c r="E184" s="80"/>
      <c r="F184" s="58"/>
      <c r="G184" s="47"/>
      <c r="H184" s="69">
        <v>44357</v>
      </c>
      <c r="I184" s="85">
        <v>370</v>
      </c>
      <c r="J184" s="65" t="s">
        <v>255</v>
      </c>
      <c r="K184" s="93" t="s">
        <v>258</v>
      </c>
      <c r="L184" s="65"/>
      <c r="M184" s="65"/>
      <c r="N184" s="56"/>
      <c r="O184" s="63"/>
      <c r="P184" s="81"/>
      <c r="Q184" s="81"/>
      <c r="R184" s="81"/>
      <c r="S184" s="81"/>
      <c r="T184" s="81"/>
      <c r="U184" s="81"/>
      <c r="V184" s="81"/>
      <c r="W184" s="81"/>
    </row>
    <row r="185" s="3" customFormat="1" ht="18" customHeight="1" spans="1:23">
      <c r="A185" s="74"/>
      <c r="B185" s="25"/>
      <c r="C185" s="75"/>
      <c r="D185" s="50"/>
      <c r="E185" s="80"/>
      <c r="F185" s="58"/>
      <c r="G185" s="47"/>
      <c r="H185" s="69">
        <v>44357</v>
      </c>
      <c r="I185" s="85">
        <v>2140</v>
      </c>
      <c r="J185" s="65" t="s">
        <v>255</v>
      </c>
      <c r="K185" s="93" t="s">
        <v>259</v>
      </c>
      <c r="L185" s="65"/>
      <c r="M185" s="65"/>
      <c r="N185" s="56"/>
      <c r="O185" s="63"/>
      <c r="P185" s="81"/>
      <c r="Q185" s="81"/>
      <c r="R185" s="81"/>
      <c r="S185" s="81"/>
      <c r="T185" s="81"/>
      <c r="U185" s="81"/>
      <c r="V185" s="81"/>
      <c r="W185" s="81"/>
    </row>
    <row r="186" s="3" customFormat="1" ht="18" customHeight="1" spans="1:23">
      <c r="A186" s="74"/>
      <c r="B186" s="25"/>
      <c r="C186" s="75"/>
      <c r="D186" s="50"/>
      <c r="E186" s="80"/>
      <c r="F186" s="58"/>
      <c r="G186" s="47"/>
      <c r="H186" s="69">
        <v>44357</v>
      </c>
      <c r="I186" s="85">
        <v>4614.8</v>
      </c>
      <c r="J186" s="65" t="s">
        <v>255</v>
      </c>
      <c r="K186" s="93" t="s">
        <v>260</v>
      </c>
      <c r="L186" s="65"/>
      <c r="M186" s="65"/>
      <c r="N186" s="56"/>
      <c r="O186" s="63"/>
      <c r="P186" s="81"/>
      <c r="Q186" s="81"/>
      <c r="R186" s="81"/>
      <c r="S186" s="81"/>
      <c r="T186" s="81"/>
      <c r="U186" s="81"/>
      <c r="V186" s="81"/>
      <c r="W186" s="81"/>
    </row>
    <row r="187" s="3" customFormat="1" ht="18" customHeight="1" spans="1:23">
      <c r="A187" s="74"/>
      <c r="B187" s="25"/>
      <c r="C187" s="75"/>
      <c r="D187" s="50"/>
      <c r="E187" s="80"/>
      <c r="F187" s="58"/>
      <c r="G187" s="47"/>
      <c r="H187" s="69">
        <v>44351</v>
      </c>
      <c r="I187" s="85">
        <v>1118</v>
      </c>
      <c r="J187" s="65" t="s">
        <v>255</v>
      </c>
      <c r="K187" s="93" t="s">
        <v>261</v>
      </c>
      <c r="L187" s="65"/>
      <c r="M187" s="65"/>
      <c r="N187" s="56"/>
      <c r="O187" s="63"/>
      <c r="P187" s="81"/>
      <c r="Q187" s="81"/>
      <c r="R187" s="81"/>
      <c r="S187" s="81"/>
      <c r="T187" s="81"/>
      <c r="U187" s="81"/>
      <c r="V187" s="81"/>
      <c r="W187" s="81"/>
    </row>
    <row r="188" s="3" customFormat="1" ht="18" customHeight="1" spans="1:23">
      <c r="A188" s="74"/>
      <c r="B188" s="25"/>
      <c r="C188" s="75"/>
      <c r="D188" s="50"/>
      <c r="E188" s="80"/>
      <c r="F188" s="58"/>
      <c r="G188" s="47"/>
      <c r="H188" s="69">
        <v>44344</v>
      </c>
      <c r="I188" s="85">
        <v>100</v>
      </c>
      <c r="J188" s="65" t="s">
        <v>106</v>
      </c>
      <c r="K188" s="86" t="s">
        <v>110</v>
      </c>
      <c r="L188" s="65"/>
      <c r="M188" s="65"/>
      <c r="N188" s="56"/>
      <c r="O188" s="63"/>
      <c r="P188" s="81"/>
      <c r="Q188" s="81"/>
      <c r="R188" s="81"/>
      <c r="S188" s="81"/>
      <c r="T188" s="81"/>
      <c r="U188" s="81"/>
      <c r="V188" s="81"/>
      <c r="W188" s="81"/>
    </row>
    <row r="189" s="3" customFormat="1" ht="18" customHeight="1" spans="1:23">
      <c r="A189" s="74"/>
      <c r="B189" s="25"/>
      <c r="C189" s="75"/>
      <c r="D189" s="50"/>
      <c r="E189" s="80"/>
      <c r="F189" s="58"/>
      <c r="G189" s="47"/>
      <c r="H189" s="69">
        <v>44336</v>
      </c>
      <c r="I189" s="85">
        <v>100</v>
      </c>
      <c r="J189" s="65" t="s">
        <v>106</v>
      </c>
      <c r="K189" s="86" t="s">
        <v>110</v>
      </c>
      <c r="L189" s="65"/>
      <c r="M189" s="65"/>
      <c r="N189" s="56"/>
      <c r="O189" s="63"/>
      <c r="P189" s="81"/>
      <c r="Q189" s="81"/>
      <c r="R189" s="81"/>
      <c r="S189" s="81"/>
      <c r="T189" s="81"/>
      <c r="U189" s="81"/>
      <c r="V189" s="81"/>
      <c r="W189" s="81"/>
    </row>
    <row r="190" s="3" customFormat="1" ht="18" customHeight="1" spans="1:23">
      <c r="A190" s="74"/>
      <c r="B190" s="25"/>
      <c r="C190" s="75"/>
      <c r="D190" s="50"/>
      <c r="E190" s="80"/>
      <c r="F190" s="58"/>
      <c r="G190" s="47"/>
      <c r="H190" s="69">
        <v>44326</v>
      </c>
      <c r="I190" s="85">
        <v>100</v>
      </c>
      <c r="J190" s="65" t="s">
        <v>106</v>
      </c>
      <c r="K190" s="86" t="s">
        <v>110</v>
      </c>
      <c r="L190" s="65"/>
      <c r="M190" s="65"/>
      <c r="N190" s="56"/>
      <c r="O190" s="63"/>
      <c r="P190" s="81"/>
      <c r="Q190" s="81"/>
      <c r="R190" s="81"/>
      <c r="S190" s="81"/>
      <c r="T190" s="81"/>
      <c r="U190" s="81"/>
      <c r="V190" s="81"/>
      <c r="W190" s="81"/>
    </row>
    <row r="191" s="3" customFormat="1" ht="18" customHeight="1" spans="1:23">
      <c r="A191" s="74"/>
      <c r="B191" s="71"/>
      <c r="C191" s="75"/>
      <c r="D191" s="50"/>
      <c r="E191" s="88"/>
      <c r="F191" s="34"/>
      <c r="G191" s="73"/>
      <c r="H191" s="69">
        <v>44312</v>
      </c>
      <c r="I191" s="85">
        <v>100</v>
      </c>
      <c r="J191" s="65" t="s">
        <v>106</v>
      </c>
      <c r="K191" s="86" t="s">
        <v>110</v>
      </c>
      <c r="L191" s="65"/>
      <c r="M191" s="65"/>
      <c r="N191" s="56"/>
      <c r="O191" s="63"/>
      <c r="P191" s="81"/>
      <c r="Q191" s="81"/>
      <c r="R191" s="81"/>
      <c r="S191" s="81"/>
      <c r="T191" s="81"/>
      <c r="U191" s="81"/>
      <c r="V191" s="81"/>
      <c r="W191" s="81"/>
    </row>
    <row r="192" s="3" customFormat="1" ht="18" customHeight="1" spans="1:23">
      <c r="A192" s="74"/>
      <c r="B192" s="71"/>
      <c r="C192" s="75"/>
      <c r="D192" s="50"/>
      <c r="E192" s="88"/>
      <c r="F192" s="34"/>
      <c r="G192" s="73"/>
      <c r="H192" s="69">
        <v>44307</v>
      </c>
      <c r="I192" s="85">
        <v>3000</v>
      </c>
      <c r="J192" s="65" t="s">
        <v>255</v>
      </c>
      <c r="K192" s="92" t="s">
        <v>262</v>
      </c>
      <c r="L192" s="65"/>
      <c r="M192" s="65"/>
      <c r="N192" s="56"/>
      <c r="O192" s="63"/>
      <c r="P192" s="81"/>
      <c r="Q192" s="81"/>
      <c r="R192" s="81"/>
      <c r="S192" s="81"/>
      <c r="T192" s="81"/>
      <c r="U192" s="81"/>
      <c r="V192" s="81"/>
      <c r="W192" s="81"/>
    </row>
    <row r="193" s="3" customFormat="1" ht="18" customHeight="1" spans="1:23">
      <c r="A193" s="74"/>
      <c r="B193" s="71"/>
      <c r="C193" s="75"/>
      <c r="D193" s="50"/>
      <c r="E193" s="88"/>
      <c r="F193" s="34"/>
      <c r="G193" s="73"/>
      <c r="H193" s="69">
        <v>44271</v>
      </c>
      <c r="I193" s="85">
        <v>100</v>
      </c>
      <c r="J193" s="65" t="s">
        <v>106</v>
      </c>
      <c r="K193" s="86" t="s">
        <v>110</v>
      </c>
      <c r="L193" s="65"/>
      <c r="M193" s="65"/>
      <c r="N193" s="56"/>
      <c r="O193" s="63"/>
      <c r="P193" s="81"/>
      <c r="Q193" s="81"/>
      <c r="R193" s="81"/>
      <c r="S193" s="81"/>
      <c r="T193" s="81"/>
      <c r="U193" s="81"/>
      <c r="V193" s="81"/>
      <c r="W193" s="81"/>
    </row>
    <row r="194" s="3" customFormat="1" ht="18" customHeight="1" spans="1:23">
      <c r="A194" s="74"/>
      <c r="B194" s="71"/>
      <c r="C194" s="75"/>
      <c r="D194" s="50"/>
      <c r="E194" s="88"/>
      <c r="F194" s="34"/>
      <c r="G194" s="73"/>
      <c r="H194" s="69">
        <v>44271</v>
      </c>
      <c r="I194" s="85">
        <v>2090</v>
      </c>
      <c r="J194" s="65" t="s">
        <v>106</v>
      </c>
      <c r="K194" s="92" t="s">
        <v>263</v>
      </c>
      <c r="L194" s="65"/>
      <c r="M194" s="65"/>
      <c r="N194" s="56"/>
      <c r="O194" s="63"/>
      <c r="P194" s="81"/>
      <c r="Q194" s="81"/>
      <c r="R194" s="81"/>
      <c r="S194" s="81"/>
      <c r="T194" s="81"/>
      <c r="U194" s="81"/>
      <c r="V194" s="81"/>
      <c r="W194" s="81"/>
    </row>
    <row r="195" s="3" customFormat="1" ht="18" customHeight="1" spans="1:23">
      <c r="A195" s="74"/>
      <c r="B195" s="71"/>
      <c r="C195" s="75"/>
      <c r="D195" s="50"/>
      <c r="E195" s="88"/>
      <c r="F195" s="34"/>
      <c r="G195" s="73"/>
      <c r="H195" s="69">
        <v>44235</v>
      </c>
      <c r="I195" s="85">
        <v>200</v>
      </c>
      <c r="J195" s="65" t="s">
        <v>106</v>
      </c>
      <c r="K195" s="86" t="s">
        <v>110</v>
      </c>
      <c r="L195" s="65"/>
      <c r="M195" s="65"/>
      <c r="N195" s="56"/>
      <c r="O195" s="63"/>
      <c r="P195" s="81"/>
      <c r="Q195" s="81"/>
      <c r="R195" s="81"/>
      <c r="S195" s="81"/>
      <c r="T195" s="81"/>
      <c r="U195" s="81"/>
      <c r="V195" s="81"/>
      <c r="W195" s="81"/>
    </row>
    <row r="196" s="3" customFormat="1" ht="18" customHeight="1" spans="1:23">
      <c r="A196" s="74"/>
      <c r="B196" s="71"/>
      <c r="C196" s="75"/>
      <c r="D196" s="50"/>
      <c r="E196" s="88"/>
      <c r="F196" s="34"/>
      <c r="G196" s="73"/>
      <c r="H196" s="69">
        <v>44235</v>
      </c>
      <c r="I196" s="85">
        <v>7650</v>
      </c>
      <c r="J196" s="65" t="s">
        <v>106</v>
      </c>
      <c r="K196" s="92" t="s">
        <v>157</v>
      </c>
      <c r="L196" s="65"/>
      <c r="M196" s="65"/>
      <c r="N196" s="56"/>
      <c r="O196" s="63"/>
      <c r="P196" s="81"/>
      <c r="Q196" s="81"/>
      <c r="R196" s="81"/>
      <c r="S196" s="81"/>
      <c r="T196" s="81"/>
      <c r="U196" s="81"/>
      <c r="V196" s="81"/>
      <c r="W196" s="81"/>
    </row>
    <row r="197" s="3" customFormat="1" ht="18" customHeight="1" spans="1:23">
      <c r="A197" s="74"/>
      <c r="B197" s="71"/>
      <c r="C197" s="75"/>
      <c r="D197" s="50"/>
      <c r="E197" s="88"/>
      <c r="F197" s="34"/>
      <c r="G197" s="73"/>
      <c r="H197" s="69">
        <v>44235</v>
      </c>
      <c r="I197" s="85">
        <v>30600</v>
      </c>
      <c r="J197" s="65" t="s">
        <v>106</v>
      </c>
      <c r="K197" s="86" t="s">
        <v>264</v>
      </c>
      <c r="L197" s="65"/>
      <c r="M197" s="65"/>
      <c r="N197" s="56"/>
      <c r="O197" s="63"/>
      <c r="P197" s="81"/>
      <c r="Q197" s="81"/>
      <c r="R197" s="81"/>
      <c r="S197" s="81"/>
      <c r="T197" s="81"/>
      <c r="U197" s="81"/>
      <c r="V197" s="81"/>
      <c r="W197" s="81"/>
    </row>
    <row r="198" s="3" customFormat="1" ht="18" customHeight="1" spans="1:23">
      <c r="A198" s="74"/>
      <c r="B198" s="71"/>
      <c r="C198" s="75"/>
      <c r="D198" s="50"/>
      <c r="E198" s="88"/>
      <c r="F198" s="34"/>
      <c r="G198" s="73"/>
      <c r="H198" s="69">
        <v>44235</v>
      </c>
      <c r="I198" s="85">
        <v>842</v>
      </c>
      <c r="J198" s="65" t="s">
        <v>106</v>
      </c>
      <c r="K198" s="86" t="s">
        <v>265</v>
      </c>
      <c r="L198" s="65"/>
      <c r="M198" s="65"/>
      <c r="N198" s="56"/>
      <c r="O198" s="63"/>
      <c r="P198" s="81"/>
      <c r="Q198" s="81"/>
      <c r="R198" s="81"/>
      <c r="S198" s="81"/>
      <c r="T198" s="81"/>
      <c r="U198" s="81"/>
      <c r="V198" s="81"/>
      <c r="W198" s="81"/>
    </row>
    <row r="199" s="3" customFormat="1" ht="18" customHeight="1" spans="1:23">
      <c r="A199" s="74"/>
      <c r="B199" s="71"/>
      <c r="C199" s="75"/>
      <c r="D199" s="50"/>
      <c r="E199" s="80"/>
      <c r="F199" s="34"/>
      <c r="G199" s="73"/>
      <c r="H199" s="69">
        <v>44235</v>
      </c>
      <c r="I199" s="85">
        <v>51953</v>
      </c>
      <c r="J199" s="65" t="s">
        <v>106</v>
      </c>
      <c r="K199" s="86" t="s">
        <v>266</v>
      </c>
      <c r="L199" s="65"/>
      <c r="M199" s="65"/>
      <c r="N199" s="56"/>
      <c r="O199" s="63"/>
      <c r="P199" s="81"/>
      <c r="Q199" s="81"/>
      <c r="R199" s="81"/>
      <c r="S199" s="81"/>
      <c r="T199" s="81"/>
      <c r="U199" s="81"/>
      <c r="V199" s="81"/>
      <c r="W199" s="81"/>
    </row>
    <row r="200" s="3" customFormat="1" ht="18" customHeight="1" spans="1:23">
      <c r="A200" s="74"/>
      <c r="B200" s="71"/>
      <c r="C200" s="75"/>
      <c r="D200" s="50"/>
      <c r="E200" s="80"/>
      <c r="F200" s="34"/>
      <c r="G200" s="47"/>
      <c r="H200" s="69">
        <v>44225</v>
      </c>
      <c r="I200" s="65">
        <v>50158.1</v>
      </c>
      <c r="J200" s="65" t="s">
        <v>106</v>
      </c>
      <c r="K200" s="92" t="s">
        <v>267</v>
      </c>
      <c r="L200" s="65"/>
      <c r="M200" s="65"/>
      <c r="N200" s="56"/>
      <c r="O200" s="63"/>
      <c r="P200" s="81"/>
      <c r="Q200" s="81"/>
      <c r="R200" s="81"/>
      <c r="S200" s="81"/>
      <c r="T200" s="81"/>
      <c r="U200" s="81"/>
      <c r="V200" s="81"/>
      <c r="W200" s="81"/>
    </row>
    <row r="201" s="3" customFormat="1" ht="18" customHeight="1" spans="1:23">
      <c r="A201" s="74"/>
      <c r="B201" s="71"/>
      <c r="C201" s="75"/>
      <c r="D201" s="50"/>
      <c r="E201" s="80"/>
      <c r="F201" s="34"/>
      <c r="G201" s="47"/>
      <c r="H201" s="69">
        <v>44225</v>
      </c>
      <c r="I201" s="65">
        <v>43600</v>
      </c>
      <c r="J201" s="65" t="s">
        <v>106</v>
      </c>
      <c r="K201" s="92" t="s">
        <v>268</v>
      </c>
      <c r="L201" s="65"/>
      <c r="O201" s="63"/>
      <c r="P201" s="81"/>
      <c r="Q201" s="81"/>
      <c r="R201" s="81"/>
      <c r="S201" s="81"/>
      <c r="T201" s="81"/>
      <c r="U201" s="81"/>
      <c r="V201" s="81"/>
      <c r="W201" s="81"/>
    </row>
    <row r="202" s="3" customFormat="1" ht="18" customHeight="1" spans="1:23">
      <c r="A202" s="74"/>
      <c r="B202" s="71"/>
      <c r="C202" s="75"/>
      <c r="D202" s="50"/>
      <c r="E202" s="80"/>
      <c r="F202" s="34"/>
      <c r="G202" s="47"/>
      <c r="H202" s="69">
        <v>44225</v>
      </c>
      <c r="I202" s="85">
        <v>800</v>
      </c>
      <c r="J202" s="65" t="s">
        <v>106</v>
      </c>
      <c r="K202" s="86" t="s">
        <v>110</v>
      </c>
      <c r="L202" s="65"/>
      <c r="M202" s="65"/>
      <c r="N202" s="56"/>
      <c r="O202" s="63"/>
      <c r="P202" s="81"/>
      <c r="Q202" s="81"/>
      <c r="R202" s="81"/>
      <c r="S202" s="81"/>
      <c r="T202" s="81"/>
      <c r="U202" s="81"/>
      <c r="V202" s="81"/>
      <c r="W202" s="81"/>
    </row>
    <row r="203" s="3" customFormat="1" ht="18" customHeight="1" spans="1:23">
      <c r="A203" s="74"/>
      <c r="B203" s="71"/>
      <c r="C203" s="75"/>
      <c r="D203" s="50"/>
      <c r="E203" s="80"/>
      <c r="F203" s="34"/>
      <c r="G203" s="47"/>
      <c r="H203" s="69">
        <v>44222</v>
      </c>
      <c r="I203" s="85">
        <v>12950</v>
      </c>
      <c r="J203" s="65" t="s">
        <v>106</v>
      </c>
      <c r="K203" s="92" t="s">
        <v>157</v>
      </c>
      <c r="L203" s="65"/>
      <c r="M203" s="65"/>
      <c r="N203" s="56"/>
      <c r="O203" s="63"/>
      <c r="P203" s="81"/>
      <c r="Q203" s="81"/>
      <c r="R203" s="81"/>
      <c r="S203" s="81"/>
      <c r="T203" s="81"/>
      <c r="U203" s="81"/>
      <c r="V203" s="81"/>
      <c r="W203" s="81"/>
    </row>
    <row r="204" s="3" customFormat="1" ht="18" customHeight="1" spans="1:23">
      <c r="A204" s="74"/>
      <c r="B204" s="25"/>
      <c r="C204" s="75"/>
      <c r="D204" s="50"/>
      <c r="E204" s="77"/>
      <c r="F204" s="58"/>
      <c r="G204" s="78"/>
      <c r="H204" s="69">
        <v>44222</v>
      </c>
      <c r="I204" s="85">
        <v>100</v>
      </c>
      <c r="J204" s="65" t="s">
        <v>106</v>
      </c>
      <c r="K204" s="86" t="s">
        <v>110</v>
      </c>
      <c r="L204" s="65"/>
      <c r="M204" s="91"/>
      <c r="N204" s="63"/>
      <c r="O204" s="63"/>
      <c r="P204" s="81"/>
      <c r="Q204" s="81"/>
      <c r="R204" s="81"/>
      <c r="S204" s="81"/>
      <c r="T204" s="81"/>
      <c r="U204" s="81"/>
      <c r="V204" s="81"/>
      <c r="W204" s="81"/>
    </row>
    <row r="205" s="3" customFormat="1" ht="18" customHeight="1" spans="1:23">
      <c r="A205" s="74"/>
      <c r="B205" s="25"/>
      <c r="C205" s="75"/>
      <c r="D205" s="50"/>
      <c r="E205" s="77"/>
      <c r="F205" s="58"/>
      <c r="G205" s="78"/>
      <c r="H205" s="69">
        <v>44222</v>
      </c>
      <c r="I205" s="85">
        <v>51800</v>
      </c>
      <c r="J205" s="65" t="s">
        <v>106</v>
      </c>
      <c r="K205" s="86" t="s">
        <v>216</v>
      </c>
      <c r="L205" s="65"/>
      <c r="M205" s="91"/>
      <c r="N205" s="63"/>
      <c r="O205" s="63"/>
      <c r="P205" s="81"/>
      <c r="Q205" s="81"/>
      <c r="R205" s="81"/>
      <c r="S205" s="81"/>
      <c r="T205" s="81"/>
      <c r="U205" s="81"/>
      <c r="V205" s="81"/>
      <c r="W205" s="81"/>
    </row>
    <row r="206" s="3" customFormat="1" ht="18" customHeight="1" spans="1:23">
      <c r="A206" s="74"/>
      <c r="B206" s="25"/>
      <c r="C206" s="75"/>
      <c r="D206" s="50"/>
      <c r="E206" s="77"/>
      <c r="F206" s="58"/>
      <c r="G206" s="78"/>
      <c r="H206" s="69">
        <v>44222</v>
      </c>
      <c r="I206" s="85">
        <v>1425.6880733945</v>
      </c>
      <c r="J206" s="65" t="s">
        <v>106</v>
      </c>
      <c r="K206" s="86" t="s">
        <v>217</v>
      </c>
      <c r="L206" s="65"/>
      <c r="M206" s="91"/>
      <c r="N206" s="63"/>
      <c r="O206" s="63"/>
      <c r="P206" s="81"/>
      <c r="Q206" s="81"/>
      <c r="R206" s="81"/>
      <c r="S206" s="81"/>
      <c r="T206" s="81"/>
      <c r="U206" s="81"/>
      <c r="V206" s="81"/>
      <c r="W206" s="81"/>
    </row>
    <row r="207" s="3" customFormat="1" ht="18" customHeight="1" spans="1:23">
      <c r="A207" s="74"/>
      <c r="B207" s="25"/>
      <c r="C207" s="75"/>
      <c r="D207" s="50"/>
      <c r="E207" s="77"/>
      <c r="F207" s="58"/>
      <c r="G207" s="78"/>
      <c r="H207" s="69">
        <v>44222</v>
      </c>
      <c r="I207" s="85">
        <v>163191.65</v>
      </c>
      <c r="J207" s="65" t="s">
        <v>106</v>
      </c>
      <c r="K207" s="86" t="s">
        <v>218</v>
      </c>
      <c r="L207" s="65"/>
      <c r="M207" s="91"/>
      <c r="N207" s="63"/>
      <c r="O207" s="63"/>
      <c r="P207" s="81"/>
      <c r="Q207" s="81"/>
      <c r="R207" s="81"/>
      <c r="S207" s="81"/>
      <c r="T207" s="81"/>
      <c r="U207" s="81"/>
      <c r="V207" s="81"/>
      <c r="W207" s="81"/>
    </row>
    <row r="208" s="3" customFormat="1" ht="18" customHeight="1" spans="1:23">
      <c r="A208" s="74"/>
      <c r="B208" s="25">
        <f t="shared" ref="B208:B224" si="16">ROUND(G208/(1+E208),2)</f>
        <v>0</v>
      </c>
      <c r="C208" s="75"/>
      <c r="D208" s="50"/>
      <c r="E208" s="77"/>
      <c r="F208" s="58">
        <f t="shared" ref="F208:F224" si="17">ROUND(G208/(1+E208)*E208,2)</f>
        <v>0</v>
      </c>
      <c r="G208" s="78"/>
      <c r="H208" s="69">
        <v>44222</v>
      </c>
      <c r="I208" s="85">
        <v>-204415</v>
      </c>
      <c r="J208" s="65" t="s">
        <v>112</v>
      </c>
      <c r="K208" s="86" t="s">
        <v>219</v>
      </c>
      <c r="L208" s="65"/>
      <c r="M208" s="91"/>
      <c r="N208" s="63"/>
      <c r="O208" s="63"/>
      <c r="P208" s="81"/>
      <c r="Q208" s="81"/>
      <c r="R208" s="81"/>
      <c r="S208" s="81"/>
      <c r="T208" s="81"/>
      <c r="U208" s="81"/>
      <c r="V208" s="81"/>
      <c r="W208" s="81"/>
    </row>
    <row r="209" s="3" customFormat="1" ht="18" customHeight="1" spans="1:23">
      <c r="A209" s="74"/>
      <c r="B209" s="25">
        <f t="shared" si="16"/>
        <v>0</v>
      </c>
      <c r="C209" s="75"/>
      <c r="D209" s="50"/>
      <c r="E209" s="77"/>
      <c r="F209" s="58">
        <f t="shared" si="17"/>
        <v>0</v>
      </c>
      <c r="G209" s="78"/>
      <c r="H209" s="69">
        <v>44187</v>
      </c>
      <c r="I209" s="85">
        <v>600</v>
      </c>
      <c r="J209" s="65" t="s">
        <v>106</v>
      </c>
      <c r="K209" s="86" t="s">
        <v>110</v>
      </c>
      <c r="L209" s="65"/>
      <c r="M209" s="91"/>
      <c r="N209" s="63"/>
      <c r="O209" s="63"/>
      <c r="P209" s="81"/>
      <c r="Q209" s="81"/>
      <c r="R209" s="81"/>
      <c r="S209" s="81"/>
      <c r="T209" s="81"/>
      <c r="U209" s="81"/>
      <c r="V209" s="81"/>
      <c r="W209" s="81"/>
    </row>
    <row r="210" s="3" customFormat="1" ht="18" customHeight="1" spans="1:23">
      <c r="A210" s="74"/>
      <c r="B210" s="25">
        <f t="shared" si="16"/>
        <v>0</v>
      </c>
      <c r="C210" s="75"/>
      <c r="D210" s="50"/>
      <c r="E210" s="77"/>
      <c r="F210" s="58">
        <f t="shared" si="17"/>
        <v>0</v>
      </c>
      <c r="G210" s="78"/>
      <c r="H210" s="69" t="s">
        <v>220</v>
      </c>
      <c r="I210" s="85">
        <v>600</v>
      </c>
      <c r="J210" s="65" t="s">
        <v>106</v>
      </c>
      <c r="K210" s="86" t="s">
        <v>110</v>
      </c>
      <c r="L210" s="65"/>
      <c r="M210" s="91"/>
      <c r="N210" s="63"/>
      <c r="O210" s="63"/>
      <c r="P210" s="81"/>
      <c r="Q210" s="81"/>
      <c r="R210" s="81"/>
      <c r="S210" s="81"/>
      <c r="T210" s="81"/>
      <c r="U210" s="81"/>
      <c r="V210" s="81"/>
      <c r="W210" s="81"/>
    </row>
    <row r="211" s="3" customFormat="1" ht="18" customHeight="1" spans="1:23">
      <c r="A211" s="74"/>
      <c r="B211" s="25">
        <f t="shared" si="16"/>
        <v>0</v>
      </c>
      <c r="C211" s="75"/>
      <c r="D211" s="50"/>
      <c r="E211" s="77"/>
      <c r="F211" s="58">
        <f t="shared" si="17"/>
        <v>0</v>
      </c>
      <c r="G211" s="78"/>
      <c r="H211" s="69" t="s">
        <v>195</v>
      </c>
      <c r="I211" s="85">
        <v>200</v>
      </c>
      <c r="J211" s="65" t="s">
        <v>106</v>
      </c>
      <c r="K211" s="86" t="s">
        <v>110</v>
      </c>
      <c r="L211" s="65"/>
      <c r="M211" s="91"/>
      <c r="N211" s="63"/>
      <c r="O211" s="63"/>
      <c r="P211" s="81"/>
      <c r="Q211" s="81"/>
      <c r="R211" s="81"/>
      <c r="S211" s="81"/>
      <c r="T211" s="81"/>
      <c r="U211" s="81"/>
      <c r="V211" s="81"/>
      <c r="W211" s="81"/>
    </row>
    <row r="212" s="3" customFormat="1" ht="18" customHeight="1" spans="1:23">
      <c r="A212" s="74"/>
      <c r="B212" s="25">
        <f t="shared" si="16"/>
        <v>0</v>
      </c>
      <c r="C212" s="75"/>
      <c r="D212" s="50"/>
      <c r="E212" s="77"/>
      <c r="F212" s="58">
        <f t="shared" si="17"/>
        <v>0</v>
      </c>
      <c r="G212" s="78"/>
      <c r="H212" s="69" t="s">
        <v>195</v>
      </c>
      <c r="I212" s="85">
        <v>100</v>
      </c>
      <c r="J212" s="65" t="s">
        <v>106</v>
      </c>
      <c r="K212" s="86" t="s">
        <v>110</v>
      </c>
      <c r="L212" s="65"/>
      <c r="M212" s="91"/>
      <c r="N212" s="63"/>
      <c r="O212" s="63"/>
      <c r="P212" s="81"/>
      <c r="Q212" s="81"/>
      <c r="R212" s="81"/>
      <c r="S212" s="81"/>
      <c r="T212" s="81"/>
      <c r="U212" s="81"/>
      <c r="V212" s="81"/>
      <c r="W212" s="81"/>
    </row>
    <row r="213" s="3" customFormat="1" ht="18" customHeight="1" spans="1:23">
      <c r="A213" s="74"/>
      <c r="B213" s="25">
        <f t="shared" si="16"/>
        <v>0</v>
      </c>
      <c r="C213" s="75"/>
      <c r="D213" s="50"/>
      <c r="E213" s="77"/>
      <c r="F213" s="58">
        <f t="shared" si="17"/>
        <v>0</v>
      </c>
      <c r="G213" s="78"/>
      <c r="H213" s="69" t="s">
        <v>195</v>
      </c>
      <c r="I213" s="85">
        <v>204415</v>
      </c>
      <c r="J213" s="65" t="s">
        <v>106</v>
      </c>
      <c r="K213" s="86" t="s">
        <v>219</v>
      </c>
      <c r="L213" s="65"/>
      <c r="M213" s="91"/>
      <c r="N213" s="63"/>
      <c r="O213" s="63"/>
      <c r="P213" s="81"/>
      <c r="Q213" s="81"/>
      <c r="R213" s="81"/>
      <c r="S213" s="81"/>
      <c r="T213" s="81"/>
      <c r="U213" s="81"/>
      <c r="V213" s="81"/>
      <c r="W213" s="81"/>
    </row>
    <row r="214" s="3" customFormat="1" ht="18" customHeight="1" spans="1:23">
      <c r="A214" s="74"/>
      <c r="B214" s="25">
        <f t="shared" si="16"/>
        <v>0</v>
      </c>
      <c r="C214" s="75"/>
      <c r="D214" s="50"/>
      <c r="E214" s="77"/>
      <c r="F214" s="58">
        <f t="shared" si="17"/>
        <v>0</v>
      </c>
      <c r="G214" s="78"/>
      <c r="H214" s="69" t="s">
        <v>195</v>
      </c>
      <c r="I214" s="85">
        <v>103400</v>
      </c>
      <c r="J214" s="65" t="s">
        <v>106</v>
      </c>
      <c r="K214" s="86" t="s">
        <v>221</v>
      </c>
      <c r="L214" s="65"/>
      <c r="M214" s="91"/>
      <c r="N214" s="63"/>
      <c r="O214" s="63"/>
      <c r="P214" s="81"/>
      <c r="Q214" s="81"/>
      <c r="R214" s="81"/>
      <c r="S214" s="81"/>
      <c r="T214" s="81"/>
      <c r="U214" s="81"/>
      <c r="V214" s="81"/>
      <c r="W214" s="81"/>
    </row>
    <row r="215" s="3" customFormat="1" ht="18" customHeight="1" spans="1:23">
      <c r="A215" s="74"/>
      <c r="B215" s="25">
        <f t="shared" si="16"/>
        <v>0</v>
      </c>
      <c r="C215" s="75"/>
      <c r="D215" s="50"/>
      <c r="E215" s="77"/>
      <c r="F215" s="58">
        <f t="shared" si="17"/>
        <v>0</v>
      </c>
      <c r="G215" s="78"/>
      <c r="H215" s="69" t="s">
        <v>195</v>
      </c>
      <c r="I215" s="85">
        <v>2846</v>
      </c>
      <c r="J215" s="65" t="s">
        <v>106</v>
      </c>
      <c r="K215" s="86" t="s">
        <v>222</v>
      </c>
      <c r="L215" s="65"/>
      <c r="M215" s="91"/>
      <c r="N215" s="63"/>
      <c r="O215" s="63"/>
      <c r="P215" s="81"/>
      <c r="Q215" s="81"/>
      <c r="R215" s="81"/>
      <c r="S215" s="81"/>
      <c r="T215" s="81"/>
      <c r="U215" s="81"/>
      <c r="V215" s="81"/>
      <c r="W215" s="81"/>
    </row>
    <row r="216" s="3" customFormat="1" ht="18" customHeight="1" spans="1:23">
      <c r="A216" s="74"/>
      <c r="B216" s="25">
        <f t="shared" si="16"/>
        <v>25850</v>
      </c>
      <c r="C216" s="75"/>
      <c r="D216" s="50"/>
      <c r="E216" s="77"/>
      <c r="F216" s="58">
        <f t="shared" si="17"/>
        <v>0</v>
      </c>
      <c r="G216" s="78">
        <f>I216</f>
        <v>25850</v>
      </c>
      <c r="H216" s="69" t="s">
        <v>195</v>
      </c>
      <c r="I216" s="85">
        <v>25850</v>
      </c>
      <c r="J216" s="65" t="s">
        <v>106</v>
      </c>
      <c r="K216" s="86" t="s">
        <v>223</v>
      </c>
      <c r="L216" s="65"/>
      <c r="M216" s="91"/>
      <c r="N216" s="63"/>
      <c r="O216" s="63"/>
      <c r="P216" s="81"/>
      <c r="Q216" s="81"/>
      <c r="R216" s="81"/>
      <c r="S216" s="81"/>
      <c r="T216" s="81"/>
      <c r="U216" s="81"/>
      <c r="V216" s="81"/>
      <c r="W216" s="81"/>
    </row>
    <row r="217" s="3" customFormat="1" ht="18" customHeight="1" spans="1:23">
      <c r="A217" s="74"/>
      <c r="B217" s="25">
        <f t="shared" si="16"/>
        <v>0</v>
      </c>
      <c r="C217" s="75"/>
      <c r="D217" s="50"/>
      <c r="E217" s="77"/>
      <c r="F217" s="58">
        <f t="shared" si="17"/>
        <v>0</v>
      </c>
      <c r="G217" s="78"/>
      <c r="H217" s="69">
        <v>44081</v>
      </c>
      <c r="I217" s="85">
        <v>50</v>
      </c>
      <c r="J217" s="65" t="s">
        <v>106</v>
      </c>
      <c r="K217" s="86" t="s">
        <v>110</v>
      </c>
      <c r="L217" s="65"/>
      <c r="M217" s="91"/>
      <c r="N217" s="63"/>
      <c r="O217" s="63"/>
      <c r="P217" s="81"/>
      <c r="Q217" s="81"/>
      <c r="R217" s="81"/>
      <c r="S217" s="81"/>
      <c r="T217" s="81"/>
      <c r="U217" s="81"/>
      <c r="V217" s="81"/>
      <c r="W217" s="81"/>
    </row>
    <row r="218" s="3" customFormat="1" ht="18" customHeight="1" spans="1:23">
      <c r="A218" s="74"/>
      <c r="B218" s="25">
        <f t="shared" si="16"/>
        <v>0</v>
      </c>
      <c r="C218" s="75"/>
      <c r="D218" s="50"/>
      <c r="E218" s="77"/>
      <c r="F218" s="58">
        <f t="shared" si="17"/>
        <v>0</v>
      </c>
      <c r="G218" s="78"/>
      <c r="H218" s="69">
        <v>44060</v>
      </c>
      <c r="I218" s="85">
        <v>350</v>
      </c>
      <c r="J218" s="65" t="s">
        <v>106</v>
      </c>
      <c r="K218" s="86" t="s">
        <v>110</v>
      </c>
      <c r="L218" s="65"/>
      <c r="M218" s="91"/>
      <c r="N218" s="63"/>
      <c r="O218" s="63"/>
      <c r="P218" s="81"/>
      <c r="Q218" s="81"/>
      <c r="R218" s="81"/>
      <c r="S218" s="81"/>
      <c r="T218" s="81"/>
      <c r="U218" s="81"/>
      <c r="V218" s="81"/>
      <c r="W218" s="81"/>
    </row>
    <row r="219" s="3" customFormat="1" ht="18" customHeight="1" spans="1:23">
      <c r="A219" s="74"/>
      <c r="B219" s="25">
        <f t="shared" si="16"/>
        <v>0</v>
      </c>
      <c r="C219" s="75"/>
      <c r="D219" s="50"/>
      <c r="E219" s="77"/>
      <c r="F219" s="58">
        <f t="shared" si="17"/>
        <v>0</v>
      </c>
      <c r="G219" s="78"/>
      <c r="H219" s="69">
        <v>44060</v>
      </c>
      <c r="I219" s="85">
        <v>5480</v>
      </c>
      <c r="J219" s="65" t="s">
        <v>106</v>
      </c>
      <c r="K219" s="94" t="s">
        <v>190</v>
      </c>
      <c r="L219" s="65"/>
      <c r="M219" s="91"/>
      <c r="N219" s="63"/>
      <c r="O219" s="63"/>
      <c r="P219" s="81"/>
      <c r="Q219" s="81"/>
      <c r="R219" s="81"/>
      <c r="S219" s="81"/>
      <c r="T219" s="81"/>
      <c r="U219" s="81"/>
      <c r="V219" s="81"/>
      <c r="W219" s="81"/>
    </row>
    <row r="220" s="3" customFormat="1" ht="18" customHeight="1" spans="1:23">
      <c r="A220" s="74"/>
      <c r="B220" s="25">
        <f t="shared" si="16"/>
        <v>0</v>
      </c>
      <c r="C220" s="75"/>
      <c r="D220" s="50"/>
      <c r="E220" s="77"/>
      <c r="F220" s="58">
        <f t="shared" si="17"/>
        <v>0</v>
      </c>
      <c r="G220" s="78"/>
      <c r="H220" s="69">
        <v>44060</v>
      </c>
      <c r="I220" s="85">
        <v>34400</v>
      </c>
      <c r="J220" s="65" t="s">
        <v>106</v>
      </c>
      <c r="K220" s="64" t="s">
        <v>224</v>
      </c>
      <c r="L220" s="65"/>
      <c r="M220" s="91"/>
      <c r="N220" s="63"/>
      <c r="O220" s="63"/>
      <c r="P220" s="81"/>
      <c r="Q220" s="81"/>
      <c r="R220" s="81"/>
      <c r="S220" s="81"/>
      <c r="T220" s="81"/>
      <c r="U220" s="81"/>
      <c r="V220" s="81"/>
      <c r="W220" s="81"/>
    </row>
    <row r="221" s="3" customFormat="1" ht="18" customHeight="1" spans="1:23">
      <c r="A221" s="74"/>
      <c r="B221" s="25">
        <f t="shared" si="16"/>
        <v>0</v>
      </c>
      <c r="C221" s="75"/>
      <c r="D221" s="50"/>
      <c r="E221" s="77"/>
      <c r="F221" s="58">
        <f t="shared" si="17"/>
        <v>0</v>
      </c>
      <c r="G221" s="78"/>
      <c r="H221" s="69">
        <v>44060</v>
      </c>
      <c r="I221" s="85">
        <v>947</v>
      </c>
      <c r="J221" s="65" t="s">
        <v>106</v>
      </c>
      <c r="K221" s="64" t="s">
        <v>225</v>
      </c>
      <c r="L221" s="65"/>
      <c r="M221" s="91"/>
      <c r="N221" s="63"/>
      <c r="O221" s="63"/>
      <c r="P221" s="81"/>
      <c r="Q221" s="81"/>
      <c r="R221" s="81"/>
      <c r="S221" s="81"/>
      <c r="T221" s="81"/>
      <c r="U221" s="81"/>
      <c r="V221" s="81"/>
      <c r="W221" s="81"/>
    </row>
    <row r="222" s="3" customFormat="1" ht="18" customHeight="1" spans="1:23">
      <c r="A222" s="74"/>
      <c r="B222" s="25">
        <f t="shared" si="16"/>
        <v>1720</v>
      </c>
      <c r="C222" s="75"/>
      <c r="D222" s="50"/>
      <c r="E222" s="77"/>
      <c r="F222" s="58">
        <f t="shared" si="17"/>
        <v>0</v>
      </c>
      <c r="G222" s="78">
        <f>I222</f>
        <v>1720</v>
      </c>
      <c r="H222" s="69">
        <v>44060</v>
      </c>
      <c r="I222" s="85">
        <v>1720</v>
      </c>
      <c r="J222" s="65" t="s">
        <v>106</v>
      </c>
      <c r="K222" s="86" t="s">
        <v>226</v>
      </c>
      <c r="L222" s="65"/>
      <c r="M222" s="65"/>
      <c r="N222" s="63"/>
      <c r="O222" s="63"/>
      <c r="P222" s="81"/>
      <c r="Q222" s="81"/>
      <c r="R222" s="81"/>
      <c r="S222" s="81"/>
      <c r="T222" s="81"/>
      <c r="U222" s="81"/>
      <c r="V222" s="81"/>
      <c r="W222" s="81"/>
    </row>
    <row r="223" s="3" customFormat="1" ht="18" customHeight="1" spans="1:23">
      <c r="A223" s="74"/>
      <c r="B223" s="25">
        <f t="shared" si="16"/>
        <v>6880</v>
      </c>
      <c r="C223" s="75"/>
      <c r="D223" s="50"/>
      <c r="E223" s="77"/>
      <c r="F223" s="58">
        <f t="shared" si="17"/>
        <v>0</v>
      </c>
      <c r="G223" s="78">
        <f>I223</f>
        <v>6880</v>
      </c>
      <c r="H223" s="69">
        <v>44060</v>
      </c>
      <c r="I223" s="85">
        <v>6880</v>
      </c>
      <c r="J223" s="65" t="s">
        <v>106</v>
      </c>
      <c r="K223" s="86" t="s">
        <v>226</v>
      </c>
      <c r="L223" s="65"/>
      <c r="M223" s="65"/>
      <c r="N223" s="63"/>
      <c r="O223" s="63"/>
      <c r="P223" s="81"/>
      <c r="Q223" s="81"/>
      <c r="R223" s="81"/>
      <c r="S223" s="81"/>
      <c r="T223" s="81"/>
      <c r="U223" s="81"/>
      <c r="V223" s="81"/>
      <c r="W223" s="81"/>
    </row>
    <row r="224" s="3" customFormat="1" ht="18" customHeight="1" spans="1:23">
      <c r="A224" s="74"/>
      <c r="B224" s="25">
        <f t="shared" si="16"/>
        <v>0</v>
      </c>
      <c r="C224" s="75"/>
      <c r="D224" s="50"/>
      <c r="E224" s="77"/>
      <c r="F224" s="58">
        <f t="shared" si="17"/>
        <v>0</v>
      </c>
      <c r="G224" s="78"/>
      <c r="H224" s="69">
        <v>44019</v>
      </c>
      <c r="I224" s="85">
        <v>200</v>
      </c>
      <c r="J224" s="65" t="s">
        <v>106</v>
      </c>
      <c r="K224" s="86" t="s">
        <v>110</v>
      </c>
      <c r="L224" s="65"/>
      <c r="M224" s="65"/>
      <c r="N224" s="63"/>
      <c r="O224" s="63"/>
      <c r="P224" s="81"/>
      <c r="Q224" s="81"/>
      <c r="R224" s="81"/>
      <c r="S224" s="81"/>
      <c r="T224" s="81"/>
      <c r="U224" s="81"/>
      <c r="V224" s="81"/>
      <c r="W224" s="81"/>
    </row>
    <row r="225" s="3" customFormat="1" ht="18" customHeight="1" spans="1:23">
      <c r="A225" s="74"/>
      <c r="B225" s="25">
        <f t="shared" ref="B225:B262" si="18">ROUND(G225/(1+E225),2)</f>
        <v>0</v>
      </c>
      <c r="C225" s="75"/>
      <c r="D225" s="50"/>
      <c r="E225" s="77"/>
      <c r="F225" s="58">
        <f t="shared" ref="F225:F262" si="19">ROUND(G225/(1+E225)*E225,2)</f>
        <v>0</v>
      </c>
      <c r="G225" s="78"/>
      <c r="H225" s="69">
        <v>44012</v>
      </c>
      <c r="I225" s="34">
        <v>100</v>
      </c>
      <c r="J225" s="65" t="s">
        <v>106</v>
      </c>
      <c r="K225" s="65" t="s">
        <v>110</v>
      </c>
      <c r="L225" s="65"/>
      <c r="M225" s="65"/>
      <c r="N225" s="63"/>
      <c r="O225" s="63"/>
      <c r="P225" s="81"/>
      <c r="Q225" s="81"/>
      <c r="R225" s="81"/>
      <c r="S225" s="81"/>
      <c r="T225" s="81"/>
      <c r="U225" s="81"/>
      <c r="V225" s="81"/>
      <c r="W225" s="81"/>
    </row>
    <row r="226" s="3" customFormat="1" ht="17.1" customHeight="1" spans="1:23">
      <c r="A226" s="74"/>
      <c r="B226" s="25">
        <f t="shared" si="18"/>
        <v>0</v>
      </c>
      <c r="C226" s="75"/>
      <c r="D226" s="50"/>
      <c r="E226" s="77"/>
      <c r="F226" s="58">
        <f t="shared" si="19"/>
        <v>0</v>
      </c>
      <c r="G226" s="78"/>
      <c r="H226" s="69">
        <v>44005</v>
      </c>
      <c r="I226" s="34">
        <v>100</v>
      </c>
      <c r="J226" s="65" t="s">
        <v>106</v>
      </c>
      <c r="K226" s="65" t="s">
        <v>110</v>
      </c>
      <c r="L226" s="65"/>
      <c r="M226" s="65"/>
      <c r="N226" s="63"/>
      <c r="O226" s="63"/>
      <c r="P226" s="81"/>
      <c r="Q226" s="81"/>
      <c r="R226" s="81"/>
      <c r="S226" s="81"/>
      <c r="T226" s="81"/>
      <c r="U226" s="81"/>
      <c r="V226" s="81"/>
      <c r="W226" s="81"/>
    </row>
    <row r="227" s="3" customFormat="1" ht="17.1" customHeight="1" spans="1:23">
      <c r="A227" s="74"/>
      <c r="B227" s="25">
        <f t="shared" si="18"/>
        <v>0</v>
      </c>
      <c r="C227" s="75"/>
      <c r="D227" s="50"/>
      <c r="E227" s="77"/>
      <c r="F227" s="58">
        <f t="shared" si="19"/>
        <v>0</v>
      </c>
      <c r="G227" s="78"/>
      <c r="H227" s="69">
        <v>44001</v>
      </c>
      <c r="I227" s="65">
        <v>100</v>
      </c>
      <c r="J227" s="65" t="s">
        <v>106</v>
      </c>
      <c r="K227" s="65" t="s">
        <v>110</v>
      </c>
      <c r="L227" s="65"/>
      <c r="M227" s="65"/>
      <c r="N227" s="63"/>
      <c r="O227" s="63"/>
      <c r="P227" s="81"/>
      <c r="Q227" s="81"/>
      <c r="R227" s="81"/>
      <c r="S227" s="81"/>
      <c r="T227" s="81"/>
      <c r="U227" s="81"/>
      <c r="V227" s="81"/>
      <c r="W227" s="81"/>
    </row>
    <row r="228" s="3" customFormat="1" ht="17.1" customHeight="1" spans="1:23">
      <c r="A228" s="74"/>
      <c r="B228" s="25">
        <f t="shared" si="18"/>
        <v>0</v>
      </c>
      <c r="C228" s="75"/>
      <c r="D228" s="50"/>
      <c r="E228" s="77"/>
      <c r="F228" s="58">
        <f t="shared" si="19"/>
        <v>0</v>
      </c>
      <c r="G228" s="78"/>
      <c r="H228" s="69">
        <v>44000</v>
      </c>
      <c r="I228" s="65">
        <v>100</v>
      </c>
      <c r="J228" s="65" t="s">
        <v>106</v>
      </c>
      <c r="K228" s="65" t="s">
        <v>110</v>
      </c>
      <c r="L228" s="65"/>
      <c r="M228" s="65"/>
      <c r="N228" s="63"/>
      <c r="O228" s="63"/>
      <c r="P228" s="81"/>
      <c r="Q228" s="81"/>
      <c r="R228" s="81"/>
      <c r="S228" s="81"/>
      <c r="T228" s="81"/>
      <c r="U228" s="81"/>
      <c r="V228" s="81"/>
      <c r="W228" s="81"/>
    </row>
    <row r="229" s="3" customFormat="1" ht="17.1" customHeight="1" spans="1:23">
      <c r="A229" s="74"/>
      <c r="B229" s="25">
        <f t="shared" si="18"/>
        <v>0</v>
      </c>
      <c r="C229" s="75"/>
      <c r="D229" s="50"/>
      <c r="E229" s="77"/>
      <c r="F229" s="58">
        <f t="shared" si="19"/>
        <v>0</v>
      </c>
      <c r="G229" s="78"/>
      <c r="H229" s="69">
        <v>44000</v>
      </c>
      <c r="I229" s="65">
        <v>300</v>
      </c>
      <c r="J229" s="65" t="s">
        <v>106</v>
      </c>
      <c r="K229" s="64" t="s">
        <v>110</v>
      </c>
      <c r="L229" s="65"/>
      <c r="M229" s="65"/>
      <c r="N229" s="63"/>
      <c r="O229" s="63"/>
      <c r="P229" s="81"/>
      <c r="Q229" s="81"/>
      <c r="R229" s="81"/>
      <c r="S229" s="81"/>
      <c r="T229" s="81"/>
      <c r="U229" s="81"/>
      <c r="V229" s="81"/>
      <c r="W229" s="81"/>
    </row>
    <row r="230" s="3" customFormat="1" ht="17.1" customHeight="1" spans="1:23">
      <c r="A230" s="74"/>
      <c r="B230" s="25">
        <f t="shared" si="18"/>
        <v>0</v>
      </c>
      <c r="C230" s="75"/>
      <c r="D230" s="50"/>
      <c r="E230" s="77"/>
      <c r="F230" s="58">
        <f t="shared" si="19"/>
        <v>0</v>
      </c>
      <c r="G230" s="78"/>
      <c r="H230" s="69">
        <v>43994</v>
      </c>
      <c r="I230" s="92">
        <v>100</v>
      </c>
      <c r="J230" s="65" t="s">
        <v>106</v>
      </c>
      <c r="K230" s="64" t="s">
        <v>110</v>
      </c>
      <c r="L230" s="65"/>
      <c r="M230" s="65"/>
      <c r="N230" s="63"/>
      <c r="O230" s="63"/>
      <c r="P230" s="81"/>
      <c r="Q230" s="81"/>
      <c r="R230" s="81"/>
      <c r="S230" s="81"/>
      <c r="T230" s="81"/>
      <c r="U230" s="81"/>
      <c r="V230" s="81"/>
      <c r="W230" s="81"/>
    </row>
    <row r="231" s="3" customFormat="1" ht="18" customHeight="1" spans="1:23">
      <c r="A231" s="74"/>
      <c r="B231" s="25">
        <f t="shared" si="18"/>
        <v>0</v>
      </c>
      <c r="C231" s="75"/>
      <c r="D231" s="50"/>
      <c r="E231" s="77"/>
      <c r="F231" s="58">
        <f t="shared" si="19"/>
        <v>0</v>
      </c>
      <c r="G231" s="78"/>
      <c r="H231" s="69">
        <v>43994</v>
      </c>
      <c r="I231" s="95">
        <v>72400</v>
      </c>
      <c r="J231" s="65" t="s">
        <v>106</v>
      </c>
      <c r="K231" s="64" t="s">
        <v>227</v>
      </c>
      <c r="L231" s="65"/>
      <c r="M231" s="65"/>
      <c r="N231" s="63"/>
      <c r="O231" s="63"/>
      <c r="P231" s="81"/>
      <c r="Q231" s="81"/>
      <c r="R231" s="81"/>
      <c r="S231" s="81"/>
      <c r="T231" s="81"/>
      <c r="U231" s="81"/>
      <c r="V231" s="81"/>
      <c r="W231" s="81"/>
    </row>
    <row r="232" s="3" customFormat="1" ht="18" customHeight="1" spans="1:23">
      <c r="A232" s="74"/>
      <c r="B232" s="25">
        <f t="shared" si="18"/>
        <v>0</v>
      </c>
      <c r="C232" s="75"/>
      <c r="D232" s="50"/>
      <c r="E232" s="77"/>
      <c r="F232" s="58">
        <f t="shared" si="19"/>
        <v>0</v>
      </c>
      <c r="G232" s="78"/>
      <c r="H232" s="69">
        <v>43994</v>
      </c>
      <c r="I232" s="34">
        <v>1992.66055045872</v>
      </c>
      <c r="J232" s="65" t="s">
        <v>106</v>
      </c>
      <c r="K232" s="64" t="s">
        <v>228</v>
      </c>
      <c r="L232" s="65"/>
      <c r="M232" s="65"/>
      <c r="N232" s="63"/>
      <c r="O232" s="63"/>
      <c r="P232" s="81"/>
      <c r="Q232" s="81"/>
      <c r="R232" s="81"/>
      <c r="S232" s="81"/>
      <c r="T232" s="81"/>
      <c r="U232" s="81"/>
      <c r="V232" s="81"/>
      <c r="W232" s="81"/>
    </row>
    <row r="233" s="3" customFormat="1" ht="18" customHeight="1" spans="1:23">
      <c r="A233" s="74"/>
      <c r="B233" s="25">
        <f t="shared" si="18"/>
        <v>0</v>
      </c>
      <c r="C233" s="75"/>
      <c r="D233" s="50"/>
      <c r="E233" s="77"/>
      <c r="F233" s="58">
        <f t="shared" si="19"/>
        <v>0</v>
      </c>
      <c r="G233" s="78"/>
      <c r="H233" s="69">
        <v>43994</v>
      </c>
      <c r="I233" s="34">
        <v>18100</v>
      </c>
      <c r="J233" s="65" t="s">
        <v>106</v>
      </c>
      <c r="K233" s="64" t="s">
        <v>229</v>
      </c>
      <c r="L233" s="65"/>
      <c r="M233" s="65"/>
      <c r="N233" s="63"/>
      <c r="O233" s="63"/>
      <c r="P233" s="81"/>
      <c r="Q233" s="81"/>
      <c r="R233" s="81"/>
      <c r="S233" s="81"/>
      <c r="T233" s="81"/>
      <c r="U233" s="81"/>
      <c r="V233" s="81"/>
      <c r="W233" s="81"/>
    </row>
    <row r="234" s="3" customFormat="1" ht="18" customHeight="1" spans="1:23">
      <c r="A234" s="74"/>
      <c r="B234" s="25">
        <f t="shared" si="18"/>
        <v>0</v>
      </c>
      <c r="C234" s="75"/>
      <c r="D234" s="50"/>
      <c r="E234" s="77"/>
      <c r="F234" s="58">
        <f t="shared" si="19"/>
        <v>0</v>
      </c>
      <c r="G234" s="78"/>
      <c r="H234" s="69">
        <v>43993</v>
      </c>
      <c r="I234" s="34">
        <v>100</v>
      </c>
      <c r="J234" s="65" t="s">
        <v>106</v>
      </c>
      <c r="K234" s="64" t="s">
        <v>110</v>
      </c>
      <c r="L234" s="65"/>
      <c r="M234" s="65"/>
      <c r="N234" s="63"/>
      <c r="O234" s="63"/>
      <c r="P234" s="81"/>
      <c r="Q234" s="81"/>
      <c r="R234" s="81"/>
      <c r="S234" s="81"/>
      <c r="T234" s="81"/>
      <c r="U234" s="81"/>
      <c r="V234" s="81"/>
      <c r="W234" s="81"/>
    </row>
    <row r="235" s="3" customFormat="1" ht="18" customHeight="1" spans="1:23">
      <c r="A235" s="74"/>
      <c r="B235" s="25">
        <f t="shared" si="18"/>
        <v>0</v>
      </c>
      <c r="C235" s="75"/>
      <c r="D235" s="50"/>
      <c r="E235" s="77"/>
      <c r="F235" s="58">
        <f t="shared" si="19"/>
        <v>0</v>
      </c>
      <c r="G235" s="78"/>
      <c r="H235" s="69">
        <v>43966</v>
      </c>
      <c r="I235" s="34">
        <v>100</v>
      </c>
      <c r="J235" s="65" t="s">
        <v>106</v>
      </c>
      <c r="K235" s="64" t="s">
        <v>110</v>
      </c>
      <c r="L235" s="65"/>
      <c r="M235" s="65"/>
      <c r="N235" s="63"/>
      <c r="O235" s="63"/>
      <c r="P235" s="81"/>
      <c r="Q235" s="81"/>
      <c r="R235" s="81"/>
      <c r="S235" s="81"/>
      <c r="T235" s="81"/>
      <c r="U235" s="81"/>
      <c r="V235" s="81"/>
      <c r="W235" s="81"/>
    </row>
    <row r="236" s="3" customFormat="1" ht="18" customHeight="1" spans="1:23">
      <c r="A236" s="74"/>
      <c r="B236" s="25">
        <f t="shared" si="18"/>
        <v>0</v>
      </c>
      <c r="C236" s="75"/>
      <c r="D236" s="50"/>
      <c r="E236" s="77"/>
      <c r="F236" s="58">
        <f t="shared" si="19"/>
        <v>0</v>
      </c>
      <c r="G236" s="78"/>
      <c r="H236" s="50">
        <v>10.2</v>
      </c>
      <c r="I236" s="34">
        <v>100</v>
      </c>
      <c r="J236" s="65" t="s">
        <v>106</v>
      </c>
      <c r="K236" s="64" t="s">
        <v>110</v>
      </c>
      <c r="L236" s="65"/>
      <c r="M236" s="65"/>
      <c r="N236" s="63"/>
      <c r="O236" s="63"/>
      <c r="P236" s="81"/>
      <c r="Q236" s="81"/>
      <c r="R236" s="81"/>
      <c r="S236" s="81"/>
      <c r="T236" s="81"/>
      <c r="U236" s="81"/>
      <c r="V236" s="81"/>
      <c r="W236" s="81"/>
    </row>
    <row r="237" s="3" customFormat="1" ht="18" customHeight="1" spans="1:23">
      <c r="A237" s="74"/>
      <c r="B237" s="25">
        <f t="shared" si="18"/>
        <v>0</v>
      </c>
      <c r="C237" s="75"/>
      <c r="D237" s="50"/>
      <c r="E237" s="77"/>
      <c r="F237" s="58">
        <f t="shared" si="19"/>
        <v>0</v>
      </c>
      <c r="G237" s="78"/>
      <c r="H237" s="50">
        <v>10.1</v>
      </c>
      <c r="I237" s="34">
        <v>100</v>
      </c>
      <c r="J237" s="65" t="s">
        <v>106</v>
      </c>
      <c r="K237" s="64" t="s">
        <v>110</v>
      </c>
      <c r="L237" s="65"/>
      <c r="M237" s="65"/>
      <c r="N237" s="63"/>
      <c r="O237" s="63"/>
      <c r="P237" s="81"/>
      <c r="Q237" s="81"/>
      <c r="R237" s="81"/>
      <c r="S237" s="81"/>
      <c r="T237" s="81"/>
      <c r="U237" s="81"/>
      <c r="V237" s="81"/>
      <c r="W237" s="81"/>
    </row>
    <row r="238" s="3" customFormat="1" ht="18" customHeight="1" spans="1:23">
      <c r="A238" s="74"/>
      <c r="B238" s="25">
        <f t="shared" si="18"/>
        <v>0</v>
      </c>
      <c r="C238" s="75"/>
      <c r="D238" s="50"/>
      <c r="E238" s="77"/>
      <c r="F238" s="58">
        <f t="shared" si="19"/>
        <v>0</v>
      </c>
      <c r="G238" s="78"/>
      <c r="H238" s="50">
        <v>10.1</v>
      </c>
      <c r="I238" s="34">
        <f>B12*0.0006</f>
        <v>853.211009174312</v>
      </c>
      <c r="J238" s="65" t="s">
        <v>106</v>
      </c>
      <c r="K238" s="64" t="s">
        <v>230</v>
      </c>
      <c r="L238" s="65"/>
      <c r="M238" s="65"/>
      <c r="N238" s="63"/>
      <c r="O238" s="63"/>
      <c r="P238" s="81"/>
      <c r="Q238" s="81"/>
      <c r="R238" s="81"/>
      <c r="S238" s="81"/>
      <c r="T238" s="81"/>
      <c r="U238" s="81"/>
      <c r="V238" s="81"/>
      <c r="W238" s="81"/>
    </row>
    <row r="239" s="3" customFormat="1" ht="18" customHeight="1" spans="1:23">
      <c r="A239" s="74"/>
      <c r="B239" s="25">
        <f t="shared" si="18"/>
        <v>0</v>
      </c>
      <c r="C239" s="75"/>
      <c r="D239" s="50"/>
      <c r="E239" s="77"/>
      <c r="F239" s="58">
        <f t="shared" si="19"/>
        <v>0</v>
      </c>
      <c r="G239" s="78"/>
      <c r="H239" s="50">
        <v>10.1</v>
      </c>
      <c r="I239" s="34">
        <f>B12*0.02</f>
        <v>28440.3669724771</v>
      </c>
      <c r="J239" s="65" t="s">
        <v>106</v>
      </c>
      <c r="K239" s="64" t="s">
        <v>231</v>
      </c>
      <c r="L239" s="65"/>
      <c r="M239" s="65"/>
      <c r="N239" s="63"/>
      <c r="O239" s="63"/>
      <c r="P239" s="81"/>
      <c r="Q239" s="81"/>
      <c r="R239" s="81"/>
      <c r="S239" s="81"/>
      <c r="T239" s="81"/>
      <c r="U239" s="81"/>
      <c r="V239" s="81"/>
      <c r="W239" s="81"/>
    </row>
    <row r="240" s="3" customFormat="1" ht="18" customHeight="1" spans="1:23">
      <c r="A240" s="74"/>
      <c r="B240" s="25">
        <f t="shared" si="18"/>
        <v>0</v>
      </c>
      <c r="C240" s="75"/>
      <c r="D240" s="50"/>
      <c r="E240" s="77"/>
      <c r="F240" s="58">
        <f t="shared" si="19"/>
        <v>0</v>
      </c>
      <c r="G240" s="78"/>
      <c r="H240" s="50">
        <v>10.1</v>
      </c>
      <c r="I240" s="34">
        <f>G12*0.005</f>
        <v>7750</v>
      </c>
      <c r="J240" s="65" t="s">
        <v>106</v>
      </c>
      <c r="K240" s="64" t="s">
        <v>232</v>
      </c>
      <c r="L240" s="65"/>
      <c r="M240" s="65"/>
      <c r="N240" s="63"/>
      <c r="O240" s="63"/>
      <c r="P240" s="81"/>
      <c r="Q240" s="81"/>
      <c r="R240" s="81"/>
      <c r="S240" s="81"/>
      <c r="T240" s="81"/>
      <c r="U240" s="81"/>
      <c r="V240" s="81"/>
      <c r="W240" s="81"/>
    </row>
    <row r="241" s="3" customFormat="1" ht="18" customHeight="1" spans="1:23">
      <c r="A241" s="74"/>
      <c r="B241" s="25">
        <f t="shared" si="18"/>
        <v>0</v>
      </c>
      <c r="C241" s="75"/>
      <c r="D241" s="50"/>
      <c r="E241" s="77"/>
      <c r="F241" s="58">
        <f t="shared" si="19"/>
        <v>0</v>
      </c>
      <c r="G241" s="78"/>
      <c r="H241" s="69" t="s">
        <v>109</v>
      </c>
      <c r="I241" s="34">
        <v>200</v>
      </c>
      <c r="J241" s="65" t="s">
        <v>106</v>
      </c>
      <c r="K241" s="64" t="s">
        <v>110</v>
      </c>
      <c r="L241" s="65"/>
      <c r="M241" s="65"/>
      <c r="N241" s="63"/>
      <c r="O241" s="63"/>
      <c r="P241" s="81"/>
      <c r="Q241" s="81"/>
      <c r="R241" s="81"/>
      <c r="S241" s="81"/>
      <c r="T241" s="81"/>
      <c r="U241" s="81"/>
      <c r="V241" s="81"/>
      <c r="W241" s="81"/>
    </row>
    <row r="242" s="3" customFormat="1" ht="18" customHeight="1" spans="1:23">
      <c r="A242" s="74"/>
      <c r="B242" s="25">
        <f t="shared" si="18"/>
        <v>0</v>
      </c>
      <c r="C242" s="75"/>
      <c r="D242" s="50"/>
      <c r="E242" s="77"/>
      <c r="F242" s="58">
        <f t="shared" si="19"/>
        <v>0</v>
      </c>
      <c r="G242" s="78"/>
      <c r="H242" s="69" t="s">
        <v>111</v>
      </c>
      <c r="I242" s="34">
        <v>-285325</v>
      </c>
      <c r="J242" s="65" t="s">
        <v>112</v>
      </c>
      <c r="K242" s="64" t="s">
        <v>158</v>
      </c>
      <c r="L242" s="65"/>
      <c r="M242" s="65"/>
      <c r="N242" s="63"/>
      <c r="O242" s="63"/>
      <c r="P242" s="81"/>
      <c r="Q242" s="81"/>
      <c r="R242" s="81"/>
      <c r="S242" s="81"/>
      <c r="T242" s="81"/>
      <c r="U242" s="81"/>
      <c r="V242" s="81"/>
      <c r="W242" s="81"/>
    </row>
    <row r="243" s="3" customFormat="1" ht="18" customHeight="1" spans="1:23">
      <c r="A243" s="74"/>
      <c r="B243" s="25">
        <f t="shared" si="18"/>
        <v>0</v>
      </c>
      <c r="C243" s="75"/>
      <c r="D243" s="76"/>
      <c r="E243" s="77"/>
      <c r="F243" s="58">
        <f t="shared" si="19"/>
        <v>0</v>
      </c>
      <c r="G243" s="78"/>
      <c r="H243" s="69" t="s">
        <v>111</v>
      </c>
      <c r="I243" s="34">
        <v>200</v>
      </c>
      <c r="J243" s="65" t="s">
        <v>106</v>
      </c>
      <c r="K243" s="64" t="s">
        <v>110</v>
      </c>
      <c r="L243" s="65"/>
      <c r="M243" s="65"/>
      <c r="N243" s="63"/>
      <c r="O243" s="63"/>
      <c r="P243" s="81"/>
      <c r="Q243" s="81"/>
      <c r="R243" s="81"/>
      <c r="S243" s="81"/>
      <c r="T243" s="81"/>
      <c r="U243" s="81"/>
      <c r="V243" s="81"/>
      <c r="W243" s="81"/>
    </row>
    <row r="244" s="3" customFormat="1" ht="18" customHeight="1" spans="1:23">
      <c r="A244" s="74"/>
      <c r="B244" s="25">
        <f t="shared" si="18"/>
        <v>0</v>
      </c>
      <c r="C244" s="75"/>
      <c r="D244" s="76"/>
      <c r="E244" s="77"/>
      <c r="F244" s="58">
        <f t="shared" si="19"/>
        <v>0</v>
      </c>
      <c r="G244" s="78"/>
      <c r="H244" s="69" t="s">
        <v>113</v>
      </c>
      <c r="I244" s="34">
        <v>300</v>
      </c>
      <c r="J244" s="65" t="s">
        <v>106</v>
      </c>
      <c r="K244" s="64" t="s">
        <v>110</v>
      </c>
      <c r="L244" s="65"/>
      <c r="M244" s="65"/>
      <c r="N244" s="63"/>
      <c r="O244" s="63"/>
      <c r="P244" s="81"/>
      <c r="Q244" s="81"/>
      <c r="R244" s="81"/>
      <c r="S244" s="81"/>
      <c r="T244" s="81"/>
      <c r="U244" s="81"/>
      <c r="V244" s="81"/>
      <c r="W244" s="81"/>
    </row>
    <row r="245" s="3" customFormat="1" ht="18" customHeight="1" spans="1:23">
      <c r="A245" s="74"/>
      <c r="B245" s="25">
        <f t="shared" si="18"/>
        <v>0</v>
      </c>
      <c r="C245" s="75"/>
      <c r="D245" s="76"/>
      <c r="E245" s="77"/>
      <c r="F245" s="58">
        <f t="shared" si="19"/>
        <v>0</v>
      </c>
      <c r="G245" s="78"/>
      <c r="H245" s="69" t="s">
        <v>114</v>
      </c>
      <c r="I245" s="34">
        <v>9600</v>
      </c>
      <c r="J245" s="65" t="s">
        <v>106</v>
      </c>
      <c r="K245" s="64" t="s">
        <v>115</v>
      </c>
      <c r="L245" s="65"/>
      <c r="M245" s="65"/>
      <c r="N245" s="63"/>
      <c r="O245" s="63"/>
      <c r="P245" s="81"/>
      <c r="Q245" s="81"/>
      <c r="R245" s="81"/>
      <c r="S245" s="81"/>
      <c r="T245" s="81"/>
      <c r="U245" s="81"/>
      <c r="V245" s="81"/>
      <c r="W245" s="81"/>
    </row>
    <row r="246" s="3" customFormat="1" ht="18" customHeight="1" spans="1:23">
      <c r="A246" s="74"/>
      <c r="B246" s="25">
        <f t="shared" si="18"/>
        <v>0</v>
      </c>
      <c r="C246" s="75"/>
      <c r="D246" s="76"/>
      <c r="E246" s="77"/>
      <c r="F246" s="58">
        <f t="shared" si="19"/>
        <v>0</v>
      </c>
      <c r="G246" s="78"/>
      <c r="H246" s="69" t="s">
        <v>114</v>
      </c>
      <c r="I246" s="34">
        <v>200</v>
      </c>
      <c r="J246" s="65" t="s">
        <v>106</v>
      </c>
      <c r="K246" s="64" t="s">
        <v>110</v>
      </c>
      <c r="L246" s="65"/>
      <c r="M246" s="65"/>
      <c r="N246" s="63"/>
      <c r="O246" s="63"/>
      <c r="P246" s="81"/>
      <c r="Q246" s="81"/>
      <c r="R246" s="81"/>
      <c r="S246" s="81"/>
      <c r="T246" s="81"/>
      <c r="U246" s="81"/>
      <c r="V246" s="81"/>
      <c r="W246" s="81"/>
    </row>
    <row r="247" s="3" customFormat="1" ht="18" customHeight="1" spans="1:23">
      <c r="A247" s="74"/>
      <c r="B247" s="25">
        <f t="shared" si="18"/>
        <v>0</v>
      </c>
      <c r="C247" s="75"/>
      <c r="D247" s="76"/>
      <c r="E247" s="77"/>
      <c r="F247" s="58">
        <f t="shared" si="19"/>
        <v>0</v>
      </c>
      <c r="G247" s="78"/>
      <c r="H247" s="69" t="s">
        <v>114</v>
      </c>
      <c r="I247" s="34">
        <v>-903045</v>
      </c>
      <c r="J247" s="65" t="s">
        <v>112</v>
      </c>
      <c r="K247" s="64" t="s">
        <v>116</v>
      </c>
      <c r="L247" s="65"/>
      <c r="M247" s="65"/>
      <c r="N247" s="63"/>
      <c r="O247" s="63"/>
      <c r="P247" s="81"/>
      <c r="Q247" s="81"/>
      <c r="R247" s="81"/>
      <c r="S247" s="81"/>
      <c r="T247" s="81"/>
      <c r="U247" s="81"/>
      <c r="V247" s="81"/>
      <c r="W247" s="81"/>
    </row>
    <row r="248" s="3" customFormat="1" ht="18" customHeight="1" spans="1:23">
      <c r="A248" s="74"/>
      <c r="B248" s="25">
        <f t="shared" si="18"/>
        <v>0</v>
      </c>
      <c r="C248" s="75"/>
      <c r="D248" s="76"/>
      <c r="E248" s="77"/>
      <c r="F248" s="58">
        <f t="shared" si="19"/>
        <v>0</v>
      </c>
      <c r="G248" s="78"/>
      <c r="H248" s="69" t="s">
        <v>117</v>
      </c>
      <c r="I248" s="34">
        <v>232932.79</v>
      </c>
      <c r="J248" s="65" t="s">
        <v>106</v>
      </c>
      <c r="K248" s="64" t="s">
        <v>118</v>
      </c>
      <c r="L248" s="65"/>
      <c r="M248" s="65"/>
      <c r="N248" s="63"/>
      <c r="O248" s="63"/>
      <c r="P248" s="81"/>
      <c r="Q248" s="81"/>
      <c r="R248" s="81"/>
      <c r="S248" s="81"/>
      <c r="T248" s="81"/>
      <c r="U248" s="81"/>
      <c r="V248" s="81"/>
      <c r="W248" s="81"/>
    </row>
    <row r="249" s="3" customFormat="1" ht="18" customHeight="1" spans="1:23">
      <c r="A249" s="74"/>
      <c r="B249" s="25">
        <f t="shared" si="18"/>
        <v>0</v>
      </c>
      <c r="C249" s="75"/>
      <c r="D249" s="76"/>
      <c r="E249" s="77"/>
      <c r="F249" s="58">
        <f t="shared" si="19"/>
        <v>0</v>
      </c>
      <c r="G249" s="78"/>
      <c r="H249" s="69" t="s">
        <v>117</v>
      </c>
      <c r="I249" s="34"/>
      <c r="J249" s="65" t="s">
        <v>106</v>
      </c>
      <c r="K249" s="64"/>
      <c r="L249" s="65"/>
      <c r="M249" s="65"/>
      <c r="N249" s="63"/>
      <c r="O249" s="63"/>
      <c r="P249" s="81"/>
      <c r="Q249" s="81"/>
      <c r="R249" s="81"/>
      <c r="S249" s="81"/>
      <c r="T249" s="81"/>
      <c r="U249" s="81"/>
      <c r="V249" s="81"/>
      <c r="W249" s="81"/>
    </row>
    <row r="250" s="3" customFormat="1" ht="18" customHeight="1" spans="1:23">
      <c r="A250" s="74"/>
      <c r="B250" s="25">
        <f t="shared" si="18"/>
        <v>0</v>
      </c>
      <c r="C250" s="75"/>
      <c r="D250" s="76"/>
      <c r="E250" s="77"/>
      <c r="F250" s="58">
        <f t="shared" si="19"/>
        <v>0</v>
      </c>
      <c r="G250" s="78"/>
      <c r="H250" s="69" t="s">
        <v>117</v>
      </c>
      <c r="I250" s="34">
        <v>903045</v>
      </c>
      <c r="J250" s="65" t="s">
        <v>120</v>
      </c>
      <c r="K250" s="64" t="s">
        <v>121</v>
      </c>
      <c r="L250" s="65"/>
      <c r="M250" s="65"/>
      <c r="N250" s="63"/>
      <c r="O250" s="63"/>
      <c r="P250" s="81"/>
      <c r="Q250" s="81"/>
      <c r="R250" s="81"/>
      <c r="S250" s="81"/>
      <c r="T250" s="81"/>
      <c r="U250" s="81"/>
      <c r="V250" s="81"/>
      <c r="W250" s="81"/>
    </row>
    <row r="251" s="3" customFormat="1" ht="18" customHeight="1" spans="1:23">
      <c r="A251" s="74"/>
      <c r="B251" s="25">
        <f t="shared" si="18"/>
        <v>0</v>
      </c>
      <c r="C251" s="75"/>
      <c r="D251" s="76"/>
      <c r="E251" s="77"/>
      <c r="F251" s="58">
        <f t="shared" si="19"/>
        <v>0</v>
      </c>
      <c r="G251" s="78"/>
      <c r="H251" s="69" t="s">
        <v>117</v>
      </c>
      <c r="I251" s="34">
        <v>485252</v>
      </c>
      <c r="J251" s="65" t="s">
        <v>106</v>
      </c>
      <c r="K251" s="64" t="s">
        <v>122</v>
      </c>
      <c r="L251" s="65"/>
      <c r="M251" s="65"/>
      <c r="N251" s="63"/>
      <c r="O251" s="63"/>
      <c r="P251" s="81"/>
      <c r="Q251" s="81"/>
      <c r="R251" s="81"/>
      <c r="S251" s="81"/>
      <c r="T251" s="81"/>
      <c r="U251" s="81"/>
      <c r="V251" s="81"/>
      <c r="W251" s="81"/>
    </row>
    <row r="252" s="3" customFormat="1" ht="18" customHeight="1" spans="1:23">
      <c r="A252" s="74"/>
      <c r="B252" s="25">
        <f t="shared" si="18"/>
        <v>0</v>
      </c>
      <c r="C252" s="75"/>
      <c r="D252" s="76"/>
      <c r="E252" s="77"/>
      <c r="F252" s="58">
        <f t="shared" si="19"/>
        <v>0</v>
      </c>
      <c r="G252" s="78"/>
      <c r="H252" s="69" t="s">
        <v>117</v>
      </c>
      <c r="I252" s="34">
        <v>4789</v>
      </c>
      <c r="J252" s="65" t="s">
        <v>106</v>
      </c>
      <c r="K252" s="64" t="s">
        <v>233</v>
      </c>
      <c r="L252" s="65"/>
      <c r="M252" s="65"/>
      <c r="N252" s="63"/>
      <c r="O252" s="63"/>
      <c r="P252" s="81"/>
      <c r="Q252" s="81"/>
      <c r="R252" s="81"/>
      <c r="S252" s="81"/>
      <c r="T252" s="81"/>
      <c r="U252" s="81"/>
      <c r="V252" s="81"/>
      <c r="W252" s="81"/>
    </row>
    <row r="253" s="3" customFormat="1" ht="18" customHeight="1" spans="1:23">
      <c r="A253" s="74"/>
      <c r="B253" s="25">
        <f t="shared" si="18"/>
        <v>0</v>
      </c>
      <c r="C253" s="75"/>
      <c r="D253" s="76"/>
      <c r="E253" s="77"/>
      <c r="F253" s="58">
        <f t="shared" si="19"/>
        <v>0</v>
      </c>
      <c r="G253" s="78"/>
      <c r="H253" s="69" t="s">
        <v>117</v>
      </c>
      <c r="I253" s="34">
        <v>429349</v>
      </c>
      <c r="J253" s="65" t="s">
        <v>106</v>
      </c>
      <c r="K253" s="64" t="s">
        <v>234</v>
      </c>
      <c r="L253" s="65"/>
      <c r="M253" s="65"/>
      <c r="N253" s="63"/>
      <c r="O253" s="63"/>
      <c r="P253" s="81"/>
      <c r="Q253" s="81"/>
      <c r="R253" s="81"/>
      <c r="S253" s="81"/>
      <c r="T253" s="81"/>
      <c r="U253" s="81"/>
      <c r="V253" s="81"/>
      <c r="W253" s="81"/>
    </row>
    <row r="254" s="3" customFormat="1" ht="18" customHeight="1" spans="1:23">
      <c r="A254" s="74"/>
      <c r="B254" s="25">
        <f t="shared" si="18"/>
        <v>0</v>
      </c>
      <c r="C254" s="75"/>
      <c r="D254" s="76"/>
      <c r="E254" s="77"/>
      <c r="F254" s="58">
        <f t="shared" si="19"/>
        <v>0</v>
      </c>
      <c r="G254" s="78"/>
      <c r="H254" s="69" t="s">
        <v>117</v>
      </c>
      <c r="I254" s="34">
        <v>87000</v>
      </c>
      <c r="J254" s="65" t="s">
        <v>125</v>
      </c>
      <c r="K254" s="64" t="s">
        <v>126</v>
      </c>
      <c r="L254" s="65"/>
      <c r="M254" s="65"/>
      <c r="N254" s="63"/>
      <c r="O254" s="63"/>
      <c r="P254" s="81"/>
      <c r="Q254" s="81"/>
      <c r="R254" s="81"/>
      <c r="S254" s="81"/>
      <c r="T254" s="81"/>
      <c r="U254" s="81"/>
      <c r="V254" s="81"/>
      <c r="W254" s="81"/>
    </row>
    <row r="255" s="2" customFormat="1" ht="18" customHeight="1" spans="1:23">
      <c r="A255" s="48"/>
      <c r="B255" s="25">
        <f t="shared" si="18"/>
        <v>0</v>
      </c>
      <c r="C255" s="49"/>
      <c r="D255" s="50"/>
      <c r="E255" s="70"/>
      <c r="F255" s="58">
        <f t="shared" si="19"/>
        <v>0</v>
      </c>
      <c r="G255" s="47"/>
      <c r="H255" s="69" t="s">
        <v>117</v>
      </c>
      <c r="I255" s="34">
        <v>200</v>
      </c>
      <c r="J255" s="65" t="s">
        <v>106</v>
      </c>
      <c r="K255" s="64" t="s">
        <v>110</v>
      </c>
      <c r="L255" s="65"/>
      <c r="M255" s="65"/>
      <c r="N255" s="65"/>
      <c r="O255" s="65"/>
      <c r="P255" s="66"/>
      <c r="Q255" s="66"/>
      <c r="R255" s="66"/>
      <c r="S255" s="66"/>
      <c r="T255" s="66"/>
      <c r="U255" s="66"/>
      <c r="V255" s="66"/>
      <c r="W255" s="66"/>
    </row>
    <row r="256" s="2" customFormat="1" ht="18" customHeight="1" spans="1:23">
      <c r="A256" s="48"/>
      <c r="B256" s="25">
        <f t="shared" si="18"/>
        <v>0</v>
      </c>
      <c r="C256" s="49"/>
      <c r="D256" s="50"/>
      <c r="E256" s="70"/>
      <c r="F256" s="58">
        <f t="shared" si="19"/>
        <v>0</v>
      </c>
      <c r="G256" s="47"/>
      <c r="H256" s="69" t="s">
        <v>127</v>
      </c>
      <c r="I256" s="34">
        <v>-93700</v>
      </c>
      <c r="J256" s="65" t="s">
        <v>125</v>
      </c>
      <c r="K256" s="64" t="s">
        <v>126</v>
      </c>
      <c r="L256" s="65"/>
      <c r="M256" s="65"/>
      <c r="N256" s="65"/>
      <c r="O256" s="65"/>
      <c r="P256" s="66"/>
      <c r="Q256" s="66"/>
      <c r="R256" s="66"/>
      <c r="S256" s="66"/>
      <c r="T256" s="66"/>
      <c r="U256" s="66"/>
      <c r="V256" s="66"/>
      <c r="W256" s="66"/>
    </row>
    <row r="257" s="2" customFormat="1" ht="18" customHeight="1" spans="1:23">
      <c r="A257" s="48"/>
      <c r="B257" s="25">
        <f t="shared" si="18"/>
        <v>0</v>
      </c>
      <c r="C257" s="49"/>
      <c r="D257" s="50"/>
      <c r="E257" s="70"/>
      <c r="F257" s="58">
        <f t="shared" si="19"/>
        <v>0</v>
      </c>
      <c r="G257" s="47"/>
      <c r="H257" s="69" t="s">
        <v>127</v>
      </c>
      <c r="I257" s="34">
        <v>50</v>
      </c>
      <c r="J257" s="65" t="s">
        <v>106</v>
      </c>
      <c r="K257" s="64" t="s">
        <v>110</v>
      </c>
      <c r="L257" s="65"/>
      <c r="M257" s="65"/>
      <c r="N257" s="65"/>
      <c r="O257" s="65"/>
      <c r="P257" s="66"/>
      <c r="Q257" s="66"/>
      <c r="R257" s="66"/>
      <c r="S257" s="66"/>
      <c r="T257" s="66"/>
      <c r="U257" s="66"/>
      <c r="V257" s="66"/>
      <c r="W257" s="66"/>
    </row>
    <row r="258" s="2" customFormat="1" ht="18" customHeight="1" spans="1:23">
      <c r="A258" s="48"/>
      <c r="B258" s="25">
        <f t="shared" si="18"/>
        <v>0</v>
      </c>
      <c r="C258" s="49"/>
      <c r="D258" s="50"/>
      <c r="E258" s="70"/>
      <c r="F258" s="58">
        <f t="shared" si="19"/>
        <v>0</v>
      </c>
      <c r="G258" s="47"/>
      <c r="H258" s="69" t="s">
        <v>127</v>
      </c>
      <c r="I258" s="34">
        <v>-21725</v>
      </c>
      <c r="J258" s="65" t="s">
        <v>112</v>
      </c>
      <c r="K258" s="64" t="s">
        <v>159</v>
      </c>
      <c r="L258" s="65"/>
      <c r="M258" s="65"/>
      <c r="N258" s="65"/>
      <c r="O258" s="65"/>
      <c r="P258" s="66"/>
      <c r="Q258" s="66"/>
      <c r="R258" s="66"/>
      <c r="S258" s="66"/>
      <c r="T258" s="66"/>
      <c r="U258" s="66"/>
      <c r="V258" s="66"/>
      <c r="W258" s="66"/>
    </row>
    <row r="259" s="2" customFormat="1" ht="18" customHeight="1" spans="1:23">
      <c r="A259" s="48"/>
      <c r="B259" s="25">
        <f t="shared" si="18"/>
        <v>0</v>
      </c>
      <c r="C259" s="49"/>
      <c r="D259" s="50"/>
      <c r="E259" s="46"/>
      <c r="F259" s="58">
        <f t="shared" si="19"/>
        <v>0</v>
      </c>
      <c r="G259" s="47"/>
      <c r="H259" s="69" t="s">
        <v>129</v>
      </c>
      <c r="I259" s="34">
        <v>243021</v>
      </c>
      <c r="J259" s="65" t="s">
        <v>106</v>
      </c>
      <c r="K259" s="64" t="s">
        <v>124</v>
      </c>
      <c r="L259" s="65"/>
      <c r="M259" s="65"/>
      <c r="N259" s="65"/>
      <c r="O259" s="65"/>
      <c r="P259" s="66"/>
      <c r="Q259" s="66"/>
      <c r="R259" s="66"/>
      <c r="S259" s="66"/>
      <c r="T259" s="66"/>
      <c r="U259" s="66"/>
      <c r="V259" s="66"/>
      <c r="W259" s="66"/>
    </row>
    <row r="260" s="2" customFormat="1" ht="18" customHeight="1" spans="1:23">
      <c r="A260" s="48"/>
      <c r="B260" s="25">
        <f t="shared" si="18"/>
        <v>0</v>
      </c>
      <c r="C260" s="49"/>
      <c r="D260" s="50"/>
      <c r="E260" s="46"/>
      <c r="F260" s="58">
        <f t="shared" si="19"/>
        <v>0</v>
      </c>
      <c r="G260" s="47"/>
      <c r="H260" s="69" t="s">
        <v>129</v>
      </c>
      <c r="I260" s="34">
        <v>2340</v>
      </c>
      <c r="J260" s="65" t="s">
        <v>106</v>
      </c>
      <c r="K260" s="64" t="s">
        <v>123</v>
      </c>
      <c r="L260" s="65"/>
      <c r="M260" s="65"/>
      <c r="N260" s="65"/>
      <c r="O260" s="65"/>
      <c r="P260" s="66"/>
      <c r="Q260" s="66"/>
      <c r="R260" s="66"/>
      <c r="S260" s="66"/>
      <c r="T260" s="66"/>
      <c r="U260" s="66"/>
      <c r="V260" s="66"/>
      <c r="W260" s="66"/>
    </row>
    <row r="261" s="2" customFormat="1" ht="18" customHeight="1" spans="1:23">
      <c r="A261" s="48"/>
      <c r="B261" s="25">
        <f t="shared" si="18"/>
        <v>0</v>
      </c>
      <c r="C261" s="49"/>
      <c r="D261" s="50"/>
      <c r="E261" s="46"/>
      <c r="F261" s="58">
        <f t="shared" si="19"/>
        <v>0</v>
      </c>
      <c r="G261" s="47"/>
      <c r="H261" s="69" t="s">
        <v>129</v>
      </c>
      <c r="I261" s="34">
        <v>500</v>
      </c>
      <c r="J261" s="65" t="s">
        <v>106</v>
      </c>
      <c r="K261" s="64" t="s">
        <v>130</v>
      </c>
      <c r="L261" s="65"/>
      <c r="M261" s="65"/>
      <c r="N261" s="65"/>
      <c r="O261" s="65"/>
      <c r="P261" s="66"/>
      <c r="Q261" s="66"/>
      <c r="R261" s="66"/>
      <c r="S261" s="66"/>
      <c r="T261" s="66"/>
      <c r="U261" s="66"/>
      <c r="V261" s="66"/>
      <c r="W261" s="66"/>
    </row>
    <row r="262" s="2" customFormat="1" ht="18" customHeight="1" spans="1:23">
      <c r="A262" s="48"/>
      <c r="B262" s="25"/>
      <c r="C262" s="49"/>
      <c r="D262" s="50"/>
      <c r="E262" s="46"/>
      <c r="F262" s="58"/>
      <c r="G262" s="47"/>
      <c r="H262" s="69" t="s">
        <v>129</v>
      </c>
      <c r="I262" s="34">
        <v>55725</v>
      </c>
      <c r="J262" s="65" t="s">
        <v>120</v>
      </c>
      <c r="K262" s="64" t="s">
        <v>121</v>
      </c>
      <c r="L262" s="65"/>
      <c r="M262" s="65"/>
      <c r="N262" s="65"/>
      <c r="O262" s="65"/>
      <c r="P262" s="66"/>
      <c r="Q262" s="66"/>
      <c r="R262" s="66"/>
      <c r="S262" s="66"/>
      <c r="T262" s="66"/>
      <c r="U262" s="66"/>
      <c r="V262" s="66"/>
      <c r="W262" s="66"/>
    </row>
    <row r="263" s="2" customFormat="1" ht="18" customHeight="1" spans="1:23">
      <c r="A263" s="48"/>
      <c r="B263" s="25">
        <f t="shared" ref="B263:B268" si="20">ROUND(G263/(1+E263),2)</f>
        <v>0</v>
      </c>
      <c r="C263" s="49"/>
      <c r="D263" s="50"/>
      <c r="E263" s="46"/>
      <c r="F263" s="58">
        <f t="shared" ref="F263:F268" si="21">ROUND(G263/(1+E263)*E263,2)</f>
        <v>0</v>
      </c>
      <c r="G263" s="47"/>
      <c r="H263" s="69" t="s">
        <v>129</v>
      </c>
      <c r="I263" s="34">
        <v>8500</v>
      </c>
      <c r="J263" s="65" t="s">
        <v>125</v>
      </c>
      <c r="K263" s="64" t="s">
        <v>126</v>
      </c>
      <c r="L263" s="65"/>
      <c r="M263" s="65"/>
      <c r="N263" s="65"/>
      <c r="O263" s="65"/>
      <c r="P263" s="66"/>
      <c r="Q263" s="66"/>
      <c r="R263" s="66"/>
      <c r="S263" s="66"/>
      <c r="T263" s="66"/>
      <c r="U263" s="66"/>
      <c r="V263" s="66"/>
      <c r="W263" s="66"/>
    </row>
    <row r="264" s="2" customFormat="1" ht="18" customHeight="1" spans="1:23">
      <c r="A264" s="48"/>
      <c r="B264" s="25">
        <f t="shared" si="20"/>
        <v>0</v>
      </c>
      <c r="C264" s="49"/>
      <c r="D264" s="50"/>
      <c r="E264" s="46"/>
      <c r="F264" s="58">
        <f t="shared" si="21"/>
        <v>0</v>
      </c>
      <c r="G264" s="47"/>
      <c r="H264" s="69" t="s">
        <v>131</v>
      </c>
      <c r="I264" s="34">
        <v>8800</v>
      </c>
      <c r="J264" s="65" t="s">
        <v>125</v>
      </c>
      <c r="K264" s="64" t="s">
        <v>126</v>
      </c>
      <c r="L264" s="65"/>
      <c r="M264" s="65"/>
      <c r="N264" s="65"/>
      <c r="O264" s="65"/>
      <c r="P264" s="66"/>
      <c r="Q264" s="66"/>
      <c r="R264" s="66"/>
      <c r="S264" s="66"/>
      <c r="T264" s="66"/>
      <c r="U264" s="66"/>
      <c r="V264" s="66"/>
      <c r="W264" s="66"/>
    </row>
    <row r="265" s="2" customFormat="1" ht="18" customHeight="1" spans="1:23">
      <c r="A265" s="48"/>
      <c r="B265" s="25">
        <f t="shared" si="20"/>
        <v>0</v>
      </c>
      <c r="C265" s="49"/>
      <c r="D265" s="50"/>
      <c r="E265" s="46"/>
      <c r="F265" s="58">
        <f t="shared" si="21"/>
        <v>0</v>
      </c>
      <c r="G265" s="47"/>
      <c r="H265" s="69" t="s">
        <v>131</v>
      </c>
      <c r="I265" s="34">
        <v>35200</v>
      </c>
      <c r="J265" s="65" t="s">
        <v>125</v>
      </c>
      <c r="K265" s="64" t="s">
        <v>126</v>
      </c>
      <c r="L265" s="65"/>
      <c r="M265" s="65"/>
      <c r="N265" s="65"/>
      <c r="O265" s="65"/>
      <c r="P265" s="66"/>
      <c r="Q265" s="66"/>
      <c r="R265" s="66"/>
      <c r="S265" s="66"/>
      <c r="T265" s="66"/>
      <c r="U265" s="66"/>
      <c r="V265" s="66"/>
      <c r="W265" s="66"/>
    </row>
    <row r="266" s="2" customFormat="1" ht="18" customHeight="1" spans="1:23">
      <c r="A266" s="48"/>
      <c r="B266" s="25">
        <f t="shared" si="20"/>
        <v>0</v>
      </c>
      <c r="C266" s="49"/>
      <c r="D266" s="50"/>
      <c r="E266" s="46"/>
      <c r="F266" s="58">
        <f t="shared" si="21"/>
        <v>0</v>
      </c>
      <c r="G266" s="47"/>
      <c r="H266" s="69" t="s">
        <v>131</v>
      </c>
      <c r="I266" s="34">
        <f>B9*E283</f>
        <v>2400</v>
      </c>
      <c r="J266" s="65" t="s">
        <v>106</v>
      </c>
      <c r="K266" s="64" t="s">
        <v>132</v>
      </c>
      <c r="L266" s="65"/>
      <c r="M266" s="65"/>
      <c r="N266" s="65"/>
      <c r="O266" s="65"/>
      <c r="P266" s="66"/>
      <c r="Q266" s="66"/>
      <c r="R266" s="66"/>
      <c r="S266" s="66"/>
      <c r="T266" s="66"/>
      <c r="U266" s="66"/>
      <c r="V266" s="66"/>
      <c r="W266" s="66"/>
    </row>
    <row r="267" s="1" customFormat="1" ht="18" customHeight="1" spans="1:23">
      <c r="A267" s="43"/>
      <c r="B267" s="25">
        <f t="shared" si="20"/>
        <v>0</v>
      </c>
      <c r="C267" s="44"/>
      <c r="D267" s="45"/>
      <c r="E267" s="46"/>
      <c r="F267" s="58">
        <f t="shared" si="21"/>
        <v>0</v>
      </c>
      <c r="G267" s="47"/>
      <c r="H267" s="69" t="s">
        <v>133</v>
      </c>
      <c r="I267" s="34">
        <v>41200</v>
      </c>
      <c r="J267" s="65" t="s">
        <v>125</v>
      </c>
      <c r="K267" s="64" t="s">
        <v>126</v>
      </c>
      <c r="L267" s="65"/>
      <c r="M267" s="65"/>
      <c r="N267" s="61"/>
      <c r="O267" s="61"/>
      <c r="P267" s="62"/>
      <c r="Q267" s="62"/>
      <c r="R267" s="62"/>
      <c r="S267" s="62"/>
      <c r="T267" s="62"/>
      <c r="U267" s="62"/>
      <c r="V267" s="62"/>
      <c r="W267" s="62"/>
    </row>
    <row r="268" s="1" customFormat="1" ht="18" customHeight="1" spans="1:23">
      <c r="A268" s="43"/>
      <c r="B268" s="25">
        <f t="shared" si="20"/>
        <v>0</v>
      </c>
      <c r="C268" s="44"/>
      <c r="D268" s="45"/>
      <c r="E268" s="46"/>
      <c r="F268" s="58">
        <f t="shared" si="21"/>
        <v>0</v>
      </c>
      <c r="G268" s="47"/>
      <c r="H268" s="69" t="s">
        <v>133</v>
      </c>
      <c r="I268" s="34">
        <v>2248</v>
      </c>
      <c r="J268" s="65" t="s">
        <v>106</v>
      </c>
      <c r="K268" s="64" t="s">
        <v>160</v>
      </c>
      <c r="L268" s="65"/>
      <c r="M268" s="65"/>
      <c r="N268" s="61"/>
      <c r="O268" s="61"/>
      <c r="P268" s="62"/>
      <c r="Q268" s="62"/>
      <c r="R268" s="62"/>
      <c r="S268" s="62"/>
      <c r="T268" s="62"/>
      <c r="U268" s="62"/>
      <c r="V268" s="62"/>
      <c r="W268" s="62"/>
    </row>
    <row r="269" s="1" customFormat="1" ht="18" customHeight="1" spans="1:23">
      <c r="A269" s="43"/>
      <c r="B269" s="25"/>
      <c r="C269" s="44"/>
      <c r="D269" s="45"/>
      <c r="E269" s="46"/>
      <c r="F269" s="58"/>
      <c r="G269" s="47"/>
      <c r="H269" s="69" t="s">
        <v>134</v>
      </c>
      <c r="I269" s="34">
        <v>2782</v>
      </c>
      <c r="J269" s="65" t="s">
        <v>106</v>
      </c>
      <c r="K269" s="64" t="s">
        <v>160</v>
      </c>
      <c r="L269" s="65"/>
      <c r="M269" s="65"/>
      <c r="N269" s="61"/>
      <c r="O269" s="61"/>
      <c r="P269" s="62"/>
      <c r="Q269" s="62"/>
      <c r="R269" s="62"/>
      <c r="S269" s="62"/>
      <c r="T269" s="62"/>
      <c r="U269" s="62"/>
      <c r="V269" s="62"/>
      <c r="W269" s="62"/>
    </row>
    <row r="270" s="1" customFormat="1" ht="18" customHeight="1" spans="1:23">
      <c r="A270" s="43"/>
      <c r="B270" s="25">
        <f>ROUND(G270/(1+E270),2)</f>
        <v>0</v>
      </c>
      <c r="C270" s="44"/>
      <c r="D270" s="45"/>
      <c r="E270" s="46"/>
      <c r="F270" s="58">
        <f>ROUND(G270/(1+E270)*E270,2)</f>
        <v>0</v>
      </c>
      <c r="G270" s="47"/>
      <c r="H270" s="69" t="s">
        <v>134</v>
      </c>
      <c r="I270" s="34">
        <v>950</v>
      </c>
      <c r="J270" s="65" t="s">
        <v>106</v>
      </c>
      <c r="K270" s="64" t="s">
        <v>130</v>
      </c>
      <c r="L270" s="65"/>
      <c r="M270" s="65"/>
      <c r="N270" s="61"/>
      <c r="O270" s="61"/>
      <c r="P270" s="62"/>
      <c r="Q270" s="62"/>
      <c r="R270" s="62"/>
      <c r="S270" s="62"/>
      <c r="T270" s="62"/>
      <c r="U270" s="62"/>
      <c r="V270" s="62"/>
      <c r="W270" s="62"/>
    </row>
    <row r="271" s="1" customFormat="1" ht="18" customHeight="1" spans="1:23">
      <c r="A271" s="43"/>
      <c r="B271" s="25">
        <f>ROUND(G271/(1+E271),2)</f>
        <v>132850</v>
      </c>
      <c r="C271" s="44"/>
      <c r="D271" s="45"/>
      <c r="E271" s="46"/>
      <c r="F271" s="58">
        <f>ROUND(G271/(1+E271)*E271,2)</f>
        <v>0</v>
      </c>
      <c r="G271" s="47">
        <f>46100+17600+4400+17000+4250+34800+8700</f>
        <v>132850</v>
      </c>
      <c r="H271" s="69"/>
      <c r="I271" s="34">
        <f>G271</f>
        <v>132850</v>
      </c>
      <c r="J271" s="65" t="s">
        <v>106</v>
      </c>
      <c r="K271" s="64" t="s">
        <v>161</v>
      </c>
      <c r="L271" s="65"/>
      <c r="M271" s="65"/>
      <c r="N271" s="61"/>
      <c r="O271" s="61"/>
      <c r="P271" s="62"/>
      <c r="Q271" s="62"/>
      <c r="R271" s="62"/>
      <c r="S271" s="62"/>
      <c r="T271" s="62"/>
      <c r="U271" s="62"/>
      <c r="V271" s="62"/>
      <c r="W271" s="62"/>
    </row>
    <row r="272" ht="18" customHeight="1" spans="1:15">
      <c r="A272" s="39" t="s">
        <v>22</v>
      </c>
      <c r="B272" s="38">
        <f>SUM(B37:B271)</f>
        <v>43566846.82</v>
      </c>
      <c r="C272" s="39"/>
      <c r="D272" s="96"/>
      <c r="E272" s="96"/>
      <c r="F272" s="97">
        <f>SUM(F37:F271)</f>
        <v>2341091.52</v>
      </c>
      <c r="G272" s="98">
        <f>SUM(G37:G271)</f>
        <v>45907938.34</v>
      </c>
      <c r="H272" s="98"/>
      <c r="I272" s="98">
        <f>SUM(I33:I271)</f>
        <v>42390950.7266055</v>
      </c>
      <c r="J272" s="118"/>
      <c r="K272" s="54"/>
      <c r="L272" s="40"/>
      <c r="M272" s="40"/>
      <c r="N272" s="40"/>
      <c r="O272" s="40"/>
    </row>
    <row r="273" ht="18" customHeight="1" spans="1:11">
      <c r="A273" s="99"/>
      <c r="B273" s="100">
        <f>B30*0.92-B272</f>
        <v>-7588785.10190158</v>
      </c>
      <c r="C273" s="99"/>
      <c r="D273" s="101"/>
      <c r="E273" s="101"/>
      <c r="F273" s="102">
        <f>F30-F272</f>
        <v>520187.87949958</v>
      </c>
      <c r="G273" s="103"/>
      <c r="H273" s="30" t="s">
        <v>136</v>
      </c>
      <c r="I273" s="28">
        <f>I30-I272</f>
        <v>359049.273394495</v>
      </c>
      <c r="J273" s="13"/>
      <c r="K273" s="119"/>
    </row>
    <row r="274" ht="18" customHeight="1" spans="1:16">
      <c r="A274" s="99"/>
      <c r="B274" s="100"/>
      <c r="C274" s="99"/>
      <c r="D274" s="101"/>
      <c r="E274" s="101"/>
      <c r="F274" s="102"/>
      <c r="G274" s="103"/>
      <c r="H274" s="104"/>
      <c r="I274" s="102"/>
      <c r="J274" s="13"/>
      <c r="K274" s="119"/>
      <c r="P274" s="13">
        <f>K277+L277+N277+T277+V277+X277</f>
        <v>520187.879499583</v>
      </c>
    </row>
    <row r="275" ht="18" customHeight="1" spans="1:23">
      <c r="A275" s="6" t="s">
        <v>137</v>
      </c>
      <c r="C275" s="6"/>
      <c r="T275" s="137"/>
      <c r="U275" s="137"/>
      <c r="V275" s="137"/>
      <c r="W275" s="137"/>
    </row>
    <row r="276" s="4" customFormat="1" ht="18" customHeight="1" spans="1:24">
      <c r="A276" s="105" t="s">
        <v>138</v>
      </c>
      <c r="B276" s="105" t="s">
        <v>139</v>
      </c>
      <c r="C276" s="106"/>
      <c r="D276" s="105" t="s">
        <v>138</v>
      </c>
      <c r="E276" s="107" t="s">
        <v>15</v>
      </c>
      <c r="F276" s="105" t="s">
        <v>139</v>
      </c>
      <c r="G276" s="108" t="s">
        <v>236</v>
      </c>
      <c r="H276" s="109" t="s">
        <v>237</v>
      </c>
      <c r="I276" s="109" t="s">
        <v>238</v>
      </c>
      <c r="J276" s="109"/>
      <c r="K276" s="105" t="s">
        <v>239</v>
      </c>
      <c r="L276" s="120" t="s">
        <v>144</v>
      </c>
      <c r="M276" s="120"/>
      <c r="N276" s="121" t="s">
        <v>240</v>
      </c>
      <c r="O276" s="122"/>
      <c r="P276" s="123" t="s">
        <v>145</v>
      </c>
      <c r="Q276" s="105" t="s">
        <v>163</v>
      </c>
      <c r="R276" s="138" t="s">
        <v>187</v>
      </c>
      <c r="S276" s="139" t="s">
        <v>192</v>
      </c>
      <c r="T276" s="140" t="s">
        <v>241</v>
      </c>
      <c r="U276" s="140"/>
      <c r="V276" s="140" t="s">
        <v>269</v>
      </c>
      <c r="W276" s="140"/>
      <c r="X276" s="141" t="s">
        <v>270</v>
      </c>
    </row>
    <row r="277" s="4" customFormat="1" ht="18" customHeight="1" spans="1:24">
      <c r="A277" s="106" t="s">
        <v>146</v>
      </c>
      <c r="B277" s="110">
        <f>(B30-B272)*0.25</f>
        <v>-1115064.498995</v>
      </c>
      <c r="C277" s="106"/>
      <c r="D277" s="111" t="s">
        <v>147</v>
      </c>
      <c r="E277" s="112" t="s">
        <v>148</v>
      </c>
      <c r="F277" s="113">
        <f>F30-F272</f>
        <v>520187.87949958</v>
      </c>
      <c r="G277" s="113">
        <f>F7-F37-F39-F42-F43-F46</f>
        <v>-333763.749090909</v>
      </c>
      <c r="H277" s="113">
        <f>F8-F51-F53-F54-F55-F56+G277</f>
        <v>-154725.915454545</v>
      </c>
      <c r="I277" s="124">
        <v>0</v>
      </c>
      <c r="J277" s="124"/>
      <c r="K277" s="113">
        <f>F9+F10-F61-F66-F62-F63-F64-F87-F88-F89-F90-F91+H277</f>
        <v>220927.974361969</v>
      </c>
      <c r="L277" s="113">
        <f>F11-F92-F100-F101-F103</f>
        <v>390316.376330275</v>
      </c>
      <c r="M277" s="113"/>
      <c r="N277" s="125">
        <f>-(F106+F107)</f>
        <v>-259385.7</v>
      </c>
      <c r="O277" s="126"/>
      <c r="P277" s="111">
        <f>F12-F108</f>
        <v>-226585.72559633</v>
      </c>
      <c r="Q277" s="113">
        <f>F13-F114+P277</f>
        <v>-98906.7313761473</v>
      </c>
      <c r="R277" s="113">
        <f>F14-F119-F132-F133+Q277</f>
        <v>-164975.865779817</v>
      </c>
      <c r="S277" s="126">
        <f>F15-F141-F142+R277</f>
        <v>-20623.4471559643</v>
      </c>
      <c r="T277" s="113">
        <f>F16+S277</f>
        <v>145706.828073394</v>
      </c>
      <c r="U277" s="113"/>
      <c r="V277" s="113">
        <f>F17-F149-F161</f>
        <v>47229.850733945</v>
      </c>
      <c r="W277" s="113"/>
      <c r="X277" s="141">
        <f>-(F162+F137)</f>
        <v>-24607.45</v>
      </c>
    </row>
    <row r="278" s="4" customFormat="1" ht="18" customHeight="1" spans="1:24">
      <c r="A278" s="106" t="s">
        <v>149</v>
      </c>
      <c r="B278" s="111" t="s">
        <v>150</v>
      </c>
      <c r="C278" s="106"/>
      <c r="D278" s="111" t="s">
        <v>151</v>
      </c>
      <c r="E278" s="21">
        <v>0.05</v>
      </c>
      <c r="F278" s="111">
        <f>F277*E278</f>
        <v>26009.393974979</v>
      </c>
      <c r="G278" s="113">
        <v>0</v>
      </c>
      <c r="H278" s="111">
        <v>0</v>
      </c>
      <c r="I278" s="124">
        <v>0</v>
      </c>
      <c r="J278" s="124"/>
      <c r="K278" s="111">
        <f>K277*E278</f>
        <v>11046.3987180985</v>
      </c>
      <c r="L278" s="111">
        <f>L277*E278</f>
        <v>19515.8188165138</v>
      </c>
      <c r="M278" s="111"/>
      <c r="N278" s="127">
        <f>N277*E278</f>
        <v>-12969.285</v>
      </c>
      <c r="O278" s="128"/>
      <c r="P278" s="111"/>
      <c r="Q278" s="111"/>
      <c r="R278" s="142"/>
      <c r="S278" s="126"/>
      <c r="T278" s="113">
        <f>T277*0.07</f>
        <v>10199.4779651376</v>
      </c>
      <c r="U278" s="113"/>
      <c r="V278" s="113">
        <f>V277*E278</f>
        <v>2361.49253669725</v>
      </c>
      <c r="W278" s="113"/>
      <c r="X278" s="141">
        <f>X277*0.07</f>
        <v>-1722.5215</v>
      </c>
    </row>
    <row r="279" s="4" customFormat="1" ht="18" customHeight="1" spans="1:24">
      <c r="A279" s="106" t="s">
        <v>123</v>
      </c>
      <c r="B279" s="111">
        <f>B30*0.0006</f>
        <v>23463.953294412</v>
      </c>
      <c r="C279" s="106"/>
      <c r="D279" s="111" t="s">
        <v>152</v>
      </c>
      <c r="E279" s="21">
        <v>0.03</v>
      </c>
      <c r="F279" s="111">
        <f>F277*E279</f>
        <v>15605.6363849874</v>
      </c>
      <c r="G279" s="113">
        <v>0</v>
      </c>
      <c r="H279" s="111">
        <v>0</v>
      </c>
      <c r="I279" s="124">
        <v>0</v>
      </c>
      <c r="J279" s="124"/>
      <c r="K279" s="111">
        <f>K277*E279</f>
        <v>6627.83923085907</v>
      </c>
      <c r="L279" s="111">
        <f>L277*E279</f>
        <v>11709.4912899082</v>
      </c>
      <c r="M279" s="111"/>
      <c r="N279" s="127">
        <f>N277*E279</f>
        <v>-7781.571</v>
      </c>
      <c r="O279" s="128"/>
      <c r="P279" s="111"/>
      <c r="Q279" s="111"/>
      <c r="R279" s="142"/>
      <c r="S279" s="126"/>
      <c r="T279" s="113">
        <f>T277*E279</f>
        <v>4371.20484220181</v>
      </c>
      <c r="U279" s="113"/>
      <c r="V279" s="113">
        <f>V277*E279</f>
        <v>1416.89552201835</v>
      </c>
      <c r="W279" s="113"/>
      <c r="X279" s="141">
        <f>X277*0.03</f>
        <v>-738.2235</v>
      </c>
    </row>
    <row r="280" s="4" customFormat="1" ht="18" customHeight="1" spans="1:24">
      <c r="A280" s="106"/>
      <c r="B280" s="111"/>
      <c r="C280" s="106"/>
      <c r="D280" s="111" t="s">
        <v>153</v>
      </c>
      <c r="E280" s="21">
        <v>0.02</v>
      </c>
      <c r="F280" s="111">
        <f>F277*E280</f>
        <v>10403.7575899916</v>
      </c>
      <c r="G280" s="113">
        <v>0</v>
      </c>
      <c r="H280" s="111">
        <v>0</v>
      </c>
      <c r="I280" s="124">
        <v>0</v>
      </c>
      <c r="J280" s="124"/>
      <c r="K280" s="111">
        <f>K277*E280</f>
        <v>4418.55948723938</v>
      </c>
      <c r="L280" s="111">
        <v>7807</v>
      </c>
      <c r="M280" s="111"/>
      <c r="N280" s="127">
        <v>-5188</v>
      </c>
      <c r="O280" s="128"/>
      <c r="P280" s="111"/>
      <c r="Q280" s="111"/>
      <c r="R280" s="142"/>
      <c r="S280" s="126"/>
      <c r="T280" s="113">
        <f>T277*E280</f>
        <v>2914.13656146787</v>
      </c>
      <c r="U280" s="113"/>
      <c r="V280" s="113">
        <f>V277*E280</f>
        <v>944.5970146789</v>
      </c>
      <c r="W280" s="113"/>
      <c r="X280" s="141">
        <f>X277*0.02</f>
        <v>-492.149</v>
      </c>
    </row>
    <row r="281" s="4" customFormat="1" ht="18" customHeight="1" spans="1:24">
      <c r="A281" s="114" t="s">
        <v>154</v>
      </c>
      <c r="B281" s="115">
        <f>SUM(B277:B280)</f>
        <v>-1091600.54570058</v>
      </c>
      <c r="C281" s="106"/>
      <c r="D281" s="105" t="s">
        <v>154</v>
      </c>
      <c r="E281" s="107"/>
      <c r="F281" s="116">
        <f>SUM(F277:F280)</f>
        <v>572206.667449538</v>
      </c>
      <c r="G281" s="116">
        <v>0</v>
      </c>
      <c r="H281" s="116">
        <v>0</v>
      </c>
      <c r="I281" s="129">
        <v>0</v>
      </c>
      <c r="J281" s="129"/>
      <c r="K281" s="116">
        <f t="shared" ref="K281:N281" si="22">SUM(K277:K280)</f>
        <v>243020.771798166</v>
      </c>
      <c r="L281" s="116">
        <f t="shared" si="22"/>
        <v>429348.686436697</v>
      </c>
      <c r="M281" s="116"/>
      <c r="N281" s="130">
        <f t="shared" si="22"/>
        <v>-285324.556</v>
      </c>
      <c r="O281" s="131"/>
      <c r="P281" s="116">
        <v>0</v>
      </c>
      <c r="Q281" s="116">
        <v>0</v>
      </c>
      <c r="R281" s="135">
        <v>0</v>
      </c>
      <c r="S281" s="143">
        <v>0</v>
      </c>
      <c r="T281" s="144">
        <f>SUBTOTAL(9,T277:T280)</f>
        <v>163191.647442201</v>
      </c>
      <c r="U281" s="144"/>
      <c r="V281" s="135">
        <f>SUM(V277:V280)</f>
        <v>51952.8358073395</v>
      </c>
      <c r="W281" s="135"/>
      <c r="X281" s="141">
        <f>SUM(X277:X280)</f>
        <v>-27560.344</v>
      </c>
    </row>
    <row r="282" s="4" customFormat="1" ht="18" customHeight="1" spans="4:24">
      <c r="D282" s="111" t="s">
        <v>149</v>
      </c>
      <c r="E282" s="112">
        <v>0.0003</v>
      </c>
      <c r="F282" s="111">
        <v>0</v>
      </c>
      <c r="G282" s="113"/>
      <c r="H282" s="111"/>
      <c r="I282" s="124">
        <v>0</v>
      </c>
      <c r="J282" s="124"/>
      <c r="K282" s="111"/>
      <c r="L282" s="111"/>
      <c r="M282" s="111"/>
      <c r="N282" s="132"/>
      <c r="O282" s="133"/>
      <c r="P282" s="123"/>
      <c r="Q282" s="105"/>
      <c r="R282" s="142"/>
      <c r="S282" s="139"/>
      <c r="T282" s="113"/>
      <c r="U282" s="113"/>
      <c r="V282" s="113"/>
      <c r="W282" s="113"/>
      <c r="X282" s="32"/>
    </row>
    <row r="283" s="4" customFormat="1" ht="18" customHeight="1" spans="4:24">
      <c r="D283" s="111" t="s">
        <v>123</v>
      </c>
      <c r="E283" s="112">
        <v>0.0006</v>
      </c>
      <c r="F283" s="111">
        <f>B30*E283</f>
        <v>23463.953294412</v>
      </c>
      <c r="G283" s="113">
        <f>B7*E283</f>
        <v>2781.81818181818</v>
      </c>
      <c r="H283" s="111">
        <v>2248</v>
      </c>
      <c r="I283" s="124">
        <f>B9*E283</f>
        <v>2400</v>
      </c>
      <c r="J283" s="124"/>
      <c r="K283" s="111">
        <v>2340</v>
      </c>
      <c r="L283" s="111">
        <f>B11*E283</f>
        <v>4788.99082568807</v>
      </c>
      <c r="M283" s="111"/>
      <c r="N283" s="132"/>
      <c r="O283" s="133"/>
      <c r="P283" s="134">
        <v>853.21</v>
      </c>
      <c r="Q283" s="28">
        <f>E283*B13</f>
        <v>1992.66055045872</v>
      </c>
      <c r="R283" s="138">
        <f>E283*B14</f>
        <v>946.788990825688</v>
      </c>
      <c r="S283" s="139">
        <f>B15*E283</f>
        <v>2845.87155963303</v>
      </c>
      <c r="T283" s="113">
        <f>E283*B16</f>
        <v>1425.6880733945</v>
      </c>
      <c r="U283" s="113"/>
      <c r="V283" s="113">
        <f>B17*E283</f>
        <v>842.201834862385</v>
      </c>
      <c r="W283" s="113"/>
      <c r="X283" s="32"/>
    </row>
    <row r="284" s="4" customFormat="1" ht="18" customHeight="1" spans="4:24">
      <c r="D284" s="105" t="s">
        <v>22</v>
      </c>
      <c r="E284" s="107"/>
      <c r="F284" s="116">
        <f>F281+F282+F283</f>
        <v>595670.62074395</v>
      </c>
      <c r="G284" s="116"/>
      <c r="H284" s="116"/>
      <c r="I284" s="129"/>
      <c r="J284" s="129"/>
      <c r="K284" s="116"/>
      <c r="L284" s="135">
        <f>L281+L283</f>
        <v>434137.677262385</v>
      </c>
      <c r="M284" s="135"/>
      <c r="N284" s="130"/>
      <c r="O284" s="131"/>
      <c r="P284" s="136"/>
      <c r="Q284" s="116"/>
      <c r="R284" s="135"/>
      <c r="S284" s="143"/>
      <c r="T284" s="135"/>
      <c r="U284" s="135"/>
      <c r="V284" s="135"/>
      <c r="W284" s="135"/>
      <c r="X284" s="32"/>
    </row>
    <row r="285" s="4" customFormat="1" ht="18" customHeight="1" spans="4:24">
      <c r="D285" s="111" t="s">
        <v>121</v>
      </c>
      <c r="E285" s="112">
        <v>0.02</v>
      </c>
      <c r="F285" s="111">
        <f>G30*E285</f>
        <v>855000</v>
      </c>
      <c r="G285" s="113"/>
      <c r="H285" s="111"/>
      <c r="I285" s="109"/>
      <c r="J285" s="109"/>
      <c r="K285" s="105"/>
      <c r="L285" s="111">
        <v>485252</v>
      </c>
      <c r="M285" s="111"/>
      <c r="N285" s="132"/>
      <c r="O285" s="133"/>
      <c r="P285" s="134">
        <f>B12*0.02</f>
        <v>28440.366972477</v>
      </c>
      <c r="Q285" s="105">
        <f>G13*E285</f>
        <v>72400</v>
      </c>
      <c r="R285" s="138">
        <f>G14*E285</f>
        <v>34400</v>
      </c>
      <c r="S285" s="139">
        <f>G15*E285</f>
        <v>103400</v>
      </c>
      <c r="T285" s="113">
        <f>G16*E285</f>
        <v>51800</v>
      </c>
      <c r="U285" s="113"/>
      <c r="V285" s="113">
        <f>E285*G17</f>
        <v>30600</v>
      </c>
      <c r="W285" s="113"/>
      <c r="X285" s="32"/>
    </row>
    <row r="286" s="5" customFormat="1" ht="36" customHeight="1" spans="4:24">
      <c r="D286" s="117" t="s">
        <v>271</v>
      </c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  <c r="Q286" s="117"/>
      <c r="R286" s="117"/>
      <c r="S286" s="117"/>
      <c r="T286" s="117"/>
      <c r="U286" s="117"/>
      <c r="V286" s="117"/>
      <c r="W286" s="117"/>
      <c r="X286" s="117"/>
    </row>
    <row r="287" ht="18" customHeight="1" spans="3:3">
      <c r="C287" s="6"/>
    </row>
    <row r="288" ht="18" customHeight="1" spans="3:3">
      <c r="C288" s="6"/>
    </row>
    <row r="289" spans="3:3">
      <c r="C289" s="6"/>
    </row>
    <row r="290" spans="3:3">
      <c r="C290" s="6"/>
    </row>
    <row r="291" spans="3:8">
      <c r="C291" s="6"/>
      <c r="H291" s="9" t="s">
        <v>242</v>
      </c>
    </row>
    <row r="292" spans="3:3">
      <c r="C292" s="6"/>
    </row>
    <row r="293" spans="3:3">
      <c r="C293" s="6"/>
    </row>
    <row r="294" spans="3:3">
      <c r="C294" s="6"/>
    </row>
    <row r="295" spans="3:3">
      <c r="C295" s="6"/>
    </row>
    <row r="296" spans="3:3">
      <c r="C296" s="6"/>
    </row>
    <row r="297" spans="3:3">
      <c r="C297" s="6"/>
    </row>
    <row r="298" spans="3:3">
      <c r="C298" s="6"/>
    </row>
    <row r="299" spans="3:3">
      <c r="C299" s="6"/>
    </row>
    <row r="300" spans="3:3">
      <c r="C300" s="6"/>
    </row>
    <row r="301" spans="3:3">
      <c r="C301" s="6"/>
    </row>
    <row r="302" spans="3:3">
      <c r="C302" s="6"/>
    </row>
    <row r="303" spans="3:3">
      <c r="C303" s="6"/>
    </row>
    <row r="304" spans="3:3">
      <c r="C304" s="6"/>
    </row>
  </sheetData>
  <mergeCells count="61">
    <mergeCell ref="A1:J1"/>
    <mergeCell ref="H2:J2"/>
    <mergeCell ref="C5:D5"/>
    <mergeCell ref="E5:F5"/>
    <mergeCell ref="H5:J5"/>
    <mergeCell ref="T275:U275"/>
    <mergeCell ref="V275:W275"/>
    <mergeCell ref="I276:J276"/>
    <mergeCell ref="L276:M276"/>
    <mergeCell ref="N276:O276"/>
    <mergeCell ref="T276:U276"/>
    <mergeCell ref="V276:W276"/>
    <mergeCell ref="I277:J277"/>
    <mergeCell ref="L277:M277"/>
    <mergeCell ref="N277:O277"/>
    <mergeCell ref="T277:U277"/>
    <mergeCell ref="V277:W277"/>
    <mergeCell ref="I278:J278"/>
    <mergeCell ref="L278:M278"/>
    <mergeCell ref="N278:O278"/>
    <mergeCell ref="T278:U278"/>
    <mergeCell ref="V278:W278"/>
    <mergeCell ref="I279:J279"/>
    <mergeCell ref="L279:M279"/>
    <mergeCell ref="N279:O279"/>
    <mergeCell ref="T279:U279"/>
    <mergeCell ref="V279:W279"/>
    <mergeCell ref="I280:J280"/>
    <mergeCell ref="L280:M280"/>
    <mergeCell ref="N280:O280"/>
    <mergeCell ref="T280:U280"/>
    <mergeCell ref="V280:W280"/>
    <mergeCell ref="I281:J281"/>
    <mergeCell ref="L281:M281"/>
    <mergeCell ref="N281:O281"/>
    <mergeCell ref="T281:U281"/>
    <mergeCell ref="V281:W281"/>
    <mergeCell ref="I282:J282"/>
    <mergeCell ref="L282:M282"/>
    <mergeCell ref="N282:O282"/>
    <mergeCell ref="T282:U282"/>
    <mergeCell ref="V282:W282"/>
    <mergeCell ref="I283:J283"/>
    <mergeCell ref="L283:M283"/>
    <mergeCell ref="N283:O283"/>
    <mergeCell ref="T283:U283"/>
    <mergeCell ref="V283:W283"/>
    <mergeCell ref="I284:J284"/>
    <mergeCell ref="L284:M284"/>
    <mergeCell ref="N284:O284"/>
    <mergeCell ref="T284:U284"/>
    <mergeCell ref="V284:W284"/>
    <mergeCell ref="I285:J285"/>
    <mergeCell ref="L285:M285"/>
    <mergeCell ref="N285:O285"/>
    <mergeCell ref="T285:U285"/>
    <mergeCell ref="V285:W285"/>
    <mergeCell ref="D286:X286"/>
    <mergeCell ref="A5:A6"/>
    <mergeCell ref="B5:B6"/>
    <mergeCell ref="G5:G6"/>
  </mergeCells>
  <pageMargins left="0.75" right="0.75" top="1" bottom="1" header="0.5" footer="0.5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7"/>
  <sheetViews>
    <sheetView topLeftCell="A144" workbookViewId="0">
      <selection activeCell="K165" sqref="K165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/>
    <col min="16" max="16" width="11.1333333333333" style="14" customWidth="1"/>
    <col min="17" max="17" width="10" style="14" customWidth="1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/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8" si="0">G7/(1+C7+E7)</f>
        <v>4636363.63636364</v>
      </c>
      <c r="C7" s="33">
        <v>0.02</v>
      </c>
      <c r="D7" s="188">
        <f t="shared" ref="D7:D18" si="1">G7/(1+E7+C7)*C7</f>
        <v>92727.2727272727</v>
      </c>
      <c r="E7" s="33">
        <v>0.08</v>
      </c>
      <c r="F7" s="32">
        <f t="shared" ref="F7:F18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/>
      <c r="B14" s="32">
        <f t="shared" si="0"/>
        <v>0</v>
      </c>
      <c r="C14" s="33"/>
      <c r="D14" s="188">
        <f t="shared" si="1"/>
        <v>0</v>
      </c>
      <c r="E14" s="33"/>
      <c r="F14" s="32">
        <f t="shared" si="2"/>
        <v>0</v>
      </c>
      <c r="G14" s="189"/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195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30" customHeight="1" spans="1:10">
      <c r="A18" s="31"/>
      <c r="B18" s="32">
        <f t="shared" si="0"/>
        <v>0</v>
      </c>
      <c r="C18" s="33"/>
      <c r="D18" s="188">
        <f t="shared" si="1"/>
        <v>0</v>
      </c>
      <c r="E18" s="33"/>
      <c r="F18" s="32">
        <f t="shared" si="2"/>
        <v>0</v>
      </c>
      <c r="G18" s="189"/>
      <c r="H18" s="31"/>
      <c r="I18" s="32"/>
      <c r="J18" s="40"/>
    </row>
    <row r="19" ht="18" customHeight="1" spans="1:10">
      <c r="A19" s="37" t="s">
        <v>22</v>
      </c>
      <c r="B19" s="38">
        <f t="shared" ref="B19:G19" si="3">SUM(B7:B18)</f>
        <v>29005671.3928274</v>
      </c>
      <c r="C19" s="39"/>
      <c r="D19" s="190">
        <f t="shared" si="3"/>
        <v>580113.427856547</v>
      </c>
      <c r="E19" s="39"/>
      <c r="F19" s="190">
        <f>SUM(F7:F18)</f>
        <v>2154215.1793161</v>
      </c>
      <c r="G19" s="190">
        <f t="shared" si="3"/>
        <v>31740000</v>
      </c>
      <c r="H19" s="191"/>
      <c r="I19" s="190">
        <f>SUM(I7:I18)</f>
        <v>28120000</v>
      </c>
      <c r="J19" s="191"/>
    </row>
    <row r="20" ht="18" customHeight="1" spans="1:12">
      <c r="A20" s="6" t="s">
        <v>23</v>
      </c>
      <c r="J20" s="8"/>
      <c r="K20" s="8"/>
      <c r="L20" s="186"/>
    </row>
    <row r="21" ht="18" customHeight="1" spans="1:15">
      <c r="A21" s="41" t="s">
        <v>24</v>
      </c>
      <c r="B21" s="28" t="s">
        <v>25</v>
      </c>
      <c r="C21" s="27" t="s">
        <v>26</v>
      </c>
      <c r="D21" s="27" t="s">
        <v>27</v>
      </c>
      <c r="E21" s="27" t="s">
        <v>15</v>
      </c>
      <c r="F21" s="28" t="s">
        <v>28</v>
      </c>
      <c r="G21" s="28" t="s">
        <v>13</v>
      </c>
      <c r="H21" s="27" t="s">
        <v>29</v>
      </c>
      <c r="I21" s="28" t="s">
        <v>30</v>
      </c>
      <c r="J21" s="27" t="s">
        <v>19</v>
      </c>
      <c r="K21" s="54" t="s">
        <v>31</v>
      </c>
      <c r="L21" s="30" t="s">
        <v>32</v>
      </c>
      <c r="M21" s="30" t="s">
        <v>33</v>
      </c>
      <c r="N21" s="30" t="s">
        <v>34</v>
      </c>
      <c r="O21" s="30" t="s">
        <v>35</v>
      </c>
    </row>
    <row r="22" s="1" customFormat="1" ht="18" customHeight="1" spans="1:15">
      <c r="A22" s="43">
        <v>43070</v>
      </c>
      <c r="B22" s="25">
        <f t="shared" ref="B22:B85" si="4">ROUND(G22/(1+E22),2)</f>
        <v>2830.19</v>
      </c>
      <c r="C22" s="44"/>
      <c r="D22" s="45" t="s">
        <v>36</v>
      </c>
      <c r="E22" s="46">
        <v>0.06</v>
      </c>
      <c r="F22" s="25">
        <f t="shared" ref="F22:F85" si="5">ROUND(G22/(1+E22)*E22,2)</f>
        <v>169.81</v>
      </c>
      <c r="G22" s="189">
        <v>3000</v>
      </c>
      <c r="H22" s="31"/>
      <c r="I22" s="32"/>
      <c r="J22" s="40"/>
      <c r="K22" s="147" t="s">
        <v>37</v>
      </c>
      <c r="L22" s="60" t="s">
        <v>38</v>
      </c>
      <c r="M22" s="61"/>
      <c r="N22" s="61"/>
      <c r="O22" s="60"/>
    </row>
    <row r="23" s="1" customFormat="1" ht="18" customHeight="1" spans="1:15">
      <c r="A23" s="43">
        <v>43071</v>
      </c>
      <c r="B23" s="25">
        <f t="shared" si="4"/>
        <v>3000</v>
      </c>
      <c r="C23" s="44"/>
      <c r="D23" s="45" t="s">
        <v>39</v>
      </c>
      <c r="E23" s="46"/>
      <c r="F23" s="25">
        <f t="shared" si="5"/>
        <v>0</v>
      </c>
      <c r="G23" s="189">
        <v>3000</v>
      </c>
      <c r="H23" s="31"/>
      <c r="I23" s="32"/>
      <c r="J23" s="40"/>
      <c r="K23" s="147"/>
      <c r="L23" s="60" t="s">
        <v>38</v>
      </c>
      <c r="M23" s="61"/>
      <c r="N23" s="61"/>
      <c r="O23" s="60"/>
    </row>
    <row r="24" s="1" customFormat="1" ht="18" customHeight="1" spans="1:15">
      <c r="A24" s="43">
        <v>43072</v>
      </c>
      <c r="B24" s="25">
        <f t="shared" si="4"/>
        <v>12824.53</v>
      </c>
      <c r="C24" s="44"/>
      <c r="D24" s="45" t="s">
        <v>36</v>
      </c>
      <c r="E24" s="46">
        <v>0.06</v>
      </c>
      <c r="F24" s="25">
        <f t="shared" si="5"/>
        <v>769.47</v>
      </c>
      <c r="G24" s="189">
        <v>13594</v>
      </c>
      <c r="H24" s="31"/>
      <c r="I24" s="32"/>
      <c r="J24" s="40"/>
      <c r="K24" s="147" t="s">
        <v>40</v>
      </c>
      <c r="L24" s="60" t="s">
        <v>41</v>
      </c>
      <c r="M24" s="61"/>
      <c r="N24" s="61"/>
      <c r="O24" s="60"/>
    </row>
    <row r="25" s="1" customFormat="1" ht="18" customHeight="1" spans="1:15">
      <c r="A25" s="43">
        <v>43073</v>
      </c>
      <c r="B25" s="25">
        <f t="shared" si="4"/>
        <v>1206</v>
      </c>
      <c r="C25" s="44"/>
      <c r="D25" s="45" t="s">
        <v>39</v>
      </c>
      <c r="E25" s="46"/>
      <c r="F25" s="25">
        <f t="shared" si="5"/>
        <v>0</v>
      </c>
      <c r="G25" s="189">
        <v>1206</v>
      </c>
      <c r="H25" s="31"/>
      <c r="I25" s="32"/>
      <c r="J25" s="40"/>
      <c r="K25" s="147"/>
      <c r="L25" s="60" t="s">
        <v>42</v>
      </c>
      <c r="M25" s="61"/>
      <c r="N25" s="61"/>
      <c r="O25" s="60"/>
    </row>
    <row r="26" s="1" customFormat="1" ht="18" customHeight="1" spans="1:15">
      <c r="A26" s="43">
        <v>43074</v>
      </c>
      <c r="B26" s="25">
        <f t="shared" si="4"/>
        <v>13191.34</v>
      </c>
      <c r="C26" s="44"/>
      <c r="D26" s="45" t="s">
        <v>39</v>
      </c>
      <c r="E26" s="46"/>
      <c r="F26" s="25">
        <f t="shared" si="5"/>
        <v>0</v>
      </c>
      <c r="G26" s="189">
        <v>13191.34</v>
      </c>
      <c r="H26" s="31"/>
      <c r="I26" s="32"/>
      <c r="J26" s="40"/>
      <c r="K26" s="147"/>
      <c r="L26" s="60" t="s">
        <v>43</v>
      </c>
      <c r="M26" s="61"/>
      <c r="N26" s="61"/>
      <c r="O26" s="60"/>
    </row>
    <row r="27" s="1" customFormat="1" ht="18" customHeight="1" spans="1:15">
      <c r="A27" s="43">
        <v>43149</v>
      </c>
      <c r="B27" s="25">
        <f t="shared" si="4"/>
        <v>1924.53</v>
      </c>
      <c r="C27" s="44"/>
      <c r="D27" s="45" t="s">
        <v>36</v>
      </c>
      <c r="E27" s="46">
        <v>0.06</v>
      </c>
      <c r="F27" s="25">
        <f t="shared" si="5"/>
        <v>115.47</v>
      </c>
      <c r="G27" s="189">
        <v>2040</v>
      </c>
      <c r="H27" s="31"/>
      <c r="I27" s="32"/>
      <c r="J27" s="40"/>
      <c r="K27" s="147" t="s">
        <v>40</v>
      </c>
      <c r="L27" s="60" t="s">
        <v>41</v>
      </c>
      <c r="M27" s="61"/>
      <c r="N27" s="61"/>
      <c r="O27" s="60"/>
    </row>
    <row r="28" s="1" customFormat="1" ht="18" customHeight="1" spans="1:15">
      <c r="A28" s="43">
        <v>43177</v>
      </c>
      <c r="B28" s="25">
        <f t="shared" si="4"/>
        <v>2830.19</v>
      </c>
      <c r="C28" s="44"/>
      <c r="D28" s="45" t="s">
        <v>36</v>
      </c>
      <c r="E28" s="46">
        <v>0.06</v>
      </c>
      <c r="F28" s="25">
        <f t="shared" si="5"/>
        <v>169.81</v>
      </c>
      <c r="G28" s="189">
        <v>3000</v>
      </c>
      <c r="H28" s="31"/>
      <c r="I28" s="32"/>
      <c r="J28" s="40"/>
      <c r="K28" s="147" t="s">
        <v>44</v>
      </c>
      <c r="L28" s="60" t="s">
        <v>45</v>
      </c>
      <c r="M28" s="61"/>
      <c r="N28" s="61"/>
      <c r="O28" s="60"/>
    </row>
    <row r="29" s="1" customFormat="1" ht="18" customHeight="1" spans="1:15">
      <c r="A29" s="43">
        <v>43178</v>
      </c>
      <c r="B29" s="25">
        <f t="shared" si="4"/>
        <v>12529.12</v>
      </c>
      <c r="C29" s="44"/>
      <c r="D29" s="45" t="s">
        <v>39</v>
      </c>
      <c r="E29" s="46"/>
      <c r="F29" s="25">
        <f t="shared" si="5"/>
        <v>0</v>
      </c>
      <c r="G29" s="189">
        <v>12529.12</v>
      </c>
      <c r="H29" s="31"/>
      <c r="I29" s="32"/>
      <c r="J29" s="40"/>
      <c r="K29" s="147"/>
      <c r="L29" s="60" t="s">
        <v>46</v>
      </c>
      <c r="M29" s="61"/>
      <c r="N29" s="61"/>
      <c r="O29" s="60"/>
    </row>
    <row r="30" s="1" customFormat="1" ht="18" customHeight="1" spans="1:15">
      <c r="A30" s="43">
        <v>43177</v>
      </c>
      <c r="B30" s="25">
        <f t="shared" si="4"/>
        <v>7575</v>
      </c>
      <c r="C30" s="44"/>
      <c r="D30" s="45" t="s">
        <v>39</v>
      </c>
      <c r="E30" s="46"/>
      <c r="F30" s="25">
        <f t="shared" si="5"/>
        <v>0</v>
      </c>
      <c r="G30" s="189">
        <v>7575</v>
      </c>
      <c r="H30" s="31"/>
      <c r="I30" s="32"/>
      <c r="J30" s="40"/>
      <c r="K30" s="147"/>
      <c r="L30" s="60" t="s">
        <v>46</v>
      </c>
      <c r="M30" s="61"/>
      <c r="N30" s="61"/>
      <c r="O30" s="60"/>
    </row>
    <row r="31" s="1" customFormat="1" ht="18" customHeight="1" spans="1:15">
      <c r="A31" s="43">
        <v>43238</v>
      </c>
      <c r="B31" s="25">
        <f t="shared" si="4"/>
        <v>4396551.72</v>
      </c>
      <c r="C31" s="44"/>
      <c r="D31" s="45" t="s">
        <v>36</v>
      </c>
      <c r="E31" s="46">
        <v>0.16</v>
      </c>
      <c r="F31" s="25">
        <f t="shared" si="5"/>
        <v>703448.28</v>
      </c>
      <c r="G31" s="189">
        <v>5100000</v>
      </c>
      <c r="H31" s="31">
        <v>43251</v>
      </c>
      <c r="I31" s="32">
        <v>2500000</v>
      </c>
      <c r="J31" s="40" t="s">
        <v>20</v>
      </c>
      <c r="K31" s="147" t="s">
        <v>47</v>
      </c>
      <c r="L31" s="60" t="s">
        <v>48</v>
      </c>
      <c r="M31" s="61"/>
      <c r="N31" s="61"/>
      <c r="O31" s="60"/>
    </row>
    <row r="32" s="1" customFormat="1" ht="18" customHeight="1" spans="1:15">
      <c r="A32" s="43"/>
      <c r="B32" s="25">
        <f t="shared" si="4"/>
        <v>0</v>
      </c>
      <c r="C32" s="44"/>
      <c r="D32" s="45"/>
      <c r="E32" s="46"/>
      <c r="F32" s="25">
        <f t="shared" si="5"/>
        <v>0</v>
      </c>
      <c r="G32" s="189"/>
      <c r="H32" s="31" t="s">
        <v>49</v>
      </c>
      <c r="I32" s="32">
        <v>2530768</v>
      </c>
      <c r="J32" s="40" t="s">
        <v>20</v>
      </c>
      <c r="K32" s="147" t="s">
        <v>47</v>
      </c>
      <c r="L32" s="60"/>
      <c r="M32" s="61"/>
      <c r="N32" s="61"/>
      <c r="O32" s="60"/>
    </row>
    <row r="33" s="1" customFormat="1" ht="18" customHeight="1" spans="1:15">
      <c r="A33" s="43"/>
      <c r="B33" s="25">
        <f t="shared" si="4"/>
        <v>0</v>
      </c>
      <c r="C33" s="44"/>
      <c r="D33" s="45"/>
      <c r="E33" s="46"/>
      <c r="F33" s="25">
        <f t="shared" si="5"/>
        <v>0</v>
      </c>
      <c r="G33" s="189"/>
      <c r="H33" s="31" t="s">
        <v>49</v>
      </c>
      <c r="I33" s="32">
        <v>69232</v>
      </c>
      <c r="J33" s="40" t="s">
        <v>20</v>
      </c>
      <c r="K33" s="147" t="s">
        <v>47</v>
      </c>
      <c r="L33" s="60"/>
      <c r="M33" s="61"/>
      <c r="N33" s="61"/>
      <c r="O33" s="60"/>
    </row>
    <row r="34" s="1" customFormat="1" ht="18" customHeight="1" spans="1:15">
      <c r="A34" s="43"/>
      <c r="B34" s="25">
        <f t="shared" si="4"/>
        <v>0</v>
      </c>
      <c r="C34" s="44"/>
      <c r="D34" s="45"/>
      <c r="E34" s="46"/>
      <c r="F34" s="25">
        <f t="shared" si="5"/>
        <v>0</v>
      </c>
      <c r="G34" s="189"/>
      <c r="H34" s="31">
        <v>43252</v>
      </c>
      <c r="I34" s="32">
        <v>-29323</v>
      </c>
      <c r="J34" s="40" t="s">
        <v>21</v>
      </c>
      <c r="K34" s="147" t="s">
        <v>50</v>
      </c>
      <c r="L34" s="60"/>
      <c r="M34" s="61"/>
      <c r="N34" s="61"/>
      <c r="O34" s="60"/>
    </row>
    <row r="35" s="1" customFormat="1" ht="18" customHeight="1" spans="1:15">
      <c r="A35" s="43"/>
      <c r="B35" s="25">
        <f t="shared" si="4"/>
        <v>0</v>
      </c>
      <c r="C35" s="44"/>
      <c r="D35" s="45"/>
      <c r="E35" s="46"/>
      <c r="F35" s="25">
        <f t="shared" si="5"/>
        <v>0</v>
      </c>
      <c r="G35" s="189"/>
      <c r="H35" s="31">
        <v>43255</v>
      </c>
      <c r="I35" s="32">
        <v>-39909</v>
      </c>
      <c r="J35" s="40" t="s">
        <v>21</v>
      </c>
      <c r="K35" s="147" t="s">
        <v>50</v>
      </c>
      <c r="L35" s="60"/>
      <c r="M35" s="61"/>
      <c r="N35" s="61"/>
      <c r="O35" s="60"/>
    </row>
    <row r="36" s="1" customFormat="1" ht="18" customHeight="1" spans="1:15">
      <c r="A36" s="43">
        <v>43269</v>
      </c>
      <c r="B36" s="25">
        <f t="shared" si="4"/>
        <v>5825.24</v>
      </c>
      <c r="C36" s="44"/>
      <c r="D36" s="45" t="s">
        <v>36</v>
      </c>
      <c r="E36" s="46">
        <v>0.03</v>
      </c>
      <c r="F36" s="25">
        <f t="shared" si="5"/>
        <v>174.76</v>
      </c>
      <c r="G36" s="189">
        <v>6000</v>
      </c>
      <c r="H36" s="31">
        <v>43264</v>
      </c>
      <c r="I36" s="32">
        <v>6000</v>
      </c>
      <c r="J36" s="40" t="s">
        <v>20</v>
      </c>
      <c r="K36" s="147" t="s">
        <v>51</v>
      </c>
      <c r="L36" s="60" t="s">
        <v>52</v>
      </c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>
        <v>43263</v>
      </c>
      <c r="I37" s="32">
        <v>-6000</v>
      </c>
      <c r="J37" s="40" t="s">
        <v>21</v>
      </c>
      <c r="K37" s="147" t="s">
        <v>50</v>
      </c>
      <c r="L37" s="60"/>
      <c r="M37" s="61"/>
      <c r="N37" s="61"/>
      <c r="O37" s="60"/>
    </row>
    <row r="38" s="2" customFormat="1" ht="18" customHeight="1" spans="1:15">
      <c r="A38" s="48">
        <v>43335</v>
      </c>
      <c r="B38" s="25">
        <f t="shared" si="4"/>
        <v>4000000</v>
      </c>
      <c r="C38" s="49"/>
      <c r="D38" s="50" t="s">
        <v>36</v>
      </c>
      <c r="E38" s="46">
        <v>0.03</v>
      </c>
      <c r="F38" s="25">
        <f t="shared" si="5"/>
        <v>120000</v>
      </c>
      <c r="G38" s="189">
        <v>4120000</v>
      </c>
      <c r="H38" s="36">
        <v>43335</v>
      </c>
      <c r="I38" s="188">
        <v>2000000</v>
      </c>
      <c r="J38" s="63" t="s">
        <v>20</v>
      </c>
      <c r="K38" s="148" t="s">
        <v>53</v>
      </c>
      <c r="L38" s="67" t="s">
        <v>54</v>
      </c>
      <c r="M38" s="65"/>
      <c r="N38" s="65"/>
      <c r="O38" s="67"/>
    </row>
    <row r="39" s="2" customFormat="1" ht="18" customHeight="1" spans="1:15">
      <c r="A39" s="48"/>
      <c r="B39" s="25">
        <f t="shared" si="4"/>
        <v>1344.34</v>
      </c>
      <c r="C39" s="49">
        <v>3</v>
      </c>
      <c r="D39" s="50" t="s">
        <v>36</v>
      </c>
      <c r="E39" s="46">
        <v>0.06</v>
      </c>
      <c r="F39" s="25">
        <f t="shared" si="5"/>
        <v>80.66</v>
      </c>
      <c r="G39" s="189">
        <f>285+690+450</f>
        <v>1425</v>
      </c>
      <c r="H39" s="36"/>
      <c r="I39" s="188"/>
      <c r="J39" s="63"/>
      <c r="K39" s="148" t="s">
        <v>55</v>
      </c>
      <c r="L39" s="67" t="s">
        <v>41</v>
      </c>
      <c r="M39" s="65"/>
      <c r="N39" s="65"/>
      <c r="O39" s="68">
        <v>43335</v>
      </c>
    </row>
    <row r="40" s="2" customFormat="1" ht="18" customHeight="1" spans="1:15">
      <c r="A40" s="48"/>
      <c r="B40" s="25">
        <f t="shared" si="4"/>
        <v>6510</v>
      </c>
      <c r="C40" s="49"/>
      <c r="D40" s="50" t="s">
        <v>39</v>
      </c>
      <c r="E40" s="46"/>
      <c r="F40" s="25">
        <f t="shared" si="5"/>
        <v>0</v>
      </c>
      <c r="G40" s="189">
        <v>6510</v>
      </c>
      <c r="H40" s="36"/>
      <c r="I40" s="188"/>
      <c r="J40" s="63"/>
      <c r="K40" s="148" t="s">
        <v>56</v>
      </c>
      <c r="L40" s="67" t="s">
        <v>57</v>
      </c>
      <c r="M40" s="65"/>
      <c r="N40" s="65"/>
      <c r="O40" s="68">
        <v>43335</v>
      </c>
    </row>
    <row r="41" s="2" customFormat="1" ht="18" customHeight="1" spans="1:15">
      <c r="A41" s="48"/>
      <c r="B41" s="25">
        <f t="shared" si="4"/>
        <v>11436.89</v>
      </c>
      <c r="C41" s="49">
        <v>2</v>
      </c>
      <c r="D41" s="50" t="s">
        <v>36</v>
      </c>
      <c r="E41" s="46">
        <v>0.03</v>
      </c>
      <c r="F41" s="25">
        <f t="shared" si="5"/>
        <v>343.11</v>
      </c>
      <c r="G41" s="189">
        <f>7740+4040</f>
        <v>11780</v>
      </c>
      <c r="H41" s="36"/>
      <c r="I41" s="188"/>
      <c r="J41" s="63"/>
      <c r="K41" s="148" t="s">
        <v>58</v>
      </c>
      <c r="L41" s="67" t="s">
        <v>59</v>
      </c>
      <c r="M41" s="65"/>
      <c r="N41" s="65"/>
      <c r="O41" s="68">
        <v>43335</v>
      </c>
    </row>
    <row r="42" s="2" customFormat="1" ht="18" customHeight="1" spans="1:15">
      <c r="A42" s="48"/>
      <c r="B42" s="25">
        <f t="shared" si="4"/>
        <v>1800</v>
      </c>
      <c r="C42" s="49"/>
      <c r="D42" s="50" t="s">
        <v>39</v>
      </c>
      <c r="E42" s="46"/>
      <c r="F42" s="25">
        <f t="shared" si="5"/>
        <v>0</v>
      </c>
      <c r="G42" s="189">
        <v>1800</v>
      </c>
      <c r="H42" s="36"/>
      <c r="I42" s="188"/>
      <c r="J42" s="63"/>
      <c r="K42" s="148" t="s">
        <v>56</v>
      </c>
      <c r="L42" s="67" t="s">
        <v>60</v>
      </c>
      <c r="M42" s="65"/>
      <c r="N42" s="65"/>
      <c r="O42" s="68">
        <v>43335</v>
      </c>
    </row>
    <row r="43" s="2" customFormat="1" ht="18" customHeight="1" spans="1:15">
      <c r="A43" s="48"/>
      <c r="B43" s="25">
        <f t="shared" si="4"/>
        <v>26788.86</v>
      </c>
      <c r="C43" s="49"/>
      <c r="D43" s="50" t="s">
        <v>61</v>
      </c>
      <c r="E43" s="46"/>
      <c r="F43" s="25">
        <f t="shared" si="5"/>
        <v>0</v>
      </c>
      <c r="G43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3" s="36"/>
      <c r="I43" s="188"/>
      <c r="J43" s="63"/>
      <c r="K43" s="148" t="s">
        <v>62</v>
      </c>
      <c r="L43" s="67" t="s">
        <v>63</v>
      </c>
      <c r="M43" s="65"/>
      <c r="N43" s="65"/>
      <c r="O43" s="68">
        <v>43335</v>
      </c>
    </row>
    <row r="44" s="2" customFormat="1" ht="18" customHeight="1" spans="1:15">
      <c r="A44" s="48"/>
      <c r="B44" s="25">
        <f t="shared" si="4"/>
        <v>4285.5</v>
      </c>
      <c r="C44" s="49"/>
      <c r="D44" s="50" t="s">
        <v>61</v>
      </c>
      <c r="E44" s="46"/>
      <c r="F44" s="25">
        <f t="shared" si="5"/>
        <v>0</v>
      </c>
      <c r="G44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4" s="36"/>
      <c r="I44" s="188"/>
      <c r="J44" s="63"/>
      <c r="K44" s="148" t="s">
        <v>62</v>
      </c>
      <c r="L44" s="67" t="s">
        <v>63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9856.03</v>
      </c>
      <c r="C45" s="49"/>
      <c r="D45" s="50" t="s">
        <v>39</v>
      </c>
      <c r="E45" s="46"/>
      <c r="F45" s="25">
        <f t="shared" si="5"/>
        <v>0</v>
      </c>
      <c r="G45" s="189">
        <f>200.03+500+400+286+300+410+910+405+530+300+500+230+280+295+285+400+380+405+200+200+400+425+405+300+310+300+300</f>
        <v>9856.03</v>
      </c>
      <c r="H45" s="36"/>
      <c r="I45" s="188"/>
      <c r="J45" s="63"/>
      <c r="K45" s="148" t="s">
        <v>64</v>
      </c>
      <c r="L45" s="67" t="s">
        <v>43</v>
      </c>
      <c r="M45" s="65"/>
      <c r="N45" s="65"/>
      <c r="O45" s="68">
        <v>43335</v>
      </c>
    </row>
    <row r="46" s="2" customFormat="1" ht="18" customHeight="1" spans="1:15">
      <c r="A46" s="48">
        <v>43435</v>
      </c>
      <c r="B46" s="25">
        <f t="shared" si="4"/>
        <v>53286.79</v>
      </c>
      <c r="C46" s="49"/>
      <c r="D46" s="50" t="s">
        <v>36</v>
      </c>
      <c r="E46" s="46">
        <v>0.06</v>
      </c>
      <c r="F46" s="25">
        <f t="shared" si="5"/>
        <v>3197.21</v>
      </c>
      <c r="G46" s="189">
        <v>56484</v>
      </c>
      <c r="H46" s="36"/>
      <c r="I46" s="188"/>
      <c r="J46" s="63"/>
      <c r="K46" s="148" t="s">
        <v>65</v>
      </c>
      <c r="L46" s="67" t="s">
        <v>66</v>
      </c>
      <c r="M46" s="65"/>
      <c r="N46" s="65"/>
      <c r="O46" s="67"/>
    </row>
    <row r="47" s="2" customFormat="1" ht="18" customHeight="1" spans="1:15">
      <c r="A47" s="48">
        <v>43435</v>
      </c>
      <c r="B47" s="25">
        <f t="shared" si="4"/>
        <v>5825.24</v>
      </c>
      <c r="C47" s="49"/>
      <c r="D47" s="50" t="s">
        <v>36</v>
      </c>
      <c r="E47" s="46">
        <v>0.03</v>
      </c>
      <c r="F47" s="25">
        <f t="shared" si="5"/>
        <v>174.76</v>
      </c>
      <c r="G47" s="189">
        <v>6000</v>
      </c>
      <c r="H47" s="36">
        <v>43369</v>
      </c>
      <c r="I47" s="188">
        <v>6000</v>
      </c>
      <c r="J47" s="63" t="s">
        <v>20</v>
      </c>
      <c r="K47" s="148" t="s">
        <v>51</v>
      </c>
      <c r="L47" s="67" t="s">
        <v>52</v>
      </c>
      <c r="M47" s="65"/>
      <c r="N47" s="65"/>
      <c r="O47" s="67"/>
    </row>
    <row r="48" s="2" customFormat="1" ht="18" customHeight="1" spans="1:15">
      <c r="A48" s="48">
        <v>43313</v>
      </c>
      <c r="B48" s="25">
        <f t="shared" si="4"/>
        <v>4654.31</v>
      </c>
      <c r="C48" s="49"/>
      <c r="D48" s="50" t="s">
        <v>36</v>
      </c>
      <c r="E48" s="46">
        <v>0.16</v>
      </c>
      <c r="F48" s="25">
        <f t="shared" si="5"/>
        <v>744.69</v>
      </c>
      <c r="G48" s="189">
        <v>5399</v>
      </c>
      <c r="H48" s="36">
        <v>43369</v>
      </c>
      <c r="I48" s="188">
        <v>-6000</v>
      </c>
      <c r="J48" s="63" t="s">
        <v>21</v>
      </c>
      <c r="K48" s="148" t="s">
        <v>50</v>
      </c>
      <c r="L48" s="67"/>
      <c r="M48" s="65"/>
      <c r="N48" s="65"/>
      <c r="O48" s="67"/>
    </row>
    <row r="49" s="2" customFormat="1" ht="18" customHeight="1" spans="1:15">
      <c r="A49" s="48">
        <v>43435</v>
      </c>
      <c r="B49" s="25">
        <f t="shared" si="4"/>
        <v>933.96</v>
      </c>
      <c r="C49" s="49"/>
      <c r="D49" s="50" t="s">
        <v>36</v>
      </c>
      <c r="E49" s="46">
        <v>0.06</v>
      </c>
      <c r="F49" s="25">
        <f t="shared" si="5"/>
        <v>56.04</v>
      </c>
      <c r="G49" s="189">
        <f>90+45+855</f>
        <v>990</v>
      </c>
      <c r="H49" s="36"/>
      <c r="I49" s="188"/>
      <c r="J49" s="63"/>
      <c r="K49" s="148" t="s">
        <v>40</v>
      </c>
      <c r="L49" s="67" t="s">
        <v>41</v>
      </c>
      <c r="M49" s="65"/>
      <c r="N49" s="65"/>
      <c r="O49" s="67"/>
    </row>
    <row r="50" s="2" customFormat="1" ht="18" customHeight="1" spans="1:15">
      <c r="A50" s="48">
        <v>43435</v>
      </c>
      <c r="B50" s="25">
        <f t="shared" si="4"/>
        <v>43031</v>
      </c>
      <c r="C50" s="49"/>
      <c r="D50" s="50"/>
      <c r="E50" s="46"/>
      <c r="F50" s="25">
        <f t="shared" si="5"/>
        <v>0</v>
      </c>
      <c r="G50" s="189">
        <v>43031</v>
      </c>
      <c r="H50" s="36"/>
      <c r="I50" s="188"/>
      <c r="J50" s="63"/>
      <c r="K50" s="148" t="s">
        <v>67</v>
      </c>
      <c r="L50" s="67" t="s">
        <v>68</v>
      </c>
      <c r="M50" s="65"/>
      <c r="N50" s="65"/>
      <c r="O50" s="67"/>
    </row>
    <row r="51" s="2" customFormat="1" ht="18" customHeight="1" spans="1:15">
      <c r="A51" s="48">
        <v>43466</v>
      </c>
      <c r="B51" s="25">
        <f t="shared" si="4"/>
        <v>4854368.93</v>
      </c>
      <c r="C51" s="49"/>
      <c r="D51" s="50" t="s">
        <v>36</v>
      </c>
      <c r="E51" s="46">
        <v>0.03</v>
      </c>
      <c r="F51" s="25">
        <f t="shared" si="5"/>
        <v>145631.07</v>
      </c>
      <c r="G51" s="189">
        <f>5*1000000</f>
        <v>5000000</v>
      </c>
      <c r="H51" s="36">
        <v>43339</v>
      </c>
      <c r="I51" s="188">
        <v>2095952</v>
      </c>
      <c r="J51" s="63" t="s">
        <v>20</v>
      </c>
      <c r="K51" s="148" t="s">
        <v>53</v>
      </c>
      <c r="L51" s="67" t="s">
        <v>54</v>
      </c>
      <c r="M51" s="65"/>
      <c r="N51" s="65"/>
      <c r="O51" s="67"/>
    </row>
    <row r="52" s="2" customFormat="1" ht="18" customHeight="1" spans="1:15">
      <c r="A52" s="48"/>
      <c r="B52" s="25">
        <f t="shared" si="4"/>
        <v>0</v>
      </c>
      <c r="C52" s="49"/>
      <c r="D52" s="50"/>
      <c r="E52" s="46"/>
      <c r="F52" s="25">
        <f t="shared" si="5"/>
        <v>0</v>
      </c>
      <c r="G52" s="189"/>
      <c r="H52" s="36">
        <v>43495</v>
      </c>
      <c r="I52" s="188">
        <v>3464800</v>
      </c>
      <c r="J52" s="63" t="s">
        <v>20</v>
      </c>
      <c r="K52" s="148" t="s">
        <v>53</v>
      </c>
      <c r="L52" s="67" t="s">
        <v>54</v>
      </c>
      <c r="M52" s="65"/>
      <c r="N52" s="65"/>
      <c r="O52" s="67"/>
    </row>
    <row r="53" s="2" customFormat="1" ht="18" customHeight="1" spans="1:15">
      <c r="A53" s="48"/>
      <c r="B53" s="25">
        <f t="shared" si="4"/>
        <v>0</v>
      </c>
      <c r="C53" s="49"/>
      <c r="D53" s="50"/>
      <c r="E53" s="46"/>
      <c r="F53" s="25">
        <f t="shared" si="5"/>
        <v>0</v>
      </c>
      <c r="G53" s="189"/>
      <c r="H53" s="36">
        <v>43497</v>
      </c>
      <c r="I53" s="188">
        <v>866800</v>
      </c>
      <c r="J53" s="63" t="s">
        <v>20</v>
      </c>
      <c r="K53" s="148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4"/>
        <v>0</v>
      </c>
      <c r="C54" s="49"/>
      <c r="D54" s="50"/>
      <c r="E54" s="46"/>
      <c r="F54" s="25">
        <f t="shared" si="5"/>
        <v>0</v>
      </c>
      <c r="G54" s="189"/>
      <c r="H54" s="36">
        <v>43629</v>
      </c>
      <c r="I54" s="188">
        <v>84810</v>
      </c>
      <c r="J54" s="63" t="s">
        <v>20</v>
      </c>
      <c r="K54" s="148" t="s">
        <v>69</v>
      </c>
      <c r="L54" s="67" t="s">
        <v>70</v>
      </c>
      <c r="M54" s="65"/>
      <c r="N54" s="65"/>
      <c r="O54" s="67"/>
    </row>
    <row r="55" s="2" customFormat="1" ht="18" customHeight="1" spans="1:15">
      <c r="A55" s="48"/>
      <c r="B55" s="25">
        <f t="shared" si="4"/>
        <v>0</v>
      </c>
      <c r="C55" s="49"/>
      <c r="D55" s="50"/>
      <c r="E55" s="46"/>
      <c r="F55" s="25">
        <f t="shared" si="5"/>
        <v>0</v>
      </c>
      <c r="G55" s="189"/>
      <c r="H55" s="36">
        <v>43629</v>
      </c>
      <c r="I55" s="188">
        <v>-84810</v>
      </c>
      <c r="J55" s="63" t="s">
        <v>21</v>
      </c>
      <c r="K55" s="148" t="s">
        <v>50</v>
      </c>
      <c r="L55" s="67"/>
      <c r="M55" s="65"/>
      <c r="N55" s="65"/>
      <c r="O55" s="67"/>
    </row>
    <row r="56" s="2" customFormat="1" ht="18" customHeight="1" spans="1:15">
      <c r="A56" s="48"/>
      <c r="B56" s="25">
        <f t="shared" si="4"/>
        <v>0</v>
      </c>
      <c r="C56" s="49"/>
      <c r="D56" s="50"/>
      <c r="E56" s="46"/>
      <c r="F56" s="25">
        <f t="shared" si="5"/>
        <v>0</v>
      </c>
      <c r="G56" s="189"/>
      <c r="H56" s="36">
        <v>43657</v>
      </c>
      <c r="I56" s="188">
        <v>66753</v>
      </c>
      <c r="J56" s="63" t="s">
        <v>20</v>
      </c>
      <c r="K56" s="148" t="s">
        <v>69</v>
      </c>
      <c r="L56" s="67" t="s">
        <v>70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43657</v>
      </c>
      <c r="I57" s="188">
        <v>-66753</v>
      </c>
      <c r="J57" s="63" t="s">
        <v>21</v>
      </c>
      <c r="K57" s="148" t="s">
        <v>50</v>
      </c>
      <c r="L57" s="67"/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43676</v>
      </c>
      <c r="I58" s="188">
        <v>67731.14</v>
      </c>
      <c r="J58" s="63" t="s">
        <v>20</v>
      </c>
      <c r="K58" s="148" t="s">
        <v>69</v>
      </c>
      <c r="L58" s="67" t="s">
        <v>70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43671</v>
      </c>
      <c r="I59" s="188">
        <v>-67731.14</v>
      </c>
      <c r="J59" s="63" t="s">
        <v>20</v>
      </c>
      <c r="K59" s="148" t="s">
        <v>71</v>
      </c>
      <c r="L59" s="67" t="s">
        <v>72</v>
      </c>
      <c r="M59" s="65"/>
      <c r="N59" s="65"/>
      <c r="O59" s="67"/>
    </row>
    <row r="60" s="2" customFormat="1" ht="18" customHeight="1" spans="1:15">
      <c r="A60" s="48">
        <v>43678</v>
      </c>
      <c r="B60" s="25">
        <f t="shared" si="4"/>
        <v>1000020</v>
      </c>
      <c r="C60" s="49"/>
      <c r="D60" s="50" t="s">
        <v>73</v>
      </c>
      <c r="E60" s="46"/>
      <c r="F60" s="25">
        <f t="shared" si="5"/>
        <v>0</v>
      </c>
      <c r="G60" s="189">
        <v>1000020</v>
      </c>
      <c r="H60" s="194">
        <v>43676</v>
      </c>
      <c r="I60" s="196">
        <v>500000</v>
      </c>
      <c r="J60" s="201" t="s">
        <v>21</v>
      </c>
      <c r="K60" s="202" t="s">
        <v>74</v>
      </c>
      <c r="L60" s="203" t="s">
        <v>75</v>
      </c>
      <c r="M60" s="201" t="s">
        <v>76</v>
      </c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194">
        <v>43682</v>
      </c>
      <c r="I61" s="196">
        <v>500000</v>
      </c>
      <c r="J61" s="201" t="s">
        <v>21</v>
      </c>
      <c r="K61" s="202" t="s">
        <v>74</v>
      </c>
      <c r="L61" s="204" t="s">
        <v>77</v>
      </c>
      <c r="M61" s="201" t="s">
        <v>76</v>
      </c>
      <c r="N61" s="65"/>
      <c r="O61" s="67"/>
    </row>
    <row r="62" s="2" customFormat="1" ht="18" customHeight="1" spans="1:15">
      <c r="A62" s="48">
        <v>43678</v>
      </c>
      <c r="B62" s="25">
        <f t="shared" si="4"/>
        <v>1000080</v>
      </c>
      <c r="C62" s="49"/>
      <c r="D62" s="50" t="s">
        <v>73</v>
      </c>
      <c r="E62" s="46"/>
      <c r="F62" s="25">
        <f t="shared" si="5"/>
        <v>0</v>
      </c>
      <c r="G62" s="189">
        <v>1000080</v>
      </c>
      <c r="H62" s="194">
        <v>43691</v>
      </c>
      <c r="I62" s="196">
        <v>1000000</v>
      </c>
      <c r="J62" s="201" t="s">
        <v>21</v>
      </c>
      <c r="K62" s="205" t="s">
        <v>78</v>
      </c>
      <c r="L62" s="206" t="s">
        <v>79</v>
      </c>
      <c r="M62" s="201" t="s">
        <v>76</v>
      </c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36">
        <v>43692</v>
      </c>
      <c r="I63" s="188">
        <v>-100000</v>
      </c>
      <c r="J63" s="63" t="s">
        <v>21</v>
      </c>
      <c r="K63" s="207" t="s">
        <v>50</v>
      </c>
      <c r="L63" s="208"/>
      <c r="M63" s="56"/>
      <c r="N63" s="65"/>
      <c r="O63" s="67"/>
    </row>
    <row r="64" s="2" customFormat="1" ht="18" customHeight="1" spans="1:15">
      <c r="A64" s="48"/>
      <c r="B64" s="25">
        <f t="shared" si="4"/>
        <v>0</v>
      </c>
      <c r="C64" s="49"/>
      <c r="D64" s="50"/>
      <c r="E64" s="46"/>
      <c r="F64" s="25">
        <f t="shared" si="5"/>
        <v>0</v>
      </c>
      <c r="G64" s="189"/>
      <c r="H64" s="36">
        <v>43692</v>
      </c>
      <c r="I64" s="188">
        <v>100000</v>
      </c>
      <c r="J64" s="63" t="s">
        <v>20</v>
      </c>
      <c r="K64" s="207" t="s">
        <v>80</v>
      </c>
      <c r="L64" s="208" t="s">
        <v>81</v>
      </c>
      <c r="M64" s="56"/>
      <c r="N64" s="65"/>
      <c r="O64" s="67"/>
    </row>
    <row r="65" s="2" customFormat="1" ht="18" customHeight="1" spans="1:15">
      <c r="A65" s="48"/>
      <c r="B65" s="25">
        <f t="shared" si="4"/>
        <v>0</v>
      </c>
      <c r="C65" s="49"/>
      <c r="D65" s="50"/>
      <c r="E65" s="46"/>
      <c r="F65" s="25">
        <f t="shared" si="5"/>
        <v>0</v>
      </c>
      <c r="G65" s="189"/>
      <c r="H65" s="36">
        <v>43703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36">
        <v>43704</v>
      </c>
      <c r="I66" s="188">
        <v>100000</v>
      </c>
      <c r="J66" s="63" t="s">
        <v>20</v>
      </c>
      <c r="K66" s="207" t="s">
        <v>80</v>
      </c>
      <c r="L66" s="67"/>
      <c r="M66" s="65"/>
      <c r="N66" s="65"/>
      <c r="O66" s="67"/>
    </row>
    <row r="67" s="2" customFormat="1" ht="18" customHeight="1" spans="1:15">
      <c r="A67" s="48"/>
      <c r="B67" s="25">
        <f t="shared" si="4"/>
        <v>0</v>
      </c>
      <c r="C67" s="49"/>
      <c r="D67" s="50"/>
      <c r="E67" s="46"/>
      <c r="F67" s="25">
        <f t="shared" si="5"/>
        <v>0</v>
      </c>
      <c r="G67" s="189"/>
      <c r="H67" s="36">
        <v>43717</v>
      </c>
      <c r="I67" s="188">
        <v>-100000</v>
      </c>
      <c r="J67" s="63" t="s">
        <v>21</v>
      </c>
      <c r="K67" s="207" t="s">
        <v>50</v>
      </c>
      <c r="L67" s="67"/>
      <c r="M67" s="65"/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43718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194">
        <v>43734</v>
      </c>
      <c r="I69" s="196">
        <v>300000</v>
      </c>
      <c r="J69" s="201" t="s">
        <v>20</v>
      </c>
      <c r="K69" s="202" t="s">
        <v>80</v>
      </c>
      <c r="L69" s="209"/>
      <c r="M69" s="201" t="s">
        <v>76</v>
      </c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195">
        <v>43749</v>
      </c>
      <c r="I70" s="196">
        <v>500000</v>
      </c>
      <c r="J70" s="201" t="s">
        <v>20</v>
      </c>
      <c r="K70" s="202" t="s">
        <v>80</v>
      </c>
      <c r="L70" s="209"/>
      <c r="M70" s="201" t="s">
        <v>76</v>
      </c>
      <c r="N70" s="65"/>
      <c r="O70" s="67"/>
    </row>
    <row r="71" s="2" customFormat="1" ht="18" customHeight="1" spans="1:15">
      <c r="A71" s="48">
        <v>43709</v>
      </c>
      <c r="B71" s="25">
        <f t="shared" si="4"/>
        <v>12426.15</v>
      </c>
      <c r="C71" s="49"/>
      <c r="D71" s="50" t="s">
        <v>39</v>
      </c>
      <c r="E71" s="46"/>
      <c r="F71" s="25">
        <f t="shared" si="5"/>
        <v>0</v>
      </c>
      <c r="G71" s="189">
        <v>12426.15</v>
      </c>
      <c r="H71" s="36"/>
      <c r="I71" s="210"/>
      <c r="J71" s="56"/>
      <c r="K71" s="207" t="s">
        <v>68</v>
      </c>
      <c r="L71" s="82"/>
      <c r="M71" s="56"/>
      <c r="N71" s="65"/>
      <c r="O71" s="67"/>
    </row>
    <row r="72" s="2" customFormat="1" ht="18" customHeight="1" spans="1:15">
      <c r="A72" s="48">
        <v>43709</v>
      </c>
      <c r="B72" s="25">
        <f t="shared" si="4"/>
        <v>10316.04</v>
      </c>
      <c r="C72" s="49"/>
      <c r="D72" s="50" t="s">
        <v>36</v>
      </c>
      <c r="E72" s="70">
        <v>0.06</v>
      </c>
      <c r="F72" s="25">
        <f t="shared" si="5"/>
        <v>618.96</v>
      </c>
      <c r="G72" s="189">
        <v>10935</v>
      </c>
      <c r="H72" s="36"/>
      <c r="I72" s="210"/>
      <c r="J72" s="56"/>
      <c r="K72" s="207" t="s">
        <v>82</v>
      </c>
      <c r="L72" s="82" t="s">
        <v>41</v>
      </c>
      <c r="M72" s="56"/>
      <c r="N72" s="65"/>
      <c r="O72" s="67"/>
    </row>
    <row r="73" s="2" customFormat="1" ht="18" customHeight="1" spans="1:15">
      <c r="A73" s="48">
        <v>43709</v>
      </c>
      <c r="B73" s="25">
        <f t="shared" si="4"/>
        <v>10424.53</v>
      </c>
      <c r="C73" s="49"/>
      <c r="D73" s="50" t="s">
        <v>36</v>
      </c>
      <c r="E73" s="70">
        <v>0.06</v>
      </c>
      <c r="F73" s="25">
        <f t="shared" si="5"/>
        <v>625.47</v>
      </c>
      <c r="G73" s="189">
        <v>11050</v>
      </c>
      <c r="H73" s="36"/>
      <c r="I73" s="210"/>
      <c r="J73" s="56"/>
      <c r="K73" s="207" t="s">
        <v>82</v>
      </c>
      <c r="L73" s="82" t="s">
        <v>52</v>
      </c>
      <c r="M73" s="56"/>
      <c r="N73" s="65"/>
      <c r="O73" s="67"/>
    </row>
    <row r="74" s="2" customFormat="1" ht="18" customHeight="1" spans="1:15">
      <c r="A74" s="48">
        <v>43709</v>
      </c>
      <c r="B74" s="25">
        <f t="shared" si="4"/>
        <v>80009.43</v>
      </c>
      <c r="C74" s="49"/>
      <c r="D74" s="50" t="s">
        <v>36</v>
      </c>
      <c r="E74" s="70">
        <v>0.06</v>
      </c>
      <c r="F74" s="25">
        <f t="shared" si="5"/>
        <v>4800.57</v>
      </c>
      <c r="G74" s="189">
        <v>84810</v>
      </c>
      <c r="H74" s="36"/>
      <c r="I74" s="210"/>
      <c r="J74" s="56"/>
      <c r="K74" s="207" t="s">
        <v>69</v>
      </c>
      <c r="L74" s="82" t="s">
        <v>83</v>
      </c>
      <c r="M74" s="56"/>
      <c r="N74" s="65"/>
      <c r="O74" s="67"/>
    </row>
    <row r="75" s="2" customFormat="1" ht="18" customHeight="1" spans="1:15">
      <c r="A75" s="48">
        <v>43709</v>
      </c>
      <c r="B75" s="25">
        <f t="shared" si="4"/>
        <v>63897.3</v>
      </c>
      <c r="C75" s="49"/>
      <c r="D75" s="50" t="s">
        <v>36</v>
      </c>
      <c r="E75" s="70">
        <v>0.06</v>
      </c>
      <c r="F75" s="25">
        <f t="shared" si="5"/>
        <v>3833.84</v>
      </c>
      <c r="G75" s="189">
        <v>67731.14</v>
      </c>
      <c r="H75" s="36"/>
      <c r="I75" s="210"/>
      <c r="J75" s="56"/>
      <c r="K75" s="207" t="s">
        <v>69</v>
      </c>
      <c r="L75" s="82" t="s">
        <v>83</v>
      </c>
      <c r="M75" s="56"/>
      <c r="N75" s="65"/>
      <c r="O75" s="67"/>
    </row>
    <row r="76" s="2" customFormat="1" ht="18" customHeight="1" spans="1:15">
      <c r="A76" s="48">
        <v>43739</v>
      </c>
      <c r="B76" s="25">
        <f t="shared" si="4"/>
        <v>443071.38</v>
      </c>
      <c r="C76" s="49"/>
      <c r="D76" s="50" t="s">
        <v>36</v>
      </c>
      <c r="E76" s="70">
        <v>0.13</v>
      </c>
      <c r="F76" s="25">
        <f t="shared" si="5"/>
        <v>57599.28</v>
      </c>
      <c r="G76" s="189">
        <v>500670.66</v>
      </c>
      <c r="H76" s="36">
        <v>43769</v>
      </c>
      <c r="I76" s="188">
        <v>200000</v>
      </c>
      <c r="J76" s="63" t="s">
        <v>20</v>
      </c>
      <c r="K76" s="207" t="s">
        <v>80</v>
      </c>
      <c r="L76" s="82" t="s">
        <v>84</v>
      </c>
      <c r="M76" s="56"/>
      <c r="N76" s="65"/>
      <c r="O76" s="67"/>
    </row>
    <row r="77" s="2" customFormat="1" ht="18" customHeight="1" spans="1:15">
      <c r="A77" s="48">
        <v>43739</v>
      </c>
      <c r="B77" s="25">
        <f t="shared" si="4"/>
        <v>257787.35</v>
      </c>
      <c r="C77" s="49"/>
      <c r="D77" s="50" t="s">
        <v>36</v>
      </c>
      <c r="E77" s="70">
        <v>0.13</v>
      </c>
      <c r="F77" s="196">
        <f t="shared" si="5"/>
        <v>33512.35</v>
      </c>
      <c r="G77" s="189">
        <v>291299.7</v>
      </c>
      <c r="H77" s="36"/>
      <c r="I77" s="210"/>
      <c r="J77" s="63" t="s">
        <v>20</v>
      </c>
      <c r="K77" s="207" t="s">
        <v>80</v>
      </c>
      <c r="L77" s="82" t="s">
        <v>85</v>
      </c>
      <c r="M77" s="56"/>
      <c r="N77" s="65"/>
      <c r="O77" s="67"/>
    </row>
    <row r="78" s="2" customFormat="1" ht="18" customHeight="1" spans="1:15">
      <c r="A78" s="48"/>
      <c r="B78" s="25">
        <f t="shared" si="4"/>
        <v>0</v>
      </c>
      <c r="C78" s="49"/>
      <c r="D78" s="50"/>
      <c r="E78" s="70"/>
      <c r="F78" s="25">
        <f t="shared" si="5"/>
        <v>0</v>
      </c>
      <c r="G78" s="189"/>
      <c r="H78" s="36">
        <v>43769</v>
      </c>
      <c r="I78" s="188">
        <v>600000</v>
      </c>
      <c r="J78" s="63" t="s">
        <v>20</v>
      </c>
      <c r="K78" s="148" t="s">
        <v>53</v>
      </c>
      <c r="L78" s="67" t="s">
        <v>54</v>
      </c>
      <c r="M78" s="56"/>
      <c r="N78" s="65"/>
      <c r="O78" s="67"/>
    </row>
    <row r="79" s="2" customFormat="1" ht="18" customHeight="1" spans="1:15">
      <c r="A79" s="48">
        <v>43770</v>
      </c>
      <c r="B79" s="25">
        <f t="shared" si="4"/>
        <v>500010</v>
      </c>
      <c r="C79" s="49"/>
      <c r="D79" s="50" t="s">
        <v>73</v>
      </c>
      <c r="E79" s="70"/>
      <c r="F79" s="25">
        <f t="shared" si="5"/>
        <v>0</v>
      </c>
      <c r="G79" s="189">
        <v>500010</v>
      </c>
      <c r="H79" s="36">
        <v>43773</v>
      </c>
      <c r="I79" s="188">
        <v>500010</v>
      </c>
      <c r="J79" s="63" t="s">
        <v>21</v>
      </c>
      <c r="K79" s="207" t="s">
        <v>74</v>
      </c>
      <c r="L79" s="82" t="s">
        <v>86</v>
      </c>
      <c r="M79" s="56"/>
      <c r="N79" s="65"/>
      <c r="O79" s="67"/>
    </row>
    <row r="80" s="2" customFormat="1" ht="18" customHeight="1" spans="1:15">
      <c r="A80" s="48">
        <v>43770</v>
      </c>
      <c r="B80" s="25">
        <f t="shared" si="4"/>
        <v>300000</v>
      </c>
      <c r="C80" s="49"/>
      <c r="D80" s="50" t="s">
        <v>73</v>
      </c>
      <c r="E80" s="70"/>
      <c r="F80" s="25">
        <f t="shared" si="5"/>
        <v>0</v>
      </c>
      <c r="G80" s="189">
        <v>300000</v>
      </c>
      <c r="H80" s="36">
        <v>43773</v>
      </c>
      <c r="I80" s="188">
        <v>300000</v>
      </c>
      <c r="J80" s="63" t="s">
        <v>21</v>
      </c>
      <c r="K80" s="207" t="s">
        <v>87</v>
      </c>
      <c r="L80" s="82" t="s">
        <v>88</v>
      </c>
      <c r="M80" s="56"/>
      <c r="N80" s="65"/>
      <c r="O80" s="67"/>
    </row>
    <row r="81" s="2" customFormat="1" ht="18" customHeight="1" spans="1:15">
      <c r="A81" s="48">
        <v>43770</v>
      </c>
      <c r="B81" s="25">
        <f t="shared" si="4"/>
        <v>300000</v>
      </c>
      <c r="C81" s="49"/>
      <c r="D81" s="50" t="s">
        <v>73</v>
      </c>
      <c r="E81" s="70"/>
      <c r="F81" s="25">
        <f t="shared" si="5"/>
        <v>0</v>
      </c>
      <c r="G81" s="189">
        <v>300000</v>
      </c>
      <c r="H81" s="36">
        <v>43773</v>
      </c>
      <c r="I81" s="188">
        <v>300000</v>
      </c>
      <c r="J81" s="63" t="s">
        <v>21</v>
      </c>
      <c r="K81" s="207" t="s">
        <v>89</v>
      </c>
      <c r="L81" s="82" t="s">
        <v>88</v>
      </c>
      <c r="M81" s="56"/>
      <c r="N81" s="65"/>
      <c r="O81" s="67"/>
    </row>
    <row r="82" s="2" customFormat="1" ht="18" customHeight="1" spans="1:15">
      <c r="A82" s="48">
        <v>43770</v>
      </c>
      <c r="B82" s="25">
        <f t="shared" si="4"/>
        <v>300060</v>
      </c>
      <c r="C82" s="49"/>
      <c r="D82" s="50" t="s">
        <v>73</v>
      </c>
      <c r="E82" s="70"/>
      <c r="F82" s="25">
        <f t="shared" si="5"/>
        <v>0</v>
      </c>
      <c r="G82" s="189">
        <v>300060</v>
      </c>
      <c r="H82" s="36">
        <v>43773</v>
      </c>
      <c r="I82" s="188">
        <v>300060</v>
      </c>
      <c r="J82" s="63" t="s">
        <v>21</v>
      </c>
      <c r="K82" s="207" t="s">
        <v>90</v>
      </c>
      <c r="L82" s="82" t="s">
        <v>91</v>
      </c>
      <c r="M82" s="56"/>
      <c r="N82" s="65"/>
      <c r="O82" s="67"/>
    </row>
    <row r="83" s="2" customFormat="1" ht="18" customHeight="1" spans="1:15">
      <c r="A83" s="48">
        <v>43770</v>
      </c>
      <c r="B83" s="25">
        <f t="shared" si="4"/>
        <v>0</v>
      </c>
      <c r="C83" s="49"/>
      <c r="D83" s="50"/>
      <c r="E83" s="70"/>
      <c r="F83" s="25">
        <f t="shared" si="5"/>
        <v>0</v>
      </c>
      <c r="G83" s="189"/>
      <c r="H83" s="36">
        <v>43773</v>
      </c>
      <c r="I83" s="188">
        <v>500000</v>
      </c>
      <c r="J83" s="63" t="s">
        <v>20</v>
      </c>
      <c r="K83" s="207" t="s">
        <v>92</v>
      </c>
      <c r="L83" s="82" t="s">
        <v>93</v>
      </c>
      <c r="M83" s="56"/>
      <c r="N83" s="65"/>
      <c r="O83" s="67"/>
    </row>
    <row r="84" s="2" customFormat="1" ht="18" customHeight="1" spans="1:15">
      <c r="A84" s="48"/>
      <c r="B84" s="25">
        <f t="shared" si="4"/>
        <v>0</v>
      </c>
      <c r="C84" s="49"/>
      <c r="D84" s="50"/>
      <c r="E84" s="70"/>
      <c r="F84" s="25">
        <f t="shared" si="5"/>
        <v>0</v>
      </c>
      <c r="G84" s="189"/>
      <c r="H84" s="36">
        <v>43775</v>
      </c>
      <c r="I84" s="188">
        <v>800000</v>
      </c>
      <c r="J84" s="63" t="s">
        <v>20</v>
      </c>
      <c r="K84" s="207" t="s">
        <v>94</v>
      </c>
      <c r="L84" s="82" t="s">
        <v>95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1165048.54</v>
      </c>
      <c r="C85" s="49"/>
      <c r="D85" s="50" t="s">
        <v>36</v>
      </c>
      <c r="E85" s="70">
        <v>0.03</v>
      </c>
      <c r="F85" s="197">
        <f t="shared" si="5"/>
        <v>34951.46</v>
      </c>
      <c r="G85" s="189">
        <f>96000*12+48000</f>
        <v>1200000</v>
      </c>
      <c r="H85" s="36">
        <v>43776</v>
      </c>
      <c r="I85" s="188">
        <v>400000</v>
      </c>
      <c r="J85" s="63" t="s">
        <v>20</v>
      </c>
      <c r="K85" s="207" t="s">
        <v>94</v>
      </c>
      <c r="L85" s="82" t="s">
        <v>95</v>
      </c>
      <c r="M85" s="56"/>
      <c r="N85" s="65"/>
      <c r="O85" s="67"/>
    </row>
    <row r="86" s="2" customFormat="1" ht="18" customHeight="1" spans="1:15">
      <c r="A86" s="48">
        <v>43770</v>
      </c>
      <c r="B86" s="25">
        <f t="shared" ref="B86:B88" si="6">ROUND(G86/(1+E86),2)</f>
        <v>326256.05</v>
      </c>
      <c r="C86" s="49"/>
      <c r="D86" s="50" t="s">
        <v>36</v>
      </c>
      <c r="E86" s="70">
        <v>0.13</v>
      </c>
      <c r="F86" s="197">
        <f t="shared" ref="F86:F88" si="7">ROUND(G86/(1+E86)*E86,2)</f>
        <v>42413.29</v>
      </c>
      <c r="G86" s="189">
        <v>368669.34</v>
      </c>
      <c r="H86" s="36"/>
      <c r="I86" s="210"/>
      <c r="J86" s="56"/>
      <c r="K86" s="207" t="s">
        <v>80</v>
      </c>
      <c r="L86" s="82" t="s">
        <v>96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6"/>
        <v>199980</v>
      </c>
      <c r="C87" s="49"/>
      <c r="D87" s="50" t="s">
        <v>73</v>
      </c>
      <c r="E87" s="70"/>
      <c r="F87" s="25">
        <f t="shared" si="7"/>
        <v>0</v>
      </c>
      <c r="G87" s="189">
        <v>199980</v>
      </c>
      <c r="H87" s="195">
        <v>43784</v>
      </c>
      <c r="I87" s="196">
        <v>199980</v>
      </c>
      <c r="J87" s="201" t="s">
        <v>21</v>
      </c>
      <c r="K87" s="202" t="s">
        <v>97</v>
      </c>
      <c r="L87" s="204" t="s">
        <v>98</v>
      </c>
      <c r="M87" s="56" t="s">
        <v>76</v>
      </c>
      <c r="N87" s="65"/>
      <c r="O87" s="67"/>
    </row>
    <row r="88" s="3" customFormat="1" ht="18" customHeight="1" spans="1:15">
      <c r="A88" s="74">
        <v>43770</v>
      </c>
      <c r="B88" s="25">
        <f t="shared" si="6"/>
        <v>442477.88</v>
      </c>
      <c r="C88" s="75"/>
      <c r="D88" s="76" t="s">
        <v>36</v>
      </c>
      <c r="E88" s="77">
        <v>0.13</v>
      </c>
      <c r="F88" s="197">
        <f t="shared" si="7"/>
        <v>57522.12</v>
      </c>
      <c r="G88" s="198">
        <v>500000</v>
      </c>
      <c r="H88" s="36"/>
      <c r="I88" s="188"/>
      <c r="J88" s="63"/>
      <c r="K88" s="207" t="s">
        <v>92</v>
      </c>
      <c r="L88" s="82" t="s">
        <v>99</v>
      </c>
      <c r="M88" s="63" t="s">
        <v>100</v>
      </c>
      <c r="N88" s="63"/>
      <c r="O88" s="82"/>
    </row>
    <row r="89" s="3" customFormat="1" ht="18" customHeight="1" spans="1:15">
      <c r="A89" s="74"/>
      <c r="B89" s="25"/>
      <c r="C89" s="75"/>
      <c r="D89" s="76"/>
      <c r="E89" s="77"/>
      <c r="F89" s="25"/>
      <c r="G89" s="198"/>
      <c r="H89" s="36">
        <v>43819</v>
      </c>
      <c r="I89" s="188">
        <v>92448</v>
      </c>
      <c r="J89" s="63" t="s">
        <v>20</v>
      </c>
      <c r="K89" s="148" t="s">
        <v>53</v>
      </c>
      <c r="L89" s="67" t="s">
        <v>54</v>
      </c>
      <c r="M89" s="63"/>
      <c r="N89" s="63"/>
      <c r="O89" s="82"/>
    </row>
    <row r="90" s="3" customFormat="1" ht="18" customHeight="1" spans="1:15">
      <c r="A90" s="74"/>
      <c r="B90" s="25">
        <f t="shared" ref="B90:B102" si="8">ROUND(G90/(1+E90),2)</f>
        <v>0</v>
      </c>
      <c r="C90" s="75"/>
      <c r="D90" s="76"/>
      <c r="E90" s="77"/>
      <c r="F90" s="25">
        <f t="shared" ref="F90:F102" si="9">ROUND(G90/(1+E90)*E90,2)</f>
        <v>0</v>
      </c>
      <c r="G90" s="198"/>
      <c r="H90" s="36">
        <v>43829</v>
      </c>
      <c r="I90" s="188">
        <v>800000</v>
      </c>
      <c r="J90" s="63" t="s">
        <v>20</v>
      </c>
      <c r="K90" s="207" t="s">
        <v>80</v>
      </c>
      <c r="L90" s="82" t="s">
        <v>81</v>
      </c>
      <c r="M90" s="63"/>
      <c r="N90" s="63"/>
      <c r="O90" s="82"/>
    </row>
    <row r="91" s="3" customFormat="1" ht="18" customHeight="1" spans="1:15">
      <c r="A91" s="74">
        <v>43800</v>
      </c>
      <c r="B91" s="25">
        <f t="shared" si="8"/>
        <v>650987.86</v>
      </c>
      <c r="C91" s="75"/>
      <c r="D91" s="76" t="s">
        <v>36</v>
      </c>
      <c r="E91" s="77">
        <v>0.13</v>
      </c>
      <c r="F91" s="25">
        <f t="shared" si="9"/>
        <v>84628.42</v>
      </c>
      <c r="G91" s="198">
        <v>735616.28</v>
      </c>
      <c r="H91" s="36"/>
      <c r="I91" s="188"/>
      <c r="J91" s="63"/>
      <c r="K91" s="207" t="s">
        <v>80</v>
      </c>
      <c r="L91" s="82" t="s">
        <v>101</v>
      </c>
      <c r="M91" s="63" t="s">
        <v>100</v>
      </c>
      <c r="N91" s="63"/>
      <c r="O91" s="82"/>
    </row>
    <row r="92" s="3" customFormat="1" ht="18" customHeight="1" spans="1:15">
      <c r="A92" s="74">
        <v>43800</v>
      </c>
      <c r="B92" s="25">
        <f t="shared" si="8"/>
        <v>5825242.72</v>
      </c>
      <c r="C92" s="75"/>
      <c r="D92" s="50" t="s">
        <v>36</v>
      </c>
      <c r="E92" s="70">
        <v>0.03</v>
      </c>
      <c r="F92" s="25">
        <f t="shared" si="9"/>
        <v>174757.28</v>
      </c>
      <c r="G92" s="198">
        <f>1000000*6</f>
        <v>6000000</v>
      </c>
      <c r="H92" s="36">
        <v>43843</v>
      </c>
      <c r="I92" s="188">
        <v>1000000</v>
      </c>
      <c r="J92" s="63" t="s">
        <v>20</v>
      </c>
      <c r="K92" s="207" t="s">
        <v>53</v>
      </c>
      <c r="L92" s="82" t="s">
        <v>54</v>
      </c>
      <c r="M92" s="63" t="s">
        <v>100</v>
      </c>
      <c r="N92" s="63"/>
      <c r="O92" s="82" t="s">
        <v>102</v>
      </c>
    </row>
    <row r="93" s="3" customFormat="1" ht="18" customHeight="1" spans="1:15">
      <c r="A93" s="74">
        <v>43831</v>
      </c>
      <c r="B93" s="25">
        <f t="shared" si="8"/>
        <v>3623633.45</v>
      </c>
      <c r="C93" s="75"/>
      <c r="D93" s="50" t="s">
        <v>36</v>
      </c>
      <c r="E93" s="77">
        <v>0.09</v>
      </c>
      <c r="F93" s="25">
        <f t="shared" si="9"/>
        <v>326127.01</v>
      </c>
      <c r="G93" s="198">
        <f>1000000*3+949760.46</f>
        <v>3949760.46</v>
      </c>
      <c r="H93" s="36">
        <v>43844</v>
      </c>
      <c r="I93" s="188">
        <v>500000</v>
      </c>
      <c r="J93" s="63" t="s">
        <v>20</v>
      </c>
      <c r="K93" s="207" t="s">
        <v>103</v>
      </c>
      <c r="L93" s="82" t="s">
        <v>54</v>
      </c>
      <c r="M93" s="63" t="s">
        <v>100</v>
      </c>
      <c r="N93" s="63"/>
      <c r="O93" s="82"/>
    </row>
    <row r="94" s="3" customFormat="1" ht="18" customHeight="1" spans="1:15">
      <c r="A94" s="74"/>
      <c r="B94" s="25">
        <f t="shared" si="8"/>
        <v>0</v>
      </c>
      <c r="C94" s="75"/>
      <c r="D94" s="76"/>
      <c r="E94" s="77"/>
      <c r="F94" s="25">
        <f t="shared" si="9"/>
        <v>0</v>
      </c>
      <c r="G94" s="198"/>
      <c r="H94" s="36">
        <v>43845</v>
      </c>
      <c r="I94" s="188">
        <v>2000000</v>
      </c>
      <c r="J94" s="63" t="s">
        <v>20</v>
      </c>
      <c r="K94" s="207" t="s">
        <v>103</v>
      </c>
      <c r="L94" s="82" t="s">
        <v>54</v>
      </c>
      <c r="M94" s="63"/>
      <c r="N94" s="63"/>
      <c r="O94" s="82"/>
    </row>
    <row r="95" s="3" customFormat="1" ht="18" customHeight="1" spans="1:15">
      <c r="A95" s="74"/>
      <c r="B95" s="25">
        <f t="shared" si="8"/>
        <v>0</v>
      </c>
      <c r="C95" s="75"/>
      <c r="D95" s="76"/>
      <c r="E95" s="77"/>
      <c r="F95" s="25">
        <f t="shared" si="9"/>
        <v>0</v>
      </c>
      <c r="G95" s="198"/>
      <c r="H95" s="36">
        <v>43849</v>
      </c>
      <c r="I95" s="188">
        <v>1449760.46</v>
      </c>
      <c r="J95" s="63" t="s">
        <v>20</v>
      </c>
      <c r="K95" s="207" t="s">
        <v>103</v>
      </c>
      <c r="L95" s="82" t="s">
        <v>54</v>
      </c>
      <c r="M95" s="63"/>
      <c r="N95" s="63"/>
      <c r="O95" s="82"/>
    </row>
    <row r="96" s="3" customFormat="1" ht="18" customHeight="1" spans="1:15">
      <c r="A96" s="74">
        <v>43831</v>
      </c>
      <c r="B96" s="25">
        <f t="shared" si="8"/>
        <v>600000</v>
      </c>
      <c r="C96" s="75"/>
      <c r="D96" s="50" t="s">
        <v>73</v>
      </c>
      <c r="E96" s="77"/>
      <c r="F96" s="25">
        <f t="shared" si="9"/>
        <v>0</v>
      </c>
      <c r="G96" s="237">
        <v>600000</v>
      </c>
      <c r="H96" s="36">
        <v>43850</v>
      </c>
      <c r="I96" s="188">
        <v>600000</v>
      </c>
      <c r="J96" s="63" t="s">
        <v>21</v>
      </c>
      <c r="K96" s="207" t="s">
        <v>89</v>
      </c>
      <c r="L96" s="82" t="s">
        <v>104</v>
      </c>
      <c r="M96" s="63"/>
      <c r="N96" s="63"/>
      <c r="O96" s="82"/>
    </row>
    <row r="97" s="3" customFormat="1" ht="18" customHeight="1" spans="1:15">
      <c r="A97" s="74">
        <v>43831</v>
      </c>
      <c r="B97" s="25">
        <f t="shared" si="8"/>
        <v>600000</v>
      </c>
      <c r="C97" s="75"/>
      <c r="D97" s="50" t="s">
        <v>73</v>
      </c>
      <c r="E97" s="77"/>
      <c r="F97" s="25">
        <f t="shared" si="9"/>
        <v>0</v>
      </c>
      <c r="G97" s="237">
        <v>600000</v>
      </c>
      <c r="H97" s="36">
        <v>43850</v>
      </c>
      <c r="I97" s="188">
        <v>600000</v>
      </c>
      <c r="J97" s="63" t="s">
        <v>21</v>
      </c>
      <c r="K97" s="207" t="s">
        <v>87</v>
      </c>
      <c r="L97" s="82" t="s">
        <v>104</v>
      </c>
      <c r="M97" s="63"/>
      <c r="N97" s="63"/>
      <c r="O97" s="82"/>
    </row>
    <row r="98" s="3" customFormat="1" ht="18" customHeight="1" spans="1:15">
      <c r="A98" s="74">
        <v>43891</v>
      </c>
      <c r="B98" s="25">
        <f t="shared" si="8"/>
        <v>530100</v>
      </c>
      <c r="C98" s="75"/>
      <c r="D98" s="50" t="s">
        <v>73</v>
      </c>
      <c r="E98" s="77"/>
      <c r="F98" s="25">
        <f t="shared" si="9"/>
        <v>0</v>
      </c>
      <c r="G98" s="237">
        <v>530100</v>
      </c>
      <c r="H98" s="36">
        <v>43903</v>
      </c>
      <c r="I98" s="188">
        <v>530000</v>
      </c>
      <c r="J98" s="63" t="s">
        <v>21</v>
      </c>
      <c r="K98" s="207" t="s">
        <v>105</v>
      </c>
      <c r="L98" s="82" t="s">
        <v>77</v>
      </c>
      <c r="M98" s="63"/>
      <c r="N98" s="63"/>
      <c r="O98" s="82"/>
    </row>
    <row r="99" s="3" customFormat="1" ht="18" customHeight="1" spans="1:15">
      <c r="A99" s="74">
        <v>43952</v>
      </c>
      <c r="B99" s="25">
        <v>1071625.66</v>
      </c>
      <c r="C99" s="75">
        <v>4</v>
      </c>
      <c r="D99" s="50" t="s">
        <v>36</v>
      </c>
      <c r="E99" s="77">
        <v>0.13</v>
      </c>
      <c r="F99" s="25">
        <v>139311.34</v>
      </c>
      <c r="G99" s="198">
        <f>B99+F99</f>
        <v>1210937</v>
      </c>
      <c r="H99" s="36">
        <v>43903</v>
      </c>
      <c r="I99" s="188">
        <v>200000</v>
      </c>
      <c r="J99" s="63" t="s">
        <v>20</v>
      </c>
      <c r="K99" s="207" t="s">
        <v>80</v>
      </c>
      <c r="L99" s="82" t="s">
        <v>81</v>
      </c>
      <c r="M99" s="63"/>
      <c r="N99" s="63"/>
      <c r="O99" s="82"/>
    </row>
    <row r="100" s="3" customFormat="1" ht="18" customHeight="1" spans="1:15">
      <c r="A100" s="74"/>
      <c r="B100" s="25">
        <f t="shared" si="8"/>
        <v>0</v>
      </c>
      <c r="C100" s="75"/>
      <c r="D100" s="50"/>
      <c r="E100" s="77"/>
      <c r="F100" s="25">
        <f t="shared" si="9"/>
        <v>0</v>
      </c>
      <c r="G100" s="198"/>
      <c r="H100" s="36">
        <v>43950</v>
      </c>
      <c r="I100" s="188">
        <v>400000</v>
      </c>
      <c r="J100" s="63" t="s">
        <v>20</v>
      </c>
      <c r="K100" s="207" t="s">
        <v>155</v>
      </c>
      <c r="L100" s="82" t="s">
        <v>81</v>
      </c>
      <c r="M100" s="63"/>
      <c r="N100" s="63"/>
      <c r="O100" s="82"/>
    </row>
    <row r="101" s="3" customFormat="1" ht="18" customHeight="1" spans="1:15">
      <c r="A101" s="74"/>
      <c r="B101" s="25">
        <f t="shared" si="8"/>
        <v>0</v>
      </c>
      <c r="C101" s="75"/>
      <c r="D101" s="50"/>
      <c r="E101" s="77"/>
      <c r="F101" s="25">
        <f t="shared" si="9"/>
        <v>0</v>
      </c>
      <c r="G101" s="198"/>
      <c r="H101" s="36">
        <v>43951</v>
      </c>
      <c r="I101" s="188">
        <v>970000</v>
      </c>
      <c r="J101" s="63" t="s">
        <v>21</v>
      </c>
      <c r="K101" s="207" t="s">
        <v>105</v>
      </c>
      <c r="L101" s="82"/>
      <c r="M101" s="63"/>
      <c r="N101" s="63"/>
      <c r="O101" s="82"/>
    </row>
    <row r="102" s="3" customFormat="1" ht="18" customHeight="1" spans="1:15">
      <c r="A102" s="74"/>
      <c r="B102" s="25">
        <f t="shared" si="8"/>
        <v>0</v>
      </c>
      <c r="C102" s="75"/>
      <c r="D102" s="50"/>
      <c r="E102" s="77"/>
      <c r="F102" s="25">
        <f t="shared" si="9"/>
        <v>0</v>
      </c>
      <c r="G102" s="198"/>
      <c r="H102" s="36">
        <v>43966</v>
      </c>
      <c r="I102" s="188">
        <v>150000</v>
      </c>
      <c r="J102" s="63" t="s">
        <v>20</v>
      </c>
      <c r="K102" s="207" t="s">
        <v>155</v>
      </c>
      <c r="L102" s="82" t="s">
        <v>81</v>
      </c>
      <c r="M102" s="63"/>
      <c r="N102" s="63"/>
      <c r="O102" s="82"/>
    </row>
    <row r="103" s="3" customFormat="1" ht="18" customHeight="1" spans="1:15">
      <c r="A103" s="74">
        <v>43831</v>
      </c>
      <c r="B103" s="25">
        <v>2632.08</v>
      </c>
      <c r="C103" s="75">
        <v>1</v>
      </c>
      <c r="D103" s="50" t="s">
        <v>36</v>
      </c>
      <c r="E103" s="77">
        <v>0.06</v>
      </c>
      <c r="F103" s="25">
        <v>157.92</v>
      </c>
      <c r="G103" s="198">
        <v>2790</v>
      </c>
      <c r="H103" s="36"/>
      <c r="I103" s="188"/>
      <c r="J103" s="63"/>
      <c r="K103" s="207" t="s">
        <v>156</v>
      </c>
      <c r="L103" s="82" t="s">
        <v>52</v>
      </c>
      <c r="M103" s="63"/>
      <c r="N103" s="63"/>
      <c r="O103" s="82"/>
    </row>
    <row r="104" s="3" customFormat="1" ht="18" customHeight="1" spans="1:15">
      <c r="A104" s="74"/>
      <c r="B104" s="25"/>
      <c r="C104" s="75"/>
      <c r="D104" s="50"/>
      <c r="E104" s="77"/>
      <c r="F104" s="25"/>
      <c r="G104" s="198"/>
      <c r="H104" s="36"/>
      <c r="I104" s="188"/>
      <c r="J104" s="63"/>
      <c r="K104" s="207"/>
      <c r="L104" s="82"/>
      <c r="M104" s="63"/>
      <c r="N104" s="63"/>
      <c r="O104" s="82"/>
    </row>
    <row r="105" s="3" customFormat="1" ht="18" customHeight="1" spans="1:15">
      <c r="A105" s="74"/>
      <c r="B105" s="25"/>
      <c r="C105" s="75"/>
      <c r="D105" s="50"/>
      <c r="E105" s="77"/>
      <c r="F105" s="25"/>
      <c r="G105" s="198"/>
      <c r="H105" s="36"/>
      <c r="I105" s="188"/>
      <c r="J105" s="63"/>
      <c r="K105" s="207"/>
      <c r="L105" s="82"/>
      <c r="M105" s="63"/>
      <c r="N105" s="63"/>
      <c r="O105" s="82"/>
    </row>
    <row r="106" s="3" customFormat="1" ht="18" customHeight="1" spans="1:15">
      <c r="A106" s="74"/>
      <c r="B106" s="25">
        <f t="shared" ref="B106:B111" si="10">ROUND(G106/(1+E106),2)</f>
        <v>0</v>
      </c>
      <c r="C106" s="75"/>
      <c r="D106" s="50"/>
      <c r="E106" s="77"/>
      <c r="F106" s="25">
        <f t="shared" ref="F106:F111" si="11">ROUND(G106/(1+E106)*E106,2)</f>
        <v>0</v>
      </c>
      <c r="G106" s="198"/>
      <c r="H106" s="36"/>
      <c r="I106" s="188"/>
      <c r="J106" s="63"/>
      <c r="K106" s="207"/>
      <c r="L106" s="82"/>
      <c r="M106" s="63"/>
      <c r="N106" s="63"/>
      <c r="O106" s="82"/>
    </row>
    <row r="107" s="3" customFormat="1" ht="18" customHeight="1" spans="1:15">
      <c r="A107" s="74"/>
      <c r="B107" s="25">
        <f t="shared" si="10"/>
        <v>0</v>
      </c>
      <c r="C107" s="75"/>
      <c r="D107" s="50"/>
      <c r="E107" s="77"/>
      <c r="F107" s="25">
        <f t="shared" si="11"/>
        <v>0</v>
      </c>
      <c r="G107" s="198"/>
      <c r="H107" s="36">
        <v>43966</v>
      </c>
      <c r="I107" s="188">
        <v>100</v>
      </c>
      <c r="J107" s="65" t="s">
        <v>106</v>
      </c>
      <c r="K107" s="207" t="s">
        <v>110</v>
      </c>
      <c r="L107" s="82"/>
      <c r="M107" s="63"/>
      <c r="N107" s="63"/>
      <c r="O107" s="82"/>
    </row>
    <row r="108" s="3" customFormat="1" ht="18" customHeight="1" spans="1:15">
      <c r="A108" s="74"/>
      <c r="B108" s="25">
        <f t="shared" si="10"/>
        <v>0</v>
      </c>
      <c r="C108" s="75"/>
      <c r="D108" s="50"/>
      <c r="E108" s="77"/>
      <c r="F108" s="25">
        <f t="shared" si="11"/>
        <v>0</v>
      </c>
      <c r="G108" s="198"/>
      <c r="H108" s="76">
        <v>10.2</v>
      </c>
      <c r="I108" s="188">
        <v>100</v>
      </c>
      <c r="J108" s="65" t="s">
        <v>106</v>
      </c>
      <c r="K108" s="207" t="s">
        <v>110</v>
      </c>
      <c r="L108" s="82"/>
      <c r="M108" s="63"/>
      <c r="N108" s="63"/>
      <c r="O108" s="82"/>
    </row>
    <row r="109" s="3" customFormat="1" ht="18" customHeight="1" spans="1:15">
      <c r="A109" s="74"/>
      <c r="B109" s="25">
        <f t="shared" si="10"/>
        <v>0</v>
      </c>
      <c r="C109" s="75"/>
      <c r="D109" s="50"/>
      <c r="E109" s="77"/>
      <c r="F109" s="25">
        <f t="shared" si="11"/>
        <v>0</v>
      </c>
      <c r="G109" s="198"/>
      <c r="H109" s="76">
        <v>10.1</v>
      </c>
      <c r="I109" s="188">
        <v>100</v>
      </c>
      <c r="J109" s="65" t="s">
        <v>106</v>
      </c>
      <c r="K109" s="207" t="s">
        <v>110</v>
      </c>
      <c r="L109" s="82"/>
      <c r="M109" s="63"/>
      <c r="N109" s="63"/>
      <c r="O109" s="82"/>
    </row>
    <row r="110" s="3" customFormat="1" ht="18" customHeight="1" spans="1:15">
      <c r="A110" s="74"/>
      <c r="B110" s="25">
        <f t="shared" si="10"/>
        <v>0</v>
      </c>
      <c r="C110" s="75"/>
      <c r="D110" s="50"/>
      <c r="E110" s="77"/>
      <c r="F110" s="25">
        <f t="shared" si="11"/>
        <v>0</v>
      </c>
      <c r="G110" s="198"/>
      <c r="H110" s="76">
        <v>10.1</v>
      </c>
      <c r="I110" s="188">
        <f>B12*0.0006</f>
        <v>853.211009174312</v>
      </c>
      <c r="J110" s="65" t="s">
        <v>106</v>
      </c>
      <c r="K110" s="207" t="s">
        <v>107</v>
      </c>
      <c r="L110" s="82">
        <f>I110+I111+I114+I119+I122+I123+I124+I125+I132+I133+I139+I141+I142</f>
        <v>916149.577981651</v>
      </c>
      <c r="M110" s="63"/>
      <c r="N110" s="63"/>
      <c r="O110" s="82"/>
    </row>
    <row r="111" s="3" customFormat="1" ht="18" customHeight="1" spans="1:15">
      <c r="A111" s="74"/>
      <c r="B111" s="25">
        <f t="shared" si="10"/>
        <v>0</v>
      </c>
      <c r="C111" s="75"/>
      <c r="D111" s="50"/>
      <c r="E111" s="77"/>
      <c r="F111" s="25">
        <f t="shared" si="11"/>
        <v>0</v>
      </c>
      <c r="G111" s="198"/>
      <c r="H111" s="76">
        <v>10.1</v>
      </c>
      <c r="I111" s="188">
        <f>B12*0.02</f>
        <v>28440.3669724771</v>
      </c>
      <c r="J111" s="65" t="s">
        <v>106</v>
      </c>
      <c r="K111" s="207" t="s">
        <v>108</v>
      </c>
      <c r="L111" s="82"/>
      <c r="M111" s="63"/>
      <c r="N111" s="63"/>
      <c r="O111" s="82"/>
    </row>
    <row r="112" s="3" customFormat="1" ht="18" customHeight="1" spans="1:15">
      <c r="A112" s="74"/>
      <c r="B112" s="25"/>
      <c r="C112" s="75"/>
      <c r="D112" s="50"/>
      <c r="E112" s="77"/>
      <c r="F112" s="25"/>
      <c r="G112" s="198"/>
      <c r="H112" s="76">
        <v>10.1</v>
      </c>
      <c r="I112" s="188">
        <f>G12*0.005</f>
        <v>7750</v>
      </c>
      <c r="J112" s="65" t="s">
        <v>106</v>
      </c>
      <c r="K112" s="207" t="s">
        <v>157</v>
      </c>
      <c r="L112" s="82">
        <f>I112+I144</f>
        <v>140600</v>
      </c>
      <c r="M112" s="63"/>
      <c r="N112" s="63"/>
      <c r="O112" s="82"/>
    </row>
    <row r="113" s="3" customFormat="1" ht="18" customHeight="1" spans="1:15">
      <c r="A113" s="74"/>
      <c r="B113" s="25">
        <f>ROUND(G113/(1+E113),2)</f>
        <v>0</v>
      </c>
      <c r="C113" s="75"/>
      <c r="D113" s="50"/>
      <c r="E113" s="77"/>
      <c r="F113" s="25">
        <f t="shared" ref="F113:F134" si="12">ROUND(G113/(1+E113)*E113,2)</f>
        <v>0</v>
      </c>
      <c r="G113" s="198"/>
      <c r="H113" s="36" t="s">
        <v>109</v>
      </c>
      <c r="I113" s="188">
        <v>200</v>
      </c>
      <c r="J113" s="65" t="s">
        <v>106</v>
      </c>
      <c r="K113" s="207" t="s">
        <v>110</v>
      </c>
      <c r="L113" s="82">
        <f>I113+I115+I116+I117+I118+I120+I127+I130+I134+I143+I109</f>
        <v>245132.79</v>
      </c>
      <c r="M113" s="63"/>
      <c r="N113" s="63"/>
      <c r="O113" s="82"/>
    </row>
    <row r="114" s="3" customFormat="1" ht="18" customHeight="1" spans="1:15">
      <c r="A114" s="74"/>
      <c r="B114" s="25">
        <f>ROUND(G114/(1+E114),2)</f>
        <v>0</v>
      </c>
      <c r="C114" s="75"/>
      <c r="D114" s="50"/>
      <c r="E114" s="77"/>
      <c r="F114" s="25">
        <f t="shared" si="12"/>
        <v>0</v>
      </c>
      <c r="G114" s="198"/>
      <c r="H114" s="36" t="s">
        <v>111</v>
      </c>
      <c r="I114" s="188">
        <v>-285325</v>
      </c>
      <c r="J114" s="63" t="s">
        <v>112</v>
      </c>
      <c r="K114" s="205" t="s">
        <v>158</v>
      </c>
      <c r="L114" s="82"/>
      <c r="M114" s="63"/>
      <c r="N114" s="63"/>
      <c r="O114" s="82"/>
    </row>
    <row r="115" s="3" customFormat="1" ht="18" customHeight="1" spans="1:15">
      <c r="A115" s="74"/>
      <c r="B115" s="25">
        <f>ROUND(G115/(1+E115),2)</f>
        <v>0</v>
      </c>
      <c r="C115" s="75"/>
      <c r="D115" s="76"/>
      <c r="E115" s="77"/>
      <c r="F115" s="25">
        <f t="shared" si="12"/>
        <v>0</v>
      </c>
      <c r="G115" s="198"/>
      <c r="H115" s="36" t="s">
        <v>111</v>
      </c>
      <c r="I115" s="188">
        <v>200</v>
      </c>
      <c r="J115" s="65" t="s">
        <v>106</v>
      </c>
      <c r="K115" s="207" t="s">
        <v>110</v>
      </c>
      <c r="L115" s="82"/>
      <c r="M115" s="63"/>
      <c r="N115" s="63"/>
      <c r="O115" s="82"/>
    </row>
    <row r="116" s="3" customFormat="1" ht="18" customHeight="1" spans="1:15">
      <c r="A116" s="74"/>
      <c r="B116" s="25">
        <f>ROUND(G116/(1+E116),2)</f>
        <v>0</v>
      </c>
      <c r="C116" s="75"/>
      <c r="D116" s="76"/>
      <c r="E116" s="77"/>
      <c r="F116" s="25">
        <f t="shared" si="12"/>
        <v>0</v>
      </c>
      <c r="G116" s="198"/>
      <c r="H116" s="36" t="s">
        <v>113</v>
      </c>
      <c r="I116" s="188">
        <v>300</v>
      </c>
      <c r="J116" s="65" t="s">
        <v>106</v>
      </c>
      <c r="K116" s="207" t="s">
        <v>110</v>
      </c>
      <c r="L116" s="82"/>
      <c r="M116" s="63"/>
      <c r="N116" s="63"/>
      <c r="O116" s="82"/>
    </row>
    <row r="117" s="3" customFormat="1" ht="18" customHeight="1" spans="1:15">
      <c r="A117" s="74"/>
      <c r="B117" s="25">
        <f>ROUND(G117/(1+E117),2)</f>
        <v>0</v>
      </c>
      <c r="C117" s="75"/>
      <c r="D117" s="76"/>
      <c r="E117" s="77"/>
      <c r="F117" s="25">
        <f t="shared" si="12"/>
        <v>0</v>
      </c>
      <c r="G117" s="198"/>
      <c r="H117" s="36" t="s">
        <v>114</v>
      </c>
      <c r="I117" s="188">
        <v>9600</v>
      </c>
      <c r="J117" s="65" t="s">
        <v>106</v>
      </c>
      <c r="K117" s="207" t="s">
        <v>115</v>
      </c>
      <c r="L117" s="82"/>
      <c r="M117" s="63"/>
      <c r="N117" s="63"/>
      <c r="O117" s="82"/>
    </row>
    <row r="118" s="3" customFormat="1" ht="18" customHeight="1" spans="1:15">
      <c r="A118" s="74"/>
      <c r="B118" s="25">
        <f t="shared" ref="B118:B134" si="13">ROUND(G118/(1+E118),2)</f>
        <v>0</v>
      </c>
      <c r="C118" s="75"/>
      <c r="D118" s="76"/>
      <c r="E118" s="77"/>
      <c r="F118" s="25">
        <f t="shared" si="12"/>
        <v>0</v>
      </c>
      <c r="G118" s="198"/>
      <c r="H118" s="36" t="s">
        <v>114</v>
      </c>
      <c r="I118" s="188">
        <v>200</v>
      </c>
      <c r="J118" s="65" t="s">
        <v>106</v>
      </c>
      <c r="K118" s="207" t="s">
        <v>110</v>
      </c>
      <c r="L118" s="82"/>
      <c r="M118" s="63"/>
      <c r="N118" s="63"/>
      <c r="O118" s="82"/>
    </row>
    <row r="119" s="3" customFormat="1" ht="18" customHeight="1" spans="1:15">
      <c r="A119" s="74"/>
      <c r="B119" s="25">
        <f t="shared" si="13"/>
        <v>0</v>
      </c>
      <c r="C119" s="75"/>
      <c r="D119" s="76"/>
      <c r="E119" s="77"/>
      <c r="F119" s="25">
        <f t="shared" si="12"/>
        <v>0</v>
      </c>
      <c r="G119" s="198"/>
      <c r="H119" s="36" t="s">
        <v>114</v>
      </c>
      <c r="I119" s="188">
        <v>-903045</v>
      </c>
      <c r="J119" s="63" t="s">
        <v>112</v>
      </c>
      <c r="K119" s="207" t="s">
        <v>116</v>
      </c>
      <c r="L119" s="82"/>
      <c r="M119" s="63"/>
      <c r="N119" s="63"/>
      <c r="O119" s="82"/>
    </row>
    <row r="120" s="3" customFormat="1" ht="18" customHeight="1" spans="1:15">
      <c r="A120" s="74"/>
      <c r="B120" s="25">
        <f t="shared" si="13"/>
        <v>0</v>
      </c>
      <c r="C120" s="75"/>
      <c r="D120" s="76"/>
      <c r="E120" s="77"/>
      <c r="F120" s="25">
        <f t="shared" si="12"/>
        <v>0</v>
      </c>
      <c r="G120" s="198"/>
      <c r="H120" s="36" t="s">
        <v>117</v>
      </c>
      <c r="I120" s="188">
        <v>232932.79</v>
      </c>
      <c r="J120" s="63" t="s">
        <v>106</v>
      </c>
      <c r="K120" s="207" t="s">
        <v>118</v>
      </c>
      <c r="L120" s="82"/>
      <c r="M120" s="63"/>
      <c r="N120" s="63"/>
      <c r="O120" s="82"/>
    </row>
    <row r="121" s="3" customFormat="1" ht="18" customHeight="1" spans="1:15">
      <c r="A121" s="74"/>
      <c r="B121" s="25">
        <f t="shared" si="13"/>
        <v>0</v>
      </c>
      <c r="C121" s="75"/>
      <c r="D121" s="76"/>
      <c r="E121" s="77"/>
      <c r="F121" s="25">
        <f t="shared" si="12"/>
        <v>0</v>
      </c>
      <c r="G121" s="198"/>
      <c r="H121" s="36" t="s">
        <v>117</v>
      </c>
      <c r="I121" s="188"/>
      <c r="J121" s="63" t="s">
        <v>106</v>
      </c>
      <c r="K121" s="207" t="s">
        <v>119</v>
      </c>
      <c r="L121" s="82"/>
      <c r="M121" s="63"/>
      <c r="N121" s="63"/>
      <c r="O121" s="82"/>
    </row>
    <row r="122" s="3" customFormat="1" ht="18" customHeight="1" spans="1:15">
      <c r="A122" s="74"/>
      <c r="B122" s="25">
        <f t="shared" si="13"/>
        <v>0</v>
      </c>
      <c r="C122" s="75"/>
      <c r="D122" s="76"/>
      <c r="E122" s="77"/>
      <c r="F122" s="25">
        <f t="shared" si="12"/>
        <v>0</v>
      </c>
      <c r="G122" s="198"/>
      <c r="H122" s="36" t="s">
        <v>117</v>
      </c>
      <c r="I122" s="188">
        <v>903045</v>
      </c>
      <c r="J122" s="63" t="s">
        <v>120</v>
      </c>
      <c r="K122" s="207" t="s">
        <v>121</v>
      </c>
      <c r="L122" s="82"/>
      <c r="M122" s="63"/>
      <c r="N122" s="63"/>
      <c r="O122" s="82"/>
    </row>
    <row r="123" s="3" customFormat="1" ht="18" customHeight="1" spans="1:15">
      <c r="A123" s="74"/>
      <c r="B123" s="25">
        <f t="shared" si="13"/>
        <v>0</v>
      </c>
      <c r="C123" s="75"/>
      <c r="D123" s="76"/>
      <c r="E123" s="77"/>
      <c r="F123" s="25">
        <f t="shared" si="12"/>
        <v>0</v>
      </c>
      <c r="G123" s="198"/>
      <c r="H123" s="36" t="s">
        <v>117</v>
      </c>
      <c r="I123" s="188">
        <v>485252</v>
      </c>
      <c r="J123" s="63" t="s">
        <v>106</v>
      </c>
      <c r="K123" s="207" t="s">
        <v>122</v>
      </c>
      <c r="L123" s="82"/>
      <c r="M123" s="63"/>
      <c r="N123" s="63"/>
      <c r="O123" s="82"/>
    </row>
    <row r="124" s="3" customFormat="1" ht="18" customHeight="1" spans="1:15">
      <c r="A124" s="74"/>
      <c r="B124" s="25">
        <f t="shared" si="13"/>
        <v>0</v>
      </c>
      <c r="C124" s="75"/>
      <c r="D124" s="76"/>
      <c r="E124" s="77"/>
      <c r="F124" s="25">
        <f t="shared" si="12"/>
        <v>0</v>
      </c>
      <c r="G124" s="198"/>
      <c r="H124" s="36" t="s">
        <v>117</v>
      </c>
      <c r="I124" s="188">
        <v>4789</v>
      </c>
      <c r="J124" s="63" t="s">
        <v>106</v>
      </c>
      <c r="K124" s="207" t="s">
        <v>123</v>
      </c>
      <c r="L124" s="82"/>
      <c r="M124" s="63"/>
      <c r="N124" s="63"/>
      <c r="O124" s="82"/>
    </row>
    <row r="125" s="3" customFormat="1" ht="18" customHeight="1" spans="1:15">
      <c r="A125" s="74"/>
      <c r="B125" s="25">
        <f t="shared" si="13"/>
        <v>0</v>
      </c>
      <c r="C125" s="75"/>
      <c r="D125" s="76"/>
      <c r="E125" s="77"/>
      <c r="F125" s="25">
        <f t="shared" si="12"/>
        <v>0</v>
      </c>
      <c r="G125" s="198"/>
      <c r="H125" s="36" t="s">
        <v>117</v>
      </c>
      <c r="I125" s="188">
        <v>429349</v>
      </c>
      <c r="J125" s="63" t="s">
        <v>106</v>
      </c>
      <c r="K125" s="205" t="s">
        <v>124</v>
      </c>
      <c r="L125" s="82"/>
      <c r="M125" s="63"/>
      <c r="N125" s="63"/>
      <c r="O125" s="82"/>
    </row>
    <row r="126" s="3" customFormat="1" ht="18" customHeight="1" spans="1:15">
      <c r="A126" s="74"/>
      <c r="B126" s="25">
        <f t="shared" si="13"/>
        <v>0</v>
      </c>
      <c r="C126" s="75"/>
      <c r="D126" s="76"/>
      <c r="E126" s="77"/>
      <c r="F126" s="25">
        <f t="shared" si="12"/>
        <v>0</v>
      </c>
      <c r="G126" s="198"/>
      <c r="H126" s="36" t="s">
        <v>117</v>
      </c>
      <c r="I126" s="188">
        <v>87000</v>
      </c>
      <c r="J126" s="63" t="s">
        <v>125</v>
      </c>
      <c r="K126" s="207" t="s">
        <v>126</v>
      </c>
      <c r="L126" s="82"/>
      <c r="M126" s="63"/>
      <c r="N126" s="63"/>
      <c r="O126" s="82"/>
    </row>
    <row r="127" s="2" customFormat="1" ht="18" customHeight="1" spans="1:15">
      <c r="A127" s="48"/>
      <c r="B127" s="25">
        <f t="shared" si="13"/>
        <v>0</v>
      </c>
      <c r="C127" s="49"/>
      <c r="D127" s="50"/>
      <c r="E127" s="70"/>
      <c r="F127" s="25">
        <f t="shared" si="12"/>
        <v>0</v>
      </c>
      <c r="G127" s="189"/>
      <c r="H127" s="36" t="s">
        <v>117</v>
      </c>
      <c r="I127" s="188">
        <v>100</v>
      </c>
      <c r="J127" s="65" t="s">
        <v>106</v>
      </c>
      <c r="K127" s="207" t="s">
        <v>110</v>
      </c>
      <c r="L127" s="82"/>
      <c r="M127" s="56"/>
      <c r="N127" s="65"/>
      <c r="O127" s="67"/>
    </row>
    <row r="128" s="2" customFormat="1" ht="18" customHeight="1" spans="1:15">
      <c r="A128" s="48"/>
      <c r="B128" s="25">
        <f t="shared" si="13"/>
        <v>0</v>
      </c>
      <c r="C128" s="49"/>
      <c r="D128" s="50"/>
      <c r="E128" s="70"/>
      <c r="F128" s="25">
        <f t="shared" si="12"/>
        <v>0</v>
      </c>
      <c r="G128" s="189"/>
      <c r="H128" s="36" t="s">
        <v>117</v>
      </c>
      <c r="I128" s="188"/>
      <c r="J128" s="63"/>
      <c r="K128" s="207"/>
      <c r="L128" s="82"/>
      <c r="M128" s="56"/>
      <c r="N128" s="65"/>
      <c r="O128" s="67"/>
    </row>
    <row r="129" s="2" customFormat="1" ht="18" customHeight="1" spans="1:15">
      <c r="A129" s="48"/>
      <c r="B129" s="25">
        <f t="shared" si="13"/>
        <v>0</v>
      </c>
      <c r="C129" s="49"/>
      <c r="D129" s="50"/>
      <c r="E129" s="70"/>
      <c r="F129" s="25">
        <f t="shared" si="12"/>
        <v>0</v>
      </c>
      <c r="G129" s="189"/>
      <c r="H129" s="36" t="s">
        <v>127</v>
      </c>
      <c r="I129" s="188">
        <v>-93700</v>
      </c>
      <c r="J129" s="63" t="s">
        <v>125</v>
      </c>
      <c r="K129" s="148" t="s">
        <v>126</v>
      </c>
      <c r="L129" s="82"/>
      <c r="M129" s="56"/>
      <c r="N129" s="65"/>
      <c r="O129" s="67"/>
    </row>
    <row r="130" s="2" customFormat="1" ht="18" customHeight="1" spans="1:16">
      <c r="A130" s="48"/>
      <c r="B130" s="25">
        <f t="shared" si="13"/>
        <v>0</v>
      </c>
      <c r="C130" s="49"/>
      <c r="D130" s="50"/>
      <c r="E130" s="70"/>
      <c r="F130" s="25">
        <f t="shared" si="12"/>
        <v>0</v>
      </c>
      <c r="G130" s="189"/>
      <c r="H130" s="36" t="s">
        <v>127</v>
      </c>
      <c r="I130" s="71">
        <v>50</v>
      </c>
      <c r="J130" s="65" t="s">
        <v>106</v>
      </c>
      <c r="K130" s="148" t="s">
        <v>110</v>
      </c>
      <c r="L130" s="82"/>
      <c r="M130" s="56"/>
      <c r="N130" s="65"/>
      <c r="O130" s="67"/>
      <c r="P130" s="2">
        <f>I132+I125+I114</f>
        <v>387045</v>
      </c>
    </row>
    <row r="131" s="2" customFormat="1" ht="18" customHeight="1" spans="1:15">
      <c r="A131" s="48"/>
      <c r="B131" s="25">
        <f t="shared" si="13"/>
        <v>0</v>
      </c>
      <c r="C131" s="49"/>
      <c r="D131" s="50"/>
      <c r="E131" s="70"/>
      <c r="F131" s="25">
        <f t="shared" si="12"/>
        <v>0</v>
      </c>
      <c r="G131" s="189"/>
      <c r="H131" s="36" t="s">
        <v>127</v>
      </c>
      <c r="I131" s="210">
        <v>-21725</v>
      </c>
      <c r="J131" s="56" t="s">
        <v>112</v>
      </c>
      <c r="K131" s="238" t="s">
        <v>159</v>
      </c>
      <c r="L131" s="82"/>
      <c r="M131" s="56"/>
      <c r="N131" s="65"/>
      <c r="O131" s="67"/>
    </row>
    <row r="132" s="2" customFormat="1" ht="18" customHeight="1" spans="1:15">
      <c r="A132" s="48"/>
      <c r="B132" s="25">
        <f t="shared" si="13"/>
        <v>0</v>
      </c>
      <c r="C132" s="49"/>
      <c r="D132" s="50"/>
      <c r="E132" s="46"/>
      <c r="F132" s="25">
        <f t="shared" si="12"/>
        <v>0</v>
      </c>
      <c r="G132" s="189"/>
      <c r="H132" s="36" t="s">
        <v>129</v>
      </c>
      <c r="I132" s="188">
        <v>243021</v>
      </c>
      <c r="J132" s="63" t="s">
        <v>106</v>
      </c>
      <c r="K132" s="205" t="s">
        <v>124</v>
      </c>
      <c r="L132" s="67"/>
      <c r="M132" s="65"/>
      <c r="N132" s="65"/>
      <c r="O132" s="67"/>
    </row>
    <row r="133" s="2" customFormat="1" ht="18" customHeight="1" spans="1:15">
      <c r="A133" s="48"/>
      <c r="B133" s="25">
        <f t="shared" si="13"/>
        <v>0</v>
      </c>
      <c r="C133" s="49"/>
      <c r="D133" s="50"/>
      <c r="E133" s="46"/>
      <c r="F133" s="25">
        <f t="shared" si="12"/>
        <v>0</v>
      </c>
      <c r="G133" s="189"/>
      <c r="H133" s="36" t="s">
        <v>129</v>
      </c>
      <c r="I133" s="188">
        <v>2340</v>
      </c>
      <c r="J133" s="63" t="s">
        <v>106</v>
      </c>
      <c r="K133" s="207" t="s">
        <v>123</v>
      </c>
      <c r="L133" s="67"/>
      <c r="M133" s="65"/>
      <c r="N133" s="65"/>
      <c r="O133" s="67"/>
    </row>
    <row r="134" s="2" customFormat="1" ht="18" customHeight="1" spans="1:15">
      <c r="A134" s="48"/>
      <c r="B134" s="25">
        <f t="shared" si="13"/>
        <v>0</v>
      </c>
      <c r="C134" s="49"/>
      <c r="D134" s="50"/>
      <c r="E134" s="46"/>
      <c r="F134" s="25">
        <f t="shared" si="12"/>
        <v>0</v>
      </c>
      <c r="G134" s="189"/>
      <c r="H134" s="36" t="s">
        <v>129</v>
      </c>
      <c r="I134" s="188">
        <v>500</v>
      </c>
      <c r="J134" s="63" t="s">
        <v>106</v>
      </c>
      <c r="K134" s="148" t="s">
        <v>130</v>
      </c>
      <c r="L134" s="67"/>
      <c r="M134" s="65"/>
      <c r="N134" s="65"/>
      <c r="O134" s="67"/>
    </row>
    <row r="135" s="2" customFormat="1" ht="18" customHeight="1" spans="1:15">
      <c r="A135" s="48"/>
      <c r="B135" s="25"/>
      <c r="C135" s="49"/>
      <c r="D135" s="50"/>
      <c r="E135" s="46"/>
      <c r="F135" s="25"/>
      <c r="G135" s="189"/>
      <c r="H135" s="36" t="s">
        <v>129</v>
      </c>
      <c r="I135" s="210">
        <v>55725</v>
      </c>
      <c r="J135" s="56" t="s">
        <v>120</v>
      </c>
      <c r="K135" s="238" t="s">
        <v>121</v>
      </c>
      <c r="L135" s="67"/>
      <c r="M135" s="65"/>
      <c r="N135" s="65"/>
      <c r="O135" s="67"/>
    </row>
    <row r="136" s="2" customFormat="1" ht="18" customHeight="1" spans="1:15">
      <c r="A136" s="48"/>
      <c r="B136" s="25">
        <f t="shared" ref="B136:B141" si="14">ROUND(G136/(1+E136),2)</f>
        <v>0</v>
      </c>
      <c r="C136" s="49"/>
      <c r="D136" s="50"/>
      <c r="E136" s="46"/>
      <c r="F136" s="25">
        <f t="shared" ref="F136:F141" si="15">ROUND(G136/(1+E136)*E136,2)</f>
        <v>0</v>
      </c>
      <c r="G136" s="189"/>
      <c r="H136" s="36" t="s">
        <v>129</v>
      </c>
      <c r="I136" s="188">
        <v>8500</v>
      </c>
      <c r="J136" s="63" t="s">
        <v>125</v>
      </c>
      <c r="K136" s="148" t="s">
        <v>126</v>
      </c>
      <c r="L136" s="67"/>
      <c r="M136" s="65"/>
      <c r="N136" s="65"/>
      <c r="O136" s="67"/>
    </row>
    <row r="137" s="2" customFormat="1" ht="18" customHeight="1" spans="1:15">
      <c r="A137" s="48"/>
      <c r="B137" s="25">
        <f t="shared" si="14"/>
        <v>0</v>
      </c>
      <c r="C137" s="49"/>
      <c r="D137" s="50"/>
      <c r="E137" s="46"/>
      <c r="F137" s="25">
        <f t="shared" si="15"/>
        <v>0</v>
      </c>
      <c r="G137" s="189"/>
      <c r="H137" s="36" t="s">
        <v>131</v>
      </c>
      <c r="I137" s="188">
        <v>8800</v>
      </c>
      <c r="J137" s="63" t="s">
        <v>125</v>
      </c>
      <c r="K137" s="148" t="s">
        <v>126</v>
      </c>
      <c r="L137" s="67"/>
      <c r="M137" s="65"/>
      <c r="N137" s="65"/>
      <c r="O137" s="67"/>
    </row>
    <row r="138" s="2" customFormat="1" ht="18" customHeight="1" spans="1:15">
      <c r="A138" s="48"/>
      <c r="B138" s="25">
        <f t="shared" si="14"/>
        <v>0</v>
      </c>
      <c r="C138" s="49"/>
      <c r="D138" s="50"/>
      <c r="E138" s="46"/>
      <c r="F138" s="25">
        <f t="shared" si="15"/>
        <v>0</v>
      </c>
      <c r="G138" s="189"/>
      <c r="H138" s="36" t="s">
        <v>131</v>
      </c>
      <c r="I138" s="188">
        <v>35200</v>
      </c>
      <c r="J138" s="63" t="s">
        <v>125</v>
      </c>
      <c r="K138" s="148" t="s">
        <v>126</v>
      </c>
      <c r="L138" s="67"/>
      <c r="M138" s="65"/>
      <c r="N138" s="65"/>
      <c r="O138" s="67"/>
    </row>
    <row r="139" s="2" customFormat="1" ht="18" customHeight="1" spans="1:15">
      <c r="A139" s="48"/>
      <c r="B139" s="25">
        <f t="shared" si="14"/>
        <v>0</v>
      </c>
      <c r="C139" s="49"/>
      <c r="D139" s="50"/>
      <c r="E139" s="46"/>
      <c r="F139" s="25">
        <f t="shared" si="15"/>
        <v>0</v>
      </c>
      <c r="G139" s="189"/>
      <c r="H139" s="36" t="s">
        <v>131</v>
      </c>
      <c r="I139" s="188">
        <f>B9*E156</f>
        <v>2400</v>
      </c>
      <c r="J139" s="63" t="s">
        <v>106</v>
      </c>
      <c r="K139" s="148" t="s">
        <v>132</v>
      </c>
      <c r="L139" s="67"/>
      <c r="M139" s="65"/>
      <c r="N139" s="65"/>
      <c r="O139" s="67"/>
    </row>
    <row r="140" s="1" customFormat="1" ht="18" customHeight="1" spans="1:15">
      <c r="A140" s="43"/>
      <c r="B140" s="25">
        <f t="shared" si="14"/>
        <v>0</v>
      </c>
      <c r="C140" s="44"/>
      <c r="D140" s="45"/>
      <c r="E140" s="46"/>
      <c r="F140" s="25">
        <f t="shared" si="15"/>
        <v>0</v>
      </c>
      <c r="G140" s="189"/>
      <c r="H140" s="31" t="s">
        <v>133</v>
      </c>
      <c r="I140" s="188">
        <v>41200</v>
      </c>
      <c r="J140" s="63" t="s">
        <v>125</v>
      </c>
      <c r="K140" s="148" t="s">
        <v>126</v>
      </c>
      <c r="L140" s="60"/>
      <c r="M140" s="61"/>
      <c r="N140" s="61"/>
      <c r="O140" s="60"/>
    </row>
    <row r="141" s="1" customFormat="1" ht="18" customHeight="1" spans="1:15">
      <c r="A141" s="43"/>
      <c r="B141" s="25">
        <f t="shared" si="14"/>
        <v>0</v>
      </c>
      <c r="C141" s="44"/>
      <c r="D141" s="45"/>
      <c r="E141" s="46"/>
      <c r="F141" s="25">
        <f t="shared" si="15"/>
        <v>0</v>
      </c>
      <c r="G141" s="189"/>
      <c r="H141" s="31" t="s">
        <v>133</v>
      </c>
      <c r="I141" s="188">
        <v>2248</v>
      </c>
      <c r="J141" s="63" t="s">
        <v>106</v>
      </c>
      <c r="K141" s="148" t="s">
        <v>160</v>
      </c>
      <c r="L141" s="60"/>
      <c r="M141" s="61"/>
      <c r="N141" s="61"/>
      <c r="O141" s="60"/>
    </row>
    <row r="142" s="1" customFormat="1" ht="18" customHeight="1" spans="1:15">
      <c r="A142" s="43"/>
      <c r="B142" s="25"/>
      <c r="C142" s="44"/>
      <c r="D142" s="45"/>
      <c r="E142" s="46"/>
      <c r="F142" s="25"/>
      <c r="G142" s="189"/>
      <c r="H142" s="36" t="s">
        <v>134</v>
      </c>
      <c r="I142" s="188">
        <v>2782</v>
      </c>
      <c r="J142" s="63" t="s">
        <v>106</v>
      </c>
      <c r="K142" s="148" t="s">
        <v>160</v>
      </c>
      <c r="L142" s="60"/>
      <c r="M142" s="61"/>
      <c r="N142" s="61"/>
      <c r="O142" s="60"/>
    </row>
    <row r="143" s="1" customFormat="1" ht="18" customHeight="1" spans="1:15">
      <c r="A143" s="43"/>
      <c r="B143" s="25">
        <f>ROUND(G143/(1+E143),2)</f>
        <v>0</v>
      </c>
      <c r="C143" s="44"/>
      <c r="D143" s="45"/>
      <c r="E143" s="46"/>
      <c r="F143" s="25">
        <f>ROUND(G143/(1+E143)*E143,2)</f>
        <v>0</v>
      </c>
      <c r="G143" s="189"/>
      <c r="H143" s="36" t="s">
        <v>134</v>
      </c>
      <c r="I143" s="188">
        <v>950</v>
      </c>
      <c r="J143" s="63" t="s">
        <v>106</v>
      </c>
      <c r="K143" s="148" t="s">
        <v>130</v>
      </c>
      <c r="L143" s="60"/>
      <c r="M143" s="61"/>
      <c r="N143" s="61"/>
      <c r="O143" s="60"/>
    </row>
    <row r="144" s="1" customFormat="1" ht="18" customHeight="1" spans="1:15">
      <c r="A144" s="43"/>
      <c r="B144" s="25">
        <f>ROUND(G144/(1+E144),2)</f>
        <v>132850</v>
      </c>
      <c r="C144" s="44"/>
      <c r="D144" s="45"/>
      <c r="E144" s="46"/>
      <c r="F144" s="25">
        <f>ROUND(G144/(1+E144)*E144,2)</f>
        <v>0</v>
      </c>
      <c r="G144" s="189">
        <f>46100+17600+4400+17000+4250+34800+8700</f>
        <v>132850</v>
      </c>
      <c r="H144" s="31"/>
      <c r="I144" s="32">
        <f>G144</f>
        <v>132850</v>
      </c>
      <c r="J144" s="63" t="s">
        <v>106</v>
      </c>
      <c r="K144" s="148" t="s">
        <v>161</v>
      </c>
      <c r="L144" s="60"/>
      <c r="M144" s="61"/>
      <c r="N144" s="61"/>
      <c r="O144" s="60"/>
    </row>
    <row r="145" s="1" customFormat="1" ht="18" customHeight="1" spans="1:15">
      <c r="A145" s="43"/>
      <c r="B145" s="25"/>
      <c r="C145" s="44"/>
      <c r="D145" s="45"/>
      <c r="E145" s="46"/>
      <c r="F145" s="25"/>
      <c r="G145" s="239"/>
      <c r="H145" s="31"/>
      <c r="I145" s="141">
        <v>-3000000</v>
      </c>
      <c r="J145" s="249"/>
      <c r="K145" s="250" t="s">
        <v>162</v>
      </c>
      <c r="L145" s="60"/>
      <c r="M145" s="61"/>
      <c r="N145" s="61"/>
      <c r="O145" s="60"/>
    </row>
    <row r="146" ht="18" customHeight="1" spans="1:15">
      <c r="A146" s="39" t="s">
        <v>22</v>
      </c>
      <c r="B146" s="38">
        <f>SUM(B22:B144)</f>
        <v>32933346.13</v>
      </c>
      <c r="C146" s="39"/>
      <c r="D146" s="240"/>
      <c r="E146" s="240"/>
      <c r="F146" s="241">
        <f>SUM(F22:F144)</f>
        <v>1935934.45</v>
      </c>
      <c r="G146" s="242">
        <f>SUM(G22:G144)</f>
        <v>34869280.58</v>
      </c>
      <c r="H146" s="243"/>
      <c r="I146" s="190">
        <f>SUM(I22:I145)</f>
        <v>28073660.8279817</v>
      </c>
      <c r="J146" s="251"/>
      <c r="K146" s="252"/>
      <c r="L146" s="191"/>
      <c r="M146" s="40"/>
      <c r="N146" s="40"/>
      <c r="O146" s="191"/>
    </row>
    <row r="147" ht="18" customHeight="1" spans="1:14">
      <c r="A147" s="99"/>
      <c r="B147" s="100">
        <f>B19*0.92-B146</f>
        <v>-6248128.44859883</v>
      </c>
      <c r="C147" s="99"/>
      <c r="D147" s="244"/>
      <c r="E147" s="244"/>
      <c r="F147" s="100">
        <f>F19-F146</f>
        <v>218280.729316096</v>
      </c>
      <c r="G147" s="100"/>
      <c r="H147" s="30" t="s">
        <v>136</v>
      </c>
      <c r="I147" s="190">
        <f>I19-I146</f>
        <v>46339.1720183492</v>
      </c>
      <c r="J147" s="14"/>
      <c r="K147" s="253"/>
      <c r="M147" s="13"/>
      <c r="N147" s="13"/>
    </row>
    <row r="148" ht="18" customHeight="1" spans="1:3">
      <c r="A148" s="6" t="s">
        <v>137</v>
      </c>
      <c r="C148" s="6"/>
    </row>
    <row r="149" ht="18" customHeight="1" spans="1:17">
      <c r="A149" s="30" t="s">
        <v>138</v>
      </c>
      <c r="B149" s="28" t="s">
        <v>139</v>
      </c>
      <c r="C149" s="191"/>
      <c r="D149" s="30" t="s">
        <v>138</v>
      </c>
      <c r="E149" s="27" t="s">
        <v>15</v>
      </c>
      <c r="F149" s="28" t="s">
        <v>139</v>
      </c>
      <c r="G149" s="28" t="s">
        <v>140</v>
      </c>
      <c r="H149" s="28" t="s">
        <v>141</v>
      </c>
      <c r="I149" s="28" t="s">
        <v>142</v>
      </c>
      <c r="K149" s="28" t="s">
        <v>143</v>
      </c>
      <c r="L149" s="254"/>
      <c r="M149" s="28" t="s">
        <v>144</v>
      </c>
      <c r="N149" s="134" t="s">
        <v>144</v>
      </c>
      <c r="O149" s="255"/>
      <c r="P149" s="242" t="s">
        <v>145</v>
      </c>
      <c r="Q149" s="242" t="s">
        <v>163</v>
      </c>
    </row>
    <row r="150" ht="18" customHeight="1" spans="1:17">
      <c r="A150" s="191" t="s">
        <v>146</v>
      </c>
      <c r="B150" s="25">
        <f>(B19-B146)*0.25</f>
        <v>-981918.68429316</v>
      </c>
      <c r="C150" s="191"/>
      <c r="D150" s="18" t="s">
        <v>147</v>
      </c>
      <c r="E150" s="40" t="s">
        <v>148</v>
      </c>
      <c r="F150" s="245">
        <f>F19-F146</f>
        <v>218280.729316096</v>
      </c>
      <c r="G150" s="245">
        <f>F7-F22-F24-F27-F28-F31</f>
        <v>-333763.749090909</v>
      </c>
      <c r="H150" s="245">
        <f>F8-F36</f>
        <v>299461.603636364</v>
      </c>
      <c r="I150" s="245">
        <f>F9-F38-F39-F41-F46-F47-F48-F49-F51</f>
        <v>49772.4599999999</v>
      </c>
      <c r="K150" s="245">
        <f>F10-F72-F73-F74-F75-F76</f>
        <v>205457.659816514</v>
      </c>
      <c r="L150" s="254"/>
      <c r="M150" s="245">
        <f>F11-F77-F85-F86-F88</f>
        <v>390316.376330275</v>
      </c>
      <c r="N150" s="134">
        <v>-259385.7</v>
      </c>
      <c r="O150" s="255"/>
      <c r="P150" s="242"/>
      <c r="Q150" s="265"/>
    </row>
    <row r="151" ht="18" customHeight="1" spans="1:17">
      <c r="A151" s="191" t="s">
        <v>149</v>
      </c>
      <c r="B151" s="21" t="s">
        <v>150</v>
      </c>
      <c r="C151" s="191"/>
      <c r="D151" s="246" t="s">
        <v>151</v>
      </c>
      <c r="E151" s="22">
        <v>0.05</v>
      </c>
      <c r="F151" s="32">
        <f>F150*E151</f>
        <v>10914.0364658048</v>
      </c>
      <c r="G151" s="32">
        <v>0</v>
      </c>
      <c r="H151" s="32">
        <v>0</v>
      </c>
      <c r="I151" s="32">
        <v>0</v>
      </c>
      <c r="K151" s="32">
        <f>K150*E151</f>
        <v>10272.8829908257</v>
      </c>
      <c r="L151" s="254"/>
      <c r="M151" s="32">
        <f>M150*E151</f>
        <v>19515.8188165138</v>
      </c>
      <c r="N151" s="134">
        <f>N150*E151</f>
        <v>-12969.285</v>
      </c>
      <c r="O151" s="255"/>
      <c r="P151" s="242"/>
      <c r="Q151" s="265"/>
    </row>
    <row r="152" ht="18" customHeight="1" spans="1:17">
      <c r="A152" s="191" t="s">
        <v>123</v>
      </c>
      <c r="B152" s="247">
        <f>B19*0.0006</f>
        <v>17403.4028356964</v>
      </c>
      <c r="C152" s="191"/>
      <c r="D152" s="246" t="s">
        <v>152</v>
      </c>
      <c r="E152" s="22">
        <v>0.03</v>
      </c>
      <c r="F152" s="32">
        <f>F150*E152</f>
        <v>6548.42187948289</v>
      </c>
      <c r="G152" s="32">
        <v>0</v>
      </c>
      <c r="H152" s="32">
        <v>0</v>
      </c>
      <c r="I152" s="32">
        <v>0</v>
      </c>
      <c r="K152" s="32">
        <f>K150*E152</f>
        <v>6163.72979449541</v>
      </c>
      <c r="L152" s="254"/>
      <c r="M152" s="32">
        <f>M150*E152</f>
        <v>11709.4912899082</v>
      </c>
      <c r="N152" s="134">
        <f>N150*E152</f>
        <v>-7781.571</v>
      </c>
      <c r="O152" s="255"/>
      <c r="P152" s="242"/>
      <c r="Q152" s="265"/>
    </row>
    <row r="153" ht="18" customHeight="1" spans="1:17">
      <c r="A153" s="191"/>
      <c r="B153" s="32"/>
      <c r="C153" s="191"/>
      <c r="D153" s="246" t="s">
        <v>153</v>
      </c>
      <c r="E153" s="22">
        <v>0.02</v>
      </c>
      <c r="F153" s="32">
        <f>F150*E153</f>
        <v>4365.61458632193</v>
      </c>
      <c r="G153" s="32">
        <v>0</v>
      </c>
      <c r="H153" s="32">
        <v>0</v>
      </c>
      <c r="I153" s="32">
        <v>0</v>
      </c>
      <c r="K153" s="32">
        <f>K150*E153</f>
        <v>4109.15319633028</v>
      </c>
      <c r="L153" s="254"/>
      <c r="M153" s="32">
        <f>M150*E153</f>
        <v>7806.3275266055</v>
      </c>
      <c r="N153" s="134">
        <f>N150*E153</f>
        <v>-5187.714</v>
      </c>
      <c r="O153" s="255"/>
      <c r="P153" s="242"/>
      <c r="Q153" s="265"/>
    </row>
    <row r="154" ht="18" customHeight="1" spans="1:17">
      <c r="A154" s="37" t="s">
        <v>154</v>
      </c>
      <c r="B154" s="38">
        <f>SUM(B150:B153)</f>
        <v>-964515.281457464</v>
      </c>
      <c r="C154" s="191"/>
      <c r="D154" s="37" t="s">
        <v>154</v>
      </c>
      <c r="E154" s="37"/>
      <c r="F154" s="241">
        <f>SUM(F150:F153)</f>
        <v>240108.802247706</v>
      </c>
      <c r="G154" s="241">
        <v>0</v>
      </c>
      <c r="H154" s="241">
        <v>0</v>
      </c>
      <c r="I154" s="241">
        <v>0</v>
      </c>
      <c r="K154" s="241">
        <f>SUM(K150:K153)</f>
        <v>226003.425798165</v>
      </c>
      <c r="L154" s="254"/>
      <c r="M154" s="241">
        <f>SUM(M150:M153)</f>
        <v>429348.013963302</v>
      </c>
      <c r="N154" s="134">
        <f>SUM(N150:N153)</f>
        <v>-285324.27</v>
      </c>
      <c r="O154" s="255"/>
      <c r="P154" s="242"/>
      <c r="Q154" s="265"/>
    </row>
    <row r="155" ht="18" customHeight="1" spans="3:17">
      <c r="C155" s="6"/>
      <c r="D155" s="20" t="s">
        <v>149</v>
      </c>
      <c r="E155" s="248">
        <v>0.0003</v>
      </c>
      <c r="F155" s="32">
        <v>0</v>
      </c>
      <c r="G155" s="32"/>
      <c r="H155" s="32"/>
      <c r="I155" s="32">
        <v>0</v>
      </c>
      <c r="K155" s="32"/>
      <c r="M155" s="32"/>
      <c r="N155" s="134"/>
      <c r="O155" s="255"/>
      <c r="P155" s="242"/>
      <c r="Q155" s="265"/>
    </row>
    <row r="156" ht="18" customHeight="1" spans="3:17">
      <c r="C156" s="6"/>
      <c r="D156" s="20" t="s">
        <v>123</v>
      </c>
      <c r="E156" s="248">
        <v>0.0006</v>
      </c>
      <c r="F156" s="32">
        <f>B19*E156</f>
        <v>17403.4028356964</v>
      </c>
      <c r="G156" s="32">
        <f>B7*E156</f>
        <v>2781.81818181818</v>
      </c>
      <c r="H156" s="32">
        <f>B8*E156</f>
        <v>2247.27272727273</v>
      </c>
      <c r="I156" s="32">
        <f>B9*E156</f>
        <v>2400</v>
      </c>
      <c r="K156" s="32">
        <f>B10*E156</f>
        <v>2339.4495412844</v>
      </c>
      <c r="L156" s="254"/>
      <c r="M156" s="32">
        <f>B11*E156</f>
        <v>4788.99082568807</v>
      </c>
      <c r="N156" s="134"/>
      <c r="O156" s="255"/>
      <c r="P156" s="242">
        <v>853.21</v>
      </c>
      <c r="Q156" s="265">
        <f>E156*B13</f>
        <v>1992.66055045872</v>
      </c>
    </row>
    <row r="157" ht="18" customHeight="1" spans="3:17">
      <c r="C157" s="6"/>
      <c r="D157" s="39" t="s">
        <v>22</v>
      </c>
      <c r="E157" s="39"/>
      <c r="F157" s="190">
        <f>F154+F155+F156</f>
        <v>257512.205083402</v>
      </c>
      <c r="G157" s="190"/>
      <c r="H157" s="190"/>
      <c r="I157" s="190"/>
      <c r="K157" s="190"/>
      <c r="M157" s="191">
        <f>M154+M156</f>
        <v>434137.004788991</v>
      </c>
      <c r="N157" s="134"/>
      <c r="O157" s="255"/>
      <c r="P157" s="242"/>
      <c r="Q157" s="265"/>
    </row>
    <row r="158" ht="18" customHeight="1" spans="3:17">
      <c r="C158" s="6"/>
      <c r="D158" s="20" t="s">
        <v>121</v>
      </c>
      <c r="E158" s="248">
        <v>0.02</v>
      </c>
      <c r="F158" s="32">
        <f>B19*E158</f>
        <v>580113.427856547</v>
      </c>
      <c r="G158" s="32"/>
      <c r="H158" s="32"/>
      <c r="I158" s="32"/>
      <c r="K158" s="190"/>
      <c r="M158" s="32">
        <f>(SUM(B7:B11))*E158</f>
        <v>485251.042535446</v>
      </c>
      <c r="N158" s="134"/>
      <c r="O158" s="255"/>
      <c r="P158" s="242">
        <f>B12*0.02</f>
        <v>28440.3669724771</v>
      </c>
      <c r="Q158" s="265"/>
    </row>
    <row r="159" ht="18" customHeight="1" spans="3:3">
      <c r="C159" s="6"/>
    </row>
    <row r="160" ht="18" customHeight="1" spans="3:3">
      <c r="C160" s="6"/>
    </row>
    <row r="161" ht="18" customHeight="1" spans="3:9">
      <c r="C161" s="6"/>
      <c r="I161" s="7">
        <f>I147+3000000</f>
        <v>3046339.17201835</v>
      </c>
    </row>
    <row r="162" spans="3:3">
      <c r="C162" s="6"/>
    </row>
    <row r="163" spans="3:3">
      <c r="C163" s="6"/>
    </row>
    <row r="164" spans="3:3">
      <c r="C164" s="6"/>
    </row>
    <row r="165" spans="3:3">
      <c r="C165" s="6"/>
    </row>
    <row r="166" spans="3:3">
      <c r="C166" s="6"/>
    </row>
    <row r="167" spans="3:3">
      <c r="C167" s="6"/>
    </row>
    <row r="168" spans="3:3">
      <c r="C168" s="6"/>
    </row>
    <row r="169" spans="3:3">
      <c r="C169" s="6"/>
    </row>
    <row r="170" spans="3:3">
      <c r="C170" s="6"/>
    </row>
    <row r="171" spans="3:3">
      <c r="C171" s="6"/>
    </row>
    <row r="172" spans="3:3">
      <c r="C172" s="6"/>
    </row>
    <row r="173" spans="3:3">
      <c r="C173" s="6"/>
    </row>
    <row r="174" spans="3:3">
      <c r="C174" s="6"/>
    </row>
    <row r="175" spans="3:3">
      <c r="C175" s="6"/>
    </row>
    <row r="176" spans="3:3">
      <c r="C176" s="6"/>
    </row>
    <row r="177" spans="3:3">
      <c r="C177" s="6"/>
    </row>
  </sheetData>
  <mergeCells count="18">
    <mergeCell ref="A1:J1"/>
    <mergeCell ref="H2:J2"/>
    <mergeCell ref="C5:D5"/>
    <mergeCell ref="E5:F5"/>
    <mergeCell ref="H5:J5"/>
    <mergeCell ref="N149:O149"/>
    <mergeCell ref="N150:O150"/>
    <mergeCell ref="N151:O151"/>
    <mergeCell ref="N152:O152"/>
    <mergeCell ref="N153:O153"/>
    <mergeCell ref="N154:O154"/>
    <mergeCell ref="N155:O155"/>
    <mergeCell ref="N156:O156"/>
    <mergeCell ref="N157:O157"/>
    <mergeCell ref="N158:O158"/>
    <mergeCell ref="A5:A6"/>
    <mergeCell ref="B5:B6"/>
    <mergeCell ref="G5:G6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79"/>
  <sheetViews>
    <sheetView topLeftCell="C151" workbookViewId="0">
      <selection activeCell="I40" sqref="I40:I94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/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/>
      <c r="B14" s="32">
        <f t="shared" si="0"/>
        <v>0</v>
      </c>
      <c r="C14" s="33"/>
      <c r="D14" s="188">
        <f t="shared" si="1"/>
        <v>0</v>
      </c>
      <c r="E14" s="33"/>
      <c r="F14" s="32">
        <f t="shared" si="2"/>
        <v>0</v>
      </c>
      <c r="G14" s="189"/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195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>
        <f>G20/(1+C20+E20)</f>
        <v>0</v>
      </c>
      <c r="C20" s="33"/>
      <c r="D20" s="188">
        <f>G20/(1+E20+C20)*C20</f>
        <v>0</v>
      </c>
      <c r="E20" s="33"/>
      <c r="F20" s="32">
        <f>G20/(1+C20+E20)*E20</f>
        <v>0</v>
      </c>
      <c r="G20" s="189"/>
      <c r="H20" s="14"/>
      <c r="I20" s="14"/>
      <c r="J20" s="40"/>
    </row>
    <row r="21" ht="18" customHeight="1" spans="1:10">
      <c r="A21" s="37" t="s">
        <v>22</v>
      </c>
      <c r="B21" s="38">
        <f>SUM(B7:B20)</f>
        <v>29005671.3928274</v>
      </c>
      <c r="C21" s="39"/>
      <c r="D21" s="190">
        <f>SUM(D7:D20)</f>
        <v>580113.427856547</v>
      </c>
      <c r="E21" s="39"/>
      <c r="F21" s="190">
        <f>SUM(F7:F20)</f>
        <v>2154215.1793161</v>
      </c>
      <c r="G21" s="190">
        <f>SUM(G7:G20)</f>
        <v>31740000</v>
      </c>
      <c r="H21" s="191"/>
      <c r="I21" s="190">
        <f>SUM(I7:I19)</f>
        <v>31740000</v>
      </c>
      <c r="J21" s="191"/>
    </row>
    <row r="22" ht="18" customHeight="1" spans="1:12">
      <c r="A22" s="6" t="s">
        <v>23</v>
      </c>
      <c r="J22" s="8"/>
      <c r="K22" s="8"/>
      <c r="L22" s="186"/>
    </row>
    <row r="23" ht="18" customHeight="1" spans="1:15">
      <c r="A23" s="41" t="s">
        <v>24</v>
      </c>
      <c r="B23" s="28" t="s">
        <v>25</v>
      </c>
      <c r="C23" s="27" t="s">
        <v>26</v>
      </c>
      <c r="D23" s="27" t="s">
        <v>27</v>
      </c>
      <c r="E23" s="27" t="s">
        <v>15</v>
      </c>
      <c r="F23" s="28" t="s">
        <v>28</v>
      </c>
      <c r="G23" s="28" t="s">
        <v>13</v>
      </c>
      <c r="H23" s="27" t="s">
        <v>29</v>
      </c>
      <c r="I23" s="28" t="s">
        <v>30</v>
      </c>
      <c r="J23" s="27" t="s">
        <v>19</v>
      </c>
      <c r="K23" s="54" t="s">
        <v>31</v>
      </c>
      <c r="L23" s="30" t="s">
        <v>32</v>
      </c>
      <c r="M23" s="30" t="s">
        <v>33</v>
      </c>
      <c r="N23" s="30" t="s">
        <v>34</v>
      </c>
      <c r="O23" s="30" t="s">
        <v>35</v>
      </c>
    </row>
    <row r="24" s="1" customFormat="1" ht="18" hidden="1" customHeight="1" spans="1:15">
      <c r="A24" s="43">
        <v>43070</v>
      </c>
      <c r="B24" s="25">
        <f t="shared" ref="B24:B87" si="3">ROUND(G24/(1+E24),2)</f>
        <v>2830.19</v>
      </c>
      <c r="C24" s="44"/>
      <c r="D24" s="45" t="s">
        <v>36</v>
      </c>
      <c r="E24" s="46">
        <v>0.06</v>
      </c>
      <c r="F24" s="25">
        <f t="shared" ref="F24:F87" si="4">ROUND(G24/(1+E24)*E24,2)</f>
        <v>169.81</v>
      </c>
      <c r="G24" s="189">
        <v>3000</v>
      </c>
      <c r="H24" s="31"/>
      <c r="I24" s="32"/>
      <c r="J24" s="40"/>
      <c r="K24" s="147" t="s">
        <v>37</v>
      </c>
      <c r="L24" s="60" t="s">
        <v>38</v>
      </c>
      <c r="M24" s="61"/>
      <c r="N24" s="61"/>
      <c r="O24" s="60"/>
    </row>
    <row r="25" s="1" customFormat="1" ht="18" hidden="1" customHeight="1" spans="1:15">
      <c r="A25" s="43">
        <v>43071</v>
      </c>
      <c r="B25" s="25">
        <f t="shared" si="3"/>
        <v>3000</v>
      </c>
      <c r="C25" s="44"/>
      <c r="D25" s="45" t="s">
        <v>39</v>
      </c>
      <c r="E25" s="46"/>
      <c r="F25" s="25">
        <f t="shared" si="4"/>
        <v>0</v>
      </c>
      <c r="G25" s="189">
        <v>3000</v>
      </c>
      <c r="H25" s="31"/>
      <c r="I25" s="32"/>
      <c r="J25" s="40"/>
      <c r="K25" s="147"/>
      <c r="L25" s="60" t="s">
        <v>38</v>
      </c>
      <c r="M25" s="61"/>
      <c r="N25" s="61"/>
      <c r="O25" s="60"/>
    </row>
    <row r="26" s="1" customFormat="1" ht="18" hidden="1" customHeight="1" spans="1:15">
      <c r="A26" s="43">
        <v>43072</v>
      </c>
      <c r="B26" s="25">
        <f t="shared" si="3"/>
        <v>12824.53</v>
      </c>
      <c r="C26" s="44"/>
      <c r="D26" s="45" t="s">
        <v>36</v>
      </c>
      <c r="E26" s="46">
        <v>0.06</v>
      </c>
      <c r="F26" s="25">
        <f t="shared" si="4"/>
        <v>769.47</v>
      </c>
      <c r="G26" s="189">
        <v>13594</v>
      </c>
      <c r="H26" s="31"/>
      <c r="I26" s="32"/>
      <c r="J26" s="40"/>
      <c r="K26" s="147" t="s">
        <v>40</v>
      </c>
      <c r="L26" s="60" t="s">
        <v>41</v>
      </c>
      <c r="M26" s="61"/>
      <c r="N26" s="61"/>
      <c r="O26" s="60"/>
    </row>
    <row r="27" s="1" customFormat="1" ht="18" hidden="1" customHeight="1" spans="1:15">
      <c r="A27" s="43">
        <v>43073</v>
      </c>
      <c r="B27" s="25">
        <f t="shared" si="3"/>
        <v>1206</v>
      </c>
      <c r="C27" s="44"/>
      <c r="D27" s="45" t="s">
        <v>39</v>
      </c>
      <c r="E27" s="46"/>
      <c r="F27" s="25">
        <f t="shared" si="4"/>
        <v>0</v>
      </c>
      <c r="G27" s="189">
        <v>1206</v>
      </c>
      <c r="H27" s="31"/>
      <c r="I27" s="32"/>
      <c r="J27" s="40"/>
      <c r="K27" s="147"/>
      <c r="L27" s="60" t="s">
        <v>42</v>
      </c>
      <c r="M27" s="61"/>
      <c r="N27" s="61"/>
      <c r="O27" s="60"/>
    </row>
    <row r="28" s="1" customFormat="1" ht="18" hidden="1" customHeight="1" spans="1:15">
      <c r="A28" s="43">
        <v>43074</v>
      </c>
      <c r="B28" s="25">
        <f t="shared" si="3"/>
        <v>13191.34</v>
      </c>
      <c r="C28" s="44"/>
      <c r="D28" s="45" t="s">
        <v>39</v>
      </c>
      <c r="E28" s="46"/>
      <c r="F28" s="25">
        <f t="shared" si="4"/>
        <v>0</v>
      </c>
      <c r="G28" s="189">
        <v>13191.34</v>
      </c>
      <c r="H28" s="31"/>
      <c r="I28" s="32"/>
      <c r="J28" s="40"/>
      <c r="K28" s="147"/>
      <c r="L28" s="60" t="s">
        <v>43</v>
      </c>
      <c r="M28" s="61"/>
      <c r="N28" s="61"/>
      <c r="O28" s="60"/>
    </row>
    <row r="29" s="1" customFormat="1" ht="18" hidden="1" customHeight="1" spans="1:15">
      <c r="A29" s="43">
        <v>43149</v>
      </c>
      <c r="B29" s="25">
        <f t="shared" si="3"/>
        <v>1924.53</v>
      </c>
      <c r="C29" s="44"/>
      <c r="D29" s="45" t="s">
        <v>36</v>
      </c>
      <c r="E29" s="46">
        <v>0.06</v>
      </c>
      <c r="F29" s="25">
        <f t="shared" si="4"/>
        <v>115.47</v>
      </c>
      <c r="G29" s="189">
        <v>2040</v>
      </c>
      <c r="H29" s="31"/>
      <c r="I29" s="32"/>
      <c r="J29" s="40"/>
      <c r="K29" s="147" t="s">
        <v>40</v>
      </c>
      <c r="L29" s="60" t="s">
        <v>41</v>
      </c>
      <c r="M29" s="61"/>
      <c r="N29" s="61"/>
      <c r="O29" s="60"/>
    </row>
    <row r="30" s="1" customFormat="1" ht="18" hidden="1" customHeight="1" spans="1:15">
      <c r="A30" s="43">
        <v>43177</v>
      </c>
      <c r="B30" s="25">
        <f t="shared" si="3"/>
        <v>2830.19</v>
      </c>
      <c r="C30" s="44"/>
      <c r="D30" s="45" t="s">
        <v>36</v>
      </c>
      <c r="E30" s="46">
        <v>0.06</v>
      </c>
      <c r="F30" s="25">
        <f t="shared" si="4"/>
        <v>169.81</v>
      </c>
      <c r="G30" s="189">
        <v>3000</v>
      </c>
      <c r="H30" s="31"/>
      <c r="I30" s="32"/>
      <c r="J30" s="40"/>
      <c r="K30" s="147" t="s">
        <v>44</v>
      </c>
      <c r="L30" s="60" t="s">
        <v>45</v>
      </c>
      <c r="M30" s="61"/>
      <c r="N30" s="61"/>
      <c r="O30" s="60"/>
    </row>
    <row r="31" s="1" customFormat="1" ht="18" hidden="1" customHeight="1" spans="1:15">
      <c r="A31" s="43">
        <v>43178</v>
      </c>
      <c r="B31" s="25">
        <f t="shared" si="3"/>
        <v>12529.12</v>
      </c>
      <c r="C31" s="44"/>
      <c r="D31" s="45" t="s">
        <v>39</v>
      </c>
      <c r="E31" s="46"/>
      <c r="F31" s="25">
        <f t="shared" si="4"/>
        <v>0</v>
      </c>
      <c r="G31" s="189">
        <v>12529.12</v>
      </c>
      <c r="H31" s="31"/>
      <c r="I31" s="32"/>
      <c r="J31" s="40"/>
      <c r="K31" s="147"/>
      <c r="L31" s="60" t="s">
        <v>46</v>
      </c>
      <c r="M31" s="61"/>
      <c r="N31" s="61"/>
      <c r="O31" s="60"/>
    </row>
    <row r="32" s="1" customFormat="1" ht="18" hidden="1" customHeight="1" spans="1:15">
      <c r="A32" s="43">
        <v>43177</v>
      </c>
      <c r="B32" s="25">
        <f t="shared" si="3"/>
        <v>7575</v>
      </c>
      <c r="C32" s="44"/>
      <c r="D32" s="45" t="s">
        <v>39</v>
      </c>
      <c r="E32" s="46"/>
      <c r="F32" s="25">
        <f t="shared" si="4"/>
        <v>0</v>
      </c>
      <c r="G32" s="189">
        <v>7575</v>
      </c>
      <c r="H32" s="31"/>
      <c r="I32" s="32"/>
      <c r="J32" s="40"/>
      <c r="K32" s="147"/>
      <c r="L32" s="60" t="s">
        <v>46</v>
      </c>
      <c r="M32" s="61"/>
      <c r="N32" s="61"/>
      <c r="O32" s="60"/>
    </row>
    <row r="33" s="1" customFormat="1" ht="18" hidden="1" customHeight="1" spans="1:15">
      <c r="A33" s="43">
        <v>43238</v>
      </c>
      <c r="B33" s="25">
        <f t="shared" si="3"/>
        <v>4396551.72</v>
      </c>
      <c r="C33" s="44"/>
      <c r="D33" s="45" t="s">
        <v>36</v>
      </c>
      <c r="E33" s="46">
        <v>0.16</v>
      </c>
      <c r="F33" s="25">
        <f t="shared" si="4"/>
        <v>703448.28</v>
      </c>
      <c r="G33" s="189">
        <v>5100000</v>
      </c>
      <c r="H33" s="31">
        <v>43251</v>
      </c>
      <c r="I33" s="32">
        <v>2500000</v>
      </c>
      <c r="J33" s="40" t="s">
        <v>20</v>
      </c>
      <c r="K33" s="147" t="s">
        <v>47</v>
      </c>
      <c r="L33" s="60" t="s">
        <v>48</v>
      </c>
      <c r="M33" s="61"/>
      <c r="N33" s="61"/>
      <c r="O33" s="60"/>
    </row>
    <row r="34" s="1" customFormat="1" ht="18" hidden="1" customHeight="1" spans="1:15">
      <c r="A34" s="43"/>
      <c r="B34" s="25">
        <f t="shared" si="3"/>
        <v>0</v>
      </c>
      <c r="C34" s="44"/>
      <c r="D34" s="45"/>
      <c r="E34" s="46"/>
      <c r="F34" s="25">
        <f t="shared" si="4"/>
        <v>0</v>
      </c>
      <c r="G34" s="189"/>
      <c r="H34" s="31" t="s">
        <v>49</v>
      </c>
      <c r="I34" s="32">
        <v>2530768</v>
      </c>
      <c r="J34" s="40" t="s">
        <v>20</v>
      </c>
      <c r="K34" s="147" t="s">
        <v>47</v>
      </c>
      <c r="L34" s="60"/>
      <c r="M34" s="61"/>
      <c r="N34" s="61"/>
      <c r="O34" s="60"/>
    </row>
    <row r="35" s="1" customFormat="1" ht="18" hidden="1" customHeight="1" spans="1:15">
      <c r="A35" s="43"/>
      <c r="B35" s="25">
        <f t="shared" si="3"/>
        <v>0</v>
      </c>
      <c r="C35" s="44"/>
      <c r="D35" s="45"/>
      <c r="E35" s="46"/>
      <c r="F35" s="25">
        <f t="shared" si="4"/>
        <v>0</v>
      </c>
      <c r="G35" s="189"/>
      <c r="H35" s="31" t="s">
        <v>49</v>
      </c>
      <c r="I35" s="32">
        <v>69232</v>
      </c>
      <c r="J35" s="40" t="s">
        <v>20</v>
      </c>
      <c r="K35" s="147" t="s">
        <v>47</v>
      </c>
      <c r="L35" s="60"/>
      <c r="M35" s="61"/>
      <c r="N35" s="61"/>
      <c r="O35" s="60"/>
    </row>
    <row r="36" s="1" customFormat="1" ht="18" hidden="1" customHeight="1" spans="1:15">
      <c r="A36" s="43"/>
      <c r="B36" s="25">
        <f t="shared" si="3"/>
        <v>0</v>
      </c>
      <c r="C36" s="44"/>
      <c r="D36" s="45"/>
      <c r="E36" s="46"/>
      <c r="F36" s="25">
        <f t="shared" si="4"/>
        <v>0</v>
      </c>
      <c r="G36" s="189"/>
      <c r="H36" s="31">
        <v>43252</v>
      </c>
      <c r="I36" s="32">
        <v>-29323</v>
      </c>
      <c r="J36" s="40" t="s">
        <v>21</v>
      </c>
      <c r="K36" s="147" t="s">
        <v>50</v>
      </c>
      <c r="L36" s="60"/>
      <c r="M36" s="61"/>
      <c r="N36" s="61"/>
      <c r="O36" s="60"/>
    </row>
    <row r="37" s="1" customFormat="1" ht="18" hidden="1" customHeight="1" spans="1:15">
      <c r="A37" s="43"/>
      <c r="B37" s="25">
        <f t="shared" si="3"/>
        <v>0</v>
      </c>
      <c r="C37" s="44"/>
      <c r="D37" s="45"/>
      <c r="E37" s="46"/>
      <c r="F37" s="25">
        <f t="shared" si="4"/>
        <v>0</v>
      </c>
      <c r="G37" s="189"/>
      <c r="H37" s="31">
        <v>43255</v>
      </c>
      <c r="I37" s="32">
        <v>-39909</v>
      </c>
      <c r="J37" s="40" t="s">
        <v>21</v>
      </c>
      <c r="K37" s="147" t="s">
        <v>50</v>
      </c>
      <c r="L37" s="60"/>
      <c r="M37" s="61"/>
      <c r="N37" s="61"/>
      <c r="O37" s="60"/>
    </row>
    <row r="38" s="1" customFormat="1" ht="18" hidden="1" customHeight="1" spans="1:15">
      <c r="A38" s="43">
        <v>43269</v>
      </c>
      <c r="B38" s="25">
        <f t="shared" si="3"/>
        <v>5825.24</v>
      </c>
      <c r="C38" s="44"/>
      <c r="D38" s="45" t="s">
        <v>36</v>
      </c>
      <c r="E38" s="46">
        <v>0.03</v>
      </c>
      <c r="F38" s="25">
        <f t="shared" si="4"/>
        <v>174.76</v>
      </c>
      <c r="G38" s="189">
        <v>6000</v>
      </c>
      <c r="H38" s="31">
        <v>43264</v>
      </c>
      <c r="I38" s="32">
        <v>6000</v>
      </c>
      <c r="J38" s="40" t="s">
        <v>20</v>
      </c>
      <c r="K38" s="147" t="s">
        <v>51</v>
      </c>
      <c r="L38" s="60" t="s">
        <v>52</v>
      </c>
      <c r="M38" s="61"/>
      <c r="N38" s="61"/>
      <c r="O38" s="60"/>
    </row>
    <row r="39" s="1" customFormat="1" ht="18" hidden="1" customHeight="1" spans="1:15">
      <c r="A39" s="43"/>
      <c r="B39" s="25">
        <f t="shared" si="3"/>
        <v>0</v>
      </c>
      <c r="C39" s="44"/>
      <c r="D39" s="45"/>
      <c r="E39" s="46"/>
      <c r="F39" s="25">
        <f t="shared" si="4"/>
        <v>0</v>
      </c>
      <c r="G39" s="189"/>
      <c r="H39" s="31">
        <v>43263</v>
      </c>
      <c r="I39" s="32">
        <v>-6000</v>
      </c>
      <c r="J39" s="40" t="s">
        <v>21</v>
      </c>
      <c r="K39" s="147" t="s">
        <v>50</v>
      </c>
      <c r="L39" s="60"/>
      <c r="M39" s="61"/>
      <c r="N39" s="61"/>
      <c r="O39" s="60"/>
    </row>
    <row r="40" s="2" customFormat="1" ht="18" customHeight="1" spans="1:15">
      <c r="A40" s="48">
        <v>43335</v>
      </c>
      <c r="B40" s="25">
        <f t="shared" si="3"/>
        <v>4000000</v>
      </c>
      <c r="C40" s="49"/>
      <c r="D40" s="50" t="s">
        <v>36</v>
      </c>
      <c r="E40" s="46">
        <v>0.03</v>
      </c>
      <c r="F40" s="25">
        <f t="shared" si="4"/>
        <v>120000</v>
      </c>
      <c r="G40" s="189">
        <v>4120000</v>
      </c>
      <c r="H40" s="36">
        <v>43335</v>
      </c>
      <c r="I40" s="188">
        <v>2000000</v>
      </c>
      <c r="J40" s="63" t="s">
        <v>20</v>
      </c>
      <c r="K40" s="148" t="s">
        <v>53</v>
      </c>
      <c r="L40" s="67" t="s">
        <v>54</v>
      </c>
      <c r="M40" s="65"/>
      <c r="N40" s="65"/>
      <c r="O40" s="67"/>
    </row>
    <row r="41" s="2" customFormat="1" ht="18" hidden="1" customHeight="1" spans="1:15">
      <c r="A41" s="48"/>
      <c r="B41" s="25">
        <f t="shared" si="3"/>
        <v>1344.34</v>
      </c>
      <c r="C41" s="49">
        <v>3</v>
      </c>
      <c r="D41" s="50" t="s">
        <v>36</v>
      </c>
      <c r="E41" s="46">
        <v>0.06</v>
      </c>
      <c r="F41" s="25">
        <f t="shared" si="4"/>
        <v>80.66</v>
      </c>
      <c r="G41" s="189">
        <f>285+690+450</f>
        <v>1425</v>
      </c>
      <c r="H41" s="36"/>
      <c r="I41" s="188"/>
      <c r="J41" s="63"/>
      <c r="K41" s="148" t="s">
        <v>55</v>
      </c>
      <c r="L41" s="67" t="s">
        <v>41</v>
      </c>
      <c r="M41" s="65"/>
      <c r="N41" s="65"/>
      <c r="O41" s="68">
        <v>43335</v>
      </c>
    </row>
    <row r="42" s="2" customFormat="1" ht="18" hidden="1" customHeight="1" spans="1:15">
      <c r="A42" s="48"/>
      <c r="B42" s="25">
        <f t="shared" si="3"/>
        <v>6510</v>
      </c>
      <c r="C42" s="49"/>
      <c r="D42" s="50" t="s">
        <v>39</v>
      </c>
      <c r="E42" s="46"/>
      <c r="F42" s="25">
        <f t="shared" si="4"/>
        <v>0</v>
      </c>
      <c r="G42" s="189">
        <v>6510</v>
      </c>
      <c r="H42" s="36"/>
      <c r="I42" s="188"/>
      <c r="J42" s="63"/>
      <c r="K42" s="148" t="s">
        <v>56</v>
      </c>
      <c r="L42" s="67" t="s">
        <v>57</v>
      </c>
      <c r="M42" s="65"/>
      <c r="N42" s="65"/>
      <c r="O42" s="68">
        <v>43335</v>
      </c>
    </row>
    <row r="43" s="2" customFormat="1" ht="18" hidden="1" customHeight="1" spans="1:15">
      <c r="A43" s="48"/>
      <c r="B43" s="25">
        <f t="shared" si="3"/>
        <v>11436.89</v>
      </c>
      <c r="C43" s="49">
        <v>2</v>
      </c>
      <c r="D43" s="50" t="s">
        <v>36</v>
      </c>
      <c r="E43" s="46">
        <v>0.03</v>
      </c>
      <c r="F43" s="25">
        <f t="shared" si="4"/>
        <v>343.11</v>
      </c>
      <c r="G43" s="189">
        <f>7740+4040</f>
        <v>11780</v>
      </c>
      <c r="H43" s="36"/>
      <c r="I43" s="188"/>
      <c r="J43" s="63"/>
      <c r="K43" s="148" t="s">
        <v>58</v>
      </c>
      <c r="L43" s="67" t="s">
        <v>59</v>
      </c>
      <c r="M43" s="65"/>
      <c r="N43" s="65"/>
      <c r="O43" s="68">
        <v>43335</v>
      </c>
    </row>
    <row r="44" s="2" customFormat="1" ht="18" hidden="1" customHeight="1" spans="1:15">
      <c r="A44" s="48"/>
      <c r="B44" s="25">
        <f t="shared" si="3"/>
        <v>1800</v>
      </c>
      <c r="C44" s="49"/>
      <c r="D44" s="50" t="s">
        <v>39</v>
      </c>
      <c r="E44" s="46"/>
      <c r="F44" s="25">
        <f t="shared" si="4"/>
        <v>0</v>
      </c>
      <c r="G44" s="189">
        <v>1800</v>
      </c>
      <c r="H44" s="36"/>
      <c r="I44" s="188"/>
      <c r="J44" s="63"/>
      <c r="K44" s="148" t="s">
        <v>56</v>
      </c>
      <c r="L44" s="67" t="s">
        <v>60</v>
      </c>
      <c r="M44" s="65"/>
      <c r="N44" s="65"/>
      <c r="O44" s="68">
        <v>43335</v>
      </c>
    </row>
    <row r="45" s="2" customFormat="1" ht="18" hidden="1" customHeight="1" spans="1:15">
      <c r="A45" s="48"/>
      <c r="B45" s="25">
        <f t="shared" si="3"/>
        <v>26788.86</v>
      </c>
      <c r="C45" s="49"/>
      <c r="D45" s="50" t="s">
        <v>61</v>
      </c>
      <c r="E45" s="46"/>
      <c r="F45" s="25">
        <f t="shared" si="4"/>
        <v>0</v>
      </c>
      <c r="G45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5" s="36"/>
      <c r="I45" s="188"/>
      <c r="J45" s="63"/>
      <c r="K45" s="148" t="s">
        <v>62</v>
      </c>
      <c r="L45" s="67" t="s">
        <v>63</v>
      </c>
      <c r="M45" s="65"/>
      <c r="N45" s="65"/>
      <c r="O45" s="68">
        <v>43335</v>
      </c>
    </row>
    <row r="46" s="2" customFormat="1" ht="18" hidden="1" customHeight="1" spans="1:15">
      <c r="A46" s="48"/>
      <c r="B46" s="25">
        <f t="shared" si="3"/>
        <v>4285.5</v>
      </c>
      <c r="C46" s="49"/>
      <c r="D46" s="50" t="s">
        <v>61</v>
      </c>
      <c r="E46" s="46"/>
      <c r="F46" s="25">
        <f t="shared" si="4"/>
        <v>0</v>
      </c>
      <c r="G46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6" s="36"/>
      <c r="I46" s="188"/>
      <c r="J46" s="63"/>
      <c r="K46" s="148" t="s">
        <v>62</v>
      </c>
      <c r="L46" s="67" t="s">
        <v>63</v>
      </c>
      <c r="M46" s="65"/>
      <c r="N46" s="65"/>
      <c r="O46" s="68">
        <v>43335</v>
      </c>
    </row>
    <row r="47" s="2" customFormat="1" ht="18" hidden="1" customHeight="1" spans="1:15">
      <c r="A47" s="48"/>
      <c r="B47" s="25">
        <f t="shared" si="3"/>
        <v>9856.03</v>
      </c>
      <c r="C47" s="49"/>
      <c r="D47" s="50" t="s">
        <v>39</v>
      </c>
      <c r="E47" s="46"/>
      <c r="F47" s="25">
        <f t="shared" si="4"/>
        <v>0</v>
      </c>
      <c r="G47" s="189">
        <f>200.03+500+400+286+300+410+910+405+530+300+500+230+280+295+285+400+380+405+200+200+400+425+405+300+310+300+300</f>
        <v>9856.03</v>
      </c>
      <c r="H47" s="36"/>
      <c r="I47" s="188"/>
      <c r="J47" s="63"/>
      <c r="K47" s="148" t="s">
        <v>64</v>
      </c>
      <c r="L47" s="67" t="s">
        <v>43</v>
      </c>
      <c r="M47" s="65"/>
      <c r="N47" s="65"/>
      <c r="O47" s="68">
        <v>43335</v>
      </c>
    </row>
    <row r="48" s="2" customFormat="1" ht="18" hidden="1" customHeight="1" spans="1:15">
      <c r="A48" s="48">
        <v>43435</v>
      </c>
      <c r="B48" s="25">
        <f t="shared" si="3"/>
        <v>53286.79</v>
      </c>
      <c r="C48" s="49"/>
      <c r="D48" s="50" t="s">
        <v>36</v>
      </c>
      <c r="E48" s="46">
        <v>0.06</v>
      </c>
      <c r="F48" s="25">
        <f t="shared" si="4"/>
        <v>3197.21</v>
      </c>
      <c r="G48" s="189">
        <v>56484</v>
      </c>
      <c r="H48" s="36"/>
      <c r="I48" s="188"/>
      <c r="J48" s="63"/>
      <c r="K48" s="148" t="s">
        <v>65</v>
      </c>
      <c r="L48" s="67" t="s">
        <v>66</v>
      </c>
      <c r="M48" s="65"/>
      <c r="N48" s="65"/>
      <c r="O48" s="67"/>
    </row>
    <row r="49" s="2" customFormat="1" ht="18" hidden="1" customHeight="1" spans="1:15">
      <c r="A49" s="48">
        <v>43435</v>
      </c>
      <c r="B49" s="25">
        <f t="shared" si="3"/>
        <v>5825.24</v>
      </c>
      <c r="C49" s="49"/>
      <c r="D49" s="50" t="s">
        <v>36</v>
      </c>
      <c r="E49" s="46">
        <v>0.03</v>
      </c>
      <c r="F49" s="25">
        <f t="shared" si="4"/>
        <v>174.76</v>
      </c>
      <c r="G49" s="189">
        <v>6000</v>
      </c>
      <c r="H49" s="36">
        <v>43369</v>
      </c>
      <c r="I49" s="188">
        <v>6000</v>
      </c>
      <c r="J49" s="63" t="s">
        <v>20</v>
      </c>
      <c r="K49" s="148" t="s">
        <v>51</v>
      </c>
      <c r="L49" s="67" t="s">
        <v>52</v>
      </c>
      <c r="M49" s="65"/>
      <c r="N49" s="65"/>
      <c r="O49" s="67"/>
    </row>
    <row r="50" s="2" customFormat="1" ht="18" hidden="1" customHeight="1" spans="1:15">
      <c r="A50" s="48">
        <v>43313</v>
      </c>
      <c r="B50" s="25">
        <f t="shared" si="3"/>
        <v>4654.31</v>
      </c>
      <c r="C50" s="49"/>
      <c r="D50" s="50" t="s">
        <v>36</v>
      </c>
      <c r="E50" s="46">
        <v>0.16</v>
      </c>
      <c r="F50" s="25">
        <f t="shared" si="4"/>
        <v>744.69</v>
      </c>
      <c r="G50" s="189">
        <v>5399</v>
      </c>
      <c r="H50" s="36">
        <v>43369</v>
      </c>
      <c r="I50" s="188">
        <v>-6000</v>
      </c>
      <c r="J50" s="63" t="s">
        <v>21</v>
      </c>
      <c r="K50" s="148" t="s">
        <v>50</v>
      </c>
      <c r="L50" s="67"/>
      <c r="M50" s="65"/>
      <c r="N50" s="65"/>
      <c r="O50" s="67"/>
    </row>
    <row r="51" s="2" customFormat="1" ht="18" hidden="1" customHeight="1" spans="1:15">
      <c r="A51" s="48">
        <v>43435</v>
      </c>
      <c r="B51" s="25">
        <f t="shared" si="3"/>
        <v>933.96</v>
      </c>
      <c r="C51" s="49"/>
      <c r="D51" s="50" t="s">
        <v>36</v>
      </c>
      <c r="E51" s="46">
        <v>0.06</v>
      </c>
      <c r="F51" s="25">
        <f t="shared" si="4"/>
        <v>56.04</v>
      </c>
      <c r="G51" s="189">
        <f>90+45+855</f>
        <v>990</v>
      </c>
      <c r="H51" s="36"/>
      <c r="I51" s="188"/>
      <c r="J51" s="63"/>
      <c r="K51" s="148" t="s">
        <v>40</v>
      </c>
      <c r="L51" s="67" t="s">
        <v>41</v>
      </c>
      <c r="M51" s="65"/>
      <c r="N51" s="65"/>
      <c r="O51" s="67"/>
    </row>
    <row r="52" s="2" customFormat="1" ht="18" hidden="1" customHeight="1" spans="1:15">
      <c r="A52" s="48">
        <v>43435</v>
      </c>
      <c r="B52" s="25">
        <f t="shared" si="3"/>
        <v>43031</v>
      </c>
      <c r="C52" s="49"/>
      <c r="D52" s="50"/>
      <c r="E52" s="46"/>
      <c r="F52" s="25">
        <f t="shared" si="4"/>
        <v>0</v>
      </c>
      <c r="G52" s="189">
        <v>43031</v>
      </c>
      <c r="H52" s="36"/>
      <c r="I52" s="188"/>
      <c r="J52" s="63"/>
      <c r="K52" s="148" t="s">
        <v>67</v>
      </c>
      <c r="L52" s="67" t="s">
        <v>68</v>
      </c>
      <c r="M52" s="65"/>
      <c r="N52" s="65"/>
      <c r="O52" s="67"/>
    </row>
    <row r="53" s="2" customFormat="1" ht="18" customHeight="1" spans="1:15">
      <c r="A53" s="48">
        <v>43466</v>
      </c>
      <c r="B53" s="25">
        <f t="shared" si="3"/>
        <v>4854368.93</v>
      </c>
      <c r="C53" s="49"/>
      <c r="D53" s="50" t="s">
        <v>36</v>
      </c>
      <c r="E53" s="46">
        <v>0.03</v>
      </c>
      <c r="F53" s="25">
        <f t="shared" si="4"/>
        <v>145631.07</v>
      </c>
      <c r="G53" s="189">
        <f>5*1000000</f>
        <v>5000000</v>
      </c>
      <c r="H53" s="36">
        <v>43339</v>
      </c>
      <c r="I53" s="188">
        <v>2095952</v>
      </c>
      <c r="J53" s="63" t="s">
        <v>20</v>
      </c>
      <c r="K53" s="148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3"/>
        <v>0</v>
      </c>
      <c r="C54" s="49"/>
      <c r="D54" s="50"/>
      <c r="E54" s="46"/>
      <c r="F54" s="25">
        <f t="shared" si="4"/>
        <v>0</v>
      </c>
      <c r="G54" s="189"/>
      <c r="H54" s="36">
        <v>43495</v>
      </c>
      <c r="I54" s="188">
        <v>3464800</v>
      </c>
      <c r="J54" s="63" t="s">
        <v>20</v>
      </c>
      <c r="K54" s="148" t="s">
        <v>53</v>
      </c>
      <c r="L54" s="67" t="s">
        <v>54</v>
      </c>
      <c r="M54" s="65"/>
      <c r="N54" s="65"/>
      <c r="O54" s="67"/>
    </row>
    <row r="55" s="2" customFormat="1" ht="18" customHeight="1" spans="1:15">
      <c r="A55" s="48"/>
      <c r="B55" s="25">
        <f t="shared" si="3"/>
        <v>0</v>
      </c>
      <c r="C55" s="49"/>
      <c r="D55" s="50"/>
      <c r="E55" s="46"/>
      <c r="F55" s="25">
        <f t="shared" si="4"/>
        <v>0</v>
      </c>
      <c r="G55" s="189"/>
      <c r="H55" s="36">
        <v>43497</v>
      </c>
      <c r="I55" s="188">
        <v>866800</v>
      </c>
      <c r="J55" s="63" t="s">
        <v>20</v>
      </c>
      <c r="K55" s="148" t="s">
        <v>53</v>
      </c>
      <c r="L55" s="67" t="s">
        <v>54</v>
      </c>
      <c r="M55" s="65"/>
      <c r="N55" s="65"/>
      <c r="O55" s="67"/>
    </row>
    <row r="56" s="2" customFormat="1" ht="18" hidden="1" customHeight="1" spans="1:15">
      <c r="A56" s="48"/>
      <c r="B56" s="25">
        <f t="shared" si="3"/>
        <v>0</v>
      </c>
      <c r="C56" s="49"/>
      <c r="D56" s="50"/>
      <c r="E56" s="46"/>
      <c r="F56" s="25">
        <f t="shared" si="4"/>
        <v>0</v>
      </c>
      <c r="G56" s="189"/>
      <c r="H56" s="36">
        <v>43629</v>
      </c>
      <c r="I56" s="188">
        <v>84810</v>
      </c>
      <c r="J56" s="63" t="s">
        <v>20</v>
      </c>
      <c r="K56" s="148" t="s">
        <v>69</v>
      </c>
      <c r="L56" s="67" t="s">
        <v>70</v>
      </c>
      <c r="M56" s="65"/>
      <c r="N56" s="65"/>
      <c r="O56" s="67"/>
    </row>
    <row r="57" s="2" customFormat="1" ht="18" hidden="1" customHeight="1" spans="1:15">
      <c r="A57" s="48"/>
      <c r="B57" s="25">
        <f t="shared" si="3"/>
        <v>0</v>
      </c>
      <c r="C57" s="49"/>
      <c r="D57" s="50"/>
      <c r="E57" s="46"/>
      <c r="F57" s="25">
        <f t="shared" si="4"/>
        <v>0</v>
      </c>
      <c r="G57" s="189"/>
      <c r="H57" s="36">
        <v>43629</v>
      </c>
      <c r="I57" s="188">
        <v>-84810</v>
      </c>
      <c r="J57" s="63" t="s">
        <v>21</v>
      </c>
      <c r="K57" s="148" t="s">
        <v>50</v>
      </c>
      <c r="L57" s="67"/>
      <c r="M57" s="65"/>
      <c r="N57" s="65"/>
      <c r="O57" s="67"/>
    </row>
    <row r="58" s="2" customFormat="1" ht="18" hidden="1" customHeight="1" spans="1:15">
      <c r="A58" s="48"/>
      <c r="B58" s="25">
        <f t="shared" si="3"/>
        <v>0</v>
      </c>
      <c r="C58" s="49"/>
      <c r="D58" s="50"/>
      <c r="E58" s="46"/>
      <c r="F58" s="25">
        <f t="shared" si="4"/>
        <v>0</v>
      </c>
      <c r="G58" s="189"/>
      <c r="H58" s="36">
        <v>43657</v>
      </c>
      <c r="I58" s="188">
        <v>66753</v>
      </c>
      <c r="J58" s="63" t="s">
        <v>20</v>
      </c>
      <c r="K58" s="148" t="s">
        <v>69</v>
      </c>
      <c r="L58" s="67" t="s">
        <v>70</v>
      </c>
      <c r="M58" s="65"/>
      <c r="N58" s="65"/>
      <c r="O58" s="67"/>
    </row>
    <row r="59" s="2" customFormat="1" ht="18" hidden="1" customHeight="1" spans="1:15">
      <c r="A59" s="48"/>
      <c r="B59" s="25">
        <f t="shared" si="3"/>
        <v>0</v>
      </c>
      <c r="C59" s="49"/>
      <c r="D59" s="50"/>
      <c r="E59" s="46"/>
      <c r="F59" s="25">
        <f t="shared" si="4"/>
        <v>0</v>
      </c>
      <c r="G59" s="189"/>
      <c r="H59" s="36">
        <v>43657</v>
      </c>
      <c r="I59" s="188">
        <v>-66753</v>
      </c>
      <c r="J59" s="63" t="s">
        <v>21</v>
      </c>
      <c r="K59" s="148" t="s">
        <v>50</v>
      </c>
      <c r="L59" s="67"/>
      <c r="M59" s="65"/>
      <c r="N59" s="65"/>
      <c r="O59" s="67"/>
    </row>
    <row r="60" s="2" customFormat="1" ht="18" hidden="1" customHeight="1" spans="1:15">
      <c r="A60" s="48"/>
      <c r="B60" s="25">
        <f t="shared" si="3"/>
        <v>0</v>
      </c>
      <c r="C60" s="49"/>
      <c r="D60" s="50"/>
      <c r="E60" s="46"/>
      <c r="F60" s="25">
        <f t="shared" si="4"/>
        <v>0</v>
      </c>
      <c r="G60" s="189"/>
      <c r="H60" s="36">
        <v>43676</v>
      </c>
      <c r="I60" s="188">
        <v>67731.14</v>
      </c>
      <c r="J60" s="63" t="s">
        <v>20</v>
      </c>
      <c r="K60" s="148" t="s">
        <v>69</v>
      </c>
      <c r="L60" s="67" t="s">
        <v>70</v>
      </c>
      <c r="M60" s="65"/>
      <c r="N60" s="65"/>
      <c r="O60" s="67"/>
    </row>
    <row r="61" s="2" customFormat="1" ht="18" hidden="1" customHeight="1" spans="1:15">
      <c r="A61" s="48"/>
      <c r="B61" s="25">
        <f t="shared" si="3"/>
        <v>0</v>
      </c>
      <c r="C61" s="49"/>
      <c r="D61" s="50"/>
      <c r="E61" s="46"/>
      <c r="F61" s="25">
        <f t="shared" si="4"/>
        <v>0</v>
      </c>
      <c r="G61" s="189"/>
      <c r="H61" s="36">
        <v>43671</v>
      </c>
      <c r="I61" s="188">
        <v>-67731.14</v>
      </c>
      <c r="J61" s="63" t="s">
        <v>20</v>
      </c>
      <c r="K61" s="148" t="s">
        <v>71</v>
      </c>
      <c r="L61" s="67" t="s">
        <v>72</v>
      </c>
      <c r="M61" s="65"/>
      <c r="N61" s="65"/>
      <c r="O61" s="67"/>
    </row>
    <row r="62" s="2" customFormat="1" ht="18" hidden="1" customHeight="1" spans="1:15">
      <c r="A62" s="48">
        <v>43678</v>
      </c>
      <c r="B62" s="25">
        <f t="shared" si="3"/>
        <v>1000020</v>
      </c>
      <c r="C62" s="49"/>
      <c r="D62" s="50" t="s">
        <v>73</v>
      </c>
      <c r="E62" s="46"/>
      <c r="F62" s="25">
        <f t="shared" si="4"/>
        <v>0</v>
      </c>
      <c r="G62" s="189">
        <v>1000020</v>
      </c>
      <c r="H62" s="194">
        <v>43676</v>
      </c>
      <c r="I62" s="196">
        <v>500000</v>
      </c>
      <c r="J62" s="201" t="s">
        <v>21</v>
      </c>
      <c r="K62" s="202" t="s">
        <v>74</v>
      </c>
      <c r="L62" s="203" t="s">
        <v>75</v>
      </c>
      <c r="M62" s="201" t="s">
        <v>76</v>
      </c>
      <c r="N62" s="65"/>
      <c r="O62" s="67"/>
    </row>
    <row r="63" s="2" customFormat="1" ht="18" hidden="1" customHeight="1" spans="1:15">
      <c r="A63" s="48"/>
      <c r="B63" s="25">
        <f t="shared" si="3"/>
        <v>0</v>
      </c>
      <c r="C63" s="49"/>
      <c r="D63" s="50"/>
      <c r="E63" s="46"/>
      <c r="F63" s="25">
        <f t="shared" si="4"/>
        <v>0</v>
      </c>
      <c r="G63" s="189"/>
      <c r="H63" s="194">
        <v>43682</v>
      </c>
      <c r="I63" s="196">
        <v>500000</v>
      </c>
      <c r="J63" s="201" t="s">
        <v>21</v>
      </c>
      <c r="K63" s="202" t="s">
        <v>74</v>
      </c>
      <c r="L63" s="204" t="s">
        <v>77</v>
      </c>
      <c r="M63" s="201" t="s">
        <v>76</v>
      </c>
      <c r="N63" s="65"/>
      <c r="O63" s="67"/>
    </row>
    <row r="64" s="2" customFormat="1" ht="18" hidden="1" customHeight="1" spans="1:15">
      <c r="A64" s="48">
        <v>43678</v>
      </c>
      <c r="B64" s="25">
        <f t="shared" si="3"/>
        <v>1000080</v>
      </c>
      <c r="C64" s="49"/>
      <c r="D64" s="50" t="s">
        <v>73</v>
      </c>
      <c r="E64" s="46"/>
      <c r="F64" s="25">
        <f t="shared" si="4"/>
        <v>0</v>
      </c>
      <c r="G64" s="189">
        <v>1000080</v>
      </c>
      <c r="H64" s="194">
        <v>43691</v>
      </c>
      <c r="I64" s="196">
        <v>1000000</v>
      </c>
      <c r="J64" s="201" t="s">
        <v>21</v>
      </c>
      <c r="K64" s="205" t="s">
        <v>78</v>
      </c>
      <c r="L64" s="206" t="s">
        <v>79</v>
      </c>
      <c r="M64" s="201" t="s">
        <v>76</v>
      </c>
      <c r="N64" s="65"/>
      <c r="O64" s="67"/>
    </row>
    <row r="65" s="2" customFormat="1" ht="18" hidden="1" customHeight="1" spans="1:15">
      <c r="A65" s="48"/>
      <c r="B65" s="25">
        <f t="shared" si="3"/>
        <v>0</v>
      </c>
      <c r="C65" s="49"/>
      <c r="D65" s="50"/>
      <c r="E65" s="46"/>
      <c r="F65" s="25">
        <f t="shared" si="4"/>
        <v>0</v>
      </c>
      <c r="G65" s="189"/>
      <c r="H65" s="36">
        <v>43692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hidden="1" customHeight="1" spans="1:15">
      <c r="A66" s="48"/>
      <c r="B66" s="25">
        <f t="shared" si="3"/>
        <v>0</v>
      </c>
      <c r="C66" s="49"/>
      <c r="D66" s="50"/>
      <c r="E66" s="46"/>
      <c r="F66" s="25">
        <f t="shared" si="4"/>
        <v>0</v>
      </c>
      <c r="G66" s="189"/>
      <c r="H66" s="36">
        <v>43692</v>
      </c>
      <c r="I66" s="188">
        <v>100000</v>
      </c>
      <c r="J66" s="63" t="s">
        <v>20</v>
      </c>
      <c r="K66" s="207" t="s">
        <v>80</v>
      </c>
      <c r="L66" s="208" t="s">
        <v>81</v>
      </c>
      <c r="M66" s="56"/>
      <c r="N66" s="65"/>
      <c r="O66" s="67"/>
    </row>
    <row r="67" s="2" customFormat="1" ht="18" hidden="1" customHeight="1" spans="1:15">
      <c r="A67" s="48"/>
      <c r="B67" s="25">
        <f t="shared" si="3"/>
        <v>0</v>
      </c>
      <c r="C67" s="49"/>
      <c r="D67" s="50"/>
      <c r="E67" s="46"/>
      <c r="F67" s="25">
        <f t="shared" si="4"/>
        <v>0</v>
      </c>
      <c r="G67" s="189"/>
      <c r="H67" s="36">
        <v>43703</v>
      </c>
      <c r="I67" s="188">
        <v>-100000</v>
      </c>
      <c r="J67" s="63" t="s">
        <v>21</v>
      </c>
      <c r="K67" s="207" t="s">
        <v>50</v>
      </c>
      <c r="L67" s="208"/>
      <c r="M67" s="56"/>
      <c r="N67" s="65"/>
      <c r="O67" s="67"/>
    </row>
    <row r="68" s="2" customFormat="1" ht="18" hidden="1" customHeight="1" spans="1:15">
      <c r="A68" s="48"/>
      <c r="B68" s="25">
        <f t="shared" si="3"/>
        <v>0</v>
      </c>
      <c r="C68" s="49"/>
      <c r="D68" s="50"/>
      <c r="E68" s="46"/>
      <c r="F68" s="25">
        <f t="shared" si="4"/>
        <v>0</v>
      </c>
      <c r="G68" s="189"/>
      <c r="H68" s="36">
        <v>43704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hidden="1" customHeight="1" spans="1:15">
      <c r="A69" s="48"/>
      <c r="B69" s="25">
        <f t="shared" si="3"/>
        <v>0</v>
      </c>
      <c r="C69" s="49"/>
      <c r="D69" s="50"/>
      <c r="E69" s="46"/>
      <c r="F69" s="25">
        <f t="shared" si="4"/>
        <v>0</v>
      </c>
      <c r="G69" s="189"/>
      <c r="H69" s="36">
        <v>43717</v>
      </c>
      <c r="I69" s="188">
        <v>-100000</v>
      </c>
      <c r="J69" s="63" t="s">
        <v>21</v>
      </c>
      <c r="K69" s="207" t="s">
        <v>50</v>
      </c>
      <c r="L69" s="67"/>
      <c r="M69" s="65"/>
      <c r="N69" s="65"/>
      <c r="O69" s="67"/>
    </row>
    <row r="70" s="2" customFormat="1" ht="18" hidden="1" customHeight="1" spans="1:15">
      <c r="A70" s="48"/>
      <c r="B70" s="25">
        <f t="shared" si="3"/>
        <v>0</v>
      </c>
      <c r="C70" s="49"/>
      <c r="D70" s="50"/>
      <c r="E70" s="46"/>
      <c r="F70" s="25">
        <f t="shared" si="4"/>
        <v>0</v>
      </c>
      <c r="G70" s="189"/>
      <c r="H70" s="36">
        <v>43718</v>
      </c>
      <c r="I70" s="188">
        <v>100000</v>
      </c>
      <c r="J70" s="63" t="s">
        <v>20</v>
      </c>
      <c r="K70" s="207" t="s">
        <v>80</v>
      </c>
      <c r="L70" s="67"/>
      <c r="M70" s="65"/>
      <c r="N70" s="65"/>
      <c r="O70" s="67"/>
    </row>
    <row r="71" s="2" customFormat="1" ht="18" hidden="1" customHeight="1" spans="1:15">
      <c r="A71" s="48"/>
      <c r="B71" s="25">
        <f t="shared" si="3"/>
        <v>0</v>
      </c>
      <c r="C71" s="49"/>
      <c r="D71" s="50"/>
      <c r="E71" s="46"/>
      <c r="F71" s="25">
        <f t="shared" si="4"/>
        <v>0</v>
      </c>
      <c r="G71" s="189"/>
      <c r="H71" s="194">
        <v>43734</v>
      </c>
      <c r="I71" s="196">
        <v>300000</v>
      </c>
      <c r="J71" s="201" t="s">
        <v>20</v>
      </c>
      <c r="K71" s="202" t="s">
        <v>80</v>
      </c>
      <c r="L71" s="209"/>
      <c r="M71" s="201" t="s">
        <v>76</v>
      </c>
      <c r="N71" s="65"/>
      <c r="O71" s="67"/>
    </row>
    <row r="72" s="2" customFormat="1" ht="18" hidden="1" customHeight="1" spans="1:15">
      <c r="A72" s="48"/>
      <c r="B72" s="25">
        <f t="shared" si="3"/>
        <v>0</v>
      </c>
      <c r="C72" s="49"/>
      <c r="D72" s="50"/>
      <c r="E72" s="46"/>
      <c r="F72" s="25">
        <f t="shared" si="4"/>
        <v>0</v>
      </c>
      <c r="G72" s="189"/>
      <c r="H72" s="195">
        <v>43749</v>
      </c>
      <c r="I72" s="196">
        <v>500000</v>
      </c>
      <c r="J72" s="201" t="s">
        <v>20</v>
      </c>
      <c r="K72" s="202" t="s">
        <v>80</v>
      </c>
      <c r="L72" s="209"/>
      <c r="M72" s="201" t="s">
        <v>76</v>
      </c>
      <c r="N72" s="65"/>
      <c r="O72" s="67"/>
    </row>
    <row r="73" s="2" customFormat="1" ht="18" hidden="1" customHeight="1" spans="1:15">
      <c r="A73" s="48">
        <v>43709</v>
      </c>
      <c r="B73" s="25">
        <f t="shared" si="3"/>
        <v>12426.15</v>
      </c>
      <c r="C73" s="49"/>
      <c r="D73" s="50" t="s">
        <v>39</v>
      </c>
      <c r="E73" s="46"/>
      <c r="F73" s="25">
        <f t="shared" si="4"/>
        <v>0</v>
      </c>
      <c r="G73" s="189">
        <v>12426.15</v>
      </c>
      <c r="H73" s="36"/>
      <c r="I73" s="210"/>
      <c r="J73" s="56"/>
      <c r="K73" s="207" t="s">
        <v>68</v>
      </c>
      <c r="L73" s="82"/>
      <c r="M73" s="56"/>
      <c r="N73" s="65"/>
      <c r="O73" s="67"/>
    </row>
    <row r="74" s="2" customFormat="1" ht="18" hidden="1" customHeight="1" spans="1:15">
      <c r="A74" s="48">
        <v>43709</v>
      </c>
      <c r="B74" s="25">
        <f t="shared" si="3"/>
        <v>10316.04</v>
      </c>
      <c r="C74" s="49"/>
      <c r="D74" s="50" t="s">
        <v>36</v>
      </c>
      <c r="E74" s="70">
        <v>0.06</v>
      </c>
      <c r="F74" s="25">
        <f t="shared" si="4"/>
        <v>618.96</v>
      </c>
      <c r="G74" s="189">
        <v>10935</v>
      </c>
      <c r="H74" s="36"/>
      <c r="I74" s="210"/>
      <c r="J74" s="56"/>
      <c r="K74" s="207" t="s">
        <v>82</v>
      </c>
      <c r="L74" s="82" t="s">
        <v>41</v>
      </c>
      <c r="M74" s="56"/>
      <c r="N74" s="65"/>
      <c r="O74" s="67"/>
    </row>
    <row r="75" s="2" customFormat="1" ht="18" hidden="1" customHeight="1" spans="1:15">
      <c r="A75" s="48">
        <v>43709</v>
      </c>
      <c r="B75" s="25">
        <f t="shared" si="3"/>
        <v>10424.53</v>
      </c>
      <c r="C75" s="49"/>
      <c r="D75" s="50" t="s">
        <v>36</v>
      </c>
      <c r="E75" s="70">
        <v>0.06</v>
      </c>
      <c r="F75" s="25">
        <f t="shared" si="4"/>
        <v>625.47</v>
      </c>
      <c r="G75" s="189">
        <v>11050</v>
      </c>
      <c r="H75" s="36"/>
      <c r="I75" s="210"/>
      <c r="J75" s="56"/>
      <c r="K75" s="207" t="s">
        <v>82</v>
      </c>
      <c r="L75" s="82" t="s">
        <v>52</v>
      </c>
      <c r="M75" s="56"/>
      <c r="N75" s="65"/>
      <c r="O75" s="67"/>
    </row>
    <row r="76" s="2" customFormat="1" ht="18" hidden="1" customHeight="1" spans="1:15">
      <c r="A76" s="48">
        <v>43709</v>
      </c>
      <c r="B76" s="25">
        <f t="shared" si="3"/>
        <v>80009.43</v>
      </c>
      <c r="C76" s="49"/>
      <c r="D76" s="50" t="s">
        <v>36</v>
      </c>
      <c r="E76" s="70">
        <v>0.06</v>
      </c>
      <c r="F76" s="25">
        <f t="shared" si="4"/>
        <v>4800.57</v>
      </c>
      <c r="G76" s="189">
        <v>84810</v>
      </c>
      <c r="H76" s="36"/>
      <c r="I76" s="210"/>
      <c r="J76" s="56"/>
      <c r="K76" s="207" t="s">
        <v>69</v>
      </c>
      <c r="L76" s="82" t="s">
        <v>83</v>
      </c>
      <c r="M76" s="56"/>
      <c r="N76" s="65"/>
      <c r="O76" s="67"/>
    </row>
    <row r="77" s="2" customFormat="1" ht="18" hidden="1" customHeight="1" spans="1:15">
      <c r="A77" s="48">
        <v>43709</v>
      </c>
      <c r="B77" s="25">
        <f t="shared" si="3"/>
        <v>63897.3</v>
      </c>
      <c r="C77" s="49"/>
      <c r="D77" s="50" t="s">
        <v>36</v>
      </c>
      <c r="E77" s="70">
        <v>0.06</v>
      </c>
      <c r="F77" s="25">
        <f t="shared" si="4"/>
        <v>3833.84</v>
      </c>
      <c r="G77" s="189">
        <v>67731.14</v>
      </c>
      <c r="H77" s="36"/>
      <c r="I77" s="210"/>
      <c r="J77" s="56"/>
      <c r="K77" s="207" t="s">
        <v>69</v>
      </c>
      <c r="L77" s="82" t="s">
        <v>83</v>
      </c>
      <c r="M77" s="56"/>
      <c r="N77" s="65"/>
      <c r="O77" s="67"/>
    </row>
    <row r="78" s="2" customFormat="1" ht="18" hidden="1" customHeight="1" spans="1:15">
      <c r="A78" s="48">
        <v>43739</v>
      </c>
      <c r="B78" s="25">
        <f t="shared" si="3"/>
        <v>443071.38</v>
      </c>
      <c r="C78" s="49"/>
      <c r="D78" s="50" t="s">
        <v>36</v>
      </c>
      <c r="E78" s="70">
        <v>0.13</v>
      </c>
      <c r="F78" s="25">
        <f t="shared" si="4"/>
        <v>57599.28</v>
      </c>
      <c r="G78" s="189">
        <v>500670.66</v>
      </c>
      <c r="H78" s="36">
        <v>43769</v>
      </c>
      <c r="I78" s="188">
        <v>200000</v>
      </c>
      <c r="J78" s="63" t="s">
        <v>20</v>
      </c>
      <c r="K78" s="207" t="s">
        <v>80</v>
      </c>
      <c r="L78" s="82" t="s">
        <v>84</v>
      </c>
      <c r="M78" s="56"/>
      <c r="N78" s="65"/>
      <c r="O78" s="67"/>
    </row>
    <row r="79" s="2" customFormat="1" ht="18" hidden="1" customHeight="1" spans="1:15">
      <c r="A79" s="48">
        <v>43739</v>
      </c>
      <c r="B79" s="25">
        <f t="shared" si="3"/>
        <v>257787.35</v>
      </c>
      <c r="C79" s="49"/>
      <c r="D79" s="50" t="s">
        <v>36</v>
      </c>
      <c r="E79" s="70">
        <v>0.13</v>
      </c>
      <c r="F79" s="196">
        <f t="shared" si="4"/>
        <v>33512.35</v>
      </c>
      <c r="G79" s="189">
        <v>291299.7</v>
      </c>
      <c r="H79" s="36"/>
      <c r="I79" s="210"/>
      <c r="J79" s="63" t="s">
        <v>20</v>
      </c>
      <c r="K79" s="207" t="s">
        <v>80</v>
      </c>
      <c r="L79" s="82" t="s">
        <v>85</v>
      </c>
      <c r="M79" s="56"/>
      <c r="N79" s="65"/>
      <c r="O79" s="67"/>
    </row>
    <row r="80" s="2" customFormat="1" ht="18" customHeight="1" spans="1:15">
      <c r="A80" s="48"/>
      <c r="B80" s="25">
        <f t="shared" si="3"/>
        <v>0</v>
      </c>
      <c r="C80" s="49"/>
      <c r="D80" s="50"/>
      <c r="E80" s="70"/>
      <c r="F80" s="25">
        <f t="shared" si="4"/>
        <v>0</v>
      </c>
      <c r="G80" s="189"/>
      <c r="H80" s="36">
        <v>43769</v>
      </c>
      <c r="I80" s="188">
        <v>600000</v>
      </c>
      <c r="J80" s="63" t="s">
        <v>20</v>
      </c>
      <c r="K80" s="148" t="s">
        <v>53</v>
      </c>
      <c r="L80" s="67" t="s">
        <v>54</v>
      </c>
      <c r="M80" s="56"/>
      <c r="N80" s="65"/>
      <c r="O80" s="67"/>
    </row>
    <row r="81" s="2" customFormat="1" ht="18" hidden="1" customHeight="1" spans="1:15">
      <c r="A81" s="48">
        <v>43770</v>
      </c>
      <c r="B81" s="25">
        <f t="shared" si="3"/>
        <v>500010</v>
      </c>
      <c r="C81" s="49"/>
      <c r="D81" s="50" t="s">
        <v>73</v>
      </c>
      <c r="E81" s="70"/>
      <c r="F81" s="25">
        <f t="shared" si="4"/>
        <v>0</v>
      </c>
      <c r="G81" s="189">
        <v>500010</v>
      </c>
      <c r="H81" s="36">
        <v>43773</v>
      </c>
      <c r="I81" s="188">
        <v>500010</v>
      </c>
      <c r="J81" s="63" t="s">
        <v>21</v>
      </c>
      <c r="K81" s="207" t="s">
        <v>74</v>
      </c>
      <c r="L81" s="82" t="s">
        <v>86</v>
      </c>
      <c r="M81" s="56"/>
      <c r="N81" s="65"/>
      <c r="O81" s="67"/>
    </row>
    <row r="82" s="2" customFormat="1" ht="18" hidden="1" customHeight="1" spans="1:15">
      <c r="A82" s="48">
        <v>43770</v>
      </c>
      <c r="B82" s="25">
        <f t="shared" si="3"/>
        <v>300000</v>
      </c>
      <c r="C82" s="49"/>
      <c r="D82" s="50" t="s">
        <v>73</v>
      </c>
      <c r="E82" s="70"/>
      <c r="F82" s="25">
        <f t="shared" si="4"/>
        <v>0</v>
      </c>
      <c r="G82" s="189">
        <v>300000</v>
      </c>
      <c r="H82" s="36">
        <v>43773</v>
      </c>
      <c r="I82" s="188">
        <v>300000</v>
      </c>
      <c r="J82" s="63" t="s">
        <v>21</v>
      </c>
      <c r="K82" s="207" t="s">
        <v>87</v>
      </c>
      <c r="L82" s="82" t="s">
        <v>88</v>
      </c>
      <c r="M82" s="56"/>
      <c r="N82" s="65"/>
      <c r="O82" s="67"/>
    </row>
    <row r="83" s="2" customFormat="1" ht="18" hidden="1" customHeight="1" spans="1:15">
      <c r="A83" s="48">
        <v>43770</v>
      </c>
      <c r="B83" s="25">
        <f t="shared" si="3"/>
        <v>300000</v>
      </c>
      <c r="C83" s="49"/>
      <c r="D83" s="50" t="s">
        <v>73</v>
      </c>
      <c r="E83" s="70"/>
      <c r="F83" s="25">
        <f t="shared" si="4"/>
        <v>0</v>
      </c>
      <c r="G83" s="189">
        <v>300000</v>
      </c>
      <c r="H83" s="36">
        <v>43773</v>
      </c>
      <c r="I83" s="188">
        <v>300000</v>
      </c>
      <c r="J83" s="63" t="s">
        <v>21</v>
      </c>
      <c r="K83" s="207" t="s">
        <v>89</v>
      </c>
      <c r="L83" s="82" t="s">
        <v>88</v>
      </c>
      <c r="M83" s="56"/>
      <c r="N83" s="65"/>
      <c r="O83" s="67"/>
    </row>
    <row r="84" s="2" customFormat="1" ht="18" hidden="1" customHeight="1" spans="1:15">
      <c r="A84" s="48">
        <v>43770</v>
      </c>
      <c r="B84" s="25">
        <f t="shared" si="3"/>
        <v>300060</v>
      </c>
      <c r="C84" s="49"/>
      <c r="D84" s="50" t="s">
        <v>73</v>
      </c>
      <c r="E84" s="70"/>
      <c r="F84" s="25">
        <f t="shared" si="4"/>
        <v>0</v>
      </c>
      <c r="G84" s="189">
        <v>300060</v>
      </c>
      <c r="H84" s="36">
        <v>43773</v>
      </c>
      <c r="I84" s="188">
        <v>300060</v>
      </c>
      <c r="J84" s="63" t="s">
        <v>21</v>
      </c>
      <c r="K84" s="207" t="s">
        <v>90</v>
      </c>
      <c r="L84" s="82" t="s">
        <v>91</v>
      </c>
      <c r="M84" s="56"/>
      <c r="N84" s="65"/>
      <c r="O84" s="67"/>
    </row>
    <row r="85" s="2" customFormat="1" ht="18" hidden="1" customHeight="1" spans="1:15">
      <c r="A85" s="48">
        <v>43770</v>
      </c>
      <c r="B85" s="25">
        <f t="shared" si="3"/>
        <v>0</v>
      </c>
      <c r="C85" s="49"/>
      <c r="D85" s="50"/>
      <c r="E85" s="70"/>
      <c r="F85" s="25">
        <f t="shared" si="4"/>
        <v>0</v>
      </c>
      <c r="G85" s="189"/>
      <c r="H85" s="36">
        <v>43773</v>
      </c>
      <c r="I85" s="188">
        <v>500000</v>
      </c>
      <c r="J85" s="63" t="s">
        <v>20</v>
      </c>
      <c r="K85" s="207" t="s">
        <v>92</v>
      </c>
      <c r="L85" s="82" t="s">
        <v>93</v>
      </c>
      <c r="M85" s="56"/>
      <c r="N85" s="65"/>
      <c r="O85" s="67"/>
    </row>
    <row r="86" s="2" customFormat="1" ht="18" hidden="1" customHeight="1" spans="1:15">
      <c r="A86" s="48"/>
      <c r="B86" s="25">
        <f t="shared" si="3"/>
        <v>0</v>
      </c>
      <c r="C86" s="49"/>
      <c r="D86" s="50"/>
      <c r="E86" s="70"/>
      <c r="F86" s="25">
        <f t="shared" si="4"/>
        <v>0</v>
      </c>
      <c r="G86" s="189"/>
      <c r="H86" s="36">
        <v>43775</v>
      </c>
      <c r="I86" s="188">
        <v>800000</v>
      </c>
      <c r="J86" s="63" t="s">
        <v>20</v>
      </c>
      <c r="K86" s="207" t="s">
        <v>94</v>
      </c>
      <c r="L86" s="82" t="s">
        <v>95</v>
      </c>
      <c r="M86" s="56"/>
      <c r="N86" s="65"/>
      <c r="O86" s="67"/>
    </row>
    <row r="87" s="2" customFormat="1" ht="18" hidden="1" customHeight="1" spans="1:15">
      <c r="A87" s="48">
        <v>43770</v>
      </c>
      <c r="B87" s="25">
        <f t="shared" si="3"/>
        <v>1165048.54</v>
      </c>
      <c r="C87" s="49"/>
      <c r="D87" s="50" t="s">
        <v>36</v>
      </c>
      <c r="E87" s="70">
        <v>0.03</v>
      </c>
      <c r="F87" s="197">
        <f t="shared" si="4"/>
        <v>34951.46</v>
      </c>
      <c r="G87" s="189">
        <f>96000*12+48000</f>
        <v>1200000</v>
      </c>
      <c r="H87" s="36">
        <v>43776</v>
      </c>
      <c r="I87" s="188">
        <v>400000</v>
      </c>
      <c r="J87" s="63" t="s">
        <v>20</v>
      </c>
      <c r="K87" s="207" t="s">
        <v>94</v>
      </c>
      <c r="L87" s="82" t="s">
        <v>95</v>
      </c>
      <c r="M87" s="56"/>
      <c r="N87" s="65"/>
      <c r="O87" s="67"/>
    </row>
    <row r="88" s="2" customFormat="1" ht="18" hidden="1" customHeight="1" spans="1:15">
      <c r="A88" s="48">
        <v>43770</v>
      </c>
      <c r="B88" s="25">
        <f t="shared" ref="B88:B90" si="5">ROUND(G88/(1+E88),2)</f>
        <v>326256.05</v>
      </c>
      <c r="C88" s="49"/>
      <c r="D88" s="50" t="s">
        <v>36</v>
      </c>
      <c r="E88" s="70">
        <v>0.13</v>
      </c>
      <c r="F88" s="197">
        <f t="shared" ref="F88:F90" si="6">ROUND(G88/(1+E88)*E88,2)</f>
        <v>42413.29</v>
      </c>
      <c r="G88" s="189">
        <v>368669.34</v>
      </c>
      <c r="H88" s="36"/>
      <c r="I88" s="210"/>
      <c r="J88" s="56"/>
      <c r="K88" s="207" t="s">
        <v>80</v>
      </c>
      <c r="L88" s="82" t="s">
        <v>96</v>
      </c>
      <c r="M88" s="56"/>
      <c r="N88" s="65"/>
      <c r="O88" s="67"/>
    </row>
    <row r="89" s="2" customFormat="1" ht="18" hidden="1" customHeight="1" spans="1:15">
      <c r="A89" s="48">
        <v>43770</v>
      </c>
      <c r="B89" s="25">
        <f t="shared" si="5"/>
        <v>199980</v>
      </c>
      <c r="C89" s="49"/>
      <c r="D89" s="50" t="s">
        <v>73</v>
      </c>
      <c r="E89" s="70"/>
      <c r="F89" s="25">
        <f t="shared" si="6"/>
        <v>0</v>
      </c>
      <c r="G89" s="189">
        <v>199980</v>
      </c>
      <c r="H89" s="195">
        <v>43784</v>
      </c>
      <c r="I89" s="196">
        <v>199980</v>
      </c>
      <c r="J89" s="201" t="s">
        <v>21</v>
      </c>
      <c r="K89" s="202" t="s">
        <v>97</v>
      </c>
      <c r="L89" s="204" t="s">
        <v>98</v>
      </c>
      <c r="M89" s="56" t="s">
        <v>76</v>
      </c>
      <c r="N89" s="65"/>
      <c r="O89" s="67"/>
    </row>
    <row r="90" s="3" customFormat="1" ht="18" hidden="1" customHeight="1" spans="1:15">
      <c r="A90" s="74">
        <v>43770</v>
      </c>
      <c r="B90" s="25">
        <f t="shared" si="5"/>
        <v>442477.88</v>
      </c>
      <c r="C90" s="75"/>
      <c r="D90" s="76" t="s">
        <v>36</v>
      </c>
      <c r="E90" s="77">
        <v>0.13</v>
      </c>
      <c r="F90" s="197">
        <f t="shared" si="6"/>
        <v>57522.12</v>
      </c>
      <c r="G90" s="198">
        <v>500000</v>
      </c>
      <c r="H90" s="36"/>
      <c r="I90" s="188"/>
      <c r="J90" s="63"/>
      <c r="K90" s="207" t="s">
        <v>92</v>
      </c>
      <c r="L90" s="82" t="s">
        <v>99</v>
      </c>
      <c r="M90" s="63" t="s">
        <v>100</v>
      </c>
      <c r="N90" s="63"/>
      <c r="O90" s="82"/>
    </row>
    <row r="91" s="3" customFormat="1" ht="18" customHeight="1" spans="1:15">
      <c r="A91" s="74"/>
      <c r="B91" s="25"/>
      <c r="C91" s="75"/>
      <c r="D91" s="76"/>
      <c r="E91" s="77"/>
      <c r="F91" s="25"/>
      <c r="G91" s="198"/>
      <c r="H91" s="36">
        <v>43819</v>
      </c>
      <c r="I91" s="188">
        <v>92448</v>
      </c>
      <c r="J91" s="63" t="s">
        <v>20</v>
      </c>
      <c r="K91" s="148" t="s">
        <v>53</v>
      </c>
      <c r="L91" s="67" t="s">
        <v>54</v>
      </c>
      <c r="M91" s="63"/>
      <c r="N91" s="63"/>
      <c r="O91" s="82"/>
    </row>
    <row r="92" s="3" customFormat="1" ht="18" hidden="1" customHeight="1" spans="1:15">
      <c r="A92" s="74"/>
      <c r="B92" s="25">
        <f t="shared" ref="B92:B100" si="7">ROUND(G92/(1+E92),2)</f>
        <v>0</v>
      </c>
      <c r="C92" s="75"/>
      <c r="D92" s="76"/>
      <c r="E92" s="77"/>
      <c r="F92" s="25">
        <f t="shared" ref="F92:F100" si="8">ROUND(G92/(1+E92)*E92,2)</f>
        <v>0</v>
      </c>
      <c r="G92" s="198"/>
      <c r="H92" s="36">
        <v>43829</v>
      </c>
      <c r="I92" s="188">
        <v>800000</v>
      </c>
      <c r="J92" s="63" t="s">
        <v>20</v>
      </c>
      <c r="K92" s="207" t="s">
        <v>80</v>
      </c>
      <c r="L92" s="82" t="s">
        <v>81</v>
      </c>
      <c r="M92" s="63"/>
      <c r="N92" s="63"/>
      <c r="O92" s="82"/>
    </row>
    <row r="93" s="3" customFormat="1" ht="18" hidden="1" customHeight="1" spans="1:15">
      <c r="A93" s="74">
        <v>43800</v>
      </c>
      <c r="B93" s="25">
        <f t="shared" si="7"/>
        <v>650987.86</v>
      </c>
      <c r="C93" s="75"/>
      <c r="D93" s="76" t="s">
        <v>36</v>
      </c>
      <c r="E93" s="77">
        <v>0.13</v>
      </c>
      <c r="F93" s="25">
        <f t="shared" si="8"/>
        <v>84628.42</v>
      </c>
      <c r="G93" s="198">
        <v>735616.28</v>
      </c>
      <c r="H93" s="36"/>
      <c r="I93" s="188"/>
      <c r="J93" s="63"/>
      <c r="K93" s="207" t="s">
        <v>80</v>
      </c>
      <c r="L93" s="82" t="s">
        <v>101</v>
      </c>
      <c r="M93" s="63" t="s">
        <v>100</v>
      </c>
      <c r="N93" s="63"/>
      <c r="O93" s="82"/>
    </row>
    <row r="94" s="3" customFormat="1" ht="18" customHeight="1" spans="1:15">
      <c r="A94" s="74">
        <v>43800</v>
      </c>
      <c r="B94" s="25">
        <f t="shared" si="7"/>
        <v>5825242.72</v>
      </c>
      <c r="C94" s="75"/>
      <c r="D94" s="50" t="s">
        <v>36</v>
      </c>
      <c r="E94" s="70">
        <v>0.03</v>
      </c>
      <c r="F94" s="25">
        <f t="shared" si="8"/>
        <v>174757.28</v>
      </c>
      <c r="G94" s="198">
        <f>1000000*6</f>
        <v>6000000</v>
      </c>
      <c r="H94" s="36">
        <v>43843</v>
      </c>
      <c r="I94" s="188">
        <v>1000000</v>
      </c>
      <c r="J94" s="63" t="s">
        <v>20</v>
      </c>
      <c r="K94" s="207" t="s">
        <v>53</v>
      </c>
      <c r="L94" s="82" t="s">
        <v>54</v>
      </c>
      <c r="M94" s="63" t="s">
        <v>100</v>
      </c>
      <c r="N94" s="63"/>
      <c r="O94" s="82" t="s">
        <v>102</v>
      </c>
    </row>
    <row r="95" s="3" customFormat="1" ht="18" hidden="1" customHeight="1" spans="1:15">
      <c r="A95" s="74">
        <v>43831</v>
      </c>
      <c r="B95" s="25">
        <f t="shared" si="7"/>
        <v>3623633.45</v>
      </c>
      <c r="C95" s="75"/>
      <c r="D95" s="50" t="s">
        <v>36</v>
      </c>
      <c r="E95" s="77">
        <v>0.09</v>
      </c>
      <c r="F95" s="25">
        <f t="shared" si="8"/>
        <v>326127.01</v>
      </c>
      <c r="G95" s="198">
        <f>1000000*3+949760.46</f>
        <v>3949760.46</v>
      </c>
      <c r="H95" s="36">
        <v>43844</v>
      </c>
      <c r="I95" s="188">
        <v>500000</v>
      </c>
      <c r="J95" s="63" t="s">
        <v>20</v>
      </c>
      <c r="K95" s="207" t="s">
        <v>103</v>
      </c>
      <c r="L95" s="82" t="s">
        <v>54</v>
      </c>
      <c r="M95" s="63" t="s">
        <v>100</v>
      </c>
      <c r="N95" s="63"/>
      <c r="O95" s="82"/>
    </row>
    <row r="96" s="3" customFormat="1" ht="18" hidden="1" customHeight="1" spans="1:15">
      <c r="A96" s="74"/>
      <c r="B96" s="25">
        <f t="shared" si="7"/>
        <v>0</v>
      </c>
      <c r="C96" s="75"/>
      <c r="D96" s="76"/>
      <c r="E96" s="77"/>
      <c r="F96" s="25">
        <f t="shared" si="8"/>
        <v>0</v>
      </c>
      <c r="G96" s="198"/>
      <c r="H96" s="36">
        <v>43845</v>
      </c>
      <c r="I96" s="188">
        <v>2000000</v>
      </c>
      <c r="J96" s="63" t="s">
        <v>20</v>
      </c>
      <c r="K96" s="207" t="s">
        <v>103</v>
      </c>
      <c r="L96" s="82" t="s">
        <v>54</v>
      </c>
      <c r="M96" s="63"/>
      <c r="N96" s="63"/>
      <c r="O96" s="82"/>
    </row>
    <row r="97" s="3" customFormat="1" ht="18" hidden="1" customHeight="1" spans="1:15">
      <c r="A97" s="74"/>
      <c r="B97" s="25">
        <f t="shared" si="7"/>
        <v>0</v>
      </c>
      <c r="C97" s="75"/>
      <c r="D97" s="76"/>
      <c r="E97" s="77"/>
      <c r="F97" s="25">
        <f t="shared" si="8"/>
        <v>0</v>
      </c>
      <c r="G97" s="198"/>
      <c r="H97" s="36">
        <v>43849</v>
      </c>
      <c r="I97" s="188">
        <v>1449760.46</v>
      </c>
      <c r="J97" s="63" t="s">
        <v>20</v>
      </c>
      <c r="K97" s="207" t="s">
        <v>103</v>
      </c>
      <c r="L97" s="82" t="s">
        <v>54</v>
      </c>
      <c r="M97" s="63"/>
      <c r="N97" s="63"/>
      <c r="O97" s="82"/>
    </row>
    <row r="98" s="3" customFormat="1" ht="18" hidden="1" customHeight="1" spans="1:15">
      <c r="A98" s="74">
        <v>43831</v>
      </c>
      <c r="B98" s="25">
        <f t="shared" si="7"/>
        <v>600000</v>
      </c>
      <c r="C98" s="75"/>
      <c r="D98" s="50" t="s">
        <v>73</v>
      </c>
      <c r="E98" s="77"/>
      <c r="F98" s="25">
        <f t="shared" si="8"/>
        <v>0</v>
      </c>
      <c r="G98" s="237">
        <v>600000</v>
      </c>
      <c r="H98" s="36">
        <v>43850</v>
      </c>
      <c r="I98" s="188">
        <v>600000</v>
      </c>
      <c r="J98" s="63" t="s">
        <v>21</v>
      </c>
      <c r="K98" s="207" t="s">
        <v>89</v>
      </c>
      <c r="L98" s="82" t="s">
        <v>104</v>
      </c>
      <c r="M98" s="63"/>
      <c r="N98" s="63"/>
      <c r="O98" s="82"/>
    </row>
    <row r="99" s="3" customFormat="1" ht="18" hidden="1" customHeight="1" spans="1:15">
      <c r="A99" s="74">
        <v>43831</v>
      </c>
      <c r="B99" s="25">
        <f t="shared" si="7"/>
        <v>600000</v>
      </c>
      <c r="C99" s="75"/>
      <c r="D99" s="50" t="s">
        <v>73</v>
      </c>
      <c r="E99" s="77"/>
      <c r="F99" s="25">
        <f t="shared" si="8"/>
        <v>0</v>
      </c>
      <c r="G99" s="237">
        <v>600000</v>
      </c>
      <c r="H99" s="36">
        <v>43850</v>
      </c>
      <c r="I99" s="188">
        <v>600000</v>
      </c>
      <c r="J99" s="63" t="s">
        <v>21</v>
      </c>
      <c r="K99" s="207" t="s">
        <v>87</v>
      </c>
      <c r="L99" s="82" t="s">
        <v>104</v>
      </c>
      <c r="M99" s="63"/>
      <c r="N99" s="63"/>
      <c r="O99" s="82"/>
    </row>
    <row r="100" s="3" customFormat="1" ht="18" hidden="1" customHeight="1" spans="1:15">
      <c r="A100" s="74">
        <v>43891</v>
      </c>
      <c r="B100" s="25">
        <f t="shared" si="7"/>
        <v>530100</v>
      </c>
      <c r="C100" s="75"/>
      <c r="D100" s="50" t="s">
        <v>73</v>
      </c>
      <c r="E100" s="77"/>
      <c r="F100" s="25">
        <f t="shared" si="8"/>
        <v>0</v>
      </c>
      <c r="G100" s="237">
        <v>530100</v>
      </c>
      <c r="H100" s="36">
        <v>43903</v>
      </c>
      <c r="I100" s="188">
        <v>530000</v>
      </c>
      <c r="J100" s="63" t="s">
        <v>21</v>
      </c>
      <c r="K100" s="207" t="s">
        <v>105</v>
      </c>
      <c r="L100" s="82" t="s">
        <v>77</v>
      </c>
      <c r="M100" s="63"/>
      <c r="N100" s="63"/>
      <c r="O100" s="82"/>
    </row>
    <row r="101" s="3" customFormat="1" ht="18" hidden="1" customHeight="1" spans="1:15">
      <c r="A101" s="74">
        <v>43952</v>
      </c>
      <c r="B101" s="25">
        <f>298648.6+188837.04+318653.29</f>
        <v>806138.93</v>
      </c>
      <c r="C101" s="75">
        <v>3</v>
      </c>
      <c r="D101" s="50" t="s">
        <v>36</v>
      </c>
      <c r="E101" s="77">
        <v>0.13</v>
      </c>
      <c r="F101" s="25">
        <f>38824.32+24548.82+41424.93</f>
        <v>104798.07</v>
      </c>
      <c r="G101" s="198">
        <f>337472.92+213385.86+360078.22</f>
        <v>910937</v>
      </c>
      <c r="H101" s="36">
        <v>43903</v>
      </c>
      <c r="I101" s="188">
        <v>200000</v>
      </c>
      <c r="J101" s="63" t="s">
        <v>20</v>
      </c>
      <c r="K101" s="207" t="s">
        <v>80</v>
      </c>
      <c r="L101" s="82" t="s">
        <v>81</v>
      </c>
      <c r="M101" s="63"/>
      <c r="N101" s="63"/>
      <c r="O101" s="82"/>
    </row>
    <row r="102" s="3" customFormat="1" ht="18" hidden="1" customHeight="1" spans="1:15">
      <c r="A102" s="74"/>
      <c r="B102" s="25">
        <f t="shared" ref="B102:B104" si="9">ROUND(G102/(1+E102),2)</f>
        <v>0</v>
      </c>
      <c r="C102" s="75"/>
      <c r="D102" s="50"/>
      <c r="E102" s="77"/>
      <c r="F102" s="25">
        <f t="shared" ref="F102:F104" si="10">ROUND(G102/(1+E102)*E102,2)</f>
        <v>0</v>
      </c>
      <c r="G102" s="198"/>
      <c r="H102" s="36">
        <v>43950</v>
      </c>
      <c r="I102" s="188">
        <v>400000</v>
      </c>
      <c r="J102" s="63" t="s">
        <v>20</v>
      </c>
      <c r="K102" s="207" t="s">
        <v>155</v>
      </c>
      <c r="L102" s="82" t="s">
        <v>81</v>
      </c>
      <c r="M102" s="63"/>
      <c r="N102" s="63"/>
      <c r="O102" s="82"/>
    </row>
    <row r="103" s="3" customFormat="1" ht="18" hidden="1" customHeight="1" spans="1:15">
      <c r="A103" s="74"/>
      <c r="B103" s="25">
        <f t="shared" si="9"/>
        <v>0</v>
      </c>
      <c r="C103" s="75"/>
      <c r="D103" s="50"/>
      <c r="E103" s="77"/>
      <c r="F103" s="25">
        <f t="shared" si="10"/>
        <v>0</v>
      </c>
      <c r="G103" s="198"/>
      <c r="H103" s="36">
        <v>43951</v>
      </c>
      <c r="I103" s="188">
        <v>970000</v>
      </c>
      <c r="J103" s="63" t="s">
        <v>21</v>
      </c>
      <c r="K103" s="207" t="s">
        <v>105</v>
      </c>
      <c r="L103" s="82"/>
      <c r="M103" s="63"/>
      <c r="N103" s="63"/>
      <c r="O103" s="82"/>
    </row>
    <row r="104" s="3" customFormat="1" ht="18" hidden="1" customHeight="1" spans="1:15">
      <c r="A104" s="74"/>
      <c r="B104" s="25">
        <f t="shared" si="9"/>
        <v>0</v>
      </c>
      <c r="C104" s="75"/>
      <c r="D104" s="50"/>
      <c r="E104" s="77"/>
      <c r="F104" s="25">
        <f t="shared" si="10"/>
        <v>0</v>
      </c>
      <c r="G104" s="198"/>
      <c r="H104" s="36">
        <v>43966</v>
      </c>
      <c r="I104" s="188">
        <v>150000</v>
      </c>
      <c r="J104" s="63" t="s">
        <v>20</v>
      </c>
      <c r="K104" s="207" t="s">
        <v>155</v>
      </c>
      <c r="L104" s="82" t="s">
        <v>81</v>
      </c>
      <c r="M104" s="63"/>
      <c r="N104" s="63"/>
      <c r="O104" s="82"/>
    </row>
    <row r="105" s="3" customFormat="1" ht="17.1" hidden="1" customHeight="1" spans="1:15">
      <c r="A105" s="74">
        <v>43831</v>
      </c>
      <c r="B105" s="25">
        <v>2632.08</v>
      </c>
      <c r="C105" s="75">
        <v>1</v>
      </c>
      <c r="D105" s="50" t="s">
        <v>36</v>
      </c>
      <c r="E105" s="77">
        <v>0.06</v>
      </c>
      <c r="F105" s="25">
        <v>157.92</v>
      </c>
      <c r="G105" s="198">
        <v>2790</v>
      </c>
      <c r="H105" s="36"/>
      <c r="I105" s="188"/>
      <c r="J105" s="63"/>
      <c r="K105" s="207" t="s">
        <v>156</v>
      </c>
      <c r="L105" s="82" t="s">
        <v>52</v>
      </c>
      <c r="M105" s="63"/>
      <c r="N105" s="63"/>
      <c r="O105" s="82"/>
    </row>
    <row r="106" s="3" customFormat="1" ht="18" customHeight="1" spans="1:15">
      <c r="A106" s="74"/>
      <c r="B106" s="25"/>
      <c r="C106" s="75"/>
      <c r="D106" s="50"/>
      <c r="E106" s="77"/>
      <c r="F106" s="25"/>
      <c r="G106" s="198"/>
      <c r="H106" s="36"/>
      <c r="I106" s="188"/>
      <c r="J106" s="63"/>
      <c r="K106" s="207"/>
      <c r="L106" s="82"/>
      <c r="M106" s="63"/>
      <c r="N106" s="63"/>
      <c r="O106" s="82"/>
    </row>
    <row r="107" s="3" customFormat="1" ht="18" customHeight="1" spans="1:15">
      <c r="A107" s="74"/>
      <c r="B107" s="25"/>
      <c r="C107" s="75"/>
      <c r="D107" s="50"/>
      <c r="E107" s="77"/>
      <c r="F107" s="25"/>
      <c r="G107" s="198"/>
      <c r="H107" s="36"/>
      <c r="I107" s="188"/>
      <c r="J107" s="63"/>
      <c r="K107" s="207"/>
      <c r="L107" s="82"/>
      <c r="M107" s="63"/>
      <c r="N107" s="63"/>
      <c r="O107" s="82"/>
    </row>
    <row r="108" s="3" customFormat="1" ht="18" customHeight="1" spans="1:15">
      <c r="A108" s="74"/>
      <c r="B108" s="25">
        <f t="shared" ref="B108:B113" si="11">ROUND(G108/(1+E108),2)</f>
        <v>0</v>
      </c>
      <c r="C108" s="75"/>
      <c r="D108" s="50"/>
      <c r="E108" s="77"/>
      <c r="F108" s="25">
        <f t="shared" ref="F108:F113" si="12">ROUND(G108/(1+E108)*E108,2)</f>
        <v>0</v>
      </c>
      <c r="G108" s="198"/>
      <c r="H108" s="36"/>
      <c r="I108" s="188"/>
      <c r="J108" s="63"/>
      <c r="K108" s="207"/>
      <c r="L108" s="82"/>
      <c r="M108" s="63"/>
      <c r="N108" s="63"/>
      <c r="O108" s="82"/>
    </row>
    <row r="109" s="3" customFormat="1" ht="18" customHeight="1" spans="1:15">
      <c r="A109" s="74"/>
      <c r="B109" s="25">
        <f t="shared" si="11"/>
        <v>0</v>
      </c>
      <c r="C109" s="75"/>
      <c r="D109" s="50"/>
      <c r="E109" s="77"/>
      <c r="F109" s="25">
        <f t="shared" si="12"/>
        <v>0</v>
      </c>
      <c r="G109" s="198"/>
      <c r="H109" s="36">
        <v>43966</v>
      </c>
      <c r="I109" s="188">
        <v>100</v>
      </c>
      <c r="J109" s="65" t="s">
        <v>106</v>
      </c>
      <c r="K109" s="207" t="s">
        <v>110</v>
      </c>
      <c r="L109" s="82"/>
      <c r="M109" s="63"/>
      <c r="N109" s="63"/>
      <c r="O109" s="82"/>
    </row>
    <row r="110" s="3" customFormat="1" ht="18" customHeight="1" spans="1:15">
      <c r="A110" s="74"/>
      <c r="B110" s="25">
        <f t="shared" si="11"/>
        <v>0</v>
      </c>
      <c r="C110" s="75"/>
      <c r="D110" s="50"/>
      <c r="E110" s="77"/>
      <c r="F110" s="25">
        <f t="shared" si="12"/>
        <v>0</v>
      </c>
      <c r="G110" s="198"/>
      <c r="H110" s="76">
        <v>10.2</v>
      </c>
      <c r="I110" s="188">
        <v>100</v>
      </c>
      <c r="J110" s="65" t="s">
        <v>106</v>
      </c>
      <c r="K110" s="207" t="s">
        <v>110</v>
      </c>
      <c r="L110" s="82"/>
      <c r="M110" s="63"/>
      <c r="N110" s="63"/>
      <c r="O110" s="82"/>
    </row>
    <row r="111" s="3" customFormat="1" ht="18" customHeight="1" spans="1:15">
      <c r="A111" s="74"/>
      <c r="B111" s="25">
        <f t="shared" si="11"/>
        <v>0</v>
      </c>
      <c r="C111" s="75"/>
      <c r="D111" s="50"/>
      <c r="E111" s="77"/>
      <c r="F111" s="25">
        <f t="shared" si="12"/>
        <v>0</v>
      </c>
      <c r="G111" s="198"/>
      <c r="H111" s="76">
        <v>10.1</v>
      </c>
      <c r="I111" s="188">
        <v>100</v>
      </c>
      <c r="J111" s="65" t="s">
        <v>106</v>
      </c>
      <c r="K111" s="207" t="s">
        <v>110</v>
      </c>
      <c r="L111" s="82"/>
      <c r="M111" s="63"/>
      <c r="N111" s="63"/>
      <c r="O111" s="82"/>
    </row>
    <row r="112" s="3" customFormat="1" ht="18" customHeight="1" spans="1:15">
      <c r="A112" s="74"/>
      <c r="B112" s="25">
        <f t="shared" si="11"/>
        <v>0</v>
      </c>
      <c r="C112" s="75"/>
      <c r="D112" s="50"/>
      <c r="E112" s="77"/>
      <c r="F112" s="25">
        <f t="shared" si="12"/>
        <v>0</v>
      </c>
      <c r="G112" s="198"/>
      <c r="H112" s="76">
        <v>10.1</v>
      </c>
      <c r="I112" s="188">
        <f>B12*0.0006</f>
        <v>853.211009174312</v>
      </c>
      <c r="J112" s="65" t="s">
        <v>106</v>
      </c>
      <c r="K112" s="207" t="s">
        <v>107</v>
      </c>
      <c r="L112" s="82">
        <f>I112+I113+I116+I121+I124+I125+I126+I127+I134+I135+I141+I143+I144</f>
        <v>916149.577981651</v>
      </c>
      <c r="M112" s="63"/>
      <c r="N112" s="63"/>
      <c r="O112" s="82"/>
    </row>
    <row r="113" s="3" customFormat="1" ht="18" customHeight="1" spans="1:15">
      <c r="A113" s="74"/>
      <c r="B113" s="25">
        <f t="shared" si="11"/>
        <v>0</v>
      </c>
      <c r="C113" s="75"/>
      <c r="D113" s="50"/>
      <c r="E113" s="77"/>
      <c r="F113" s="25">
        <f t="shared" si="12"/>
        <v>0</v>
      </c>
      <c r="G113" s="198"/>
      <c r="H113" s="76">
        <v>10.1</v>
      </c>
      <c r="I113" s="188">
        <f>B12*0.02</f>
        <v>28440.3669724771</v>
      </c>
      <c r="J113" s="65" t="s">
        <v>106</v>
      </c>
      <c r="K113" s="207" t="s">
        <v>108</v>
      </c>
      <c r="L113" s="82"/>
      <c r="M113" s="63"/>
      <c r="N113" s="63"/>
      <c r="O113" s="82"/>
    </row>
    <row r="114" s="3" customFormat="1" ht="18" customHeight="1" spans="1:15">
      <c r="A114" s="74"/>
      <c r="B114" s="25"/>
      <c r="C114" s="75"/>
      <c r="D114" s="50"/>
      <c r="E114" s="77"/>
      <c r="F114" s="25"/>
      <c r="G114" s="198"/>
      <c r="H114" s="76">
        <v>10.1</v>
      </c>
      <c r="I114" s="188">
        <f>G12*0.005</f>
        <v>7750</v>
      </c>
      <c r="J114" s="65" t="s">
        <v>106</v>
      </c>
      <c r="K114" s="207" t="s">
        <v>157</v>
      </c>
      <c r="L114" s="82">
        <f>I114+I146</f>
        <v>140600</v>
      </c>
      <c r="M114" s="63"/>
      <c r="N114" s="63"/>
      <c r="O114" s="82"/>
    </row>
    <row r="115" s="3" customFormat="1" ht="18" customHeight="1" spans="1:15">
      <c r="A115" s="74"/>
      <c r="B115" s="25">
        <f t="shared" ref="B115:B136" si="13">ROUND(G115/(1+E115),2)</f>
        <v>0</v>
      </c>
      <c r="C115" s="75"/>
      <c r="D115" s="50"/>
      <c r="E115" s="77"/>
      <c r="F115" s="25">
        <f t="shared" ref="F115:F136" si="14">ROUND(G115/(1+E115)*E115,2)</f>
        <v>0</v>
      </c>
      <c r="G115" s="198"/>
      <c r="H115" s="36" t="s">
        <v>109</v>
      </c>
      <c r="I115" s="188">
        <v>200</v>
      </c>
      <c r="J115" s="65" t="s">
        <v>106</v>
      </c>
      <c r="K115" s="207" t="s">
        <v>110</v>
      </c>
      <c r="L115" s="82">
        <f>I115+I117+I118+I119+I120+I122+I129+I132+I136+I145+I111</f>
        <v>245132.79</v>
      </c>
      <c r="M115" s="63"/>
      <c r="N115" s="63"/>
      <c r="O115" s="82"/>
    </row>
    <row r="116" s="3" customFormat="1" ht="18" customHeight="1" spans="1:15">
      <c r="A116" s="74"/>
      <c r="B116" s="25">
        <f t="shared" si="13"/>
        <v>0</v>
      </c>
      <c r="C116" s="75"/>
      <c r="D116" s="50"/>
      <c r="E116" s="77"/>
      <c r="F116" s="25">
        <f t="shared" si="14"/>
        <v>0</v>
      </c>
      <c r="G116" s="198"/>
      <c r="H116" s="36" t="s">
        <v>111</v>
      </c>
      <c r="I116" s="188">
        <v>-285325</v>
      </c>
      <c r="J116" s="63" t="s">
        <v>112</v>
      </c>
      <c r="K116" s="205" t="s">
        <v>158</v>
      </c>
      <c r="L116" s="82"/>
      <c r="M116" s="63"/>
      <c r="N116" s="63"/>
      <c r="O116" s="82"/>
    </row>
    <row r="117" s="3" customFormat="1" ht="18" customHeight="1" spans="1:15">
      <c r="A117" s="74"/>
      <c r="B117" s="25">
        <f t="shared" si="13"/>
        <v>0</v>
      </c>
      <c r="C117" s="75"/>
      <c r="D117" s="76"/>
      <c r="E117" s="77"/>
      <c r="F117" s="25">
        <f t="shared" si="14"/>
        <v>0</v>
      </c>
      <c r="G117" s="198"/>
      <c r="H117" s="36" t="s">
        <v>111</v>
      </c>
      <c r="I117" s="188">
        <v>200</v>
      </c>
      <c r="J117" s="65" t="s">
        <v>106</v>
      </c>
      <c r="K117" s="207" t="s">
        <v>110</v>
      </c>
      <c r="L117" s="82"/>
      <c r="M117" s="63"/>
      <c r="N117" s="63"/>
      <c r="O117" s="82"/>
    </row>
    <row r="118" s="3" customFormat="1" ht="18" customHeight="1" spans="1:15">
      <c r="A118" s="74"/>
      <c r="B118" s="25">
        <f t="shared" si="13"/>
        <v>0</v>
      </c>
      <c r="C118" s="75"/>
      <c r="D118" s="76"/>
      <c r="E118" s="77"/>
      <c r="F118" s="25">
        <f t="shared" si="14"/>
        <v>0</v>
      </c>
      <c r="G118" s="198"/>
      <c r="H118" s="36" t="s">
        <v>113</v>
      </c>
      <c r="I118" s="188">
        <v>300</v>
      </c>
      <c r="J118" s="65" t="s">
        <v>106</v>
      </c>
      <c r="K118" s="207" t="s">
        <v>110</v>
      </c>
      <c r="L118" s="82"/>
      <c r="M118" s="63"/>
      <c r="N118" s="63"/>
      <c r="O118" s="82"/>
    </row>
    <row r="119" s="3" customFormat="1" ht="18" customHeight="1" spans="1:15">
      <c r="A119" s="74"/>
      <c r="B119" s="25">
        <f t="shared" si="13"/>
        <v>0</v>
      </c>
      <c r="C119" s="75"/>
      <c r="D119" s="76"/>
      <c r="E119" s="77"/>
      <c r="F119" s="25">
        <f t="shared" si="14"/>
        <v>0</v>
      </c>
      <c r="G119" s="198"/>
      <c r="H119" s="36" t="s">
        <v>114</v>
      </c>
      <c r="I119" s="188">
        <v>9600</v>
      </c>
      <c r="J119" s="65" t="s">
        <v>106</v>
      </c>
      <c r="K119" s="207" t="s">
        <v>115</v>
      </c>
      <c r="L119" s="82"/>
      <c r="M119" s="63"/>
      <c r="N119" s="63"/>
      <c r="O119" s="82"/>
    </row>
    <row r="120" s="3" customFormat="1" ht="18" customHeight="1" spans="1:15">
      <c r="A120" s="74"/>
      <c r="B120" s="25">
        <f t="shared" si="13"/>
        <v>0</v>
      </c>
      <c r="C120" s="75"/>
      <c r="D120" s="76"/>
      <c r="E120" s="77"/>
      <c r="F120" s="25">
        <f t="shared" si="14"/>
        <v>0</v>
      </c>
      <c r="G120" s="198"/>
      <c r="H120" s="36" t="s">
        <v>114</v>
      </c>
      <c r="I120" s="188">
        <v>200</v>
      </c>
      <c r="J120" s="65" t="s">
        <v>106</v>
      </c>
      <c r="K120" s="207" t="s">
        <v>110</v>
      </c>
      <c r="L120" s="82"/>
      <c r="M120" s="63"/>
      <c r="N120" s="63"/>
      <c r="O120" s="82"/>
    </row>
    <row r="121" s="3" customFormat="1" ht="18" customHeight="1" spans="1:15">
      <c r="A121" s="74"/>
      <c r="B121" s="25">
        <f t="shared" si="13"/>
        <v>0</v>
      </c>
      <c r="C121" s="75"/>
      <c r="D121" s="76"/>
      <c r="E121" s="77"/>
      <c r="F121" s="25">
        <f t="shared" si="14"/>
        <v>0</v>
      </c>
      <c r="G121" s="198"/>
      <c r="H121" s="36" t="s">
        <v>114</v>
      </c>
      <c r="I121" s="188">
        <v>-903045</v>
      </c>
      <c r="J121" s="63" t="s">
        <v>112</v>
      </c>
      <c r="K121" s="207" t="s">
        <v>116</v>
      </c>
      <c r="L121" s="82"/>
      <c r="M121" s="63"/>
      <c r="N121" s="63"/>
      <c r="O121" s="82"/>
    </row>
    <row r="122" s="3" customFormat="1" ht="18" customHeight="1" spans="1:15">
      <c r="A122" s="74"/>
      <c r="B122" s="25">
        <f t="shared" si="13"/>
        <v>0</v>
      </c>
      <c r="C122" s="75"/>
      <c r="D122" s="76"/>
      <c r="E122" s="77"/>
      <c r="F122" s="25">
        <f t="shared" si="14"/>
        <v>0</v>
      </c>
      <c r="G122" s="198"/>
      <c r="H122" s="36" t="s">
        <v>117</v>
      </c>
      <c r="I122" s="188">
        <v>232932.79</v>
      </c>
      <c r="J122" s="63" t="s">
        <v>106</v>
      </c>
      <c r="K122" s="207" t="s">
        <v>118</v>
      </c>
      <c r="L122" s="82"/>
      <c r="M122" s="63"/>
      <c r="N122" s="63"/>
      <c r="O122" s="82"/>
    </row>
    <row r="123" s="3" customFormat="1" ht="18" customHeight="1" spans="1:15">
      <c r="A123" s="74"/>
      <c r="B123" s="25">
        <f t="shared" si="13"/>
        <v>0</v>
      </c>
      <c r="C123" s="75"/>
      <c r="D123" s="76"/>
      <c r="E123" s="77"/>
      <c r="F123" s="25">
        <f t="shared" si="14"/>
        <v>0</v>
      </c>
      <c r="G123" s="198"/>
      <c r="H123" s="36" t="s">
        <v>117</v>
      </c>
      <c r="I123" s="188"/>
      <c r="J123" s="63" t="s">
        <v>106</v>
      </c>
      <c r="K123" s="207" t="s">
        <v>119</v>
      </c>
      <c r="L123" s="82"/>
      <c r="M123" s="63"/>
      <c r="N123" s="63"/>
      <c r="O123" s="82"/>
    </row>
    <row r="124" s="3" customFormat="1" ht="18" customHeight="1" spans="1:15">
      <c r="A124" s="74"/>
      <c r="B124" s="25">
        <f t="shared" si="13"/>
        <v>0</v>
      </c>
      <c r="C124" s="75"/>
      <c r="D124" s="76"/>
      <c r="E124" s="77"/>
      <c r="F124" s="25">
        <f t="shared" si="14"/>
        <v>0</v>
      </c>
      <c r="G124" s="198"/>
      <c r="H124" s="36" t="s">
        <v>117</v>
      </c>
      <c r="I124" s="188">
        <v>903045</v>
      </c>
      <c r="J124" s="63" t="s">
        <v>120</v>
      </c>
      <c r="K124" s="207" t="s">
        <v>121</v>
      </c>
      <c r="L124" s="82"/>
      <c r="M124" s="63"/>
      <c r="N124" s="63"/>
      <c r="O124" s="82"/>
    </row>
    <row r="125" s="3" customFormat="1" ht="18" customHeight="1" spans="1:15">
      <c r="A125" s="74"/>
      <c r="B125" s="25">
        <f t="shared" si="13"/>
        <v>0</v>
      </c>
      <c r="C125" s="75"/>
      <c r="D125" s="76"/>
      <c r="E125" s="77"/>
      <c r="F125" s="25">
        <f t="shared" si="14"/>
        <v>0</v>
      </c>
      <c r="G125" s="198"/>
      <c r="H125" s="36" t="s">
        <v>117</v>
      </c>
      <c r="I125" s="188">
        <v>485252</v>
      </c>
      <c r="J125" s="63" t="s">
        <v>106</v>
      </c>
      <c r="K125" s="207" t="s">
        <v>122</v>
      </c>
      <c r="L125" s="82"/>
      <c r="M125" s="63"/>
      <c r="N125" s="63"/>
      <c r="O125" s="82"/>
    </row>
    <row r="126" s="3" customFormat="1" ht="18" customHeight="1" spans="1:15">
      <c r="A126" s="74"/>
      <c r="B126" s="25">
        <f t="shared" si="13"/>
        <v>0</v>
      </c>
      <c r="C126" s="75"/>
      <c r="D126" s="76"/>
      <c r="E126" s="77"/>
      <c r="F126" s="25">
        <f t="shared" si="14"/>
        <v>0</v>
      </c>
      <c r="G126" s="198"/>
      <c r="H126" s="36" t="s">
        <v>117</v>
      </c>
      <c r="I126" s="188">
        <v>4789</v>
      </c>
      <c r="J126" s="63" t="s">
        <v>106</v>
      </c>
      <c r="K126" s="207" t="s">
        <v>123</v>
      </c>
      <c r="L126" s="82"/>
      <c r="M126" s="63"/>
      <c r="N126" s="63"/>
      <c r="O126" s="82"/>
    </row>
    <row r="127" s="3" customFormat="1" ht="18" customHeight="1" spans="1:15">
      <c r="A127" s="74"/>
      <c r="B127" s="25">
        <f t="shared" si="13"/>
        <v>0</v>
      </c>
      <c r="C127" s="75"/>
      <c r="D127" s="76"/>
      <c r="E127" s="77"/>
      <c r="F127" s="25">
        <f t="shared" si="14"/>
        <v>0</v>
      </c>
      <c r="G127" s="198"/>
      <c r="H127" s="36" t="s">
        <v>117</v>
      </c>
      <c r="I127" s="188">
        <v>429349</v>
      </c>
      <c r="J127" s="63" t="s">
        <v>106</v>
      </c>
      <c r="K127" s="205" t="s">
        <v>124</v>
      </c>
      <c r="L127" s="82"/>
      <c r="M127" s="63"/>
      <c r="N127" s="63"/>
      <c r="O127" s="82"/>
    </row>
    <row r="128" s="3" customFormat="1" ht="18" customHeight="1" spans="1:15">
      <c r="A128" s="74"/>
      <c r="B128" s="25">
        <f t="shared" si="13"/>
        <v>0</v>
      </c>
      <c r="C128" s="75"/>
      <c r="D128" s="76"/>
      <c r="E128" s="77"/>
      <c r="F128" s="25">
        <f t="shared" si="14"/>
        <v>0</v>
      </c>
      <c r="G128" s="198"/>
      <c r="H128" s="36" t="s">
        <v>117</v>
      </c>
      <c r="I128" s="188">
        <v>87000</v>
      </c>
      <c r="J128" s="63" t="s">
        <v>125</v>
      </c>
      <c r="K128" s="207" t="s">
        <v>126</v>
      </c>
      <c r="L128" s="82"/>
      <c r="M128" s="63"/>
      <c r="N128" s="63"/>
      <c r="O128" s="82"/>
    </row>
    <row r="129" s="2" customFormat="1" ht="18" customHeight="1" spans="1:15">
      <c r="A129" s="48"/>
      <c r="B129" s="25">
        <f t="shared" si="13"/>
        <v>0</v>
      </c>
      <c r="C129" s="49"/>
      <c r="D129" s="50"/>
      <c r="E129" s="70"/>
      <c r="F129" s="25">
        <f t="shared" si="14"/>
        <v>0</v>
      </c>
      <c r="G129" s="189"/>
      <c r="H129" s="36" t="s">
        <v>117</v>
      </c>
      <c r="I129" s="188">
        <v>100</v>
      </c>
      <c r="J129" s="65" t="s">
        <v>106</v>
      </c>
      <c r="K129" s="207" t="s">
        <v>110</v>
      </c>
      <c r="L129" s="82"/>
      <c r="M129" s="56"/>
      <c r="N129" s="65"/>
      <c r="O129" s="67"/>
    </row>
    <row r="130" s="2" customFormat="1" ht="18" customHeight="1" spans="1:15">
      <c r="A130" s="48"/>
      <c r="B130" s="25">
        <f t="shared" si="13"/>
        <v>0</v>
      </c>
      <c r="C130" s="49"/>
      <c r="D130" s="50"/>
      <c r="E130" s="70"/>
      <c r="F130" s="25">
        <f t="shared" si="14"/>
        <v>0</v>
      </c>
      <c r="G130" s="189"/>
      <c r="H130" s="36" t="s">
        <v>117</v>
      </c>
      <c r="I130" s="188"/>
      <c r="J130" s="63"/>
      <c r="K130" s="207"/>
      <c r="L130" s="82"/>
      <c r="M130" s="56"/>
      <c r="N130" s="65"/>
      <c r="O130" s="67"/>
    </row>
    <row r="131" s="2" customFormat="1" ht="18" customHeight="1" spans="1:15">
      <c r="A131" s="48"/>
      <c r="B131" s="25">
        <f t="shared" si="13"/>
        <v>0</v>
      </c>
      <c r="C131" s="49"/>
      <c r="D131" s="50"/>
      <c r="E131" s="70"/>
      <c r="F131" s="25">
        <f t="shared" si="14"/>
        <v>0</v>
      </c>
      <c r="G131" s="189"/>
      <c r="H131" s="36" t="s">
        <v>127</v>
      </c>
      <c r="I131" s="188">
        <v>-93700</v>
      </c>
      <c r="J131" s="63" t="s">
        <v>125</v>
      </c>
      <c r="K131" s="148" t="s">
        <v>126</v>
      </c>
      <c r="L131" s="82"/>
      <c r="M131" s="56"/>
      <c r="N131" s="65"/>
      <c r="O131" s="67"/>
    </row>
    <row r="132" s="2" customFormat="1" ht="18" customHeight="1" spans="1:16">
      <c r="A132" s="48"/>
      <c r="B132" s="25">
        <f t="shared" si="13"/>
        <v>0</v>
      </c>
      <c r="C132" s="49"/>
      <c r="D132" s="50"/>
      <c r="E132" s="70"/>
      <c r="F132" s="25">
        <f t="shared" si="14"/>
        <v>0</v>
      </c>
      <c r="G132" s="189"/>
      <c r="H132" s="36" t="s">
        <v>127</v>
      </c>
      <c r="I132" s="71">
        <v>50</v>
      </c>
      <c r="J132" s="65" t="s">
        <v>106</v>
      </c>
      <c r="K132" s="148" t="s">
        <v>110</v>
      </c>
      <c r="L132" s="82"/>
      <c r="M132" s="56"/>
      <c r="N132" s="65"/>
      <c r="O132" s="67"/>
      <c r="P132" s="2">
        <f>I134+I127+I116</f>
        <v>387045</v>
      </c>
    </row>
    <row r="133" s="2" customFormat="1" ht="18" customHeight="1" spans="1:15">
      <c r="A133" s="48"/>
      <c r="B133" s="25">
        <f t="shared" si="13"/>
        <v>0</v>
      </c>
      <c r="C133" s="49"/>
      <c r="D133" s="50"/>
      <c r="E133" s="70"/>
      <c r="F133" s="25">
        <f t="shared" si="14"/>
        <v>0</v>
      </c>
      <c r="G133" s="189"/>
      <c r="H133" s="36" t="s">
        <v>127</v>
      </c>
      <c r="I133" s="210">
        <v>-21725</v>
      </c>
      <c r="J133" s="56" t="s">
        <v>112</v>
      </c>
      <c r="K133" s="238" t="s">
        <v>159</v>
      </c>
      <c r="L133" s="82"/>
      <c r="M133" s="56"/>
      <c r="N133" s="65"/>
      <c r="O133" s="67"/>
    </row>
    <row r="134" s="2" customFormat="1" ht="18" customHeight="1" spans="1:15">
      <c r="A134" s="48"/>
      <c r="B134" s="25">
        <f t="shared" si="13"/>
        <v>0</v>
      </c>
      <c r="C134" s="49"/>
      <c r="D134" s="50"/>
      <c r="E134" s="46"/>
      <c r="F134" s="25">
        <f t="shared" si="14"/>
        <v>0</v>
      </c>
      <c r="G134" s="189"/>
      <c r="H134" s="36" t="s">
        <v>129</v>
      </c>
      <c r="I134" s="188">
        <v>243021</v>
      </c>
      <c r="J134" s="63" t="s">
        <v>106</v>
      </c>
      <c r="K134" s="205" t="s">
        <v>124</v>
      </c>
      <c r="L134" s="67"/>
      <c r="M134" s="65"/>
      <c r="N134" s="65"/>
      <c r="O134" s="67"/>
    </row>
    <row r="135" s="2" customFormat="1" ht="18" customHeight="1" spans="1:15">
      <c r="A135" s="48"/>
      <c r="B135" s="25">
        <f t="shared" si="13"/>
        <v>0</v>
      </c>
      <c r="C135" s="49"/>
      <c r="D135" s="50"/>
      <c r="E135" s="46"/>
      <c r="F135" s="25">
        <f t="shared" si="14"/>
        <v>0</v>
      </c>
      <c r="G135" s="189"/>
      <c r="H135" s="36" t="s">
        <v>129</v>
      </c>
      <c r="I135" s="188">
        <v>2340</v>
      </c>
      <c r="J135" s="63" t="s">
        <v>106</v>
      </c>
      <c r="K135" s="207" t="s">
        <v>123</v>
      </c>
      <c r="L135" s="67"/>
      <c r="M135" s="65"/>
      <c r="N135" s="65"/>
      <c r="O135" s="67"/>
    </row>
    <row r="136" s="2" customFormat="1" ht="18" customHeight="1" spans="1:15">
      <c r="A136" s="48"/>
      <c r="B136" s="25">
        <f t="shared" si="13"/>
        <v>0</v>
      </c>
      <c r="C136" s="49"/>
      <c r="D136" s="50"/>
      <c r="E136" s="46"/>
      <c r="F136" s="25">
        <f t="shared" si="14"/>
        <v>0</v>
      </c>
      <c r="G136" s="189"/>
      <c r="H136" s="36" t="s">
        <v>129</v>
      </c>
      <c r="I136" s="188">
        <v>500</v>
      </c>
      <c r="J136" s="63" t="s">
        <v>106</v>
      </c>
      <c r="K136" s="148" t="s">
        <v>130</v>
      </c>
      <c r="L136" s="67"/>
      <c r="M136" s="65"/>
      <c r="N136" s="65"/>
      <c r="O136" s="67"/>
    </row>
    <row r="137" s="2" customFormat="1" ht="18" customHeight="1" spans="1:15">
      <c r="A137" s="48"/>
      <c r="B137" s="25"/>
      <c r="C137" s="49"/>
      <c r="D137" s="50"/>
      <c r="E137" s="46"/>
      <c r="F137" s="25"/>
      <c r="G137" s="189"/>
      <c r="H137" s="36" t="s">
        <v>129</v>
      </c>
      <c r="I137" s="210">
        <v>55725</v>
      </c>
      <c r="J137" s="56" t="s">
        <v>120</v>
      </c>
      <c r="K137" s="238" t="s">
        <v>121</v>
      </c>
      <c r="L137" s="67"/>
      <c r="M137" s="65"/>
      <c r="N137" s="65"/>
      <c r="O137" s="67"/>
    </row>
    <row r="138" s="2" customFormat="1" ht="18" customHeight="1" spans="1:15">
      <c r="A138" s="48"/>
      <c r="B138" s="25">
        <f t="shared" ref="B138:B143" si="15">ROUND(G138/(1+E138),2)</f>
        <v>0</v>
      </c>
      <c r="C138" s="49"/>
      <c r="D138" s="50"/>
      <c r="E138" s="46"/>
      <c r="F138" s="25">
        <f t="shared" ref="F138:F143" si="16">ROUND(G138/(1+E138)*E138,2)</f>
        <v>0</v>
      </c>
      <c r="G138" s="189"/>
      <c r="H138" s="36" t="s">
        <v>129</v>
      </c>
      <c r="I138" s="188">
        <v>8500</v>
      </c>
      <c r="J138" s="63" t="s">
        <v>125</v>
      </c>
      <c r="K138" s="148" t="s">
        <v>126</v>
      </c>
      <c r="L138" s="67"/>
      <c r="M138" s="65"/>
      <c r="N138" s="65"/>
      <c r="O138" s="67"/>
    </row>
    <row r="139" s="2" customFormat="1" ht="18" customHeight="1" spans="1:15">
      <c r="A139" s="48"/>
      <c r="B139" s="25">
        <f t="shared" si="15"/>
        <v>0</v>
      </c>
      <c r="C139" s="49"/>
      <c r="D139" s="50"/>
      <c r="E139" s="46"/>
      <c r="F139" s="25">
        <f t="shared" si="16"/>
        <v>0</v>
      </c>
      <c r="G139" s="189"/>
      <c r="H139" s="36" t="s">
        <v>131</v>
      </c>
      <c r="I139" s="188">
        <v>8800</v>
      </c>
      <c r="J139" s="63" t="s">
        <v>125</v>
      </c>
      <c r="K139" s="148" t="s">
        <v>126</v>
      </c>
      <c r="L139" s="67"/>
      <c r="M139" s="65"/>
      <c r="N139" s="65"/>
      <c r="O139" s="67"/>
    </row>
    <row r="140" s="2" customFormat="1" ht="18" customHeight="1" spans="1:15">
      <c r="A140" s="48"/>
      <c r="B140" s="25">
        <f t="shared" si="15"/>
        <v>0</v>
      </c>
      <c r="C140" s="49"/>
      <c r="D140" s="50"/>
      <c r="E140" s="46"/>
      <c r="F140" s="25">
        <f t="shared" si="16"/>
        <v>0</v>
      </c>
      <c r="G140" s="189"/>
      <c r="H140" s="36" t="s">
        <v>131</v>
      </c>
      <c r="I140" s="188">
        <v>35200</v>
      </c>
      <c r="J140" s="63" t="s">
        <v>125</v>
      </c>
      <c r="K140" s="148" t="s">
        <v>126</v>
      </c>
      <c r="L140" s="67"/>
      <c r="M140" s="65"/>
      <c r="N140" s="65"/>
      <c r="O140" s="67"/>
    </row>
    <row r="141" s="2" customFormat="1" ht="18" customHeight="1" spans="1:15">
      <c r="A141" s="48"/>
      <c r="B141" s="25">
        <f t="shared" si="15"/>
        <v>0</v>
      </c>
      <c r="C141" s="49"/>
      <c r="D141" s="50"/>
      <c r="E141" s="46"/>
      <c r="F141" s="25">
        <f t="shared" si="16"/>
        <v>0</v>
      </c>
      <c r="G141" s="189"/>
      <c r="H141" s="36" t="s">
        <v>131</v>
      </c>
      <c r="I141" s="188">
        <f>B9*E158</f>
        <v>2400</v>
      </c>
      <c r="J141" s="63" t="s">
        <v>106</v>
      </c>
      <c r="K141" s="148" t="s">
        <v>132</v>
      </c>
      <c r="L141" s="67"/>
      <c r="M141" s="65"/>
      <c r="N141" s="65"/>
      <c r="O141" s="67"/>
    </row>
    <row r="142" s="1" customFormat="1" ht="18" customHeight="1" spans="1:15">
      <c r="A142" s="43"/>
      <c r="B142" s="25">
        <f t="shared" si="15"/>
        <v>0</v>
      </c>
      <c r="C142" s="44"/>
      <c r="D142" s="45"/>
      <c r="E142" s="46"/>
      <c r="F142" s="25">
        <f t="shared" si="16"/>
        <v>0</v>
      </c>
      <c r="G142" s="189"/>
      <c r="H142" s="31" t="s">
        <v>133</v>
      </c>
      <c r="I142" s="188">
        <v>41200</v>
      </c>
      <c r="J142" s="63" t="s">
        <v>125</v>
      </c>
      <c r="K142" s="148" t="s">
        <v>126</v>
      </c>
      <c r="L142" s="60"/>
      <c r="M142" s="61"/>
      <c r="N142" s="61"/>
      <c r="O142" s="60"/>
    </row>
    <row r="143" s="1" customFormat="1" ht="18" customHeight="1" spans="1:15">
      <c r="A143" s="43"/>
      <c r="B143" s="25">
        <f t="shared" si="15"/>
        <v>0</v>
      </c>
      <c r="C143" s="44"/>
      <c r="D143" s="45"/>
      <c r="E143" s="46"/>
      <c r="F143" s="25">
        <f t="shared" si="16"/>
        <v>0</v>
      </c>
      <c r="G143" s="189"/>
      <c r="H143" s="31" t="s">
        <v>133</v>
      </c>
      <c r="I143" s="188">
        <v>2248</v>
      </c>
      <c r="J143" s="63" t="s">
        <v>106</v>
      </c>
      <c r="K143" s="148" t="s">
        <v>160</v>
      </c>
      <c r="L143" s="60"/>
      <c r="M143" s="61"/>
      <c r="N143" s="61"/>
      <c r="O143" s="60"/>
    </row>
    <row r="144" s="1" customFormat="1" ht="18" customHeight="1" spans="1:15">
      <c r="A144" s="43"/>
      <c r="B144" s="25"/>
      <c r="C144" s="44"/>
      <c r="D144" s="45"/>
      <c r="E144" s="46"/>
      <c r="F144" s="25"/>
      <c r="G144" s="189"/>
      <c r="H144" s="36" t="s">
        <v>134</v>
      </c>
      <c r="I144" s="188">
        <v>2782</v>
      </c>
      <c r="J144" s="63" t="s">
        <v>106</v>
      </c>
      <c r="K144" s="148" t="s">
        <v>160</v>
      </c>
      <c r="L144" s="60"/>
      <c r="M144" s="61"/>
      <c r="N144" s="61"/>
      <c r="O144" s="60"/>
    </row>
    <row r="145" s="1" customFormat="1" ht="18" customHeight="1" spans="1:15">
      <c r="A145" s="43"/>
      <c r="B145" s="25">
        <f>ROUND(G145/(1+E145),2)</f>
        <v>0</v>
      </c>
      <c r="C145" s="44"/>
      <c r="D145" s="45"/>
      <c r="E145" s="46"/>
      <c r="F145" s="25">
        <f>ROUND(G145/(1+E145)*E145,2)</f>
        <v>0</v>
      </c>
      <c r="G145" s="189"/>
      <c r="H145" s="36" t="s">
        <v>134</v>
      </c>
      <c r="I145" s="188">
        <v>950</v>
      </c>
      <c r="J145" s="63" t="s">
        <v>106</v>
      </c>
      <c r="K145" s="148" t="s">
        <v>130</v>
      </c>
      <c r="L145" s="60"/>
      <c r="M145" s="61"/>
      <c r="N145" s="61"/>
      <c r="O145" s="60"/>
    </row>
    <row r="146" s="1" customFormat="1" ht="18" customHeight="1" spans="1:15">
      <c r="A146" s="43"/>
      <c r="B146" s="25">
        <f>ROUND(G146/(1+E146),2)</f>
        <v>132850</v>
      </c>
      <c r="C146" s="44"/>
      <c r="D146" s="45"/>
      <c r="E146" s="46"/>
      <c r="F146" s="25">
        <f>ROUND(G146/(1+E146)*E146,2)</f>
        <v>0</v>
      </c>
      <c r="G146" s="189">
        <f>46100+17600+4400+17000+4250+34800+8700</f>
        <v>132850</v>
      </c>
      <c r="H146" s="31"/>
      <c r="I146" s="32">
        <f>G146</f>
        <v>132850</v>
      </c>
      <c r="J146" s="63" t="s">
        <v>106</v>
      </c>
      <c r="K146" s="148" t="s">
        <v>161</v>
      </c>
      <c r="L146" s="60"/>
      <c r="M146" s="61"/>
      <c r="N146" s="61"/>
      <c r="O146" s="60"/>
    </row>
    <row r="147" s="1" customFormat="1" ht="18" customHeight="1" spans="1:15">
      <c r="A147" s="43"/>
      <c r="B147" s="25"/>
      <c r="C147" s="44"/>
      <c r="D147" s="45"/>
      <c r="E147" s="46"/>
      <c r="F147" s="25"/>
      <c r="G147" s="239"/>
      <c r="H147" s="31"/>
      <c r="I147" s="141">
        <v>-3000000</v>
      </c>
      <c r="J147" s="249"/>
      <c r="K147" s="250" t="s">
        <v>162</v>
      </c>
      <c r="L147" s="60"/>
      <c r="M147" s="61"/>
      <c r="N147" s="61"/>
      <c r="O147" s="60"/>
    </row>
    <row r="148" ht="18" customHeight="1" spans="1:15">
      <c r="A148" s="39" t="s">
        <v>22</v>
      </c>
      <c r="B148" s="38">
        <f t="shared" ref="B148:G148" si="17">SUM(B24:B146)</f>
        <v>32667859.4</v>
      </c>
      <c r="C148" s="39"/>
      <c r="D148" s="240"/>
      <c r="E148" s="240"/>
      <c r="F148" s="241">
        <f t="shared" si="17"/>
        <v>1901421.18</v>
      </c>
      <c r="G148" s="242">
        <f t="shared" si="17"/>
        <v>34569280.58</v>
      </c>
      <c r="H148" s="243"/>
      <c r="I148" s="190">
        <f>SUM(I24:I147)</f>
        <v>28073660.8279817</v>
      </c>
      <c r="J148" s="251"/>
      <c r="K148" s="252"/>
      <c r="L148" s="191"/>
      <c r="M148" s="40"/>
      <c r="N148" s="40"/>
      <c r="O148" s="191"/>
    </row>
    <row r="149" ht="18" customHeight="1" spans="1:14">
      <c r="A149" s="99"/>
      <c r="B149" s="100">
        <f>B21*0.92-B148</f>
        <v>-5982641.71859883</v>
      </c>
      <c r="C149" s="99"/>
      <c r="D149" s="244"/>
      <c r="E149" s="244"/>
      <c r="F149" s="100">
        <f>F21-F148</f>
        <v>252793.999316096</v>
      </c>
      <c r="G149" s="100"/>
      <c r="H149" s="30" t="s">
        <v>136</v>
      </c>
      <c r="I149" s="190">
        <f>I21-I148</f>
        <v>3666339.17201835</v>
      </c>
      <c r="J149" s="14"/>
      <c r="K149" s="253"/>
      <c r="M149" s="13"/>
      <c r="N149" s="13"/>
    </row>
    <row r="150" ht="18" customHeight="1" spans="1:3">
      <c r="A150" s="6" t="s">
        <v>137</v>
      </c>
      <c r="C150" s="6"/>
    </row>
    <row r="151" ht="18" customHeight="1" spans="1:17">
      <c r="A151" s="30" t="s">
        <v>138</v>
      </c>
      <c r="B151" s="28" t="s">
        <v>139</v>
      </c>
      <c r="C151" s="191"/>
      <c r="D151" s="30" t="s">
        <v>138</v>
      </c>
      <c r="E151" s="27" t="s">
        <v>15</v>
      </c>
      <c r="F151" s="28" t="s">
        <v>139</v>
      </c>
      <c r="G151" s="28" t="s">
        <v>140</v>
      </c>
      <c r="H151" s="28" t="s">
        <v>141</v>
      </c>
      <c r="I151" s="28" t="s">
        <v>142</v>
      </c>
      <c r="K151" s="28" t="s">
        <v>143</v>
      </c>
      <c r="L151" s="254"/>
      <c r="M151" s="28" t="s">
        <v>144</v>
      </c>
      <c r="N151" s="134" t="s">
        <v>144</v>
      </c>
      <c r="O151" s="255"/>
      <c r="P151" s="242" t="s">
        <v>145</v>
      </c>
      <c r="Q151" s="242" t="s">
        <v>163</v>
      </c>
    </row>
    <row r="152" ht="18" customHeight="1" spans="1:17">
      <c r="A152" s="191" t="s">
        <v>146</v>
      </c>
      <c r="B152" s="25">
        <f>(B21-B148)*0.25</f>
        <v>-915547.00179316</v>
      </c>
      <c r="C152" s="191"/>
      <c r="D152" s="18" t="s">
        <v>147</v>
      </c>
      <c r="E152" s="40" t="s">
        <v>148</v>
      </c>
      <c r="F152" s="245">
        <f>F21-F148</f>
        <v>252793.999316096</v>
      </c>
      <c r="G152" s="245">
        <f>F7-F24-F26-F29-F30-F33</f>
        <v>-333763.749090909</v>
      </c>
      <c r="H152" s="245">
        <f>F8-F38</f>
        <v>299461.603636364</v>
      </c>
      <c r="I152" s="245">
        <f>F9-F40-F41-F43-F48-F49-F50-F51-F53</f>
        <v>49772.4599999999</v>
      </c>
      <c r="K152" s="245">
        <f>F10-F74-F75-F76-F77-F78</f>
        <v>205457.659816514</v>
      </c>
      <c r="L152" s="254"/>
      <c r="M152" s="245">
        <f>F11-F79-F87-F88-F90</f>
        <v>390316.376330275</v>
      </c>
      <c r="N152" s="134">
        <v>-259385.7</v>
      </c>
      <c r="O152" s="255"/>
      <c r="P152" s="242"/>
      <c r="Q152" s="265"/>
    </row>
    <row r="153" ht="18" customHeight="1" spans="1:17">
      <c r="A153" s="191" t="s">
        <v>149</v>
      </c>
      <c r="B153" s="21" t="s">
        <v>150</v>
      </c>
      <c r="C153" s="191"/>
      <c r="D153" s="246" t="s">
        <v>151</v>
      </c>
      <c r="E153" s="22">
        <v>0.05</v>
      </c>
      <c r="F153" s="32">
        <f>F152*E153</f>
        <v>12639.6999658048</v>
      </c>
      <c r="G153" s="32">
        <v>0</v>
      </c>
      <c r="H153" s="32">
        <v>0</v>
      </c>
      <c r="I153" s="32">
        <v>0</v>
      </c>
      <c r="K153" s="32">
        <f>K152*E153</f>
        <v>10272.8829908257</v>
      </c>
      <c r="L153" s="254"/>
      <c r="M153" s="32">
        <f>M152*E153</f>
        <v>19515.8188165138</v>
      </c>
      <c r="N153" s="134">
        <f>N152*E153</f>
        <v>-12969.285</v>
      </c>
      <c r="O153" s="255"/>
      <c r="P153" s="242"/>
      <c r="Q153" s="265"/>
    </row>
    <row r="154" ht="18" customHeight="1" spans="1:17">
      <c r="A154" s="191" t="s">
        <v>123</v>
      </c>
      <c r="B154" s="247">
        <f>B21*0.0006</f>
        <v>17403.4028356964</v>
      </c>
      <c r="C154" s="191"/>
      <c r="D154" s="246" t="s">
        <v>152</v>
      </c>
      <c r="E154" s="22">
        <v>0.03</v>
      </c>
      <c r="F154" s="32">
        <f>F152*E154</f>
        <v>7583.81997948289</v>
      </c>
      <c r="G154" s="32">
        <v>0</v>
      </c>
      <c r="H154" s="32">
        <v>0</v>
      </c>
      <c r="I154" s="32">
        <v>0</v>
      </c>
      <c r="K154" s="32">
        <f>K152*E154</f>
        <v>6163.72979449541</v>
      </c>
      <c r="L154" s="254"/>
      <c r="M154" s="32">
        <f>M152*E154</f>
        <v>11709.4912899083</v>
      </c>
      <c r="N154" s="134">
        <f>N152*E154</f>
        <v>-7781.571</v>
      </c>
      <c r="O154" s="255"/>
      <c r="P154" s="242"/>
      <c r="Q154" s="265"/>
    </row>
    <row r="155" ht="18" customHeight="1" spans="1:17">
      <c r="A155" s="191"/>
      <c r="B155" s="32"/>
      <c r="C155" s="191"/>
      <c r="D155" s="246" t="s">
        <v>153</v>
      </c>
      <c r="E155" s="22">
        <v>0.02</v>
      </c>
      <c r="F155" s="32">
        <f>F152*E155</f>
        <v>5055.87998632193</v>
      </c>
      <c r="G155" s="32">
        <v>0</v>
      </c>
      <c r="H155" s="32">
        <v>0</v>
      </c>
      <c r="I155" s="32">
        <v>0</v>
      </c>
      <c r="K155" s="32">
        <f>K152*E155</f>
        <v>4109.15319633028</v>
      </c>
      <c r="L155" s="254"/>
      <c r="M155" s="32">
        <f>M152*E155</f>
        <v>7806.32752660551</v>
      </c>
      <c r="N155" s="134">
        <f>N152*E155</f>
        <v>-5187.714</v>
      </c>
      <c r="O155" s="255"/>
      <c r="P155" s="242"/>
      <c r="Q155" s="265"/>
    </row>
    <row r="156" ht="18" customHeight="1" spans="1:17">
      <c r="A156" s="37" t="s">
        <v>154</v>
      </c>
      <c r="B156" s="38">
        <f>SUM(B152:B155)</f>
        <v>-898143.598957464</v>
      </c>
      <c r="C156" s="191"/>
      <c r="D156" s="37" t="s">
        <v>154</v>
      </c>
      <c r="E156" s="37"/>
      <c r="F156" s="241">
        <f>SUM(F152:F155)</f>
        <v>278073.399247706</v>
      </c>
      <c r="G156" s="241">
        <v>0</v>
      </c>
      <c r="H156" s="241">
        <v>0</v>
      </c>
      <c r="I156" s="241">
        <v>0</v>
      </c>
      <c r="K156" s="241">
        <f t="shared" ref="K156:N156" si="18">SUM(K152:K155)</f>
        <v>226003.425798165</v>
      </c>
      <c r="L156" s="254"/>
      <c r="M156" s="241">
        <f t="shared" si="18"/>
        <v>429348.013963303</v>
      </c>
      <c r="N156" s="134">
        <f t="shared" si="18"/>
        <v>-285324.27</v>
      </c>
      <c r="O156" s="255"/>
      <c r="P156" s="242"/>
      <c r="Q156" s="265"/>
    </row>
    <row r="157" ht="18" customHeight="1" spans="3:17">
      <c r="C157" s="6"/>
      <c r="D157" s="20" t="s">
        <v>149</v>
      </c>
      <c r="E157" s="248">
        <v>0.0003</v>
      </c>
      <c r="F157" s="32">
        <v>0</v>
      </c>
      <c r="G157" s="32"/>
      <c r="H157" s="32"/>
      <c r="I157" s="32">
        <v>0</v>
      </c>
      <c r="K157" s="32"/>
      <c r="M157" s="32"/>
      <c r="N157" s="134"/>
      <c r="O157" s="255"/>
      <c r="P157" s="242"/>
      <c r="Q157" s="265"/>
    </row>
    <row r="158" ht="18" customHeight="1" spans="3:17">
      <c r="C158" s="6"/>
      <c r="D158" s="20" t="s">
        <v>123</v>
      </c>
      <c r="E158" s="248">
        <v>0.0006</v>
      </c>
      <c r="F158" s="32">
        <f>B21*E158</f>
        <v>17403.4028356964</v>
      </c>
      <c r="G158" s="32">
        <f>B7*E158</f>
        <v>2781.81818181818</v>
      </c>
      <c r="H158" s="32">
        <f>B8*E158</f>
        <v>2247.27272727273</v>
      </c>
      <c r="I158" s="32">
        <f>B9*E158</f>
        <v>2400</v>
      </c>
      <c r="K158" s="32">
        <f>B10*E158</f>
        <v>2339.4495412844</v>
      </c>
      <c r="L158" s="254"/>
      <c r="M158" s="32">
        <f>B11*E158</f>
        <v>4788.99082568807</v>
      </c>
      <c r="N158" s="134"/>
      <c r="O158" s="255"/>
      <c r="P158" s="242">
        <v>853.21</v>
      </c>
      <c r="Q158" s="265">
        <f>E158*B13</f>
        <v>1992.66055045872</v>
      </c>
    </row>
    <row r="159" ht="18" customHeight="1" spans="3:17">
      <c r="C159" s="6"/>
      <c r="D159" s="39" t="s">
        <v>22</v>
      </c>
      <c r="E159" s="39"/>
      <c r="F159" s="190">
        <f>F156+F157+F158</f>
        <v>295476.802083402</v>
      </c>
      <c r="G159" s="190"/>
      <c r="H159" s="190"/>
      <c r="I159" s="190"/>
      <c r="K159" s="190"/>
      <c r="M159" s="191">
        <f>M156+M158</f>
        <v>434137.004788991</v>
      </c>
      <c r="N159" s="134"/>
      <c r="O159" s="255"/>
      <c r="P159" s="242"/>
      <c r="Q159" s="265"/>
    </row>
    <row r="160" ht="18" customHeight="1" spans="3:17">
      <c r="C160" s="6"/>
      <c r="D160" s="20" t="s">
        <v>121</v>
      </c>
      <c r="E160" s="248">
        <v>0.02</v>
      </c>
      <c r="F160" s="32">
        <f>B21*E160</f>
        <v>580113.427856547</v>
      </c>
      <c r="G160" s="32"/>
      <c r="H160" s="32"/>
      <c r="I160" s="32"/>
      <c r="K160" s="190"/>
      <c r="M160" s="32">
        <f>(SUM(B7:B11))*E160</f>
        <v>485251.042535446</v>
      </c>
      <c r="N160" s="134"/>
      <c r="O160" s="255"/>
      <c r="P160" s="242">
        <f>B12*0.02</f>
        <v>28440.3669724771</v>
      </c>
      <c r="Q160" s="265">
        <f>G13*E160</f>
        <v>72400</v>
      </c>
    </row>
    <row r="161" ht="18" customHeight="1" spans="3:3">
      <c r="C161" s="6"/>
    </row>
    <row r="162" ht="18" customHeight="1" spans="3:3">
      <c r="C162" s="6"/>
    </row>
    <row r="163" ht="18" customHeight="1" spans="3:3">
      <c r="C163" s="6"/>
    </row>
    <row r="164" spans="3:3">
      <c r="C164" s="6"/>
    </row>
    <row r="165" spans="3:3">
      <c r="C165" s="6"/>
    </row>
    <row r="166" spans="3:3">
      <c r="C166" s="6"/>
    </row>
    <row r="167" spans="3:3">
      <c r="C167" s="6"/>
    </row>
    <row r="168" spans="3:3">
      <c r="C168" s="6"/>
    </row>
    <row r="169" spans="3:3">
      <c r="C169" s="6"/>
    </row>
    <row r="170" spans="3:3">
      <c r="C170" s="6"/>
    </row>
    <row r="171" spans="3:3">
      <c r="C171" s="6"/>
    </row>
    <row r="172" spans="3:3">
      <c r="C172" s="6"/>
    </row>
    <row r="173" spans="3:3">
      <c r="C173" s="6"/>
    </row>
    <row r="174" spans="3:3">
      <c r="C174" s="6"/>
    </row>
    <row r="175" spans="3:3">
      <c r="C175" s="6"/>
    </row>
    <row r="176" spans="3:3">
      <c r="C176" s="6"/>
    </row>
    <row r="177" spans="3:3">
      <c r="C177" s="6"/>
    </row>
    <row r="178" spans="3:3">
      <c r="C178" s="6"/>
    </row>
    <row r="179" spans="3:3">
      <c r="C179" s="6"/>
    </row>
  </sheetData>
  <autoFilter ref="A23:Q105">
    <filterColumn colId="10">
      <customFilters>
        <customFilter operator="equal" val="浙江宇恒建筑劳务有限公司"/>
      </customFilters>
    </filterColumn>
    <extLst/>
  </autoFilter>
  <mergeCells count="18">
    <mergeCell ref="A1:J1"/>
    <mergeCell ref="H2:J2"/>
    <mergeCell ref="C5:D5"/>
    <mergeCell ref="E5:F5"/>
    <mergeCell ref="H5:J5"/>
    <mergeCell ref="N151:O151"/>
    <mergeCell ref="N152:O152"/>
    <mergeCell ref="N153:O153"/>
    <mergeCell ref="N154:O154"/>
    <mergeCell ref="N155:O155"/>
    <mergeCell ref="N156:O156"/>
    <mergeCell ref="N157:O157"/>
    <mergeCell ref="N158:O158"/>
    <mergeCell ref="N159:O159"/>
    <mergeCell ref="N160:O160"/>
    <mergeCell ref="A5:A6"/>
    <mergeCell ref="B5:B6"/>
    <mergeCell ref="G5:G6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7"/>
  <sheetViews>
    <sheetView topLeftCell="A97" workbookViewId="0">
      <selection activeCell="M33" sqref="M33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/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/>
      <c r="B14" s="32">
        <f t="shared" si="0"/>
        <v>0</v>
      </c>
      <c r="C14" s="33"/>
      <c r="D14" s="188">
        <f t="shared" si="1"/>
        <v>0</v>
      </c>
      <c r="E14" s="33"/>
      <c r="F14" s="32">
        <f t="shared" si="2"/>
        <v>0</v>
      </c>
      <c r="G14" s="189"/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>
        <f>G20/(1+C20+E20)</f>
        <v>0</v>
      </c>
      <c r="C20" s="33"/>
      <c r="D20" s="188">
        <f>G20/(1+E20+C20)*C20</f>
        <v>0</v>
      </c>
      <c r="E20" s="33"/>
      <c r="F20" s="32">
        <f>G20/(1+C20+E20)*E20</f>
        <v>0</v>
      </c>
      <c r="G20" s="189"/>
      <c r="H20" s="14"/>
      <c r="I20" s="14"/>
      <c r="J20" s="40"/>
    </row>
    <row r="21" ht="18" customHeight="1" spans="1:10">
      <c r="A21" s="37" t="s">
        <v>22</v>
      </c>
      <c r="B21" s="38">
        <f t="shared" ref="B21:G21" si="3">SUM(B7:B20)</f>
        <v>29005671.3928274</v>
      </c>
      <c r="C21" s="39"/>
      <c r="D21" s="190">
        <f t="shared" si="3"/>
        <v>580113.427856547</v>
      </c>
      <c r="E21" s="39"/>
      <c r="F21" s="190">
        <f t="shared" si="3"/>
        <v>2154215.1793161</v>
      </c>
      <c r="G21" s="190">
        <f t="shared" si="3"/>
        <v>31740000</v>
      </c>
      <c r="H21" s="191"/>
      <c r="I21" s="190">
        <f>SUM(I7:I19)</f>
        <v>31740000</v>
      </c>
      <c r="J21" s="191"/>
    </row>
    <row r="22" ht="18" customHeight="1" spans="1:12">
      <c r="A22" s="6" t="s">
        <v>23</v>
      </c>
      <c r="J22" s="8"/>
      <c r="K22" s="8"/>
      <c r="L22" s="186"/>
    </row>
    <row r="23" ht="18" customHeight="1" spans="1:15">
      <c r="A23" s="41" t="s">
        <v>24</v>
      </c>
      <c r="B23" s="28" t="s">
        <v>25</v>
      </c>
      <c r="C23" s="27" t="s">
        <v>26</v>
      </c>
      <c r="D23" s="27" t="s">
        <v>27</v>
      </c>
      <c r="E23" s="27" t="s">
        <v>15</v>
      </c>
      <c r="F23" s="28" t="s">
        <v>28</v>
      </c>
      <c r="G23" s="28" t="s">
        <v>13</v>
      </c>
      <c r="H23" s="27" t="s">
        <v>29</v>
      </c>
      <c r="I23" s="28" t="s">
        <v>30</v>
      </c>
      <c r="J23" s="27" t="s">
        <v>19</v>
      </c>
      <c r="K23" s="54" t="s">
        <v>31</v>
      </c>
      <c r="L23" s="30" t="s">
        <v>32</v>
      </c>
      <c r="M23" s="30" t="s">
        <v>33</v>
      </c>
      <c r="N23" s="30" t="s">
        <v>34</v>
      </c>
      <c r="O23" s="30" t="s">
        <v>35</v>
      </c>
    </row>
    <row r="24" s="1" customFormat="1" ht="18" customHeight="1" spans="1:15">
      <c r="A24" s="43">
        <v>43070</v>
      </c>
      <c r="B24" s="25">
        <f t="shared" ref="B24:B87" si="4">ROUND(G24/(1+E24),2)</f>
        <v>2830.19</v>
      </c>
      <c r="C24" s="44"/>
      <c r="D24" s="45" t="s">
        <v>36</v>
      </c>
      <c r="E24" s="46">
        <v>0.06</v>
      </c>
      <c r="F24" s="25">
        <f t="shared" ref="F24:F87" si="5">ROUND(G24/(1+E24)*E24,2)</f>
        <v>169.81</v>
      </c>
      <c r="G24" s="189">
        <v>3000</v>
      </c>
      <c r="H24" s="31"/>
      <c r="I24" s="32"/>
      <c r="J24" s="40"/>
      <c r="K24" s="147" t="s">
        <v>37</v>
      </c>
      <c r="L24" s="60" t="s">
        <v>38</v>
      </c>
      <c r="M24" s="61"/>
      <c r="N24" s="61"/>
      <c r="O24" s="60"/>
    </row>
    <row r="25" s="1" customFormat="1" ht="18" customHeight="1" spans="1:15">
      <c r="A25" s="43">
        <v>43071</v>
      </c>
      <c r="B25" s="25">
        <f t="shared" si="4"/>
        <v>3000</v>
      </c>
      <c r="C25" s="44"/>
      <c r="D25" s="45" t="s">
        <v>39</v>
      </c>
      <c r="E25" s="46"/>
      <c r="F25" s="25">
        <f t="shared" si="5"/>
        <v>0</v>
      </c>
      <c r="G25" s="189">
        <v>3000</v>
      </c>
      <c r="H25" s="31"/>
      <c r="I25" s="32"/>
      <c r="J25" s="40"/>
      <c r="K25" s="147"/>
      <c r="L25" s="60" t="s">
        <v>38</v>
      </c>
      <c r="M25" s="61"/>
      <c r="N25" s="61"/>
      <c r="O25" s="60"/>
    </row>
    <row r="26" s="1" customFormat="1" ht="18" customHeight="1" spans="1:15">
      <c r="A26" s="43">
        <v>43072</v>
      </c>
      <c r="B26" s="25">
        <f t="shared" si="4"/>
        <v>12824.53</v>
      </c>
      <c r="C26" s="44"/>
      <c r="D26" s="45" t="s">
        <v>36</v>
      </c>
      <c r="E26" s="46">
        <v>0.06</v>
      </c>
      <c r="F26" s="25">
        <f t="shared" si="5"/>
        <v>769.47</v>
      </c>
      <c r="G26" s="189">
        <v>13594</v>
      </c>
      <c r="H26" s="31"/>
      <c r="I26" s="32"/>
      <c r="J26" s="40"/>
      <c r="K26" s="147" t="s">
        <v>40</v>
      </c>
      <c r="L26" s="60" t="s">
        <v>41</v>
      </c>
      <c r="M26" s="61"/>
      <c r="N26" s="61"/>
      <c r="O26" s="60"/>
    </row>
    <row r="27" s="1" customFormat="1" ht="18" customHeight="1" spans="1:15">
      <c r="A27" s="43">
        <v>43073</v>
      </c>
      <c r="B27" s="25">
        <f t="shared" si="4"/>
        <v>1206</v>
      </c>
      <c r="C27" s="44"/>
      <c r="D27" s="45" t="s">
        <v>39</v>
      </c>
      <c r="E27" s="46"/>
      <c r="F27" s="25">
        <f t="shared" si="5"/>
        <v>0</v>
      </c>
      <c r="G27" s="189">
        <v>1206</v>
      </c>
      <c r="H27" s="31"/>
      <c r="I27" s="32"/>
      <c r="J27" s="40"/>
      <c r="K27" s="147"/>
      <c r="L27" s="60" t="s">
        <v>42</v>
      </c>
      <c r="M27" s="61"/>
      <c r="N27" s="61"/>
      <c r="O27" s="60"/>
    </row>
    <row r="28" s="1" customFormat="1" ht="18" customHeight="1" spans="1:15">
      <c r="A28" s="43">
        <v>43074</v>
      </c>
      <c r="B28" s="25">
        <f t="shared" si="4"/>
        <v>13191.34</v>
      </c>
      <c r="C28" s="44"/>
      <c r="D28" s="45" t="s">
        <v>39</v>
      </c>
      <c r="E28" s="46"/>
      <c r="F28" s="25">
        <f t="shared" si="5"/>
        <v>0</v>
      </c>
      <c r="G28" s="189">
        <v>13191.34</v>
      </c>
      <c r="H28" s="31"/>
      <c r="I28" s="32"/>
      <c r="J28" s="40"/>
      <c r="K28" s="147"/>
      <c r="L28" s="60" t="s">
        <v>43</v>
      </c>
      <c r="M28" s="61"/>
      <c r="N28" s="61"/>
      <c r="O28" s="60"/>
    </row>
    <row r="29" s="1" customFormat="1" ht="18" customHeight="1" spans="1:15">
      <c r="A29" s="43">
        <v>43149</v>
      </c>
      <c r="B29" s="25">
        <f t="shared" si="4"/>
        <v>1924.53</v>
      </c>
      <c r="C29" s="44"/>
      <c r="D29" s="45" t="s">
        <v>36</v>
      </c>
      <c r="E29" s="46">
        <v>0.06</v>
      </c>
      <c r="F29" s="25">
        <f t="shared" si="5"/>
        <v>115.47</v>
      </c>
      <c r="G29" s="189">
        <v>2040</v>
      </c>
      <c r="H29" s="31"/>
      <c r="I29" s="32"/>
      <c r="J29" s="40"/>
      <c r="K29" s="147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43177</v>
      </c>
      <c r="B30" s="25">
        <f t="shared" si="4"/>
        <v>2830.19</v>
      </c>
      <c r="C30" s="44"/>
      <c r="D30" s="45" t="s">
        <v>36</v>
      </c>
      <c r="E30" s="46">
        <v>0.06</v>
      </c>
      <c r="F30" s="25">
        <f t="shared" si="5"/>
        <v>169.81</v>
      </c>
      <c r="G30" s="189">
        <v>3000</v>
      </c>
      <c r="H30" s="31"/>
      <c r="I30" s="32"/>
      <c r="J30" s="40"/>
      <c r="K30" s="147" t="s">
        <v>44</v>
      </c>
      <c r="L30" s="60" t="s">
        <v>45</v>
      </c>
      <c r="M30" s="61"/>
      <c r="N30" s="61"/>
      <c r="O30" s="60"/>
    </row>
    <row r="31" s="1" customFormat="1" ht="18" customHeight="1" spans="1:15">
      <c r="A31" s="43">
        <v>43178</v>
      </c>
      <c r="B31" s="25">
        <f t="shared" si="4"/>
        <v>12529.12</v>
      </c>
      <c r="C31" s="44"/>
      <c r="D31" s="45" t="s">
        <v>39</v>
      </c>
      <c r="E31" s="46"/>
      <c r="F31" s="25">
        <f t="shared" si="5"/>
        <v>0</v>
      </c>
      <c r="G31" s="189">
        <v>12529.12</v>
      </c>
      <c r="H31" s="31"/>
      <c r="I31" s="32"/>
      <c r="J31" s="40"/>
      <c r="K31" s="147"/>
      <c r="L31" s="60" t="s">
        <v>46</v>
      </c>
      <c r="M31" s="61"/>
      <c r="N31" s="61"/>
      <c r="O31" s="60"/>
    </row>
    <row r="32" s="1" customFormat="1" ht="18" customHeight="1" spans="1:15">
      <c r="A32" s="43">
        <v>43177</v>
      </c>
      <c r="B32" s="25">
        <f t="shared" si="4"/>
        <v>7575</v>
      </c>
      <c r="C32" s="44"/>
      <c r="D32" s="45" t="s">
        <v>39</v>
      </c>
      <c r="E32" s="46"/>
      <c r="F32" s="25">
        <f t="shared" si="5"/>
        <v>0</v>
      </c>
      <c r="G32" s="189">
        <v>7575</v>
      </c>
      <c r="H32" s="31"/>
      <c r="I32" s="32"/>
      <c r="J32" s="40"/>
      <c r="K32" s="147"/>
      <c r="L32" s="60" t="s">
        <v>46</v>
      </c>
      <c r="M32" s="61"/>
      <c r="N32" s="61"/>
      <c r="O32" s="60"/>
    </row>
    <row r="33" s="1" customFormat="1" ht="18" customHeight="1" spans="1:15">
      <c r="A33" s="43">
        <v>43238</v>
      </c>
      <c r="B33" s="25">
        <f t="shared" si="4"/>
        <v>4396551.72</v>
      </c>
      <c r="C33" s="44"/>
      <c r="D33" s="45" t="s">
        <v>36</v>
      </c>
      <c r="E33" s="46">
        <v>0.16</v>
      </c>
      <c r="F33" s="25">
        <f t="shared" si="5"/>
        <v>703448.28</v>
      </c>
      <c r="G33" s="189">
        <v>5100000</v>
      </c>
      <c r="H33" s="31">
        <v>43251</v>
      </c>
      <c r="I33" s="32">
        <v>2500000</v>
      </c>
      <c r="J33" s="40" t="s">
        <v>20</v>
      </c>
      <c r="K33" s="147" t="s">
        <v>47</v>
      </c>
      <c r="L33" s="60" t="s">
        <v>48</v>
      </c>
      <c r="M33" s="61"/>
      <c r="N33" s="61"/>
      <c r="O33" s="60"/>
    </row>
    <row r="34" s="1" customFormat="1" ht="18" customHeight="1" spans="1:15">
      <c r="A34" s="43"/>
      <c r="B34" s="25">
        <f t="shared" si="4"/>
        <v>0</v>
      </c>
      <c r="C34" s="44"/>
      <c r="D34" s="45"/>
      <c r="E34" s="46"/>
      <c r="F34" s="25">
        <f t="shared" si="5"/>
        <v>0</v>
      </c>
      <c r="G34" s="189"/>
      <c r="H34" s="31" t="s">
        <v>49</v>
      </c>
      <c r="I34" s="32">
        <v>2530768</v>
      </c>
      <c r="J34" s="40" t="s">
        <v>20</v>
      </c>
      <c r="K34" s="147" t="s">
        <v>47</v>
      </c>
      <c r="L34" s="60"/>
      <c r="M34" s="61"/>
      <c r="N34" s="61"/>
      <c r="O34" s="60"/>
    </row>
    <row r="35" s="1" customFormat="1" ht="18" customHeight="1" spans="1:15">
      <c r="A35" s="43"/>
      <c r="B35" s="25">
        <f t="shared" si="4"/>
        <v>0</v>
      </c>
      <c r="C35" s="44"/>
      <c r="D35" s="45"/>
      <c r="E35" s="46"/>
      <c r="F35" s="25">
        <f t="shared" si="5"/>
        <v>0</v>
      </c>
      <c r="G35" s="189"/>
      <c r="H35" s="31" t="s">
        <v>49</v>
      </c>
      <c r="I35" s="32">
        <v>69232</v>
      </c>
      <c r="J35" s="40" t="s">
        <v>20</v>
      </c>
      <c r="K35" s="147" t="s">
        <v>47</v>
      </c>
      <c r="L35" s="60"/>
      <c r="M35" s="61"/>
      <c r="N35" s="61"/>
      <c r="O35" s="60"/>
    </row>
    <row r="36" s="1" customFormat="1" ht="18" customHeight="1" spans="1:15">
      <c r="A36" s="43"/>
      <c r="B36" s="25">
        <f t="shared" si="4"/>
        <v>0</v>
      </c>
      <c r="C36" s="44"/>
      <c r="D36" s="45"/>
      <c r="E36" s="46"/>
      <c r="F36" s="25">
        <f t="shared" si="5"/>
        <v>0</v>
      </c>
      <c r="G36" s="189"/>
      <c r="H36" s="31">
        <v>43252</v>
      </c>
      <c r="I36" s="32">
        <v>-29323</v>
      </c>
      <c r="J36" s="40" t="s">
        <v>21</v>
      </c>
      <c r="K36" s="147" t="s">
        <v>50</v>
      </c>
      <c r="L36" s="60"/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>
        <v>43255</v>
      </c>
      <c r="I37" s="32">
        <v>-39909</v>
      </c>
      <c r="J37" s="40" t="s">
        <v>21</v>
      </c>
      <c r="K37" s="147" t="s">
        <v>50</v>
      </c>
      <c r="L37" s="60"/>
      <c r="M37" s="61"/>
      <c r="N37" s="61"/>
      <c r="O37" s="60"/>
    </row>
    <row r="38" s="1" customFormat="1" ht="18" customHeight="1" spans="1:15">
      <c r="A38" s="43">
        <v>43269</v>
      </c>
      <c r="B38" s="25">
        <f t="shared" si="4"/>
        <v>5825.24</v>
      </c>
      <c r="C38" s="44"/>
      <c r="D38" s="45" t="s">
        <v>36</v>
      </c>
      <c r="E38" s="46">
        <v>0.03</v>
      </c>
      <c r="F38" s="25">
        <f t="shared" si="5"/>
        <v>174.76</v>
      </c>
      <c r="G38" s="189">
        <v>6000</v>
      </c>
      <c r="H38" s="31">
        <v>43264</v>
      </c>
      <c r="I38" s="32">
        <v>6000</v>
      </c>
      <c r="J38" s="40" t="s">
        <v>20</v>
      </c>
      <c r="K38" s="147" t="s">
        <v>51</v>
      </c>
      <c r="L38" s="60" t="s">
        <v>52</v>
      </c>
      <c r="M38" s="61"/>
      <c r="N38" s="61"/>
      <c r="O38" s="60"/>
    </row>
    <row r="39" s="1" customFormat="1" ht="18" customHeight="1" spans="1:15">
      <c r="A39" s="43"/>
      <c r="B39" s="25">
        <f t="shared" si="4"/>
        <v>0</v>
      </c>
      <c r="C39" s="44"/>
      <c r="D39" s="45"/>
      <c r="E39" s="46"/>
      <c r="F39" s="25">
        <f t="shared" si="5"/>
        <v>0</v>
      </c>
      <c r="G39" s="189"/>
      <c r="H39" s="31">
        <v>43263</v>
      </c>
      <c r="I39" s="32">
        <v>-6000</v>
      </c>
      <c r="J39" s="40" t="s">
        <v>21</v>
      </c>
      <c r="K39" s="147" t="s">
        <v>50</v>
      </c>
      <c r="L39" s="60"/>
      <c r="M39" s="61"/>
      <c r="N39" s="61"/>
      <c r="O39" s="60"/>
    </row>
    <row r="40" s="2" customFormat="1" ht="18" customHeight="1" spans="1:15">
      <c r="A40" s="48">
        <v>43335</v>
      </c>
      <c r="B40" s="25">
        <f t="shared" si="4"/>
        <v>4000000</v>
      </c>
      <c r="C40" s="49"/>
      <c r="D40" s="50" t="s">
        <v>36</v>
      </c>
      <c r="E40" s="46">
        <v>0.03</v>
      </c>
      <c r="F40" s="25">
        <f t="shared" si="5"/>
        <v>120000</v>
      </c>
      <c r="G40" s="189">
        <v>4120000</v>
      </c>
      <c r="H40" s="36">
        <v>43335</v>
      </c>
      <c r="I40" s="188">
        <v>2000000</v>
      </c>
      <c r="J40" s="63" t="s">
        <v>20</v>
      </c>
      <c r="K40" s="148" t="s">
        <v>53</v>
      </c>
      <c r="L40" s="67" t="s">
        <v>54</v>
      </c>
      <c r="M40" s="65"/>
      <c r="N40" s="65"/>
      <c r="O40" s="67"/>
    </row>
    <row r="41" s="2" customFormat="1" ht="18" customHeight="1" spans="1:15">
      <c r="A41" s="48"/>
      <c r="B41" s="25">
        <f t="shared" si="4"/>
        <v>1344.34</v>
      </c>
      <c r="C41" s="49">
        <v>3</v>
      </c>
      <c r="D41" s="50" t="s">
        <v>36</v>
      </c>
      <c r="E41" s="46">
        <v>0.06</v>
      </c>
      <c r="F41" s="25">
        <f t="shared" si="5"/>
        <v>80.66</v>
      </c>
      <c r="G41" s="189">
        <f>285+690+450</f>
        <v>1425</v>
      </c>
      <c r="H41" s="36"/>
      <c r="I41" s="188"/>
      <c r="J41" s="63"/>
      <c r="K41" s="148" t="s">
        <v>55</v>
      </c>
      <c r="L41" s="67" t="s">
        <v>41</v>
      </c>
      <c r="M41" s="65"/>
      <c r="N41" s="65"/>
      <c r="O41" s="68">
        <v>43335</v>
      </c>
    </row>
    <row r="42" s="2" customFormat="1" ht="18" customHeight="1" spans="1:15">
      <c r="A42" s="48"/>
      <c r="B42" s="25">
        <f t="shared" si="4"/>
        <v>6510</v>
      </c>
      <c r="C42" s="49"/>
      <c r="D42" s="50" t="s">
        <v>39</v>
      </c>
      <c r="E42" s="46"/>
      <c r="F42" s="25">
        <f t="shared" si="5"/>
        <v>0</v>
      </c>
      <c r="G42" s="189">
        <v>6510</v>
      </c>
      <c r="H42" s="36"/>
      <c r="I42" s="188"/>
      <c r="J42" s="63"/>
      <c r="K42" s="148" t="s">
        <v>56</v>
      </c>
      <c r="L42" s="67" t="s">
        <v>57</v>
      </c>
      <c r="M42" s="65"/>
      <c r="N42" s="65"/>
      <c r="O42" s="68">
        <v>43335</v>
      </c>
    </row>
    <row r="43" s="2" customFormat="1" ht="18" customHeight="1" spans="1:15">
      <c r="A43" s="48"/>
      <c r="B43" s="25">
        <f t="shared" si="4"/>
        <v>11436.89</v>
      </c>
      <c r="C43" s="49">
        <v>2</v>
      </c>
      <c r="D43" s="50" t="s">
        <v>36</v>
      </c>
      <c r="E43" s="46">
        <v>0.03</v>
      </c>
      <c r="F43" s="25">
        <f t="shared" si="5"/>
        <v>343.11</v>
      </c>
      <c r="G43" s="189">
        <f>7740+4040</f>
        <v>11780</v>
      </c>
      <c r="H43" s="36"/>
      <c r="I43" s="188"/>
      <c r="J43" s="63"/>
      <c r="K43" s="148" t="s">
        <v>58</v>
      </c>
      <c r="L43" s="67" t="s">
        <v>59</v>
      </c>
      <c r="M43" s="65"/>
      <c r="N43" s="65"/>
      <c r="O43" s="68">
        <v>43335</v>
      </c>
    </row>
    <row r="44" s="2" customFormat="1" ht="18" customHeight="1" spans="1:15">
      <c r="A44" s="48"/>
      <c r="B44" s="25">
        <f t="shared" si="4"/>
        <v>1800</v>
      </c>
      <c r="C44" s="49"/>
      <c r="D44" s="50" t="s">
        <v>39</v>
      </c>
      <c r="E44" s="46"/>
      <c r="F44" s="25">
        <f t="shared" si="5"/>
        <v>0</v>
      </c>
      <c r="G44" s="189">
        <v>1800</v>
      </c>
      <c r="H44" s="36"/>
      <c r="I44" s="188"/>
      <c r="J44" s="63"/>
      <c r="K44" s="148" t="s">
        <v>56</v>
      </c>
      <c r="L44" s="67" t="s">
        <v>60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26788.86</v>
      </c>
      <c r="C45" s="49"/>
      <c r="D45" s="50" t="s">
        <v>61</v>
      </c>
      <c r="E45" s="46"/>
      <c r="F45" s="25">
        <f t="shared" si="5"/>
        <v>0</v>
      </c>
      <c r="G45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5" s="36"/>
      <c r="I45" s="188"/>
      <c r="J45" s="63"/>
      <c r="K45" s="148" t="s">
        <v>62</v>
      </c>
      <c r="L45" s="67" t="s">
        <v>63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4"/>
        <v>4285.5</v>
      </c>
      <c r="C46" s="49"/>
      <c r="D46" s="50" t="s">
        <v>61</v>
      </c>
      <c r="E46" s="46"/>
      <c r="F46" s="25">
        <f t="shared" si="5"/>
        <v>0</v>
      </c>
      <c r="G46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6" s="36"/>
      <c r="I46" s="188"/>
      <c r="J46" s="63"/>
      <c r="K46" s="148" t="s">
        <v>62</v>
      </c>
      <c r="L46" s="67" t="s">
        <v>63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4"/>
        <v>9856.03</v>
      </c>
      <c r="C47" s="49"/>
      <c r="D47" s="50" t="s">
        <v>39</v>
      </c>
      <c r="E47" s="46"/>
      <c r="F47" s="25">
        <f t="shared" si="5"/>
        <v>0</v>
      </c>
      <c r="G47" s="189">
        <f>200.03+500+400+286+300+410+910+405+530+300+500+230+280+295+285+400+380+405+200+200+400+425+405+300+310+300+300</f>
        <v>9856.03</v>
      </c>
      <c r="H47" s="36"/>
      <c r="I47" s="188"/>
      <c r="J47" s="63"/>
      <c r="K47" s="148" t="s">
        <v>64</v>
      </c>
      <c r="L47" s="67" t="s">
        <v>43</v>
      </c>
      <c r="M47" s="65"/>
      <c r="N47" s="65"/>
      <c r="O47" s="68">
        <v>43335</v>
      </c>
    </row>
    <row r="48" s="2" customFormat="1" ht="18" customHeight="1" spans="1:15">
      <c r="A48" s="48">
        <v>43435</v>
      </c>
      <c r="B48" s="25">
        <f t="shared" si="4"/>
        <v>53286.79</v>
      </c>
      <c r="C48" s="49"/>
      <c r="D48" s="50" t="s">
        <v>36</v>
      </c>
      <c r="E48" s="46">
        <v>0.06</v>
      </c>
      <c r="F48" s="25">
        <f t="shared" si="5"/>
        <v>3197.21</v>
      </c>
      <c r="G48" s="189">
        <v>56484</v>
      </c>
      <c r="H48" s="36"/>
      <c r="I48" s="188"/>
      <c r="J48" s="63"/>
      <c r="K48" s="148" t="s">
        <v>65</v>
      </c>
      <c r="L48" s="67" t="s">
        <v>66</v>
      </c>
      <c r="M48" s="65"/>
      <c r="N48" s="65"/>
      <c r="O48" s="67"/>
    </row>
    <row r="49" s="2" customFormat="1" ht="18" customHeight="1" spans="1:15">
      <c r="A49" s="48">
        <v>43435</v>
      </c>
      <c r="B49" s="25">
        <f t="shared" si="4"/>
        <v>5825.24</v>
      </c>
      <c r="C49" s="49"/>
      <c r="D49" s="50" t="s">
        <v>36</v>
      </c>
      <c r="E49" s="46">
        <v>0.03</v>
      </c>
      <c r="F49" s="25">
        <f t="shared" si="5"/>
        <v>174.76</v>
      </c>
      <c r="G49" s="189">
        <v>6000</v>
      </c>
      <c r="H49" s="36">
        <v>43369</v>
      </c>
      <c r="I49" s="188">
        <v>6000</v>
      </c>
      <c r="J49" s="63" t="s">
        <v>20</v>
      </c>
      <c r="K49" s="148" t="s">
        <v>51</v>
      </c>
      <c r="L49" s="67" t="s">
        <v>52</v>
      </c>
      <c r="M49" s="65"/>
      <c r="N49" s="65"/>
      <c r="O49" s="67"/>
    </row>
    <row r="50" s="2" customFormat="1" ht="18" customHeight="1" spans="1:15">
      <c r="A50" s="48">
        <v>43313</v>
      </c>
      <c r="B50" s="25">
        <f t="shared" si="4"/>
        <v>4654.31</v>
      </c>
      <c r="C50" s="49"/>
      <c r="D50" s="50" t="s">
        <v>36</v>
      </c>
      <c r="E50" s="46">
        <v>0.16</v>
      </c>
      <c r="F50" s="25">
        <f t="shared" si="5"/>
        <v>744.69</v>
      </c>
      <c r="G50" s="189">
        <v>5399</v>
      </c>
      <c r="H50" s="36">
        <v>43369</v>
      </c>
      <c r="I50" s="188">
        <v>-6000</v>
      </c>
      <c r="J50" s="63" t="s">
        <v>21</v>
      </c>
      <c r="K50" s="148" t="s">
        <v>50</v>
      </c>
      <c r="L50" s="67"/>
      <c r="M50" s="65"/>
      <c r="N50" s="65"/>
      <c r="O50" s="67"/>
    </row>
    <row r="51" s="2" customFormat="1" ht="18" customHeight="1" spans="1:15">
      <c r="A51" s="48">
        <v>43435</v>
      </c>
      <c r="B51" s="25">
        <f t="shared" si="4"/>
        <v>933.96</v>
      </c>
      <c r="C51" s="49"/>
      <c r="D51" s="50" t="s">
        <v>36</v>
      </c>
      <c r="E51" s="46">
        <v>0.06</v>
      </c>
      <c r="F51" s="25">
        <f t="shared" si="5"/>
        <v>56.04</v>
      </c>
      <c r="G51" s="189">
        <f>90+45+855</f>
        <v>990</v>
      </c>
      <c r="H51" s="36"/>
      <c r="I51" s="188"/>
      <c r="J51" s="63"/>
      <c r="K51" s="148" t="s">
        <v>40</v>
      </c>
      <c r="L51" s="67" t="s">
        <v>41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4"/>
        <v>43031</v>
      </c>
      <c r="C52" s="49"/>
      <c r="D52" s="50"/>
      <c r="E52" s="46"/>
      <c r="F52" s="25">
        <f t="shared" si="5"/>
        <v>0</v>
      </c>
      <c r="G52" s="189">
        <v>43031</v>
      </c>
      <c r="H52" s="36"/>
      <c r="I52" s="188"/>
      <c r="J52" s="63"/>
      <c r="K52" s="148" t="s">
        <v>67</v>
      </c>
      <c r="L52" s="67" t="s">
        <v>68</v>
      </c>
      <c r="M52" s="65"/>
      <c r="N52" s="65"/>
      <c r="O52" s="67"/>
    </row>
    <row r="53" s="2" customFormat="1" ht="18" customHeight="1" spans="1:15">
      <c r="A53" s="48">
        <v>43466</v>
      </c>
      <c r="B53" s="25">
        <f t="shared" si="4"/>
        <v>4854368.93</v>
      </c>
      <c r="C53" s="49"/>
      <c r="D53" s="50" t="s">
        <v>36</v>
      </c>
      <c r="E53" s="46">
        <v>0.03</v>
      </c>
      <c r="F53" s="25">
        <f t="shared" si="5"/>
        <v>145631.07</v>
      </c>
      <c r="G53" s="189">
        <f>5*1000000</f>
        <v>5000000</v>
      </c>
      <c r="H53" s="36">
        <v>43339</v>
      </c>
      <c r="I53" s="188">
        <v>2095952</v>
      </c>
      <c r="J53" s="63" t="s">
        <v>20</v>
      </c>
      <c r="K53" s="148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4"/>
        <v>0</v>
      </c>
      <c r="C54" s="49"/>
      <c r="D54" s="50"/>
      <c r="E54" s="46"/>
      <c r="F54" s="25">
        <f t="shared" si="5"/>
        <v>0</v>
      </c>
      <c r="G54" s="189"/>
      <c r="H54" s="36">
        <v>43495</v>
      </c>
      <c r="I54" s="188">
        <v>3464800</v>
      </c>
      <c r="J54" s="63" t="s">
        <v>20</v>
      </c>
      <c r="K54" s="148" t="s">
        <v>53</v>
      </c>
      <c r="L54" s="67" t="s">
        <v>54</v>
      </c>
      <c r="M54" s="65"/>
      <c r="N54" s="65"/>
      <c r="O54" s="67"/>
    </row>
    <row r="55" s="2" customFormat="1" ht="18" customHeight="1" spans="1:15">
      <c r="A55" s="48"/>
      <c r="B55" s="25">
        <f t="shared" si="4"/>
        <v>0</v>
      </c>
      <c r="C55" s="49"/>
      <c r="D55" s="50"/>
      <c r="E55" s="46"/>
      <c r="F55" s="25">
        <f t="shared" si="5"/>
        <v>0</v>
      </c>
      <c r="G55" s="189"/>
      <c r="H55" s="36">
        <v>43497</v>
      </c>
      <c r="I55" s="188">
        <v>866800</v>
      </c>
      <c r="J55" s="63" t="s">
        <v>20</v>
      </c>
      <c r="K55" s="148" t="s">
        <v>53</v>
      </c>
      <c r="L55" s="67" t="s">
        <v>54</v>
      </c>
      <c r="M55" s="65"/>
      <c r="N55" s="65"/>
      <c r="O55" s="67"/>
    </row>
    <row r="56" s="2" customFormat="1" ht="18" customHeight="1" spans="1:15">
      <c r="A56" s="48"/>
      <c r="B56" s="25">
        <f t="shared" si="4"/>
        <v>0</v>
      </c>
      <c r="C56" s="49"/>
      <c r="D56" s="50"/>
      <c r="E56" s="46"/>
      <c r="F56" s="25">
        <f t="shared" si="5"/>
        <v>0</v>
      </c>
      <c r="G56" s="189"/>
      <c r="H56" s="36">
        <v>43629</v>
      </c>
      <c r="I56" s="188">
        <v>84810</v>
      </c>
      <c r="J56" s="63" t="s">
        <v>20</v>
      </c>
      <c r="K56" s="148" t="s">
        <v>69</v>
      </c>
      <c r="L56" s="67" t="s">
        <v>70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43629</v>
      </c>
      <c r="I57" s="188">
        <v>-84810</v>
      </c>
      <c r="J57" s="63" t="s">
        <v>21</v>
      </c>
      <c r="K57" s="148" t="s">
        <v>50</v>
      </c>
      <c r="L57" s="67"/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43657</v>
      </c>
      <c r="I58" s="188">
        <v>66753</v>
      </c>
      <c r="J58" s="63" t="s">
        <v>20</v>
      </c>
      <c r="K58" s="148" t="s">
        <v>69</v>
      </c>
      <c r="L58" s="67" t="s">
        <v>70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43657</v>
      </c>
      <c r="I59" s="188">
        <v>-66753</v>
      </c>
      <c r="J59" s="63" t="s">
        <v>21</v>
      </c>
      <c r="K59" s="148" t="s">
        <v>50</v>
      </c>
      <c r="L59" s="67"/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43676</v>
      </c>
      <c r="I60" s="188">
        <v>67731.14</v>
      </c>
      <c r="J60" s="63" t="s">
        <v>20</v>
      </c>
      <c r="K60" s="148" t="s">
        <v>69</v>
      </c>
      <c r="L60" s="67" t="s">
        <v>70</v>
      </c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43671</v>
      </c>
      <c r="I61" s="188">
        <v>-67731.14</v>
      </c>
      <c r="J61" s="63" t="s">
        <v>20</v>
      </c>
      <c r="K61" s="148" t="s">
        <v>71</v>
      </c>
      <c r="L61" s="67" t="s">
        <v>72</v>
      </c>
      <c r="M61" s="65"/>
      <c r="N61" s="65"/>
      <c r="O61" s="67"/>
    </row>
    <row r="62" s="2" customFormat="1" ht="18" customHeight="1" spans="1:15">
      <c r="A62" s="48">
        <v>43678</v>
      </c>
      <c r="B62" s="25">
        <f t="shared" si="4"/>
        <v>1000020</v>
      </c>
      <c r="C62" s="49"/>
      <c r="D62" s="50" t="s">
        <v>73</v>
      </c>
      <c r="E62" s="46"/>
      <c r="F62" s="25">
        <f t="shared" si="5"/>
        <v>0</v>
      </c>
      <c r="G62" s="189">
        <v>1000020</v>
      </c>
      <c r="H62" s="194">
        <v>43676</v>
      </c>
      <c r="I62" s="196">
        <v>500000</v>
      </c>
      <c r="J62" s="201" t="s">
        <v>21</v>
      </c>
      <c r="K62" s="202" t="s">
        <v>74</v>
      </c>
      <c r="L62" s="203" t="s">
        <v>75</v>
      </c>
      <c r="M62" s="201" t="s">
        <v>76</v>
      </c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194">
        <v>43682</v>
      </c>
      <c r="I63" s="196">
        <v>500000</v>
      </c>
      <c r="J63" s="201" t="s">
        <v>21</v>
      </c>
      <c r="K63" s="202" t="s">
        <v>74</v>
      </c>
      <c r="L63" s="204" t="s">
        <v>77</v>
      </c>
      <c r="M63" s="201" t="s">
        <v>76</v>
      </c>
      <c r="N63" s="65"/>
      <c r="O63" s="67"/>
    </row>
    <row r="64" s="2" customFormat="1" ht="18" customHeight="1" spans="1:15">
      <c r="A64" s="48">
        <v>43678</v>
      </c>
      <c r="B64" s="25">
        <f t="shared" si="4"/>
        <v>1000080</v>
      </c>
      <c r="C64" s="49"/>
      <c r="D64" s="50" t="s">
        <v>73</v>
      </c>
      <c r="E64" s="46"/>
      <c r="F64" s="25">
        <f t="shared" si="5"/>
        <v>0</v>
      </c>
      <c r="G64" s="189">
        <v>1000080</v>
      </c>
      <c r="H64" s="194">
        <v>43691</v>
      </c>
      <c r="I64" s="196">
        <v>1000000</v>
      </c>
      <c r="J64" s="201" t="s">
        <v>21</v>
      </c>
      <c r="K64" s="205" t="s">
        <v>78</v>
      </c>
      <c r="L64" s="206" t="s">
        <v>79</v>
      </c>
      <c r="M64" s="201" t="s">
        <v>76</v>
      </c>
      <c r="N64" s="65"/>
      <c r="O64" s="67"/>
    </row>
    <row r="65" s="2" customFormat="1" ht="18" customHeight="1" spans="1:15">
      <c r="A65" s="48"/>
      <c r="B65" s="25">
        <f t="shared" si="4"/>
        <v>0</v>
      </c>
      <c r="C65" s="49"/>
      <c r="D65" s="50"/>
      <c r="E65" s="46"/>
      <c r="F65" s="25">
        <f t="shared" si="5"/>
        <v>0</v>
      </c>
      <c r="G65" s="189"/>
      <c r="H65" s="36">
        <v>43692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36">
        <v>43692</v>
      </c>
      <c r="I66" s="188">
        <v>100000</v>
      </c>
      <c r="J66" s="63" t="s">
        <v>20</v>
      </c>
      <c r="K66" s="207" t="s">
        <v>80</v>
      </c>
      <c r="L66" s="208" t="s">
        <v>81</v>
      </c>
      <c r="M66" s="56"/>
      <c r="N66" s="65"/>
      <c r="O66" s="67"/>
    </row>
    <row r="67" s="2" customFormat="1" ht="18" customHeight="1" spans="1:15">
      <c r="A67" s="48"/>
      <c r="B67" s="25">
        <f t="shared" si="4"/>
        <v>0</v>
      </c>
      <c r="C67" s="49"/>
      <c r="D67" s="50"/>
      <c r="E67" s="46"/>
      <c r="F67" s="25">
        <f t="shared" si="5"/>
        <v>0</v>
      </c>
      <c r="G67" s="189"/>
      <c r="H67" s="36">
        <v>43703</v>
      </c>
      <c r="I67" s="188">
        <v>-100000</v>
      </c>
      <c r="J67" s="63" t="s">
        <v>21</v>
      </c>
      <c r="K67" s="207" t="s">
        <v>50</v>
      </c>
      <c r="L67" s="208"/>
      <c r="M67" s="56"/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43704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36">
        <v>43717</v>
      </c>
      <c r="I69" s="188">
        <v>-100000</v>
      </c>
      <c r="J69" s="63" t="s">
        <v>21</v>
      </c>
      <c r="K69" s="207" t="s">
        <v>50</v>
      </c>
      <c r="L69" s="67"/>
      <c r="M69" s="65"/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36">
        <v>43718</v>
      </c>
      <c r="I70" s="188">
        <v>100000</v>
      </c>
      <c r="J70" s="63" t="s">
        <v>20</v>
      </c>
      <c r="K70" s="207" t="s">
        <v>80</v>
      </c>
      <c r="L70" s="67"/>
      <c r="M70" s="65"/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194">
        <v>43734</v>
      </c>
      <c r="I71" s="196">
        <v>300000</v>
      </c>
      <c r="J71" s="201" t="s">
        <v>20</v>
      </c>
      <c r="K71" s="202" t="s">
        <v>80</v>
      </c>
      <c r="L71" s="209"/>
      <c r="M71" s="201" t="s">
        <v>76</v>
      </c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195">
        <v>43749</v>
      </c>
      <c r="I72" s="196">
        <v>500000</v>
      </c>
      <c r="J72" s="201" t="s">
        <v>20</v>
      </c>
      <c r="K72" s="202" t="s">
        <v>80</v>
      </c>
      <c r="L72" s="209"/>
      <c r="M72" s="201" t="s">
        <v>76</v>
      </c>
      <c r="N72" s="65"/>
      <c r="O72" s="67"/>
    </row>
    <row r="73" s="2" customFormat="1" ht="18" customHeight="1" spans="1:15">
      <c r="A73" s="48">
        <v>43709</v>
      </c>
      <c r="B73" s="25">
        <f t="shared" si="4"/>
        <v>12426.15</v>
      </c>
      <c r="C73" s="49"/>
      <c r="D73" s="50" t="s">
        <v>39</v>
      </c>
      <c r="E73" s="46"/>
      <c r="F73" s="25">
        <f t="shared" si="5"/>
        <v>0</v>
      </c>
      <c r="G73" s="189">
        <v>12426.15</v>
      </c>
      <c r="H73" s="36"/>
      <c r="I73" s="210"/>
      <c r="J73" s="56"/>
      <c r="K73" s="207" t="s">
        <v>68</v>
      </c>
      <c r="L73" s="82"/>
      <c r="M73" s="56"/>
      <c r="N73" s="65"/>
      <c r="O73" s="67"/>
    </row>
    <row r="74" s="2" customFormat="1" ht="18" customHeight="1" spans="1:15">
      <c r="A74" s="48">
        <v>43709</v>
      </c>
      <c r="B74" s="25">
        <f t="shared" si="4"/>
        <v>10316.04</v>
      </c>
      <c r="C74" s="49"/>
      <c r="D74" s="50" t="s">
        <v>36</v>
      </c>
      <c r="E74" s="70">
        <v>0.06</v>
      </c>
      <c r="F74" s="25">
        <f t="shared" si="5"/>
        <v>618.96</v>
      </c>
      <c r="G74" s="189">
        <v>10935</v>
      </c>
      <c r="H74" s="36"/>
      <c r="I74" s="210"/>
      <c r="J74" s="56"/>
      <c r="K74" s="207" t="s">
        <v>82</v>
      </c>
      <c r="L74" s="82" t="s">
        <v>41</v>
      </c>
      <c r="M74" s="56"/>
      <c r="N74" s="65"/>
      <c r="O74" s="67"/>
    </row>
    <row r="75" s="2" customFormat="1" ht="18" customHeight="1" spans="1:15">
      <c r="A75" s="48">
        <v>43709</v>
      </c>
      <c r="B75" s="25">
        <f t="shared" si="4"/>
        <v>10424.53</v>
      </c>
      <c r="C75" s="49"/>
      <c r="D75" s="50" t="s">
        <v>36</v>
      </c>
      <c r="E75" s="70">
        <v>0.06</v>
      </c>
      <c r="F75" s="25">
        <f t="shared" si="5"/>
        <v>625.47</v>
      </c>
      <c r="G75" s="189">
        <v>11050</v>
      </c>
      <c r="H75" s="36"/>
      <c r="I75" s="210"/>
      <c r="J75" s="56"/>
      <c r="K75" s="207" t="s">
        <v>82</v>
      </c>
      <c r="L75" s="82" t="s">
        <v>52</v>
      </c>
      <c r="M75" s="56"/>
      <c r="N75" s="65"/>
      <c r="O75" s="67"/>
    </row>
    <row r="76" s="2" customFormat="1" ht="18" customHeight="1" spans="1:15">
      <c r="A76" s="48">
        <v>43709</v>
      </c>
      <c r="B76" s="25">
        <f t="shared" si="4"/>
        <v>80009.43</v>
      </c>
      <c r="C76" s="49"/>
      <c r="D76" s="50" t="s">
        <v>36</v>
      </c>
      <c r="E76" s="70">
        <v>0.06</v>
      </c>
      <c r="F76" s="25">
        <f t="shared" si="5"/>
        <v>4800.57</v>
      </c>
      <c r="G76" s="189">
        <v>84810</v>
      </c>
      <c r="H76" s="36"/>
      <c r="I76" s="210"/>
      <c r="J76" s="56"/>
      <c r="K76" s="207" t="s">
        <v>69</v>
      </c>
      <c r="L76" s="82" t="s">
        <v>83</v>
      </c>
      <c r="M76" s="56"/>
      <c r="N76" s="65"/>
      <c r="O76" s="67"/>
    </row>
    <row r="77" s="2" customFormat="1" ht="18" customHeight="1" spans="1:15">
      <c r="A77" s="48">
        <v>43709</v>
      </c>
      <c r="B77" s="25">
        <f t="shared" si="4"/>
        <v>63897.3</v>
      </c>
      <c r="C77" s="49"/>
      <c r="D77" s="50" t="s">
        <v>36</v>
      </c>
      <c r="E77" s="70">
        <v>0.06</v>
      </c>
      <c r="F77" s="25">
        <f t="shared" si="5"/>
        <v>3833.84</v>
      </c>
      <c r="G77" s="189">
        <v>67731.14</v>
      </c>
      <c r="H77" s="36"/>
      <c r="I77" s="210"/>
      <c r="J77" s="56"/>
      <c r="K77" s="207" t="s">
        <v>69</v>
      </c>
      <c r="L77" s="82" t="s">
        <v>83</v>
      </c>
      <c r="M77" s="56"/>
      <c r="N77" s="65"/>
      <c r="O77" s="67"/>
    </row>
    <row r="78" s="2" customFormat="1" ht="18" customHeight="1" spans="1:15">
      <c r="A78" s="48">
        <v>43739</v>
      </c>
      <c r="B78" s="25">
        <f t="shared" si="4"/>
        <v>443071.38</v>
      </c>
      <c r="C78" s="49"/>
      <c r="D78" s="50" t="s">
        <v>36</v>
      </c>
      <c r="E78" s="70">
        <v>0.13</v>
      </c>
      <c r="F78" s="25">
        <f t="shared" si="5"/>
        <v>57599.28</v>
      </c>
      <c r="G78" s="189">
        <v>500670.66</v>
      </c>
      <c r="H78" s="36">
        <v>43769</v>
      </c>
      <c r="I78" s="188">
        <v>200000</v>
      </c>
      <c r="J78" s="63" t="s">
        <v>20</v>
      </c>
      <c r="K78" s="207" t="s">
        <v>80</v>
      </c>
      <c r="L78" s="82" t="s">
        <v>84</v>
      </c>
      <c r="M78" s="56"/>
      <c r="N78" s="65"/>
      <c r="O78" s="67"/>
    </row>
    <row r="79" s="2" customFormat="1" ht="18" customHeight="1" spans="1:15">
      <c r="A79" s="48">
        <v>43739</v>
      </c>
      <c r="B79" s="25">
        <f t="shared" si="4"/>
        <v>257787.35</v>
      </c>
      <c r="C79" s="49"/>
      <c r="D79" s="50" t="s">
        <v>36</v>
      </c>
      <c r="E79" s="70">
        <v>0.13</v>
      </c>
      <c r="F79" s="196">
        <f t="shared" si="5"/>
        <v>33512.35</v>
      </c>
      <c r="G79" s="189">
        <v>291299.7</v>
      </c>
      <c r="H79" s="36"/>
      <c r="I79" s="210"/>
      <c r="J79" s="63" t="s">
        <v>20</v>
      </c>
      <c r="K79" s="207" t="s">
        <v>80</v>
      </c>
      <c r="L79" s="82" t="s">
        <v>85</v>
      </c>
      <c r="M79" s="56"/>
      <c r="N79" s="65"/>
      <c r="O79" s="67"/>
    </row>
    <row r="80" s="2" customFormat="1" ht="18" customHeight="1" spans="1:15">
      <c r="A80" s="48"/>
      <c r="B80" s="25">
        <f t="shared" si="4"/>
        <v>0</v>
      </c>
      <c r="C80" s="49"/>
      <c r="D80" s="50"/>
      <c r="E80" s="70"/>
      <c r="F80" s="25">
        <f t="shared" si="5"/>
        <v>0</v>
      </c>
      <c r="G80" s="189"/>
      <c r="H80" s="36">
        <v>43769</v>
      </c>
      <c r="I80" s="188">
        <v>600000</v>
      </c>
      <c r="J80" s="63" t="s">
        <v>20</v>
      </c>
      <c r="K80" s="148" t="s">
        <v>53</v>
      </c>
      <c r="L80" s="67" t="s">
        <v>54</v>
      </c>
      <c r="M80" s="56"/>
      <c r="N80" s="65"/>
      <c r="O80" s="67"/>
    </row>
    <row r="81" s="2" customFormat="1" ht="18" customHeight="1" spans="1:15">
      <c r="A81" s="48">
        <v>43770</v>
      </c>
      <c r="B81" s="25">
        <f t="shared" si="4"/>
        <v>500010</v>
      </c>
      <c r="C81" s="49"/>
      <c r="D81" s="50" t="s">
        <v>73</v>
      </c>
      <c r="E81" s="70"/>
      <c r="F81" s="25">
        <f t="shared" si="5"/>
        <v>0</v>
      </c>
      <c r="G81" s="189">
        <v>500010</v>
      </c>
      <c r="H81" s="36">
        <v>43773</v>
      </c>
      <c r="I81" s="188">
        <v>500010</v>
      </c>
      <c r="J81" s="63" t="s">
        <v>21</v>
      </c>
      <c r="K81" s="207" t="s">
        <v>74</v>
      </c>
      <c r="L81" s="82" t="s">
        <v>86</v>
      </c>
      <c r="M81" s="56"/>
      <c r="N81" s="65"/>
      <c r="O81" s="67"/>
    </row>
    <row r="82" s="2" customFormat="1" ht="18" customHeight="1" spans="1:15">
      <c r="A82" s="48">
        <v>43770</v>
      </c>
      <c r="B82" s="25">
        <f t="shared" si="4"/>
        <v>300000</v>
      </c>
      <c r="C82" s="49"/>
      <c r="D82" s="50" t="s">
        <v>73</v>
      </c>
      <c r="E82" s="70"/>
      <c r="F82" s="25">
        <f t="shared" si="5"/>
        <v>0</v>
      </c>
      <c r="G82" s="189">
        <v>300000</v>
      </c>
      <c r="H82" s="36">
        <v>43773</v>
      </c>
      <c r="I82" s="188">
        <v>300000</v>
      </c>
      <c r="J82" s="63" t="s">
        <v>21</v>
      </c>
      <c r="K82" s="207" t="s">
        <v>87</v>
      </c>
      <c r="L82" s="82" t="s">
        <v>88</v>
      </c>
      <c r="M82" s="56"/>
      <c r="N82" s="65"/>
      <c r="O82" s="67"/>
    </row>
    <row r="83" s="2" customFormat="1" ht="18" customHeight="1" spans="1:15">
      <c r="A83" s="48">
        <v>43770</v>
      </c>
      <c r="B83" s="25">
        <f t="shared" si="4"/>
        <v>300000</v>
      </c>
      <c r="C83" s="49"/>
      <c r="D83" s="50" t="s">
        <v>73</v>
      </c>
      <c r="E83" s="70"/>
      <c r="F83" s="25">
        <f t="shared" si="5"/>
        <v>0</v>
      </c>
      <c r="G83" s="189">
        <v>300000</v>
      </c>
      <c r="H83" s="36">
        <v>43773</v>
      </c>
      <c r="I83" s="188">
        <v>300000</v>
      </c>
      <c r="J83" s="63" t="s">
        <v>21</v>
      </c>
      <c r="K83" s="207" t="s">
        <v>89</v>
      </c>
      <c r="L83" s="82" t="s">
        <v>88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4"/>
        <v>300060</v>
      </c>
      <c r="C84" s="49"/>
      <c r="D84" s="50" t="s">
        <v>73</v>
      </c>
      <c r="E84" s="70"/>
      <c r="F84" s="25">
        <f t="shared" si="5"/>
        <v>0</v>
      </c>
      <c r="G84" s="189">
        <v>300060</v>
      </c>
      <c r="H84" s="36">
        <v>43773</v>
      </c>
      <c r="I84" s="188">
        <v>300060</v>
      </c>
      <c r="J84" s="63" t="s">
        <v>21</v>
      </c>
      <c r="K84" s="207" t="s">
        <v>90</v>
      </c>
      <c r="L84" s="82" t="s">
        <v>91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0</v>
      </c>
      <c r="C85" s="49"/>
      <c r="D85" s="50"/>
      <c r="E85" s="70"/>
      <c r="F85" s="25">
        <f t="shared" si="5"/>
        <v>0</v>
      </c>
      <c r="G85" s="189"/>
      <c r="H85" s="36">
        <v>43773</v>
      </c>
      <c r="I85" s="188">
        <v>500000</v>
      </c>
      <c r="J85" s="63" t="s">
        <v>20</v>
      </c>
      <c r="K85" s="207" t="s">
        <v>92</v>
      </c>
      <c r="L85" s="82" t="s">
        <v>93</v>
      </c>
      <c r="M85" s="56"/>
      <c r="N85" s="65"/>
      <c r="O85" s="67"/>
    </row>
    <row r="86" s="2" customFormat="1" ht="18" customHeight="1" spans="1:15">
      <c r="A86" s="48"/>
      <c r="B86" s="25">
        <f t="shared" si="4"/>
        <v>0</v>
      </c>
      <c r="C86" s="49"/>
      <c r="D86" s="50"/>
      <c r="E86" s="70"/>
      <c r="F86" s="25">
        <f t="shared" si="5"/>
        <v>0</v>
      </c>
      <c r="G86" s="189"/>
      <c r="H86" s="36">
        <v>43775</v>
      </c>
      <c r="I86" s="188">
        <v>800000</v>
      </c>
      <c r="J86" s="63" t="s">
        <v>20</v>
      </c>
      <c r="K86" s="207" t="s">
        <v>94</v>
      </c>
      <c r="L86" s="82" t="s">
        <v>95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1165048.54</v>
      </c>
      <c r="C87" s="49"/>
      <c r="D87" s="50" t="s">
        <v>36</v>
      </c>
      <c r="E87" s="70">
        <v>0.03</v>
      </c>
      <c r="F87" s="197">
        <f t="shared" si="5"/>
        <v>34951.46</v>
      </c>
      <c r="G87" s="189">
        <f>96000*12+48000</f>
        <v>1200000</v>
      </c>
      <c r="H87" s="36">
        <v>43776</v>
      </c>
      <c r="I87" s="188">
        <v>400000</v>
      </c>
      <c r="J87" s="63" t="s">
        <v>20</v>
      </c>
      <c r="K87" s="207" t="s">
        <v>94</v>
      </c>
      <c r="L87" s="82" t="s">
        <v>95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ref="B88:B90" si="6">ROUND(G88/(1+E88),2)</f>
        <v>326256.05</v>
      </c>
      <c r="C88" s="49"/>
      <c r="D88" s="50" t="s">
        <v>36</v>
      </c>
      <c r="E88" s="70">
        <v>0.13</v>
      </c>
      <c r="F88" s="197">
        <f t="shared" ref="F88:F90" si="7">ROUND(G88/(1+E88)*E88,2)</f>
        <v>42413.29</v>
      </c>
      <c r="G88" s="189">
        <v>368669.34</v>
      </c>
      <c r="H88" s="36"/>
      <c r="I88" s="210"/>
      <c r="J88" s="56"/>
      <c r="K88" s="207" t="s">
        <v>80</v>
      </c>
      <c r="L88" s="82" t="s">
        <v>96</v>
      </c>
      <c r="M88" s="56"/>
      <c r="N88" s="65"/>
      <c r="O88" s="67"/>
    </row>
    <row r="89" s="2" customFormat="1" ht="18" customHeight="1" spans="1:15">
      <c r="A89" s="48">
        <v>43770</v>
      </c>
      <c r="B89" s="25">
        <f t="shared" si="6"/>
        <v>199980</v>
      </c>
      <c r="C89" s="49"/>
      <c r="D89" s="50" t="s">
        <v>73</v>
      </c>
      <c r="E89" s="70"/>
      <c r="F89" s="25">
        <f t="shared" si="7"/>
        <v>0</v>
      </c>
      <c r="G89" s="189">
        <v>199980</v>
      </c>
      <c r="H89" s="195">
        <v>43784</v>
      </c>
      <c r="I89" s="196">
        <v>199980</v>
      </c>
      <c r="J89" s="201" t="s">
        <v>21</v>
      </c>
      <c r="K89" s="202" t="s">
        <v>97</v>
      </c>
      <c r="L89" s="204" t="s">
        <v>98</v>
      </c>
      <c r="M89" s="56" t="s">
        <v>76</v>
      </c>
      <c r="N89" s="65"/>
      <c r="O89" s="67"/>
    </row>
    <row r="90" s="3" customFormat="1" ht="18" customHeight="1" spans="1:15">
      <c r="A90" s="74">
        <v>43770</v>
      </c>
      <c r="B90" s="25">
        <f t="shared" si="6"/>
        <v>442477.88</v>
      </c>
      <c r="C90" s="75"/>
      <c r="D90" s="76" t="s">
        <v>36</v>
      </c>
      <c r="E90" s="77">
        <v>0.13</v>
      </c>
      <c r="F90" s="197">
        <f t="shared" si="7"/>
        <v>57522.12</v>
      </c>
      <c r="G90" s="198">
        <v>500000</v>
      </c>
      <c r="H90" s="36"/>
      <c r="I90" s="188"/>
      <c r="J90" s="63"/>
      <c r="K90" s="207" t="s">
        <v>92</v>
      </c>
      <c r="L90" s="82" t="s">
        <v>99</v>
      </c>
      <c r="M90" s="63" t="s">
        <v>100</v>
      </c>
      <c r="N90" s="63"/>
      <c r="O90" s="82"/>
    </row>
    <row r="91" s="3" customFormat="1" ht="18" customHeight="1" spans="1:15">
      <c r="A91" s="74"/>
      <c r="B91" s="25"/>
      <c r="C91" s="75"/>
      <c r="D91" s="76"/>
      <c r="E91" s="77"/>
      <c r="F91" s="25"/>
      <c r="G91" s="198"/>
      <c r="H91" s="36">
        <v>43819</v>
      </c>
      <c r="I91" s="188">
        <v>92448</v>
      </c>
      <c r="J91" s="63" t="s">
        <v>20</v>
      </c>
      <c r="K91" s="148" t="s">
        <v>53</v>
      </c>
      <c r="L91" s="67" t="s">
        <v>54</v>
      </c>
      <c r="M91" s="63"/>
      <c r="N91" s="63"/>
      <c r="O91" s="82"/>
    </row>
    <row r="92" s="3" customFormat="1" ht="18" customHeight="1" spans="1:15">
      <c r="A92" s="74"/>
      <c r="B92" s="25">
        <f t="shared" ref="B92:B100" si="8">ROUND(G92/(1+E92),2)</f>
        <v>0</v>
      </c>
      <c r="C92" s="75"/>
      <c r="D92" s="76"/>
      <c r="E92" s="77"/>
      <c r="F92" s="25">
        <f t="shared" ref="F92:F100" si="9">ROUND(G92/(1+E92)*E92,2)</f>
        <v>0</v>
      </c>
      <c r="G92" s="198"/>
      <c r="H92" s="36">
        <v>43829</v>
      </c>
      <c r="I92" s="188">
        <v>800000</v>
      </c>
      <c r="J92" s="63" t="s">
        <v>20</v>
      </c>
      <c r="K92" s="207" t="s">
        <v>80</v>
      </c>
      <c r="L92" s="82" t="s">
        <v>81</v>
      </c>
      <c r="M92" s="63"/>
      <c r="N92" s="63"/>
      <c r="O92" s="82"/>
    </row>
    <row r="93" s="3" customFormat="1" ht="18" customHeight="1" spans="1:15">
      <c r="A93" s="74">
        <v>43800</v>
      </c>
      <c r="B93" s="25">
        <f t="shared" si="8"/>
        <v>650987.86</v>
      </c>
      <c r="C93" s="75"/>
      <c r="D93" s="76" t="s">
        <v>36</v>
      </c>
      <c r="E93" s="77">
        <v>0.13</v>
      </c>
      <c r="F93" s="25">
        <f t="shared" si="9"/>
        <v>84628.42</v>
      </c>
      <c r="G93" s="198">
        <v>735616.28</v>
      </c>
      <c r="H93" s="36"/>
      <c r="I93" s="188"/>
      <c r="J93" s="63"/>
      <c r="K93" s="207" t="s">
        <v>80</v>
      </c>
      <c r="L93" s="82" t="s">
        <v>101</v>
      </c>
      <c r="M93" s="63" t="s">
        <v>100</v>
      </c>
      <c r="N93" s="63"/>
      <c r="O93" s="82"/>
    </row>
    <row r="94" s="3" customFormat="1" ht="18" customHeight="1" spans="1:15">
      <c r="A94" s="74">
        <v>43800</v>
      </c>
      <c r="B94" s="25">
        <f t="shared" si="8"/>
        <v>5825242.72</v>
      </c>
      <c r="C94" s="75"/>
      <c r="D94" s="50" t="s">
        <v>36</v>
      </c>
      <c r="E94" s="70">
        <v>0.03</v>
      </c>
      <c r="F94" s="25">
        <f t="shared" si="9"/>
        <v>174757.28</v>
      </c>
      <c r="G94" s="198">
        <f>1000000*6</f>
        <v>6000000</v>
      </c>
      <c r="H94" s="36">
        <v>43843</v>
      </c>
      <c r="I94" s="188">
        <v>1000000</v>
      </c>
      <c r="J94" s="63" t="s">
        <v>20</v>
      </c>
      <c r="K94" s="207" t="s">
        <v>53</v>
      </c>
      <c r="L94" s="82" t="s">
        <v>54</v>
      </c>
      <c r="M94" s="63" t="s">
        <v>100</v>
      </c>
      <c r="N94" s="63"/>
      <c r="O94" s="82" t="s">
        <v>102</v>
      </c>
    </row>
    <row r="95" s="3" customFormat="1" ht="18" customHeight="1" spans="1:15">
      <c r="A95" s="74">
        <v>43831</v>
      </c>
      <c r="B95" s="25">
        <f t="shared" si="8"/>
        <v>3623633.45</v>
      </c>
      <c r="C95" s="75"/>
      <c r="D95" s="50" t="s">
        <v>36</v>
      </c>
      <c r="E95" s="77">
        <v>0.09</v>
      </c>
      <c r="F95" s="25">
        <f t="shared" si="9"/>
        <v>326127.01</v>
      </c>
      <c r="G95" s="198">
        <f>1000000*3+949760.46</f>
        <v>3949760.46</v>
      </c>
      <c r="H95" s="36">
        <v>43844</v>
      </c>
      <c r="I95" s="188">
        <v>500000</v>
      </c>
      <c r="J95" s="63" t="s">
        <v>20</v>
      </c>
      <c r="K95" s="207" t="s">
        <v>103</v>
      </c>
      <c r="L95" s="82" t="s">
        <v>54</v>
      </c>
      <c r="M95" s="63" t="s">
        <v>100</v>
      </c>
      <c r="N95" s="63"/>
      <c r="O95" s="82"/>
    </row>
    <row r="96" s="3" customFormat="1" ht="18" customHeight="1" spans="1:15">
      <c r="A96" s="74"/>
      <c r="B96" s="25">
        <f t="shared" si="8"/>
        <v>0</v>
      </c>
      <c r="C96" s="75"/>
      <c r="D96" s="76"/>
      <c r="E96" s="77"/>
      <c r="F96" s="25">
        <f t="shared" si="9"/>
        <v>0</v>
      </c>
      <c r="G96" s="198"/>
      <c r="H96" s="36">
        <v>43845</v>
      </c>
      <c r="I96" s="188">
        <v>2000000</v>
      </c>
      <c r="J96" s="63" t="s">
        <v>20</v>
      </c>
      <c r="K96" s="207" t="s">
        <v>103</v>
      </c>
      <c r="L96" s="82" t="s">
        <v>54</v>
      </c>
      <c r="M96" s="63"/>
      <c r="N96" s="63"/>
      <c r="O96" s="82"/>
    </row>
    <row r="97" s="3" customFormat="1" ht="18" customHeight="1" spans="1:15">
      <c r="A97" s="74"/>
      <c r="B97" s="25">
        <f t="shared" si="8"/>
        <v>0</v>
      </c>
      <c r="C97" s="75"/>
      <c r="D97" s="76"/>
      <c r="E97" s="77"/>
      <c r="F97" s="25">
        <f t="shared" si="9"/>
        <v>0</v>
      </c>
      <c r="G97" s="198"/>
      <c r="H97" s="36">
        <v>43849</v>
      </c>
      <c r="I97" s="188">
        <v>1449760.46</v>
      </c>
      <c r="J97" s="63" t="s">
        <v>20</v>
      </c>
      <c r="K97" s="207" t="s">
        <v>103</v>
      </c>
      <c r="L97" s="82" t="s">
        <v>54</v>
      </c>
      <c r="M97" s="63"/>
      <c r="N97" s="63"/>
      <c r="O97" s="82"/>
    </row>
    <row r="98" s="3" customFormat="1" ht="18" customHeight="1" spans="1:15">
      <c r="A98" s="74">
        <v>43831</v>
      </c>
      <c r="B98" s="25">
        <f t="shared" si="8"/>
        <v>600000</v>
      </c>
      <c r="C98" s="75"/>
      <c r="D98" s="50" t="s">
        <v>73</v>
      </c>
      <c r="E98" s="77"/>
      <c r="F98" s="25">
        <f t="shared" si="9"/>
        <v>0</v>
      </c>
      <c r="G98" s="188">
        <v>600000</v>
      </c>
      <c r="H98" s="36">
        <v>43850</v>
      </c>
      <c r="I98" s="188">
        <v>600000</v>
      </c>
      <c r="J98" s="63" t="s">
        <v>21</v>
      </c>
      <c r="K98" s="207" t="s">
        <v>89</v>
      </c>
      <c r="L98" s="82" t="s">
        <v>104</v>
      </c>
      <c r="M98" s="63"/>
      <c r="N98" s="63"/>
      <c r="O98" s="82"/>
    </row>
    <row r="99" s="3" customFormat="1" ht="18" customHeight="1" spans="1:15">
      <c r="A99" s="74">
        <v>43831</v>
      </c>
      <c r="B99" s="25">
        <f t="shared" si="8"/>
        <v>600000</v>
      </c>
      <c r="C99" s="75"/>
      <c r="D99" s="50" t="s">
        <v>73</v>
      </c>
      <c r="E99" s="77"/>
      <c r="F99" s="25">
        <f t="shared" si="9"/>
        <v>0</v>
      </c>
      <c r="G99" s="188">
        <v>600000</v>
      </c>
      <c r="H99" s="36">
        <v>43850</v>
      </c>
      <c r="I99" s="188">
        <v>600000</v>
      </c>
      <c r="J99" s="63" t="s">
        <v>21</v>
      </c>
      <c r="K99" s="207" t="s">
        <v>87</v>
      </c>
      <c r="L99" s="82" t="s">
        <v>104</v>
      </c>
      <c r="M99" s="63"/>
      <c r="N99" s="63"/>
      <c r="O99" s="82"/>
    </row>
    <row r="100" s="3" customFormat="1" ht="18" customHeight="1" spans="1:15">
      <c r="A100" s="74">
        <v>43891</v>
      </c>
      <c r="B100" s="25">
        <f t="shared" si="8"/>
        <v>530100</v>
      </c>
      <c r="C100" s="75"/>
      <c r="D100" s="50" t="s">
        <v>73</v>
      </c>
      <c r="E100" s="77"/>
      <c r="F100" s="25">
        <f t="shared" si="9"/>
        <v>0</v>
      </c>
      <c r="G100" s="188">
        <v>530100</v>
      </c>
      <c r="H100" s="36">
        <v>43903</v>
      </c>
      <c r="I100" s="188">
        <v>530000</v>
      </c>
      <c r="J100" s="63" t="s">
        <v>21</v>
      </c>
      <c r="K100" s="207" t="s">
        <v>105</v>
      </c>
      <c r="L100" s="82" t="s">
        <v>77</v>
      </c>
      <c r="M100" s="63"/>
      <c r="N100" s="63"/>
      <c r="O100" s="82"/>
    </row>
    <row r="101" s="3" customFormat="1" ht="18" customHeight="1" spans="1:15">
      <c r="A101" s="74">
        <v>43952</v>
      </c>
      <c r="B101" s="25">
        <f>298648.6+188837.04+318653.29</f>
        <v>806138.93</v>
      </c>
      <c r="C101" s="75">
        <v>3</v>
      </c>
      <c r="D101" s="50" t="s">
        <v>36</v>
      </c>
      <c r="E101" s="77">
        <v>0.13</v>
      </c>
      <c r="F101" s="25">
        <f>38824.32+24548.82+41424.93</f>
        <v>104798.07</v>
      </c>
      <c r="G101" s="198">
        <f>337472.92+213385.86+360078.22</f>
        <v>910937</v>
      </c>
      <c r="H101" s="36">
        <v>43903</v>
      </c>
      <c r="I101" s="188">
        <v>200000</v>
      </c>
      <c r="J101" s="63" t="s">
        <v>20</v>
      </c>
      <c r="K101" s="207" t="s">
        <v>80</v>
      </c>
      <c r="L101" s="82" t="s">
        <v>81</v>
      </c>
      <c r="M101" s="63"/>
      <c r="N101" s="63"/>
      <c r="O101" s="82"/>
    </row>
    <row r="102" s="3" customFormat="1" ht="18" customHeight="1" spans="1:15">
      <c r="A102" s="74"/>
      <c r="B102" s="25">
        <f t="shared" ref="B102:B104" si="10">ROUND(G102/(1+E102),2)</f>
        <v>0</v>
      </c>
      <c r="C102" s="75"/>
      <c r="D102" s="50"/>
      <c r="E102" s="77"/>
      <c r="F102" s="25">
        <f t="shared" ref="F102:F104" si="11">ROUND(G102/(1+E102)*E102,2)</f>
        <v>0</v>
      </c>
      <c r="G102" s="198"/>
      <c r="H102" s="36">
        <v>43950</v>
      </c>
      <c r="I102" s="188">
        <v>400000</v>
      </c>
      <c r="J102" s="63" t="s">
        <v>20</v>
      </c>
      <c r="K102" s="207" t="s">
        <v>155</v>
      </c>
      <c r="L102" s="82" t="s">
        <v>81</v>
      </c>
      <c r="M102" s="63"/>
      <c r="N102" s="63"/>
      <c r="O102" s="82"/>
    </row>
    <row r="103" s="3" customFormat="1" ht="18" customHeight="1" spans="1:15">
      <c r="A103" s="74"/>
      <c r="B103" s="25">
        <f t="shared" si="10"/>
        <v>0</v>
      </c>
      <c r="C103" s="75"/>
      <c r="D103" s="50"/>
      <c r="E103" s="77"/>
      <c r="F103" s="25">
        <f t="shared" si="11"/>
        <v>0</v>
      </c>
      <c r="G103" s="198"/>
      <c r="H103" s="36">
        <v>43951</v>
      </c>
      <c r="I103" s="188">
        <v>970000</v>
      </c>
      <c r="J103" s="63" t="s">
        <v>21</v>
      </c>
      <c r="K103" s="207" t="s">
        <v>105</v>
      </c>
      <c r="L103" s="82"/>
      <c r="M103" s="63"/>
      <c r="N103" s="63"/>
      <c r="O103" s="82"/>
    </row>
    <row r="104" s="3" customFormat="1" ht="18" customHeight="1" spans="1:15">
      <c r="A104" s="74"/>
      <c r="B104" s="25">
        <f t="shared" si="10"/>
        <v>0</v>
      </c>
      <c r="C104" s="75"/>
      <c r="D104" s="50"/>
      <c r="E104" s="77"/>
      <c r="F104" s="25">
        <f t="shared" si="11"/>
        <v>0</v>
      </c>
      <c r="G104" s="198"/>
      <c r="H104" s="36">
        <v>43966</v>
      </c>
      <c r="I104" s="188">
        <v>150000</v>
      </c>
      <c r="J104" s="63" t="s">
        <v>20</v>
      </c>
      <c r="K104" s="207" t="s">
        <v>155</v>
      </c>
      <c r="L104" s="82" t="s">
        <v>81</v>
      </c>
      <c r="M104" s="63"/>
      <c r="N104" s="63"/>
      <c r="O104" s="82"/>
    </row>
    <row r="105" s="3" customFormat="1" ht="17.1" customHeight="1" spans="1:15">
      <c r="A105" s="74">
        <v>43831</v>
      </c>
      <c r="B105" s="25">
        <v>2632.08</v>
      </c>
      <c r="C105" s="75">
        <v>1</v>
      </c>
      <c r="D105" s="50" t="s">
        <v>36</v>
      </c>
      <c r="E105" s="77">
        <v>0.06</v>
      </c>
      <c r="F105" s="25">
        <v>157.92</v>
      </c>
      <c r="G105" s="198">
        <v>2790</v>
      </c>
      <c r="H105" s="36"/>
      <c r="I105" s="188"/>
      <c r="J105" s="63"/>
      <c r="K105" s="207" t="s">
        <v>156</v>
      </c>
      <c r="L105" s="82" t="s">
        <v>52</v>
      </c>
      <c r="M105" s="63"/>
      <c r="N105" s="63"/>
      <c r="O105" s="82"/>
    </row>
    <row r="106" s="3" customFormat="1" ht="17.1" customHeight="1" spans="1:15">
      <c r="A106" s="74"/>
      <c r="B106" s="25"/>
      <c r="C106" s="75"/>
      <c r="D106" s="50"/>
      <c r="E106" s="77"/>
      <c r="F106" s="25"/>
      <c r="G106" s="198"/>
      <c r="H106" s="36">
        <v>43993</v>
      </c>
      <c r="I106" s="188">
        <v>100000</v>
      </c>
      <c r="J106" s="63"/>
      <c r="K106" s="207" t="s">
        <v>155</v>
      </c>
      <c r="L106" s="82"/>
      <c r="M106" s="63"/>
      <c r="N106" s="63"/>
      <c r="O106" s="82"/>
    </row>
    <row r="107" s="3" customFormat="1" ht="17.1" customHeight="1" spans="1:15">
      <c r="A107" s="74"/>
      <c r="B107" s="25"/>
      <c r="C107" s="75"/>
      <c r="D107" s="50"/>
      <c r="E107" s="77"/>
      <c r="F107" s="25"/>
      <c r="G107" s="198"/>
      <c r="H107" s="195">
        <v>43994</v>
      </c>
      <c r="I107" s="237">
        <v>1000000</v>
      </c>
      <c r="J107" s="227"/>
      <c r="K107" s="266" t="s">
        <v>165</v>
      </c>
      <c r="L107" s="206" t="s">
        <v>54</v>
      </c>
      <c r="M107" s="63"/>
      <c r="N107" s="63"/>
      <c r="O107" s="82"/>
    </row>
    <row r="108" s="3" customFormat="1" ht="17.1" customHeight="1" spans="1:15">
      <c r="A108" s="74"/>
      <c r="B108" s="25"/>
      <c r="C108" s="75"/>
      <c r="D108" s="50"/>
      <c r="E108" s="77"/>
      <c r="F108" s="25"/>
      <c r="G108" s="198"/>
      <c r="H108" s="36"/>
      <c r="I108" s="188"/>
      <c r="J108" s="63"/>
      <c r="K108" s="207"/>
      <c r="L108" s="82"/>
      <c r="M108" s="63"/>
      <c r="N108" s="63"/>
      <c r="O108" s="82"/>
    </row>
    <row r="109" s="3" customFormat="1" ht="17.1" customHeight="1" spans="1:15">
      <c r="A109" s="74"/>
      <c r="B109" s="25"/>
      <c r="C109" s="75"/>
      <c r="D109" s="50"/>
      <c r="E109" s="77"/>
      <c r="F109" s="25"/>
      <c r="G109" s="198"/>
      <c r="H109" s="36"/>
      <c r="I109" s="188"/>
      <c r="J109" s="63"/>
      <c r="K109" s="207"/>
      <c r="L109" s="82"/>
      <c r="M109" s="63"/>
      <c r="N109" s="63"/>
      <c r="O109" s="82"/>
    </row>
    <row r="110" s="3" customFormat="1" ht="17.1" customHeight="1" spans="1:15">
      <c r="A110" s="74"/>
      <c r="B110" s="25"/>
      <c r="C110" s="75"/>
      <c r="D110" s="50"/>
      <c r="E110" s="77"/>
      <c r="F110" s="25"/>
      <c r="G110" s="198"/>
      <c r="H110" s="36"/>
      <c r="I110" s="188"/>
      <c r="J110" s="63"/>
      <c r="K110" s="207"/>
      <c r="L110" s="82"/>
      <c r="M110" s="63"/>
      <c r="N110" s="63"/>
      <c r="O110" s="82"/>
    </row>
    <row r="111" s="3" customFormat="1" ht="17.1" customHeight="1" spans="1:15">
      <c r="A111" s="74"/>
      <c r="B111" s="25"/>
      <c r="C111" s="75"/>
      <c r="D111" s="50"/>
      <c r="E111" s="77"/>
      <c r="F111" s="25"/>
      <c r="G111" s="198"/>
      <c r="H111" s="36"/>
      <c r="I111" s="188"/>
      <c r="J111" s="63"/>
      <c r="K111" s="207"/>
      <c r="L111" s="82"/>
      <c r="M111" s="63"/>
      <c r="N111" s="63"/>
      <c r="O111" s="82"/>
    </row>
    <row r="112" s="3" customFormat="1" ht="17.1" customHeight="1" spans="1:15">
      <c r="A112" s="74"/>
      <c r="B112" s="25"/>
      <c r="C112" s="75"/>
      <c r="D112" s="50"/>
      <c r="E112" s="77"/>
      <c r="F112" s="25"/>
      <c r="G112" s="198"/>
      <c r="H112" s="195">
        <v>43994</v>
      </c>
      <c r="I112" s="267">
        <v>100</v>
      </c>
      <c r="J112" s="176" t="s">
        <v>106</v>
      </c>
      <c r="K112" s="205" t="s">
        <v>110</v>
      </c>
      <c r="L112" s="82"/>
      <c r="M112" s="63"/>
      <c r="N112" s="63"/>
      <c r="O112" s="82"/>
    </row>
    <row r="113" s="3" customFormat="1" ht="18" customHeight="1" spans="1:15">
      <c r="A113" s="74"/>
      <c r="B113" s="25"/>
      <c r="C113" s="75"/>
      <c r="D113" s="50"/>
      <c r="E113" s="77"/>
      <c r="F113" s="25"/>
      <c r="G113" s="198"/>
      <c r="H113" s="195">
        <v>43994</v>
      </c>
      <c r="I113" s="268">
        <v>72400</v>
      </c>
      <c r="J113" s="176" t="s">
        <v>106</v>
      </c>
      <c r="K113" s="205" t="s">
        <v>121</v>
      </c>
      <c r="L113" s="82"/>
      <c r="M113" s="63"/>
      <c r="N113" s="63"/>
      <c r="O113" s="82"/>
    </row>
    <row r="114" s="3" customFormat="1" ht="18" customHeight="1" spans="1:15">
      <c r="A114" s="74"/>
      <c r="B114" s="25"/>
      <c r="C114" s="75"/>
      <c r="D114" s="50"/>
      <c r="E114" s="77"/>
      <c r="F114" s="25"/>
      <c r="G114" s="198"/>
      <c r="H114" s="195">
        <v>43994</v>
      </c>
      <c r="I114" s="237">
        <v>1992.66055045872</v>
      </c>
      <c r="J114" s="176" t="s">
        <v>106</v>
      </c>
      <c r="K114" s="205" t="s">
        <v>123</v>
      </c>
      <c r="L114" s="82"/>
      <c r="M114" s="63"/>
      <c r="N114" s="63"/>
      <c r="O114" s="82"/>
    </row>
    <row r="115" s="3" customFormat="1" ht="18" customHeight="1" spans="1:15">
      <c r="A115" s="74"/>
      <c r="B115" s="25">
        <f>ROUND(G115/(1+E115),2)</f>
        <v>0</v>
      </c>
      <c r="C115" s="75"/>
      <c r="D115" s="50"/>
      <c r="E115" s="77"/>
      <c r="F115" s="25">
        <f>ROUND(G115/(1+E115)*E115,2)</f>
        <v>0</v>
      </c>
      <c r="G115" s="198"/>
      <c r="H115" s="195">
        <v>43994</v>
      </c>
      <c r="I115" s="237">
        <v>18100</v>
      </c>
      <c r="J115" s="176" t="s">
        <v>106</v>
      </c>
      <c r="K115" s="205" t="s">
        <v>157</v>
      </c>
      <c r="L115" s="82"/>
      <c r="M115" s="63"/>
      <c r="N115" s="63"/>
      <c r="O115" s="82"/>
    </row>
    <row r="116" s="3" customFormat="1" ht="18" customHeight="1" spans="1:15">
      <c r="A116" s="74"/>
      <c r="B116" s="25"/>
      <c r="C116" s="75"/>
      <c r="D116" s="50"/>
      <c r="E116" s="77"/>
      <c r="F116" s="25"/>
      <c r="G116" s="198"/>
      <c r="H116" s="36">
        <v>43993</v>
      </c>
      <c r="I116" s="188">
        <v>100</v>
      </c>
      <c r="J116" s="65" t="s">
        <v>106</v>
      </c>
      <c r="K116" s="207" t="s">
        <v>110</v>
      </c>
      <c r="L116" s="82"/>
      <c r="M116" s="63"/>
      <c r="N116" s="63"/>
      <c r="O116" s="82"/>
    </row>
    <row r="117" s="3" customFormat="1" ht="18" customHeight="1" spans="1:15">
      <c r="A117" s="74"/>
      <c r="B117" s="25">
        <f>ROUND(G117/(1+E117),2)</f>
        <v>0</v>
      </c>
      <c r="C117" s="75"/>
      <c r="D117" s="50"/>
      <c r="E117" s="77"/>
      <c r="F117" s="25">
        <f>ROUND(G117/(1+E117)*E117,2)</f>
        <v>0</v>
      </c>
      <c r="G117" s="198"/>
      <c r="H117" s="36">
        <v>43966</v>
      </c>
      <c r="I117" s="188">
        <v>100</v>
      </c>
      <c r="J117" s="65" t="s">
        <v>106</v>
      </c>
      <c r="K117" s="207" t="s">
        <v>110</v>
      </c>
      <c r="L117" s="82"/>
      <c r="M117" s="63"/>
      <c r="N117" s="63"/>
      <c r="O117" s="82"/>
    </row>
    <row r="118" s="3" customFormat="1" ht="18" customHeight="1" spans="1:15">
      <c r="A118" s="74"/>
      <c r="B118" s="25">
        <f>ROUND(G118/(1+E118),2)</f>
        <v>0</v>
      </c>
      <c r="C118" s="75"/>
      <c r="D118" s="50"/>
      <c r="E118" s="77"/>
      <c r="F118" s="25">
        <f>ROUND(G118/(1+E118)*E118,2)</f>
        <v>0</v>
      </c>
      <c r="G118" s="198"/>
      <c r="H118" s="76">
        <v>10.2</v>
      </c>
      <c r="I118" s="188">
        <v>100</v>
      </c>
      <c r="J118" s="65" t="s">
        <v>106</v>
      </c>
      <c r="K118" s="207" t="s">
        <v>110</v>
      </c>
      <c r="L118" s="82"/>
      <c r="M118" s="63"/>
      <c r="N118" s="63"/>
      <c r="O118" s="82"/>
    </row>
    <row r="119" s="3" customFormat="1" ht="18" customHeight="1" spans="1:15">
      <c r="A119" s="74"/>
      <c r="B119" s="25">
        <f>ROUND(G119/(1+E119),2)</f>
        <v>0</v>
      </c>
      <c r="C119" s="75"/>
      <c r="D119" s="50"/>
      <c r="E119" s="77"/>
      <c r="F119" s="25">
        <f>ROUND(G119/(1+E119)*E119,2)</f>
        <v>0</v>
      </c>
      <c r="G119" s="198"/>
      <c r="H119" s="76">
        <v>10.1</v>
      </c>
      <c r="I119" s="188">
        <v>100</v>
      </c>
      <c r="J119" s="65" t="s">
        <v>106</v>
      </c>
      <c r="K119" s="207" t="s">
        <v>110</v>
      </c>
      <c r="L119" s="82"/>
      <c r="M119" s="63"/>
      <c r="N119" s="63"/>
      <c r="O119" s="82"/>
    </row>
    <row r="120" s="3" customFormat="1" ht="18" customHeight="1" spans="1:15">
      <c r="A120" s="74"/>
      <c r="B120" s="25">
        <f>ROUND(G120/(1+E120),2)</f>
        <v>0</v>
      </c>
      <c r="C120" s="75"/>
      <c r="D120" s="50"/>
      <c r="E120" s="77"/>
      <c r="F120" s="25">
        <f>ROUND(G120/(1+E120)*E120,2)</f>
        <v>0</v>
      </c>
      <c r="G120" s="198"/>
      <c r="H120" s="76">
        <v>10.1</v>
      </c>
      <c r="I120" s="188">
        <f>B12*0.0006</f>
        <v>853.211009174312</v>
      </c>
      <c r="J120" s="65" t="s">
        <v>106</v>
      </c>
      <c r="K120" s="207" t="s">
        <v>107</v>
      </c>
      <c r="L120" s="82">
        <f>I120+I121+I124+I129+I132+I133+I134+I135+I142+I143+I149+I151+I152</f>
        <v>916149.577981651</v>
      </c>
      <c r="M120" s="63"/>
      <c r="N120" s="63"/>
      <c r="O120" s="82"/>
    </row>
    <row r="121" s="3" customFormat="1" ht="18" customHeight="1" spans="1:15">
      <c r="A121" s="74"/>
      <c r="B121" s="25">
        <f>ROUND(G121/(1+E121),2)</f>
        <v>0</v>
      </c>
      <c r="C121" s="75"/>
      <c r="D121" s="50"/>
      <c r="E121" s="77"/>
      <c r="F121" s="25">
        <f>ROUND(G121/(1+E121)*E121,2)</f>
        <v>0</v>
      </c>
      <c r="G121" s="198"/>
      <c r="H121" s="76">
        <v>10.1</v>
      </c>
      <c r="I121" s="188">
        <f>B12*0.02</f>
        <v>28440.3669724771</v>
      </c>
      <c r="J121" s="65" t="s">
        <v>106</v>
      </c>
      <c r="K121" s="207" t="s">
        <v>108</v>
      </c>
      <c r="L121" s="82"/>
      <c r="M121" s="63"/>
      <c r="N121" s="63"/>
      <c r="O121" s="82"/>
    </row>
    <row r="122" s="3" customFormat="1" ht="18" customHeight="1" spans="1:15">
      <c r="A122" s="74"/>
      <c r="B122" s="25"/>
      <c r="C122" s="75"/>
      <c r="D122" s="50"/>
      <c r="E122" s="77"/>
      <c r="F122" s="25"/>
      <c r="G122" s="198"/>
      <c r="H122" s="76">
        <v>10.1</v>
      </c>
      <c r="I122" s="188">
        <f>G12*0.005</f>
        <v>7750</v>
      </c>
      <c r="J122" s="65" t="s">
        <v>106</v>
      </c>
      <c r="K122" s="207" t="s">
        <v>157</v>
      </c>
      <c r="L122" s="82">
        <f>I122+I154</f>
        <v>140600</v>
      </c>
      <c r="M122" s="63"/>
      <c r="N122" s="63"/>
      <c r="O122" s="82"/>
    </row>
    <row r="123" s="3" customFormat="1" ht="18" customHeight="1" spans="1:15">
      <c r="A123" s="74"/>
      <c r="B123" s="25">
        <f t="shared" ref="B123:B144" si="12">ROUND(G123/(1+E123),2)</f>
        <v>0</v>
      </c>
      <c r="C123" s="75"/>
      <c r="D123" s="50"/>
      <c r="E123" s="77"/>
      <c r="F123" s="25">
        <f t="shared" ref="F123:F144" si="13">ROUND(G123/(1+E123)*E123,2)</f>
        <v>0</v>
      </c>
      <c r="G123" s="198"/>
      <c r="H123" s="36" t="s">
        <v>109</v>
      </c>
      <c r="I123" s="188">
        <v>200</v>
      </c>
      <c r="J123" s="65" t="s">
        <v>106</v>
      </c>
      <c r="K123" s="207" t="s">
        <v>110</v>
      </c>
      <c r="L123" s="82">
        <f>I123+I125+I126+I127+I128+I130+I137+I140+I144+I153+I119</f>
        <v>245132.79</v>
      </c>
      <c r="M123" s="63"/>
      <c r="N123" s="63"/>
      <c r="O123" s="82"/>
    </row>
    <row r="124" s="3" customFormat="1" ht="18" customHeight="1" spans="1:15">
      <c r="A124" s="74"/>
      <c r="B124" s="25">
        <f t="shared" si="12"/>
        <v>0</v>
      </c>
      <c r="C124" s="75"/>
      <c r="D124" s="50"/>
      <c r="E124" s="77"/>
      <c r="F124" s="25">
        <f t="shared" si="13"/>
        <v>0</v>
      </c>
      <c r="G124" s="198"/>
      <c r="H124" s="36" t="s">
        <v>111</v>
      </c>
      <c r="I124" s="188">
        <v>-285325</v>
      </c>
      <c r="J124" s="63" t="s">
        <v>112</v>
      </c>
      <c r="K124" s="207" t="s">
        <v>158</v>
      </c>
      <c r="L124" s="82"/>
      <c r="M124" s="63"/>
      <c r="N124" s="63"/>
      <c r="O124" s="82"/>
    </row>
    <row r="125" s="3" customFormat="1" ht="18" customHeight="1" spans="1:15">
      <c r="A125" s="74"/>
      <c r="B125" s="25">
        <f t="shared" si="12"/>
        <v>0</v>
      </c>
      <c r="C125" s="75"/>
      <c r="D125" s="76"/>
      <c r="E125" s="77"/>
      <c r="F125" s="25">
        <f t="shared" si="13"/>
        <v>0</v>
      </c>
      <c r="G125" s="198"/>
      <c r="H125" s="36" t="s">
        <v>111</v>
      </c>
      <c r="I125" s="188">
        <v>200</v>
      </c>
      <c r="J125" s="65" t="s">
        <v>106</v>
      </c>
      <c r="K125" s="207" t="s">
        <v>110</v>
      </c>
      <c r="L125" s="82"/>
      <c r="M125" s="63"/>
      <c r="N125" s="63"/>
      <c r="O125" s="82"/>
    </row>
    <row r="126" s="3" customFormat="1" ht="18" customHeight="1" spans="1:15">
      <c r="A126" s="74"/>
      <c r="B126" s="25">
        <f t="shared" si="12"/>
        <v>0</v>
      </c>
      <c r="C126" s="75"/>
      <c r="D126" s="76"/>
      <c r="E126" s="77"/>
      <c r="F126" s="25">
        <f t="shared" si="13"/>
        <v>0</v>
      </c>
      <c r="G126" s="198"/>
      <c r="H126" s="36" t="s">
        <v>113</v>
      </c>
      <c r="I126" s="188">
        <v>300</v>
      </c>
      <c r="J126" s="65" t="s">
        <v>106</v>
      </c>
      <c r="K126" s="207" t="s">
        <v>110</v>
      </c>
      <c r="L126" s="82"/>
      <c r="M126" s="63"/>
      <c r="N126" s="63"/>
      <c r="O126" s="82"/>
    </row>
    <row r="127" s="3" customFormat="1" ht="18" customHeight="1" spans="1:15">
      <c r="A127" s="74"/>
      <c r="B127" s="25">
        <f t="shared" si="12"/>
        <v>0</v>
      </c>
      <c r="C127" s="75"/>
      <c r="D127" s="76"/>
      <c r="E127" s="77"/>
      <c r="F127" s="25">
        <f t="shared" si="13"/>
        <v>0</v>
      </c>
      <c r="G127" s="198"/>
      <c r="H127" s="36" t="s">
        <v>114</v>
      </c>
      <c r="I127" s="188">
        <v>9600</v>
      </c>
      <c r="J127" s="65" t="s">
        <v>106</v>
      </c>
      <c r="K127" s="207" t="s">
        <v>115</v>
      </c>
      <c r="L127" s="82"/>
      <c r="M127" s="63"/>
      <c r="N127" s="63"/>
      <c r="O127" s="82"/>
    </row>
    <row r="128" s="3" customFormat="1" ht="18" customHeight="1" spans="1:15">
      <c r="A128" s="74"/>
      <c r="B128" s="25">
        <f t="shared" si="12"/>
        <v>0</v>
      </c>
      <c r="C128" s="75"/>
      <c r="D128" s="76"/>
      <c r="E128" s="77"/>
      <c r="F128" s="25">
        <f t="shared" si="13"/>
        <v>0</v>
      </c>
      <c r="G128" s="198"/>
      <c r="H128" s="36" t="s">
        <v>114</v>
      </c>
      <c r="I128" s="188">
        <v>200</v>
      </c>
      <c r="J128" s="65" t="s">
        <v>106</v>
      </c>
      <c r="K128" s="207" t="s">
        <v>110</v>
      </c>
      <c r="L128" s="82"/>
      <c r="M128" s="63"/>
      <c r="N128" s="63"/>
      <c r="O128" s="82"/>
    </row>
    <row r="129" s="3" customFormat="1" ht="18" customHeight="1" spans="1:15">
      <c r="A129" s="74"/>
      <c r="B129" s="25">
        <f t="shared" si="12"/>
        <v>0</v>
      </c>
      <c r="C129" s="75"/>
      <c r="D129" s="76"/>
      <c r="E129" s="77"/>
      <c r="F129" s="25">
        <f t="shared" si="13"/>
        <v>0</v>
      </c>
      <c r="G129" s="198"/>
      <c r="H129" s="36" t="s">
        <v>114</v>
      </c>
      <c r="I129" s="188">
        <v>-903045</v>
      </c>
      <c r="J129" s="63" t="s">
        <v>112</v>
      </c>
      <c r="K129" s="207" t="s">
        <v>116</v>
      </c>
      <c r="L129" s="82"/>
      <c r="M129" s="63"/>
      <c r="N129" s="63"/>
      <c r="O129" s="82"/>
    </row>
    <row r="130" s="3" customFormat="1" ht="18" customHeight="1" spans="1:15">
      <c r="A130" s="74"/>
      <c r="B130" s="25">
        <f t="shared" si="12"/>
        <v>0</v>
      </c>
      <c r="C130" s="75"/>
      <c r="D130" s="76"/>
      <c r="E130" s="77"/>
      <c r="F130" s="25">
        <f t="shared" si="13"/>
        <v>0</v>
      </c>
      <c r="G130" s="198"/>
      <c r="H130" s="36" t="s">
        <v>117</v>
      </c>
      <c r="I130" s="188">
        <v>232932.79</v>
      </c>
      <c r="J130" s="63" t="s">
        <v>106</v>
      </c>
      <c r="K130" s="207" t="s">
        <v>118</v>
      </c>
      <c r="L130" s="82"/>
      <c r="M130" s="63"/>
      <c r="N130" s="63"/>
      <c r="O130" s="82"/>
    </row>
    <row r="131" s="3" customFormat="1" ht="18" customHeight="1" spans="1:15">
      <c r="A131" s="74"/>
      <c r="B131" s="25">
        <f t="shared" si="12"/>
        <v>0</v>
      </c>
      <c r="C131" s="75"/>
      <c r="D131" s="76"/>
      <c r="E131" s="77"/>
      <c r="F131" s="25">
        <f t="shared" si="13"/>
        <v>0</v>
      </c>
      <c r="G131" s="198"/>
      <c r="H131" s="36" t="s">
        <v>117</v>
      </c>
      <c r="I131" s="188"/>
      <c r="J131" s="63" t="s">
        <v>106</v>
      </c>
      <c r="K131" s="207" t="s">
        <v>119</v>
      </c>
      <c r="L131" s="82"/>
      <c r="M131" s="63"/>
      <c r="N131" s="63"/>
      <c r="O131" s="82"/>
    </row>
    <row r="132" s="3" customFormat="1" ht="18" customHeight="1" spans="1:15">
      <c r="A132" s="74"/>
      <c r="B132" s="25">
        <f t="shared" si="12"/>
        <v>0</v>
      </c>
      <c r="C132" s="75"/>
      <c r="D132" s="76"/>
      <c r="E132" s="77"/>
      <c r="F132" s="25">
        <f t="shared" si="13"/>
        <v>0</v>
      </c>
      <c r="G132" s="198"/>
      <c r="H132" s="36" t="s">
        <v>117</v>
      </c>
      <c r="I132" s="188">
        <v>903045</v>
      </c>
      <c r="J132" s="63" t="s">
        <v>120</v>
      </c>
      <c r="K132" s="207" t="s">
        <v>121</v>
      </c>
      <c r="L132" s="82"/>
      <c r="M132" s="63"/>
      <c r="N132" s="63"/>
      <c r="O132" s="82"/>
    </row>
    <row r="133" s="3" customFormat="1" ht="18" customHeight="1" spans="1:15">
      <c r="A133" s="74"/>
      <c r="B133" s="25">
        <f t="shared" si="12"/>
        <v>0</v>
      </c>
      <c r="C133" s="75"/>
      <c r="D133" s="76"/>
      <c r="E133" s="77"/>
      <c r="F133" s="25">
        <f t="shared" si="13"/>
        <v>0</v>
      </c>
      <c r="G133" s="198"/>
      <c r="H133" s="36" t="s">
        <v>117</v>
      </c>
      <c r="I133" s="188">
        <v>485252</v>
      </c>
      <c r="J133" s="63" t="s">
        <v>106</v>
      </c>
      <c r="K133" s="207" t="s">
        <v>122</v>
      </c>
      <c r="L133" s="82"/>
      <c r="M133" s="63"/>
      <c r="N133" s="63"/>
      <c r="O133" s="82"/>
    </row>
    <row r="134" s="3" customFormat="1" ht="18" customHeight="1" spans="1:15">
      <c r="A134" s="74"/>
      <c r="B134" s="25">
        <f t="shared" si="12"/>
        <v>0</v>
      </c>
      <c r="C134" s="75"/>
      <c r="D134" s="76"/>
      <c r="E134" s="77"/>
      <c r="F134" s="25">
        <f t="shared" si="13"/>
        <v>0</v>
      </c>
      <c r="G134" s="198"/>
      <c r="H134" s="36" t="s">
        <v>117</v>
      </c>
      <c r="I134" s="188">
        <v>4789</v>
      </c>
      <c r="J134" s="63" t="s">
        <v>106</v>
      </c>
      <c r="K134" s="207" t="s">
        <v>123</v>
      </c>
      <c r="L134" s="82"/>
      <c r="M134" s="63"/>
      <c r="N134" s="63"/>
      <c r="O134" s="82"/>
    </row>
    <row r="135" s="3" customFormat="1" ht="18" customHeight="1" spans="1:15">
      <c r="A135" s="74"/>
      <c r="B135" s="25">
        <f t="shared" si="12"/>
        <v>0</v>
      </c>
      <c r="C135" s="75"/>
      <c r="D135" s="76"/>
      <c r="E135" s="77"/>
      <c r="F135" s="25">
        <f t="shared" si="13"/>
        <v>0</v>
      </c>
      <c r="G135" s="198"/>
      <c r="H135" s="36" t="s">
        <v>117</v>
      </c>
      <c r="I135" s="188">
        <v>429349</v>
      </c>
      <c r="J135" s="63" t="s">
        <v>106</v>
      </c>
      <c r="K135" s="207" t="s">
        <v>124</v>
      </c>
      <c r="L135" s="82"/>
      <c r="M135" s="63"/>
      <c r="N135" s="63"/>
      <c r="O135" s="82"/>
    </row>
    <row r="136" s="3" customFormat="1" ht="18" customHeight="1" spans="1:15">
      <c r="A136" s="74"/>
      <c r="B136" s="25">
        <f t="shared" si="12"/>
        <v>0</v>
      </c>
      <c r="C136" s="75"/>
      <c r="D136" s="76"/>
      <c r="E136" s="77"/>
      <c r="F136" s="25">
        <f t="shared" si="13"/>
        <v>0</v>
      </c>
      <c r="G136" s="198"/>
      <c r="H136" s="36" t="s">
        <v>117</v>
      </c>
      <c r="I136" s="188">
        <v>87000</v>
      </c>
      <c r="J136" s="63" t="s">
        <v>125</v>
      </c>
      <c r="K136" s="207" t="s">
        <v>126</v>
      </c>
      <c r="L136" s="82"/>
      <c r="M136" s="63"/>
      <c r="N136" s="63"/>
      <c r="O136" s="82"/>
    </row>
    <row r="137" s="2" customFormat="1" ht="18" customHeight="1" spans="1:15">
      <c r="A137" s="48"/>
      <c r="B137" s="25">
        <f t="shared" si="12"/>
        <v>0</v>
      </c>
      <c r="C137" s="49"/>
      <c r="D137" s="50"/>
      <c r="E137" s="70"/>
      <c r="F137" s="25">
        <f t="shared" si="13"/>
        <v>0</v>
      </c>
      <c r="G137" s="189"/>
      <c r="H137" s="36" t="s">
        <v>117</v>
      </c>
      <c r="I137" s="188">
        <v>100</v>
      </c>
      <c r="J137" s="65" t="s">
        <v>106</v>
      </c>
      <c r="K137" s="207" t="s">
        <v>110</v>
      </c>
      <c r="L137" s="82"/>
      <c r="M137" s="56"/>
      <c r="N137" s="65"/>
      <c r="O137" s="67"/>
    </row>
    <row r="138" s="2" customFormat="1" ht="18" customHeight="1" spans="1:15">
      <c r="A138" s="48"/>
      <c r="B138" s="25">
        <f t="shared" si="12"/>
        <v>0</v>
      </c>
      <c r="C138" s="49"/>
      <c r="D138" s="50"/>
      <c r="E138" s="70"/>
      <c r="F138" s="25">
        <f t="shared" si="13"/>
        <v>0</v>
      </c>
      <c r="G138" s="189"/>
      <c r="H138" s="36" t="s">
        <v>117</v>
      </c>
      <c r="I138" s="188"/>
      <c r="J138" s="63"/>
      <c r="K138" s="207"/>
      <c r="L138" s="82"/>
      <c r="M138" s="56"/>
      <c r="N138" s="65"/>
      <c r="O138" s="67"/>
    </row>
    <row r="139" s="2" customFormat="1" ht="18" customHeight="1" spans="1:15">
      <c r="A139" s="48"/>
      <c r="B139" s="25">
        <f t="shared" si="12"/>
        <v>0</v>
      </c>
      <c r="C139" s="49"/>
      <c r="D139" s="50"/>
      <c r="E139" s="70"/>
      <c r="F139" s="25">
        <f t="shared" si="13"/>
        <v>0</v>
      </c>
      <c r="G139" s="189"/>
      <c r="H139" s="36" t="s">
        <v>127</v>
      </c>
      <c r="I139" s="188">
        <v>-93700</v>
      </c>
      <c r="J139" s="63" t="s">
        <v>125</v>
      </c>
      <c r="K139" s="148" t="s">
        <v>126</v>
      </c>
      <c r="L139" s="82"/>
      <c r="M139" s="56"/>
      <c r="N139" s="65"/>
      <c r="O139" s="67"/>
    </row>
    <row r="140" s="2" customFormat="1" ht="18" customHeight="1" spans="1:16">
      <c r="A140" s="48"/>
      <c r="B140" s="25">
        <f t="shared" si="12"/>
        <v>0</v>
      </c>
      <c r="C140" s="49"/>
      <c r="D140" s="50"/>
      <c r="E140" s="70"/>
      <c r="F140" s="25">
        <f t="shared" si="13"/>
        <v>0</v>
      </c>
      <c r="G140" s="189"/>
      <c r="H140" s="36" t="s">
        <v>127</v>
      </c>
      <c r="I140" s="71">
        <v>50</v>
      </c>
      <c r="J140" s="65" t="s">
        <v>106</v>
      </c>
      <c r="K140" s="148" t="s">
        <v>110</v>
      </c>
      <c r="L140" s="82"/>
      <c r="M140" s="56"/>
      <c r="N140" s="65"/>
      <c r="O140" s="67"/>
      <c r="P140" s="2">
        <f>I142+I135+I124</f>
        <v>387045</v>
      </c>
    </row>
    <row r="141" s="2" customFormat="1" ht="18" customHeight="1" spans="1:15">
      <c r="A141" s="48"/>
      <c r="B141" s="25">
        <f t="shared" si="12"/>
        <v>0</v>
      </c>
      <c r="C141" s="49"/>
      <c r="D141" s="50"/>
      <c r="E141" s="70"/>
      <c r="F141" s="25">
        <f t="shared" si="13"/>
        <v>0</v>
      </c>
      <c r="G141" s="189"/>
      <c r="H141" s="36" t="s">
        <v>127</v>
      </c>
      <c r="I141" s="210">
        <v>-21725</v>
      </c>
      <c r="J141" s="56" t="s">
        <v>112</v>
      </c>
      <c r="K141" s="238" t="s">
        <v>159</v>
      </c>
      <c r="L141" s="82"/>
      <c r="M141" s="56"/>
      <c r="N141" s="65"/>
      <c r="O141" s="67"/>
    </row>
    <row r="142" s="2" customFormat="1" ht="18" customHeight="1" spans="1:15">
      <c r="A142" s="48"/>
      <c r="B142" s="25">
        <f t="shared" si="12"/>
        <v>0</v>
      </c>
      <c r="C142" s="49"/>
      <c r="D142" s="50"/>
      <c r="E142" s="46"/>
      <c r="F142" s="25">
        <f t="shared" si="13"/>
        <v>0</v>
      </c>
      <c r="G142" s="189"/>
      <c r="H142" s="36" t="s">
        <v>129</v>
      </c>
      <c r="I142" s="188">
        <v>243021</v>
      </c>
      <c r="J142" s="63" t="s">
        <v>106</v>
      </c>
      <c r="K142" s="207" t="s">
        <v>124</v>
      </c>
      <c r="L142" s="67"/>
      <c r="M142" s="65"/>
      <c r="N142" s="65"/>
      <c r="O142" s="67"/>
    </row>
    <row r="143" s="2" customFormat="1" ht="18" customHeight="1" spans="1:15">
      <c r="A143" s="48"/>
      <c r="B143" s="25">
        <f t="shared" si="12"/>
        <v>0</v>
      </c>
      <c r="C143" s="49"/>
      <c r="D143" s="50"/>
      <c r="E143" s="46"/>
      <c r="F143" s="25">
        <f t="shared" si="13"/>
        <v>0</v>
      </c>
      <c r="G143" s="189"/>
      <c r="H143" s="36" t="s">
        <v>129</v>
      </c>
      <c r="I143" s="188">
        <v>2340</v>
      </c>
      <c r="J143" s="63" t="s">
        <v>106</v>
      </c>
      <c r="K143" s="207" t="s">
        <v>123</v>
      </c>
      <c r="L143" s="67"/>
      <c r="M143" s="65"/>
      <c r="N143" s="65"/>
      <c r="O143" s="67"/>
    </row>
    <row r="144" s="2" customFormat="1" ht="18" customHeight="1" spans="1:15">
      <c r="A144" s="48"/>
      <c r="B144" s="25">
        <f t="shared" si="12"/>
        <v>0</v>
      </c>
      <c r="C144" s="49"/>
      <c r="D144" s="50"/>
      <c r="E144" s="46"/>
      <c r="F144" s="25">
        <f t="shared" si="13"/>
        <v>0</v>
      </c>
      <c r="G144" s="189"/>
      <c r="H144" s="36" t="s">
        <v>129</v>
      </c>
      <c r="I144" s="188">
        <v>500</v>
      </c>
      <c r="J144" s="63" t="s">
        <v>106</v>
      </c>
      <c r="K144" s="148" t="s">
        <v>130</v>
      </c>
      <c r="L144" s="67"/>
      <c r="M144" s="65"/>
      <c r="N144" s="65"/>
      <c r="O144" s="67"/>
    </row>
    <row r="145" s="2" customFormat="1" ht="18" customHeight="1" spans="1:15">
      <c r="A145" s="48"/>
      <c r="B145" s="25"/>
      <c r="C145" s="49"/>
      <c r="D145" s="50"/>
      <c r="E145" s="46"/>
      <c r="F145" s="25"/>
      <c r="G145" s="189"/>
      <c r="H145" s="36" t="s">
        <v>129</v>
      </c>
      <c r="I145" s="210">
        <v>55725</v>
      </c>
      <c r="J145" s="56" t="s">
        <v>120</v>
      </c>
      <c r="K145" s="238" t="s">
        <v>121</v>
      </c>
      <c r="L145" s="67"/>
      <c r="M145" s="65"/>
      <c r="N145" s="65"/>
      <c r="O145" s="67"/>
    </row>
    <row r="146" s="2" customFormat="1" ht="18" customHeight="1" spans="1:15">
      <c r="A146" s="48"/>
      <c r="B146" s="25">
        <f t="shared" ref="B146:B151" si="14">ROUND(G146/(1+E146),2)</f>
        <v>0</v>
      </c>
      <c r="C146" s="49"/>
      <c r="D146" s="50"/>
      <c r="E146" s="46"/>
      <c r="F146" s="25">
        <f t="shared" ref="F146:F151" si="15">ROUND(G146/(1+E146)*E146,2)</f>
        <v>0</v>
      </c>
      <c r="G146" s="189"/>
      <c r="H146" s="36" t="s">
        <v>129</v>
      </c>
      <c r="I146" s="188">
        <v>8500</v>
      </c>
      <c r="J146" s="63" t="s">
        <v>125</v>
      </c>
      <c r="K146" s="148" t="s">
        <v>126</v>
      </c>
      <c r="L146" s="67"/>
      <c r="M146" s="65"/>
      <c r="N146" s="65"/>
      <c r="O146" s="67"/>
    </row>
    <row r="147" s="2" customFormat="1" ht="18" customHeight="1" spans="1:15">
      <c r="A147" s="48"/>
      <c r="B147" s="25">
        <f t="shared" si="14"/>
        <v>0</v>
      </c>
      <c r="C147" s="49"/>
      <c r="D147" s="50"/>
      <c r="E147" s="46"/>
      <c r="F147" s="25">
        <f t="shared" si="15"/>
        <v>0</v>
      </c>
      <c r="G147" s="189"/>
      <c r="H147" s="36" t="s">
        <v>131</v>
      </c>
      <c r="I147" s="188">
        <v>8800</v>
      </c>
      <c r="J147" s="63" t="s">
        <v>125</v>
      </c>
      <c r="K147" s="148" t="s">
        <v>126</v>
      </c>
      <c r="L147" s="67"/>
      <c r="M147" s="65"/>
      <c r="N147" s="65"/>
      <c r="O147" s="67"/>
    </row>
    <row r="148" s="2" customFormat="1" ht="18" customHeight="1" spans="1:15">
      <c r="A148" s="48"/>
      <c r="B148" s="25">
        <f t="shared" si="14"/>
        <v>0</v>
      </c>
      <c r="C148" s="49"/>
      <c r="D148" s="50"/>
      <c r="E148" s="46"/>
      <c r="F148" s="25">
        <f t="shared" si="15"/>
        <v>0</v>
      </c>
      <c r="G148" s="189"/>
      <c r="H148" s="36" t="s">
        <v>131</v>
      </c>
      <c r="I148" s="188">
        <v>35200</v>
      </c>
      <c r="J148" s="63" t="s">
        <v>125</v>
      </c>
      <c r="K148" s="148" t="s">
        <v>126</v>
      </c>
      <c r="L148" s="67"/>
      <c r="M148" s="65"/>
      <c r="N148" s="65"/>
      <c r="O148" s="67"/>
    </row>
    <row r="149" s="2" customFormat="1" ht="18" customHeight="1" spans="1:15">
      <c r="A149" s="48"/>
      <c r="B149" s="25">
        <f t="shared" si="14"/>
        <v>0</v>
      </c>
      <c r="C149" s="49"/>
      <c r="D149" s="50"/>
      <c r="E149" s="46"/>
      <c r="F149" s="25">
        <f t="shared" si="15"/>
        <v>0</v>
      </c>
      <c r="G149" s="189"/>
      <c r="H149" s="36" t="s">
        <v>131</v>
      </c>
      <c r="I149" s="188">
        <f>B9*E166</f>
        <v>2400</v>
      </c>
      <c r="J149" s="63" t="s">
        <v>106</v>
      </c>
      <c r="K149" s="148" t="s">
        <v>132</v>
      </c>
      <c r="L149" s="67"/>
      <c r="M149" s="65"/>
      <c r="N149" s="65"/>
      <c r="O149" s="67"/>
    </row>
    <row r="150" s="1" customFormat="1" ht="18" customHeight="1" spans="1:15">
      <c r="A150" s="43"/>
      <c r="B150" s="25">
        <f t="shared" si="14"/>
        <v>0</v>
      </c>
      <c r="C150" s="44"/>
      <c r="D150" s="45"/>
      <c r="E150" s="46"/>
      <c r="F150" s="25">
        <f t="shared" si="15"/>
        <v>0</v>
      </c>
      <c r="G150" s="189"/>
      <c r="H150" s="31" t="s">
        <v>133</v>
      </c>
      <c r="I150" s="188">
        <v>41200</v>
      </c>
      <c r="J150" s="63" t="s">
        <v>125</v>
      </c>
      <c r="K150" s="148" t="s">
        <v>126</v>
      </c>
      <c r="L150" s="60"/>
      <c r="M150" s="61"/>
      <c r="N150" s="61"/>
      <c r="O150" s="60"/>
    </row>
    <row r="151" s="1" customFormat="1" ht="18" customHeight="1" spans="1:15">
      <c r="A151" s="43"/>
      <c r="B151" s="25">
        <f t="shared" si="14"/>
        <v>0</v>
      </c>
      <c r="C151" s="44"/>
      <c r="D151" s="45"/>
      <c r="E151" s="46"/>
      <c r="F151" s="25">
        <f t="shared" si="15"/>
        <v>0</v>
      </c>
      <c r="G151" s="189"/>
      <c r="H151" s="31" t="s">
        <v>133</v>
      </c>
      <c r="I151" s="188">
        <v>2248</v>
      </c>
      <c r="J151" s="63" t="s">
        <v>106</v>
      </c>
      <c r="K151" s="148" t="s">
        <v>160</v>
      </c>
      <c r="L151" s="60"/>
      <c r="M151" s="61"/>
      <c r="N151" s="61"/>
      <c r="O151" s="60"/>
    </row>
    <row r="152" s="1" customFormat="1" ht="18" customHeight="1" spans="1:15">
      <c r="A152" s="43"/>
      <c r="B152" s="25"/>
      <c r="C152" s="44"/>
      <c r="D152" s="45"/>
      <c r="E152" s="46"/>
      <c r="F152" s="25"/>
      <c r="G152" s="189"/>
      <c r="H152" s="36" t="s">
        <v>134</v>
      </c>
      <c r="I152" s="188">
        <v>2782</v>
      </c>
      <c r="J152" s="63" t="s">
        <v>106</v>
      </c>
      <c r="K152" s="148" t="s">
        <v>160</v>
      </c>
      <c r="L152" s="60"/>
      <c r="M152" s="61"/>
      <c r="N152" s="61"/>
      <c r="O152" s="60"/>
    </row>
    <row r="153" s="1" customFormat="1" ht="18" customHeight="1" spans="1:15">
      <c r="A153" s="43"/>
      <c r="B153" s="25">
        <f>ROUND(G153/(1+E153),2)</f>
        <v>0</v>
      </c>
      <c r="C153" s="44"/>
      <c r="D153" s="45"/>
      <c r="E153" s="46"/>
      <c r="F153" s="25">
        <f>ROUND(G153/(1+E153)*E153,2)</f>
        <v>0</v>
      </c>
      <c r="G153" s="189"/>
      <c r="H153" s="36" t="s">
        <v>134</v>
      </c>
      <c r="I153" s="188">
        <v>950</v>
      </c>
      <c r="J153" s="63" t="s">
        <v>106</v>
      </c>
      <c r="K153" s="148" t="s">
        <v>130</v>
      </c>
      <c r="L153" s="60"/>
      <c r="M153" s="61"/>
      <c r="N153" s="61"/>
      <c r="O153" s="60"/>
    </row>
    <row r="154" s="1" customFormat="1" ht="18" customHeight="1" spans="1:15">
      <c r="A154" s="43"/>
      <c r="B154" s="25">
        <f>ROUND(G154/(1+E154),2)</f>
        <v>132850</v>
      </c>
      <c r="C154" s="44"/>
      <c r="D154" s="45"/>
      <c r="E154" s="46"/>
      <c r="F154" s="25">
        <f>ROUND(G154/(1+E154)*E154,2)</f>
        <v>0</v>
      </c>
      <c r="G154" s="189">
        <f>46100+17600+4400+17000+4250+34800+8700</f>
        <v>132850</v>
      </c>
      <c r="H154" s="31"/>
      <c r="I154" s="32">
        <f>G154</f>
        <v>132850</v>
      </c>
      <c r="J154" s="63" t="s">
        <v>106</v>
      </c>
      <c r="K154" s="148" t="s">
        <v>161</v>
      </c>
      <c r="L154" s="60"/>
      <c r="M154" s="61"/>
      <c r="N154" s="61"/>
      <c r="O154" s="60"/>
    </row>
    <row r="155" s="1" customFormat="1" ht="18" customHeight="1" spans="1:15">
      <c r="A155" s="43"/>
      <c r="B155" s="25"/>
      <c r="C155" s="44"/>
      <c r="D155" s="45"/>
      <c r="E155" s="46"/>
      <c r="F155" s="25"/>
      <c r="G155" s="239"/>
      <c r="H155" s="31"/>
      <c r="I155" s="141">
        <v>-3000000</v>
      </c>
      <c r="J155" s="249"/>
      <c r="K155" s="250" t="s">
        <v>162</v>
      </c>
      <c r="L155" s="60"/>
      <c r="M155" s="61"/>
      <c r="N155" s="61"/>
      <c r="O155" s="60"/>
    </row>
    <row r="156" ht="18" customHeight="1" spans="1:15">
      <c r="A156" s="39" t="s">
        <v>22</v>
      </c>
      <c r="B156" s="38">
        <f>SUM(B24:B154)</f>
        <v>32667859.4</v>
      </c>
      <c r="C156" s="39"/>
      <c r="D156" s="240"/>
      <c r="E156" s="240"/>
      <c r="F156" s="241">
        <f>SUM(F24:F154)</f>
        <v>1901421.18</v>
      </c>
      <c r="G156" s="242">
        <f>SUM(G24:G154)</f>
        <v>34569280.58</v>
      </c>
      <c r="H156" s="243"/>
      <c r="I156" s="190">
        <f>SUM(I24:I155)</f>
        <v>29266353.4885321</v>
      </c>
      <c r="J156" s="251"/>
      <c r="K156" s="252"/>
      <c r="L156" s="191"/>
      <c r="M156" s="40"/>
      <c r="N156" s="40"/>
      <c r="O156" s="191"/>
    </row>
    <row r="157" ht="18" customHeight="1" spans="1:14">
      <c r="A157" s="99"/>
      <c r="B157" s="100">
        <f>B21*0.92-B156</f>
        <v>-5982641.71859883</v>
      </c>
      <c r="C157" s="99"/>
      <c r="D157" s="244"/>
      <c r="E157" s="244"/>
      <c r="F157" s="100">
        <f>F21-F156</f>
        <v>252793.999316096</v>
      </c>
      <c r="G157" s="100"/>
      <c r="H157" s="30" t="s">
        <v>136</v>
      </c>
      <c r="I157" s="190">
        <f>I21-I156</f>
        <v>2473646.51146789</v>
      </c>
      <c r="J157" s="14"/>
      <c r="K157" s="253"/>
      <c r="M157" s="13"/>
      <c r="N157" s="13"/>
    </row>
    <row r="158" ht="18" customHeight="1" spans="1:3">
      <c r="A158" s="6" t="s">
        <v>137</v>
      </c>
      <c r="C158" s="6"/>
    </row>
    <row r="159" ht="18" customHeight="1" spans="1:17">
      <c r="A159" s="30" t="s">
        <v>138</v>
      </c>
      <c r="B159" s="28" t="s">
        <v>139</v>
      </c>
      <c r="C159" s="191"/>
      <c r="D159" s="30" t="s">
        <v>138</v>
      </c>
      <c r="E159" s="27" t="s">
        <v>15</v>
      </c>
      <c r="F159" s="28" t="s">
        <v>139</v>
      </c>
      <c r="G159" s="28" t="s">
        <v>140</v>
      </c>
      <c r="H159" s="28" t="s">
        <v>141</v>
      </c>
      <c r="I159" s="28" t="s">
        <v>142</v>
      </c>
      <c r="K159" s="28" t="s">
        <v>143</v>
      </c>
      <c r="L159" s="254"/>
      <c r="M159" s="28" t="s">
        <v>144</v>
      </c>
      <c r="N159" s="134" t="s">
        <v>144</v>
      </c>
      <c r="O159" s="255"/>
      <c r="P159" s="242" t="s">
        <v>145</v>
      </c>
      <c r="Q159" s="242" t="s">
        <v>163</v>
      </c>
    </row>
    <row r="160" ht="18" customHeight="1" spans="1:17">
      <c r="A160" s="191" t="s">
        <v>146</v>
      </c>
      <c r="B160" s="25">
        <f>(B21-B156)*0.25</f>
        <v>-915547.00179316</v>
      </c>
      <c r="C160" s="191"/>
      <c r="D160" s="18" t="s">
        <v>147</v>
      </c>
      <c r="E160" s="40" t="s">
        <v>148</v>
      </c>
      <c r="F160" s="245">
        <f>F21-F156</f>
        <v>252793.999316096</v>
      </c>
      <c r="G160" s="245">
        <f>F7-F24-F26-F29-F30-F33</f>
        <v>-333763.749090909</v>
      </c>
      <c r="H160" s="245">
        <f>F8-F38</f>
        <v>299461.603636364</v>
      </c>
      <c r="I160" s="245">
        <f>F9-F40-F41-F43-F48-F49-F50-F51-F53</f>
        <v>49772.4599999999</v>
      </c>
      <c r="K160" s="245">
        <f>F10-F74-F75-F76-F77-F78</f>
        <v>205457.659816514</v>
      </c>
      <c r="L160" s="254"/>
      <c r="M160" s="245">
        <f>F11-F79-F87-F88-F90</f>
        <v>390316.376330275</v>
      </c>
      <c r="N160" s="134">
        <v>-259385.7</v>
      </c>
      <c r="O160" s="255"/>
      <c r="P160" s="242"/>
      <c r="Q160" s="265"/>
    </row>
    <row r="161" ht="18" customHeight="1" spans="1:17">
      <c r="A161" s="191" t="s">
        <v>149</v>
      </c>
      <c r="B161" s="21" t="s">
        <v>150</v>
      </c>
      <c r="C161" s="191"/>
      <c r="D161" s="246" t="s">
        <v>151</v>
      </c>
      <c r="E161" s="22">
        <v>0.05</v>
      </c>
      <c r="F161" s="32">
        <f>F160*E161</f>
        <v>12639.6999658048</v>
      </c>
      <c r="G161" s="32">
        <v>0</v>
      </c>
      <c r="H161" s="32">
        <v>0</v>
      </c>
      <c r="I161" s="32">
        <v>0</v>
      </c>
      <c r="K161" s="32">
        <f>K160*E161</f>
        <v>10272.8829908257</v>
      </c>
      <c r="L161" s="254"/>
      <c r="M161" s="32">
        <f>M160*E161</f>
        <v>19515.8188165138</v>
      </c>
      <c r="N161" s="134">
        <f>N160*E161</f>
        <v>-12969.285</v>
      </c>
      <c r="O161" s="255"/>
      <c r="P161" s="242"/>
      <c r="Q161" s="265"/>
    </row>
    <row r="162" ht="18" customHeight="1" spans="1:17">
      <c r="A162" s="191" t="s">
        <v>123</v>
      </c>
      <c r="B162" s="247">
        <f>B21*0.0006</f>
        <v>17403.4028356964</v>
      </c>
      <c r="C162" s="191"/>
      <c r="D162" s="246" t="s">
        <v>152</v>
      </c>
      <c r="E162" s="22">
        <v>0.03</v>
      </c>
      <c r="F162" s="32">
        <f>F160*E162</f>
        <v>7583.81997948289</v>
      </c>
      <c r="G162" s="32">
        <v>0</v>
      </c>
      <c r="H162" s="32">
        <v>0</v>
      </c>
      <c r="I162" s="32">
        <v>0</v>
      </c>
      <c r="K162" s="32">
        <f>K160*E162</f>
        <v>6163.72979449541</v>
      </c>
      <c r="L162" s="254"/>
      <c r="M162" s="32">
        <f>M160*E162</f>
        <v>11709.4912899083</v>
      </c>
      <c r="N162" s="134">
        <f>N160*E162</f>
        <v>-7781.571</v>
      </c>
      <c r="O162" s="255"/>
      <c r="P162" s="242"/>
      <c r="Q162" s="265"/>
    </row>
    <row r="163" ht="18" customHeight="1" spans="1:17">
      <c r="A163" s="191"/>
      <c r="B163" s="32"/>
      <c r="C163" s="191"/>
      <c r="D163" s="246" t="s">
        <v>153</v>
      </c>
      <c r="E163" s="22">
        <v>0.02</v>
      </c>
      <c r="F163" s="32">
        <f>F160*E163</f>
        <v>5055.87998632193</v>
      </c>
      <c r="G163" s="32">
        <v>0</v>
      </c>
      <c r="H163" s="32">
        <v>0</v>
      </c>
      <c r="I163" s="32">
        <v>0</v>
      </c>
      <c r="K163" s="32">
        <f>K160*E163</f>
        <v>4109.15319633028</v>
      </c>
      <c r="L163" s="254"/>
      <c r="M163" s="32">
        <f>M160*E163</f>
        <v>7806.32752660551</v>
      </c>
      <c r="N163" s="134">
        <f>N160*E163</f>
        <v>-5187.714</v>
      </c>
      <c r="O163" s="255"/>
      <c r="P163" s="242"/>
      <c r="Q163" s="265"/>
    </row>
    <row r="164" ht="18" customHeight="1" spans="1:17">
      <c r="A164" s="37" t="s">
        <v>154</v>
      </c>
      <c r="B164" s="38">
        <f>SUM(B160:B163)</f>
        <v>-898143.598957464</v>
      </c>
      <c r="C164" s="191"/>
      <c r="D164" s="37" t="s">
        <v>154</v>
      </c>
      <c r="E164" s="37"/>
      <c r="F164" s="241">
        <f>SUM(F160:F163)</f>
        <v>278073.399247706</v>
      </c>
      <c r="G164" s="241">
        <v>0</v>
      </c>
      <c r="H164" s="241">
        <v>0</v>
      </c>
      <c r="I164" s="241">
        <v>0</v>
      </c>
      <c r="K164" s="241">
        <f t="shared" ref="K164:N164" si="16">SUM(K160:K163)</f>
        <v>226003.425798165</v>
      </c>
      <c r="L164" s="254"/>
      <c r="M164" s="241">
        <f t="shared" si="16"/>
        <v>429348.013963303</v>
      </c>
      <c r="N164" s="134">
        <f t="shared" si="16"/>
        <v>-285324.27</v>
      </c>
      <c r="O164" s="255"/>
      <c r="P164" s="242"/>
      <c r="Q164" s="265"/>
    </row>
    <row r="165" ht="18" customHeight="1" spans="3:17">
      <c r="C165" s="6"/>
      <c r="D165" s="20" t="s">
        <v>149</v>
      </c>
      <c r="E165" s="248">
        <v>0.0003</v>
      </c>
      <c r="F165" s="32">
        <v>0</v>
      </c>
      <c r="G165" s="32"/>
      <c r="H165" s="32"/>
      <c r="I165" s="32">
        <v>0</v>
      </c>
      <c r="K165" s="32"/>
      <c r="M165" s="32"/>
      <c r="N165" s="134"/>
      <c r="O165" s="255"/>
      <c r="P165" s="242"/>
      <c r="Q165" s="265"/>
    </row>
    <row r="166" ht="18" customHeight="1" spans="3:17">
      <c r="C166" s="6"/>
      <c r="D166" s="20" t="s">
        <v>123</v>
      </c>
      <c r="E166" s="248">
        <v>0.0006</v>
      </c>
      <c r="F166" s="32">
        <f>B21*E166</f>
        <v>17403.4028356964</v>
      </c>
      <c r="G166" s="32">
        <f>B7*E166</f>
        <v>2781.81818181818</v>
      </c>
      <c r="H166" s="32">
        <f>B8*E166</f>
        <v>2247.27272727273</v>
      </c>
      <c r="I166" s="32">
        <f>B9*E166</f>
        <v>2400</v>
      </c>
      <c r="K166" s="32">
        <f>B10*E166</f>
        <v>2339.4495412844</v>
      </c>
      <c r="L166" s="254"/>
      <c r="M166" s="32">
        <f>B11*E166</f>
        <v>4788.99082568807</v>
      </c>
      <c r="N166" s="134"/>
      <c r="O166" s="255"/>
      <c r="P166" s="242">
        <v>853.21</v>
      </c>
      <c r="Q166" s="265">
        <f>E166*B13</f>
        <v>1992.66055045872</v>
      </c>
    </row>
    <row r="167" ht="18" customHeight="1" spans="3:17">
      <c r="C167" s="6"/>
      <c r="D167" s="39" t="s">
        <v>22</v>
      </c>
      <c r="E167" s="39"/>
      <c r="F167" s="190">
        <f>F164+F165+F166</f>
        <v>295476.802083402</v>
      </c>
      <c r="G167" s="190"/>
      <c r="H167" s="190"/>
      <c r="I167" s="190"/>
      <c r="K167" s="190"/>
      <c r="M167" s="191">
        <f>M164+M166</f>
        <v>434137.004788991</v>
      </c>
      <c r="N167" s="134"/>
      <c r="O167" s="255"/>
      <c r="P167" s="242"/>
      <c r="Q167" s="265"/>
    </row>
    <row r="168" ht="18" customHeight="1" spans="3:17">
      <c r="C168" s="6"/>
      <c r="D168" s="20" t="s">
        <v>121</v>
      </c>
      <c r="E168" s="248">
        <v>0.02</v>
      </c>
      <c r="F168" s="32">
        <f>B21*E168</f>
        <v>580113.427856547</v>
      </c>
      <c r="G168" s="32"/>
      <c r="H168" s="32"/>
      <c r="I168" s="32"/>
      <c r="K168" s="190"/>
      <c r="M168" s="32">
        <f>(SUM(B7:B11))*E168</f>
        <v>485251.042535446</v>
      </c>
      <c r="N168" s="134"/>
      <c r="O168" s="255"/>
      <c r="P168" s="242">
        <f>B12*0.02</f>
        <v>28440.3669724771</v>
      </c>
      <c r="Q168" s="265">
        <f>G13*E168</f>
        <v>72400</v>
      </c>
    </row>
    <row r="169" ht="18" customHeight="1" spans="3:3">
      <c r="C169" s="6"/>
    </row>
    <row r="170" ht="18" customHeight="1" spans="3:3">
      <c r="C170" s="6"/>
    </row>
    <row r="171" ht="18" customHeight="1" spans="3:3">
      <c r="C171" s="6"/>
    </row>
    <row r="172" spans="3:3">
      <c r="C172" s="6"/>
    </row>
    <row r="173" spans="3:3">
      <c r="C173" s="6"/>
    </row>
    <row r="174" spans="3:3">
      <c r="C174" s="6"/>
    </row>
    <row r="175" spans="3:3">
      <c r="C175" s="6"/>
    </row>
    <row r="176" spans="3:3">
      <c r="C176" s="6"/>
    </row>
    <row r="177" spans="3:3">
      <c r="C177" s="6"/>
    </row>
    <row r="178" spans="3:3">
      <c r="C178" s="6"/>
    </row>
    <row r="179" spans="3:3">
      <c r="C179" s="6"/>
    </row>
    <row r="180" spans="3:3">
      <c r="C180" s="6"/>
    </row>
    <row r="181" spans="3:3">
      <c r="C181" s="6"/>
    </row>
    <row r="182" spans="3:3">
      <c r="C182" s="6"/>
    </row>
    <row r="183" spans="3:3">
      <c r="C183" s="6"/>
    </row>
    <row r="184" spans="3:3">
      <c r="C184" s="6"/>
    </row>
    <row r="185" spans="3:3">
      <c r="C185" s="6"/>
    </row>
    <row r="186" spans="3:3">
      <c r="C186" s="6"/>
    </row>
    <row r="187" spans="3:3">
      <c r="C187" s="6"/>
    </row>
  </sheetData>
  <autoFilter ref="A23:Q107">
    <extLst/>
  </autoFilter>
  <mergeCells count="18">
    <mergeCell ref="A1:J1"/>
    <mergeCell ref="H2:J2"/>
    <mergeCell ref="C5:D5"/>
    <mergeCell ref="E5:F5"/>
    <mergeCell ref="H5:J5"/>
    <mergeCell ref="N159:O159"/>
    <mergeCell ref="N160:O160"/>
    <mergeCell ref="N161:O161"/>
    <mergeCell ref="N162:O162"/>
    <mergeCell ref="N163:O163"/>
    <mergeCell ref="N164:O164"/>
    <mergeCell ref="N165:O165"/>
    <mergeCell ref="N166:O166"/>
    <mergeCell ref="N167:O167"/>
    <mergeCell ref="N168:O168"/>
    <mergeCell ref="A5:A6"/>
    <mergeCell ref="B5:B6"/>
    <mergeCell ref="G5:G6"/>
  </mergeCell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5"/>
  <sheetViews>
    <sheetView topLeftCell="A109" workbookViewId="0">
      <selection activeCell="J108" sqref="J108:J110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/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/>
      <c r="B14" s="32">
        <f t="shared" si="0"/>
        <v>0</v>
      </c>
      <c r="C14" s="33"/>
      <c r="D14" s="188">
        <f t="shared" si="1"/>
        <v>0</v>
      </c>
      <c r="E14" s="33"/>
      <c r="F14" s="32">
        <f t="shared" si="2"/>
        <v>0</v>
      </c>
      <c r="G14" s="189"/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>
        <f>G20/(1+C20+E20)</f>
        <v>0</v>
      </c>
      <c r="C20" s="33"/>
      <c r="D20" s="188">
        <f>G20/(1+E20+C20)*C20</f>
        <v>0</v>
      </c>
      <c r="E20" s="33"/>
      <c r="F20" s="32">
        <f>G20/(1+C20+E20)*E20</f>
        <v>0</v>
      </c>
      <c r="G20" s="189"/>
      <c r="H20" s="14"/>
      <c r="I20" s="14"/>
      <c r="J20" s="40"/>
    </row>
    <row r="21" ht="18" customHeight="1" spans="1:10">
      <c r="A21" s="37" t="s">
        <v>22</v>
      </c>
      <c r="B21" s="38">
        <f t="shared" ref="B21:G21" si="3">SUM(B7:B20)</f>
        <v>29005671.3928274</v>
      </c>
      <c r="C21" s="39"/>
      <c r="D21" s="190">
        <f t="shared" si="3"/>
        <v>580113.427856547</v>
      </c>
      <c r="E21" s="39"/>
      <c r="F21" s="190">
        <f t="shared" si="3"/>
        <v>2154215.1793161</v>
      </c>
      <c r="G21" s="190">
        <f t="shared" si="3"/>
        <v>31740000</v>
      </c>
      <c r="H21" s="191"/>
      <c r="I21" s="190">
        <f>SUM(I7:I19)</f>
        <v>31740000</v>
      </c>
      <c r="J21" s="191"/>
    </row>
    <row r="22" ht="18" customHeight="1" spans="1:12">
      <c r="A22" s="6" t="s">
        <v>23</v>
      </c>
      <c r="J22" s="8"/>
      <c r="K22" s="8"/>
      <c r="L22" s="186"/>
    </row>
    <row r="23" ht="18" customHeight="1" spans="1:15">
      <c r="A23" s="41" t="s">
        <v>24</v>
      </c>
      <c r="B23" s="28" t="s">
        <v>25</v>
      </c>
      <c r="C23" s="27" t="s">
        <v>26</v>
      </c>
      <c r="D23" s="27" t="s">
        <v>27</v>
      </c>
      <c r="E23" s="27" t="s">
        <v>15</v>
      </c>
      <c r="F23" s="28" t="s">
        <v>28</v>
      </c>
      <c r="G23" s="28" t="s">
        <v>13</v>
      </c>
      <c r="H23" s="27" t="s">
        <v>29</v>
      </c>
      <c r="I23" s="28" t="s">
        <v>30</v>
      </c>
      <c r="J23" s="27" t="s">
        <v>19</v>
      </c>
      <c r="K23" s="54" t="s">
        <v>31</v>
      </c>
      <c r="L23" s="30" t="s">
        <v>32</v>
      </c>
      <c r="M23" s="30" t="s">
        <v>33</v>
      </c>
      <c r="N23" s="30" t="s">
        <v>34</v>
      </c>
      <c r="O23" s="30" t="s">
        <v>35</v>
      </c>
    </row>
    <row r="24" s="1" customFormat="1" ht="18" customHeight="1" spans="1:15">
      <c r="A24" s="43">
        <v>43070</v>
      </c>
      <c r="B24" s="25">
        <f t="shared" ref="B24:B87" si="4">ROUND(G24/(1+E24),2)</f>
        <v>2830.19</v>
      </c>
      <c r="C24" s="44"/>
      <c r="D24" s="45" t="s">
        <v>36</v>
      </c>
      <c r="E24" s="46">
        <v>0.06</v>
      </c>
      <c r="F24" s="25">
        <f t="shared" ref="F24:F87" si="5">ROUND(G24/(1+E24)*E24,2)</f>
        <v>169.81</v>
      </c>
      <c r="G24" s="189">
        <v>3000</v>
      </c>
      <c r="H24" s="31"/>
      <c r="I24" s="32"/>
      <c r="J24" s="40"/>
      <c r="K24" s="147" t="s">
        <v>37</v>
      </c>
      <c r="L24" s="60" t="s">
        <v>38</v>
      </c>
      <c r="M24" s="61"/>
      <c r="N24" s="61"/>
      <c r="O24" s="60"/>
    </row>
    <row r="25" s="1" customFormat="1" ht="18" customHeight="1" spans="1:15">
      <c r="A25" s="43">
        <v>43071</v>
      </c>
      <c r="B25" s="25">
        <f t="shared" si="4"/>
        <v>3000</v>
      </c>
      <c r="C25" s="44"/>
      <c r="D25" s="45" t="s">
        <v>39</v>
      </c>
      <c r="E25" s="46"/>
      <c r="F25" s="25">
        <f t="shared" si="5"/>
        <v>0</v>
      </c>
      <c r="G25" s="189">
        <v>3000</v>
      </c>
      <c r="H25" s="31"/>
      <c r="I25" s="32"/>
      <c r="J25" s="40"/>
      <c r="K25" s="147"/>
      <c r="L25" s="60" t="s">
        <v>38</v>
      </c>
      <c r="M25" s="61"/>
      <c r="N25" s="61"/>
      <c r="O25" s="60"/>
    </row>
    <row r="26" s="1" customFormat="1" ht="18" customHeight="1" spans="1:15">
      <c r="A26" s="43">
        <v>43072</v>
      </c>
      <c r="B26" s="25">
        <f t="shared" si="4"/>
        <v>12824.53</v>
      </c>
      <c r="C26" s="44"/>
      <c r="D26" s="45" t="s">
        <v>36</v>
      </c>
      <c r="E26" s="46">
        <v>0.06</v>
      </c>
      <c r="F26" s="25">
        <f t="shared" si="5"/>
        <v>769.47</v>
      </c>
      <c r="G26" s="189">
        <v>13594</v>
      </c>
      <c r="H26" s="31"/>
      <c r="I26" s="32"/>
      <c r="J26" s="40"/>
      <c r="K26" s="147" t="s">
        <v>40</v>
      </c>
      <c r="L26" s="60" t="s">
        <v>41</v>
      </c>
      <c r="M26" s="61"/>
      <c r="N26" s="61"/>
      <c r="O26" s="60"/>
    </row>
    <row r="27" s="1" customFormat="1" ht="18" customHeight="1" spans="1:15">
      <c r="A27" s="43">
        <v>43073</v>
      </c>
      <c r="B27" s="25">
        <f t="shared" si="4"/>
        <v>1206</v>
      </c>
      <c r="C27" s="44"/>
      <c r="D27" s="45" t="s">
        <v>39</v>
      </c>
      <c r="E27" s="46"/>
      <c r="F27" s="25">
        <f t="shared" si="5"/>
        <v>0</v>
      </c>
      <c r="G27" s="189">
        <v>1206</v>
      </c>
      <c r="H27" s="31"/>
      <c r="I27" s="32"/>
      <c r="J27" s="40"/>
      <c r="K27" s="147"/>
      <c r="L27" s="60" t="s">
        <v>42</v>
      </c>
      <c r="M27" s="61"/>
      <c r="N27" s="61"/>
      <c r="O27" s="60"/>
    </row>
    <row r="28" s="1" customFormat="1" ht="18" customHeight="1" spans="1:15">
      <c r="A28" s="43">
        <v>43074</v>
      </c>
      <c r="B28" s="25">
        <f t="shared" si="4"/>
        <v>13191.34</v>
      </c>
      <c r="C28" s="44"/>
      <c r="D28" s="45" t="s">
        <v>39</v>
      </c>
      <c r="E28" s="46"/>
      <c r="F28" s="25">
        <f t="shared" si="5"/>
        <v>0</v>
      </c>
      <c r="G28" s="189">
        <v>13191.34</v>
      </c>
      <c r="H28" s="31"/>
      <c r="I28" s="32"/>
      <c r="J28" s="40"/>
      <c r="K28" s="147"/>
      <c r="L28" s="60" t="s">
        <v>43</v>
      </c>
      <c r="M28" s="61"/>
      <c r="N28" s="61"/>
      <c r="O28" s="60"/>
    </row>
    <row r="29" s="1" customFormat="1" ht="18" customHeight="1" spans="1:15">
      <c r="A29" s="43">
        <v>43149</v>
      </c>
      <c r="B29" s="25">
        <f t="shared" si="4"/>
        <v>1924.53</v>
      </c>
      <c r="C29" s="44"/>
      <c r="D29" s="45" t="s">
        <v>36</v>
      </c>
      <c r="E29" s="46">
        <v>0.06</v>
      </c>
      <c r="F29" s="25">
        <f t="shared" si="5"/>
        <v>115.47</v>
      </c>
      <c r="G29" s="189">
        <v>2040</v>
      </c>
      <c r="H29" s="31"/>
      <c r="I29" s="32"/>
      <c r="J29" s="40"/>
      <c r="K29" s="147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43177</v>
      </c>
      <c r="B30" s="25">
        <f t="shared" si="4"/>
        <v>2830.19</v>
      </c>
      <c r="C30" s="44"/>
      <c r="D30" s="45" t="s">
        <v>36</v>
      </c>
      <c r="E30" s="46">
        <v>0.06</v>
      </c>
      <c r="F30" s="25">
        <f t="shared" si="5"/>
        <v>169.81</v>
      </c>
      <c r="G30" s="189">
        <v>3000</v>
      </c>
      <c r="H30" s="31"/>
      <c r="I30" s="32"/>
      <c r="J30" s="40"/>
      <c r="K30" s="147" t="s">
        <v>44</v>
      </c>
      <c r="L30" s="60" t="s">
        <v>45</v>
      </c>
      <c r="M30" s="61"/>
      <c r="N30" s="61"/>
      <c r="O30" s="60"/>
    </row>
    <row r="31" s="1" customFormat="1" ht="18" customHeight="1" spans="1:15">
      <c r="A31" s="43">
        <v>43178</v>
      </c>
      <c r="B31" s="25">
        <f t="shared" si="4"/>
        <v>12529.12</v>
      </c>
      <c r="C31" s="44"/>
      <c r="D31" s="45" t="s">
        <v>39</v>
      </c>
      <c r="E31" s="46"/>
      <c r="F31" s="25">
        <f t="shared" si="5"/>
        <v>0</v>
      </c>
      <c r="G31" s="189">
        <v>12529.12</v>
      </c>
      <c r="H31" s="31"/>
      <c r="I31" s="32"/>
      <c r="J31" s="40"/>
      <c r="K31" s="147"/>
      <c r="L31" s="60" t="s">
        <v>46</v>
      </c>
      <c r="M31" s="61"/>
      <c r="N31" s="61"/>
      <c r="O31" s="60"/>
    </row>
    <row r="32" s="1" customFormat="1" ht="18" customHeight="1" spans="1:15">
      <c r="A32" s="43">
        <v>43177</v>
      </c>
      <c r="B32" s="25">
        <f t="shared" si="4"/>
        <v>7575</v>
      </c>
      <c r="C32" s="44"/>
      <c r="D32" s="45" t="s">
        <v>39</v>
      </c>
      <c r="E32" s="46"/>
      <c r="F32" s="25">
        <f t="shared" si="5"/>
        <v>0</v>
      </c>
      <c r="G32" s="189">
        <v>7575</v>
      </c>
      <c r="H32" s="31"/>
      <c r="I32" s="32"/>
      <c r="J32" s="40"/>
      <c r="K32" s="147"/>
      <c r="L32" s="60" t="s">
        <v>46</v>
      </c>
      <c r="M32" s="61"/>
      <c r="N32" s="61"/>
      <c r="O32" s="60"/>
    </row>
    <row r="33" s="1" customFormat="1" ht="18" customHeight="1" spans="1:15">
      <c r="A33" s="43">
        <v>43238</v>
      </c>
      <c r="B33" s="25">
        <f t="shared" si="4"/>
        <v>4396551.72</v>
      </c>
      <c r="C33" s="44"/>
      <c r="D33" s="45" t="s">
        <v>36</v>
      </c>
      <c r="E33" s="46">
        <v>0.16</v>
      </c>
      <c r="F33" s="25">
        <f t="shared" si="5"/>
        <v>703448.28</v>
      </c>
      <c r="G33" s="189">
        <v>5100000</v>
      </c>
      <c r="H33" s="31">
        <v>43251</v>
      </c>
      <c r="I33" s="32">
        <v>2500000</v>
      </c>
      <c r="J33" s="40" t="s">
        <v>20</v>
      </c>
      <c r="K33" s="147" t="s">
        <v>47</v>
      </c>
      <c r="L33" s="60" t="s">
        <v>48</v>
      </c>
      <c r="M33" s="61"/>
      <c r="N33" s="61"/>
      <c r="O33" s="60"/>
    </row>
    <row r="34" s="1" customFormat="1" ht="18" customHeight="1" spans="1:15">
      <c r="A34" s="43"/>
      <c r="B34" s="25">
        <f t="shared" si="4"/>
        <v>0</v>
      </c>
      <c r="C34" s="44"/>
      <c r="D34" s="45"/>
      <c r="E34" s="46"/>
      <c r="F34" s="25">
        <f t="shared" si="5"/>
        <v>0</v>
      </c>
      <c r="G34" s="189"/>
      <c r="H34" s="31" t="s">
        <v>49</v>
      </c>
      <c r="I34" s="32">
        <v>2530768</v>
      </c>
      <c r="J34" s="40" t="s">
        <v>20</v>
      </c>
      <c r="K34" s="147" t="s">
        <v>47</v>
      </c>
      <c r="L34" s="60"/>
      <c r="M34" s="61"/>
      <c r="N34" s="61"/>
      <c r="O34" s="60"/>
    </row>
    <row r="35" s="1" customFormat="1" ht="18" customHeight="1" spans="1:15">
      <c r="A35" s="43"/>
      <c r="B35" s="25">
        <f t="shared" si="4"/>
        <v>0</v>
      </c>
      <c r="C35" s="44"/>
      <c r="D35" s="45"/>
      <c r="E35" s="46"/>
      <c r="F35" s="25">
        <f t="shared" si="5"/>
        <v>0</v>
      </c>
      <c r="G35" s="189"/>
      <c r="H35" s="31" t="s">
        <v>49</v>
      </c>
      <c r="I35" s="32">
        <v>69232</v>
      </c>
      <c r="J35" s="40" t="s">
        <v>20</v>
      </c>
      <c r="K35" s="147" t="s">
        <v>47</v>
      </c>
      <c r="L35" s="60"/>
      <c r="M35" s="61"/>
      <c r="N35" s="61"/>
      <c r="O35" s="60"/>
    </row>
    <row r="36" s="1" customFormat="1" ht="18" customHeight="1" spans="1:15">
      <c r="A36" s="43"/>
      <c r="B36" s="25">
        <f t="shared" si="4"/>
        <v>0</v>
      </c>
      <c r="C36" s="44"/>
      <c r="D36" s="45"/>
      <c r="E36" s="46"/>
      <c r="F36" s="25">
        <f t="shared" si="5"/>
        <v>0</v>
      </c>
      <c r="G36" s="189"/>
      <c r="H36" s="31">
        <v>43252</v>
      </c>
      <c r="I36" s="32">
        <v>-29323</v>
      </c>
      <c r="J36" s="40" t="s">
        <v>21</v>
      </c>
      <c r="K36" s="147" t="s">
        <v>50</v>
      </c>
      <c r="L36" s="60"/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>
        <v>43255</v>
      </c>
      <c r="I37" s="32">
        <v>-39909</v>
      </c>
      <c r="J37" s="40" t="s">
        <v>21</v>
      </c>
      <c r="K37" s="147" t="s">
        <v>50</v>
      </c>
      <c r="L37" s="60"/>
      <c r="M37" s="61"/>
      <c r="N37" s="61"/>
      <c r="O37" s="60"/>
    </row>
    <row r="38" s="1" customFormat="1" ht="18" customHeight="1" spans="1:15">
      <c r="A38" s="43">
        <v>43269</v>
      </c>
      <c r="B38" s="25">
        <f t="shared" si="4"/>
        <v>5825.24</v>
      </c>
      <c r="C38" s="44"/>
      <c r="D38" s="45" t="s">
        <v>36</v>
      </c>
      <c r="E38" s="46">
        <v>0.03</v>
      </c>
      <c r="F38" s="25">
        <f t="shared" si="5"/>
        <v>174.76</v>
      </c>
      <c r="G38" s="189">
        <v>6000</v>
      </c>
      <c r="H38" s="31">
        <v>43264</v>
      </c>
      <c r="I38" s="32">
        <v>6000</v>
      </c>
      <c r="J38" s="40" t="s">
        <v>20</v>
      </c>
      <c r="K38" s="147" t="s">
        <v>51</v>
      </c>
      <c r="L38" s="60" t="s">
        <v>52</v>
      </c>
      <c r="M38" s="61"/>
      <c r="N38" s="61"/>
      <c r="O38" s="60"/>
    </row>
    <row r="39" s="1" customFormat="1" ht="18" customHeight="1" spans="1:15">
      <c r="A39" s="43"/>
      <c r="B39" s="25">
        <f t="shared" si="4"/>
        <v>0</v>
      </c>
      <c r="C39" s="44"/>
      <c r="D39" s="45"/>
      <c r="E39" s="46"/>
      <c r="F39" s="25">
        <f t="shared" si="5"/>
        <v>0</v>
      </c>
      <c r="G39" s="189"/>
      <c r="H39" s="31">
        <v>43263</v>
      </c>
      <c r="I39" s="32">
        <v>-6000</v>
      </c>
      <c r="J39" s="40" t="s">
        <v>21</v>
      </c>
      <c r="K39" s="147" t="s">
        <v>50</v>
      </c>
      <c r="L39" s="60"/>
      <c r="M39" s="61"/>
      <c r="N39" s="61"/>
      <c r="O39" s="60"/>
    </row>
    <row r="40" s="2" customFormat="1" ht="18" customHeight="1" spans="1:15">
      <c r="A40" s="48">
        <v>43335</v>
      </c>
      <c r="B40" s="25">
        <f t="shared" si="4"/>
        <v>4000000</v>
      </c>
      <c r="C40" s="49"/>
      <c r="D40" s="50" t="s">
        <v>36</v>
      </c>
      <c r="E40" s="46">
        <v>0.03</v>
      </c>
      <c r="F40" s="25">
        <f t="shared" si="5"/>
        <v>120000</v>
      </c>
      <c r="G40" s="189">
        <v>4120000</v>
      </c>
      <c r="H40" s="36">
        <v>43335</v>
      </c>
      <c r="I40" s="188">
        <v>2000000</v>
      </c>
      <c r="J40" s="63" t="s">
        <v>20</v>
      </c>
      <c r="K40" s="148" t="s">
        <v>53</v>
      </c>
      <c r="L40" s="67" t="s">
        <v>54</v>
      </c>
      <c r="M40" s="65"/>
      <c r="N40" s="65"/>
      <c r="O40" s="67"/>
    </row>
    <row r="41" s="2" customFormat="1" ht="18" customHeight="1" spans="1:15">
      <c r="A41" s="48"/>
      <c r="B41" s="25">
        <f t="shared" si="4"/>
        <v>1344.34</v>
      </c>
      <c r="C41" s="49">
        <v>3</v>
      </c>
      <c r="D41" s="50" t="s">
        <v>36</v>
      </c>
      <c r="E41" s="46">
        <v>0.06</v>
      </c>
      <c r="F41" s="25">
        <f t="shared" si="5"/>
        <v>80.66</v>
      </c>
      <c r="G41" s="189">
        <f>285+690+450</f>
        <v>1425</v>
      </c>
      <c r="H41" s="36"/>
      <c r="I41" s="188"/>
      <c r="J41" s="63"/>
      <c r="K41" s="148" t="s">
        <v>55</v>
      </c>
      <c r="L41" s="67" t="s">
        <v>41</v>
      </c>
      <c r="M41" s="65"/>
      <c r="N41" s="65"/>
      <c r="O41" s="68">
        <v>43335</v>
      </c>
    </row>
    <row r="42" s="2" customFormat="1" ht="18" customHeight="1" spans="1:15">
      <c r="A42" s="48"/>
      <c r="B42" s="25">
        <f t="shared" si="4"/>
        <v>6510</v>
      </c>
      <c r="C42" s="49"/>
      <c r="D42" s="50" t="s">
        <v>39</v>
      </c>
      <c r="E42" s="46"/>
      <c r="F42" s="25">
        <f t="shared" si="5"/>
        <v>0</v>
      </c>
      <c r="G42" s="189">
        <v>6510</v>
      </c>
      <c r="H42" s="36"/>
      <c r="I42" s="188"/>
      <c r="J42" s="63"/>
      <c r="K42" s="148" t="s">
        <v>56</v>
      </c>
      <c r="L42" s="67" t="s">
        <v>57</v>
      </c>
      <c r="M42" s="65"/>
      <c r="N42" s="65"/>
      <c r="O42" s="68">
        <v>43335</v>
      </c>
    </row>
    <row r="43" s="2" customFormat="1" ht="18" customHeight="1" spans="1:15">
      <c r="A43" s="48"/>
      <c r="B43" s="25">
        <f t="shared" si="4"/>
        <v>11436.89</v>
      </c>
      <c r="C43" s="49">
        <v>2</v>
      </c>
      <c r="D43" s="50" t="s">
        <v>36</v>
      </c>
      <c r="E43" s="46">
        <v>0.03</v>
      </c>
      <c r="F43" s="25">
        <f t="shared" si="5"/>
        <v>343.11</v>
      </c>
      <c r="G43" s="189">
        <f>7740+4040</f>
        <v>11780</v>
      </c>
      <c r="H43" s="36"/>
      <c r="I43" s="188"/>
      <c r="J43" s="63"/>
      <c r="K43" s="148" t="s">
        <v>58</v>
      </c>
      <c r="L43" s="67" t="s">
        <v>59</v>
      </c>
      <c r="M43" s="65"/>
      <c r="N43" s="65"/>
      <c r="O43" s="68">
        <v>43335</v>
      </c>
    </row>
    <row r="44" s="2" customFormat="1" ht="18" customHeight="1" spans="1:15">
      <c r="A44" s="48"/>
      <c r="B44" s="25">
        <f t="shared" si="4"/>
        <v>1800</v>
      </c>
      <c r="C44" s="49"/>
      <c r="D44" s="50" t="s">
        <v>39</v>
      </c>
      <c r="E44" s="46"/>
      <c r="F44" s="25">
        <f t="shared" si="5"/>
        <v>0</v>
      </c>
      <c r="G44" s="189">
        <v>1800</v>
      </c>
      <c r="H44" s="36"/>
      <c r="I44" s="188"/>
      <c r="J44" s="63"/>
      <c r="K44" s="148" t="s">
        <v>56</v>
      </c>
      <c r="L44" s="67" t="s">
        <v>60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26788.86</v>
      </c>
      <c r="C45" s="49"/>
      <c r="D45" s="50" t="s">
        <v>61</v>
      </c>
      <c r="E45" s="46"/>
      <c r="F45" s="25">
        <f t="shared" si="5"/>
        <v>0</v>
      </c>
      <c r="G45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5" s="36"/>
      <c r="I45" s="188"/>
      <c r="J45" s="63"/>
      <c r="K45" s="148" t="s">
        <v>62</v>
      </c>
      <c r="L45" s="67" t="s">
        <v>63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4"/>
        <v>4285.5</v>
      </c>
      <c r="C46" s="49"/>
      <c r="D46" s="50" t="s">
        <v>61</v>
      </c>
      <c r="E46" s="46"/>
      <c r="F46" s="25">
        <f t="shared" si="5"/>
        <v>0</v>
      </c>
      <c r="G46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6" s="36"/>
      <c r="I46" s="188"/>
      <c r="J46" s="63"/>
      <c r="K46" s="148" t="s">
        <v>62</v>
      </c>
      <c r="L46" s="67" t="s">
        <v>63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4"/>
        <v>9856.03</v>
      </c>
      <c r="C47" s="49"/>
      <c r="D47" s="50" t="s">
        <v>39</v>
      </c>
      <c r="E47" s="46"/>
      <c r="F47" s="25">
        <f t="shared" si="5"/>
        <v>0</v>
      </c>
      <c r="G47" s="189">
        <f>200.03+500+400+286+300+410+910+405+530+300+500+230+280+295+285+400+380+405+200+200+400+425+405+300+310+300+300</f>
        <v>9856.03</v>
      </c>
      <c r="H47" s="36"/>
      <c r="I47" s="188"/>
      <c r="J47" s="63"/>
      <c r="K47" s="148" t="s">
        <v>64</v>
      </c>
      <c r="L47" s="67" t="s">
        <v>43</v>
      </c>
      <c r="M47" s="65"/>
      <c r="N47" s="65"/>
      <c r="O47" s="68">
        <v>43335</v>
      </c>
    </row>
    <row r="48" s="2" customFormat="1" ht="18" customHeight="1" spans="1:15">
      <c r="A48" s="48">
        <v>43435</v>
      </c>
      <c r="B48" s="25">
        <f t="shared" si="4"/>
        <v>53286.79</v>
      </c>
      <c r="C48" s="49"/>
      <c r="D48" s="50" t="s">
        <v>36</v>
      </c>
      <c r="E48" s="46">
        <v>0.06</v>
      </c>
      <c r="F48" s="25">
        <f t="shared" si="5"/>
        <v>3197.21</v>
      </c>
      <c r="G48" s="189">
        <v>56484</v>
      </c>
      <c r="H48" s="36"/>
      <c r="I48" s="188"/>
      <c r="J48" s="63"/>
      <c r="K48" s="148" t="s">
        <v>65</v>
      </c>
      <c r="L48" s="67" t="s">
        <v>66</v>
      </c>
      <c r="M48" s="65"/>
      <c r="N48" s="65"/>
      <c r="O48" s="67"/>
    </row>
    <row r="49" s="2" customFormat="1" ht="18" customHeight="1" spans="1:15">
      <c r="A49" s="48">
        <v>43435</v>
      </c>
      <c r="B49" s="25">
        <f t="shared" si="4"/>
        <v>5825.24</v>
      </c>
      <c r="C49" s="49"/>
      <c r="D49" s="50" t="s">
        <v>36</v>
      </c>
      <c r="E49" s="46">
        <v>0.03</v>
      </c>
      <c r="F49" s="25">
        <f t="shared" si="5"/>
        <v>174.76</v>
      </c>
      <c r="G49" s="189">
        <v>6000</v>
      </c>
      <c r="H49" s="36">
        <v>43369</v>
      </c>
      <c r="I49" s="188">
        <v>6000</v>
      </c>
      <c r="J49" s="63" t="s">
        <v>20</v>
      </c>
      <c r="K49" s="148" t="s">
        <v>51</v>
      </c>
      <c r="L49" s="67" t="s">
        <v>52</v>
      </c>
      <c r="M49" s="65"/>
      <c r="N49" s="65"/>
      <c r="O49" s="67"/>
    </row>
    <row r="50" s="2" customFormat="1" ht="18" customHeight="1" spans="1:15">
      <c r="A50" s="48">
        <v>43313</v>
      </c>
      <c r="B50" s="25">
        <f t="shared" si="4"/>
        <v>4654.31</v>
      </c>
      <c r="C50" s="49"/>
      <c r="D50" s="50" t="s">
        <v>36</v>
      </c>
      <c r="E50" s="46">
        <v>0.16</v>
      </c>
      <c r="F50" s="25">
        <f t="shared" si="5"/>
        <v>744.69</v>
      </c>
      <c r="G50" s="189">
        <v>5399</v>
      </c>
      <c r="H50" s="36">
        <v>43369</v>
      </c>
      <c r="I50" s="188">
        <v>-6000</v>
      </c>
      <c r="J50" s="63" t="s">
        <v>21</v>
      </c>
      <c r="K50" s="148" t="s">
        <v>50</v>
      </c>
      <c r="L50" s="67"/>
      <c r="M50" s="65"/>
      <c r="N50" s="65"/>
      <c r="O50" s="67"/>
    </row>
    <row r="51" s="2" customFormat="1" ht="18" customHeight="1" spans="1:15">
      <c r="A51" s="48">
        <v>43435</v>
      </c>
      <c r="B51" s="25">
        <f t="shared" si="4"/>
        <v>933.96</v>
      </c>
      <c r="C51" s="49"/>
      <c r="D51" s="50" t="s">
        <v>36</v>
      </c>
      <c r="E51" s="46">
        <v>0.06</v>
      </c>
      <c r="F51" s="25">
        <f t="shared" si="5"/>
        <v>56.04</v>
      </c>
      <c r="G51" s="189">
        <f>90+45+855</f>
        <v>990</v>
      </c>
      <c r="H51" s="36"/>
      <c r="I51" s="188"/>
      <c r="J51" s="63"/>
      <c r="K51" s="148" t="s">
        <v>40</v>
      </c>
      <c r="L51" s="67" t="s">
        <v>41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4"/>
        <v>43031</v>
      </c>
      <c r="C52" s="49"/>
      <c r="D52" s="50"/>
      <c r="E52" s="46"/>
      <c r="F52" s="25">
        <f t="shared" si="5"/>
        <v>0</v>
      </c>
      <c r="G52" s="189">
        <v>43031</v>
      </c>
      <c r="H52" s="36"/>
      <c r="I52" s="188"/>
      <c r="J52" s="63"/>
      <c r="K52" s="148" t="s">
        <v>67</v>
      </c>
      <c r="L52" s="67" t="s">
        <v>68</v>
      </c>
      <c r="M52" s="65"/>
      <c r="N52" s="65"/>
      <c r="O52" s="67"/>
    </row>
    <row r="53" s="2" customFormat="1" ht="18" customHeight="1" spans="1:15">
      <c r="A53" s="48">
        <v>43466</v>
      </c>
      <c r="B53" s="25">
        <f t="shared" si="4"/>
        <v>4854368.93</v>
      </c>
      <c r="C53" s="49"/>
      <c r="D53" s="50" t="s">
        <v>36</v>
      </c>
      <c r="E53" s="46">
        <v>0.03</v>
      </c>
      <c r="F53" s="25">
        <f t="shared" si="5"/>
        <v>145631.07</v>
      </c>
      <c r="G53" s="189">
        <f>5*1000000</f>
        <v>5000000</v>
      </c>
      <c r="H53" s="36">
        <v>43339</v>
      </c>
      <c r="I53" s="188">
        <v>2095952</v>
      </c>
      <c r="J53" s="63" t="s">
        <v>20</v>
      </c>
      <c r="K53" s="148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4"/>
        <v>0</v>
      </c>
      <c r="C54" s="49"/>
      <c r="D54" s="50"/>
      <c r="E54" s="46"/>
      <c r="F54" s="25">
        <f t="shared" si="5"/>
        <v>0</v>
      </c>
      <c r="G54" s="189"/>
      <c r="H54" s="36">
        <v>43495</v>
      </c>
      <c r="I54" s="188">
        <v>3464800</v>
      </c>
      <c r="J54" s="63" t="s">
        <v>20</v>
      </c>
      <c r="K54" s="148" t="s">
        <v>53</v>
      </c>
      <c r="L54" s="67" t="s">
        <v>54</v>
      </c>
      <c r="M54" s="65"/>
      <c r="N54" s="65"/>
      <c r="O54" s="67"/>
    </row>
    <row r="55" s="2" customFormat="1" ht="18" customHeight="1" spans="1:15">
      <c r="A55" s="48"/>
      <c r="B55" s="25">
        <f t="shared" si="4"/>
        <v>0</v>
      </c>
      <c r="C55" s="49"/>
      <c r="D55" s="50"/>
      <c r="E55" s="46"/>
      <c r="F55" s="25">
        <f t="shared" si="5"/>
        <v>0</v>
      </c>
      <c r="G55" s="189"/>
      <c r="H55" s="36">
        <v>43497</v>
      </c>
      <c r="I55" s="188">
        <v>866800</v>
      </c>
      <c r="J55" s="63" t="s">
        <v>20</v>
      </c>
      <c r="K55" s="148" t="s">
        <v>53</v>
      </c>
      <c r="L55" s="67" t="s">
        <v>54</v>
      </c>
      <c r="M55" s="65"/>
      <c r="N55" s="65"/>
      <c r="O55" s="67"/>
    </row>
    <row r="56" s="2" customFormat="1" ht="18" customHeight="1" spans="1:15">
      <c r="A56" s="48"/>
      <c r="B56" s="25">
        <f t="shared" si="4"/>
        <v>0</v>
      </c>
      <c r="C56" s="49"/>
      <c r="D56" s="50"/>
      <c r="E56" s="46"/>
      <c r="F56" s="25">
        <f t="shared" si="5"/>
        <v>0</v>
      </c>
      <c r="G56" s="189"/>
      <c r="H56" s="36">
        <v>43629</v>
      </c>
      <c r="I56" s="188">
        <v>84810</v>
      </c>
      <c r="J56" s="63" t="s">
        <v>20</v>
      </c>
      <c r="K56" s="148" t="s">
        <v>69</v>
      </c>
      <c r="L56" s="67" t="s">
        <v>70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43629</v>
      </c>
      <c r="I57" s="188">
        <v>-84810</v>
      </c>
      <c r="J57" s="63" t="s">
        <v>21</v>
      </c>
      <c r="K57" s="148" t="s">
        <v>50</v>
      </c>
      <c r="L57" s="67"/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43657</v>
      </c>
      <c r="I58" s="188">
        <v>66753</v>
      </c>
      <c r="J58" s="63" t="s">
        <v>20</v>
      </c>
      <c r="K58" s="148" t="s">
        <v>69</v>
      </c>
      <c r="L58" s="67" t="s">
        <v>70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43657</v>
      </c>
      <c r="I59" s="188">
        <v>-66753</v>
      </c>
      <c r="J59" s="63" t="s">
        <v>21</v>
      </c>
      <c r="K59" s="148" t="s">
        <v>50</v>
      </c>
      <c r="L59" s="67"/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43676</v>
      </c>
      <c r="I60" s="188">
        <v>67731.14</v>
      </c>
      <c r="J60" s="63" t="s">
        <v>20</v>
      </c>
      <c r="K60" s="148" t="s">
        <v>69</v>
      </c>
      <c r="L60" s="67" t="s">
        <v>70</v>
      </c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43671</v>
      </c>
      <c r="I61" s="188">
        <v>-67731.14</v>
      </c>
      <c r="J61" s="63" t="s">
        <v>20</v>
      </c>
      <c r="K61" s="148" t="s">
        <v>71</v>
      </c>
      <c r="L61" s="67" t="s">
        <v>72</v>
      </c>
      <c r="M61" s="65"/>
      <c r="N61" s="65"/>
      <c r="O61" s="67"/>
    </row>
    <row r="62" s="2" customFormat="1" ht="18" customHeight="1" spans="1:15">
      <c r="A62" s="48">
        <v>43678</v>
      </c>
      <c r="B62" s="25">
        <f t="shared" si="4"/>
        <v>1000020</v>
      </c>
      <c r="C62" s="49"/>
      <c r="D62" s="50" t="s">
        <v>73</v>
      </c>
      <c r="E62" s="46"/>
      <c r="F62" s="25">
        <f t="shared" si="5"/>
        <v>0</v>
      </c>
      <c r="G62" s="189">
        <v>1000020</v>
      </c>
      <c r="H62" s="194">
        <v>43676</v>
      </c>
      <c r="I62" s="196">
        <v>500000</v>
      </c>
      <c r="J62" s="201" t="s">
        <v>21</v>
      </c>
      <c r="K62" s="202" t="s">
        <v>74</v>
      </c>
      <c r="L62" s="203" t="s">
        <v>75</v>
      </c>
      <c r="M62" s="201" t="s">
        <v>76</v>
      </c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194">
        <v>43682</v>
      </c>
      <c r="I63" s="196">
        <v>500000</v>
      </c>
      <c r="J63" s="201" t="s">
        <v>21</v>
      </c>
      <c r="K63" s="202" t="s">
        <v>74</v>
      </c>
      <c r="L63" s="204" t="s">
        <v>77</v>
      </c>
      <c r="M63" s="201" t="s">
        <v>76</v>
      </c>
      <c r="N63" s="65"/>
      <c r="O63" s="67"/>
    </row>
    <row r="64" s="2" customFormat="1" ht="18" customHeight="1" spans="1:15">
      <c r="A64" s="48">
        <v>43678</v>
      </c>
      <c r="B64" s="25">
        <f t="shared" si="4"/>
        <v>1000080</v>
      </c>
      <c r="C64" s="49"/>
      <c r="D64" s="50" t="s">
        <v>73</v>
      </c>
      <c r="E64" s="46"/>
      <c r="F64" s="25">
        <f t="shared" si="5"/>
        <v>0</v>
      </c>
      <c r="G64" s="189">
        <v>1000080</v>
      </c>
      <c r="H64" s="194">
        <v>43691</v>
      </c>
      <c r="I64" s="196">
        <v>1000000</v>
      </c>
      <c r="J64" s="201" t="s">
        <v>21</v>
      </c>
      <c r="K64" s="205" t="s">
        <v>78</v>
      </c>
      <c r="L64" s="206" t="s">
        <v>79</v>
      </c>
      <c r="M64" s="201" t="s">
        <v>76</v>
      </c>
      <c r="N64" s="65"/>
      <c r="O64" s="67"/>
    </row>
    <row r="65" s="2" customFormat="1" ht="18" customHeight="1" spans="1:15">
      <c r="A65" s="48"/>
      <c r="B65" s="25">
        <f t="shared" si="4"/>
        <v>0</v>
      </c>
      <c r="C65" s="49"/>
      <c r="D65" s="50"/>
      <c r="E65" s="46"/>
      <c r="F65" s="25">
        <f t="shared" si="5"/>
        <v>0</v>
      </c>
      <c r="G65" s="189"/>
      <c r="H65" s="36">
        <v>43692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36">
        <v>43692</v>
      </c>
      <c r="I66" s="188">
        <v>100000</v>
      </c>
      <c r="J66" s="63" t="s">
        <v>20</v>
      </c>
      <c r="K66" s="207" t="s">
        <v>80</v>
      </c>
      <c r="L66" s="208" t="s">
        <v>81</v>
      </c>
      <c r="M66" s="56"/>
      <c r="N66" s="65"/>
      <c r="O66" s="67"/>
    </row>
    <row r="67" s="2" customFormat="1" ht="18" customHeight="1" spans="1:15">
      <c r="A67" s="48"/>
      <c r="B67" s="25">
        <f t="shared" si="4"/>
        <v>0</v>
      </c>
      <c r="C67" s="49"/>
      <c r="D67" s="50"/>
      <c r="E67" s="46"/>
      <c r="F67" s="25">
        <f t="shared" si="5"/>
        <v>0</v>
      </c>
      <c r="G67" s="189"/>
      <c r="H67" s="36">
        <v>43703</v>
      </c>
      <c r="I67" s="188">
        <v>-100000</v>
      </c>
      <c r="J67" s="63" t="s">
        <v>21</v>
      </c>
      <c r="K67" s="207" t="s">
        <v>50</v>
      </c>
      <c r="L67" s="208"/>
      <c r="M67" s="56"/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43704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36">
        <v>43717</v>
      </c>
      <c r="I69" s="188">
        <v>-100000</v>
      </c>
      <c r="J69" s="63" t="s">
        <v>21</v>
      </c>
      <c r="K69" s="207" t="s">
        <v>50</v>
      </c>
      <c r="L69" s="67"/>
      <c r="M69" s="65"/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36">
        <v>43718</v>
      </c>
      <c r="I70" s="188">
        <v>100000</v>
      </c>
      <c r="J70" s="63" t="s">
        <v>20</v>
      </c>
      <c r="K70" s="207" t="s">
        <v>80</v>
      </c>
      <c r="L70" s="67"/>
      <c r="M70" s="65"/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194">
        <v>43734</v>
      </c>
      <c r="I71" s="196">
        <v>300000</v>
      </c>
      <c r="J71" s="201" t="s">
        <v>20</v>
      </c>
      <c r="K71" s="202" t="s">
        <v>80</v>
      </c>
      <c r="L71" s="209"/>
      <c r="M71" s="201" t="s">
        <v>76</v>
      </c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195">
        <v>43749</v>
      </c>
      <c r="I72" s="196">
        <v>500000</v>
      </c>
      <c r="J72" s="201" t="s">
        <v>20</v>
      </c>
      <c r="K72" s="202" t="s">
        <v>80</v>
      </c>
      <c r="L72" s="209"/>
      <c r="M72" s="201" t="s">
        <v>76</v>
      </c>
      <c r="N72" s="65"/>
      <c r="O72" s="67"/>
    </row>
    <row r="73" s="2" customFormat="1" ht="18" customHeight="1" spans="1:15">
      <c r="A73" s="48">
        <v>43709</v>
      </c>
      <c r="B73" s="25">
        <f t="shared" si="4"/>
        <v>12426.15</v>
      </c>
      <c r="C73" s="49"/>
      <c r="D73" s="50" t="s">
        <v>39</v>
      </c>
      <c r="E73" s="46"/>
      <c r="F73" s="25">
        <f t="shared" si="5"/>
        <v>0</v>
      </c>
      <c r="G73" s="189">
        <v>12426.15</v>
      </c>
      <c r="H73" s="36"/>
      <c r="I73" s="210"/>
      <c r="J73" s="56"/>
      <c r="K73" s="207" t="s">
        <v>68</v>
      </c>
      <c r="L73" s="82"/>
      <c r="M73" s="56"/>
      <c r="N73" s="65"/>
      <c r="O73" s="67"/>
    </row>
    <row r="74" s="2" customFormat="1" ht="18" customHeight="1" spans="1:15">
      <c r="A74" s="48">
        <v>43709</v>
      </c>
      <c r="B74" s="25">
        <f t="shared" si="4"/>
        <v>10316.04</v>
      </c>
      <c r="C74" s="49"/>
      <c r="D74" s="50" t="s">
        <v>36</v>
      </c>
      <c r="E74" s="70">
        <v>0.06</v>
      </c>
      <c r="F74" s="25">
        <f t="shared" si="5"/>
        <v>618.96</v>
      </c>
      <c r="G74" s="189">
        <v>10935</v>
      </c>
      <c r="H74" s="36"/>
      <c r="I74" s="210"/>
      <c r="J74" s="56"/>
      <c r="K74" s="207" t="s">
        <v>82</v>
      </c>
      <c r="L74" s="82" t="s">
        <v>41</v>
      </c>
      <c r="M74" s="56"/>
      <c r="N74" s="65"/>
      <c r="O74" s="67"/>
    </row>
    <row r="75" s="2" customFormat="1" ht="18" customHeight="1" spans="1:15">
      <c r="A75" s="48">
        <v>43709</v>
      </c>
      <c r="B75" s="25">
        <f t="shared" si="4"/>
        <v>10424.53</v>
      </c>
      <c r="C75" s="49"/>
      <c r="D75" s="50" t="s">
        <v>36</v>
      </c>
      <c r="E75" s="70">
        <v>0.06</v>
      </c>
      <c r="F75" s="25">
        <f t="shared" si="5"/>
        <v>625.47</v>
      </c>
      <c r="G75" s="189">
        <v>11050</v>
      </c>
      <c r="H75" s="36"/>
      <c r="I75" s="210"/>
      <c r="J75" s="56"/>
      <c r="K75" s="207" t="s">
        <v>82</v>
      </c>
      <c r="L75" s="82" t="s">
        <v>52</v>
      </c>
      <c r="M75" s="56"/>
      <c r="N75" s="65"/>
      <c r="O75" s="67"/>
    </row>
    <row r="76" s="2" customFormat="1" ht="18" customHeight="1" spans="1:15">
      <c r="A76" s="48">
        <v>43709</v>
      </c>
      <c r="B76" s="25">
        <f t="shared" si="4"/>
        <v>80009.43</v>
      </c>
      <c r="C76" s="49"/>
      <c r="D76" s="50" t="s">
        <v>36</v>
      </c>
      <c r="E76" s="70">
        <v>0.06</v>
      </c>
      <c r="F76" s="25">
        <f t="shared" si="5"/>
        <v>4800.57</v>
      </c>
      <c r="G76" s="189">
        <v>84810</v>
      </c>
      <c r="H76" s="36"/>
      <c r="I76" s="210"/>
      <c r="J76" s="56"/>
      <c r="K76" s="207" t="s">
        <v>69</v>
      </c>
      <c r="L76" s="82" t="s">
        <v>83</v>
      </c>
      <c r="M76" s="56"/>
      <c r="N76" s="65"/>
      <c r="O76" s="67"/>
    </row>
    <row r="77" s="2" customFormat="1" ht="18" customHeight="1" spans="1:15">
      <c r="A77" s="48">
        <v>43709</v>
      </c>
      <c r="B77" s="25">
        <f t="shared" si="4"/>
        <v>63897.3</v>
      </c>
      <c r="C77" s="49"/>
      <c r="D77" s="50" t="s">
        <v>36</v>
      </c>
      <c r="E77" s="70">
        <v>0.06</v>
      </c>
      <c r="F77" s="25">
        <f t="shared" si="5"/>
        <v>3833.84</v>
      </c>
      <c r="G77" s="189">
        <v>67731.14</v>
      </c>
      <c r="H77" s="36"/>
      <c r="I77" s="210"/>
      <c r="J77" s="56"/>
      <c r="K77" s="207" t="s">
        <v>69</v>
      </c>
      <c r="L77" s="82" t="s">
        <v>83</v>
      </c>
      <c r="M77" s="56"/>
      <c r="N77" s="65"/>
      <c r="O77" s="67"/>
    </row>
    <row r="78" s="2" customFormat="1" ht="18" customHeight="1" spans="1:15">
      <c r="A78" s="48">
        <v>43739</v>
      </c>
      <c r="B78" s="25">
        <f t="shared" si="4"/>
        <v>443071.38</v>
      </c>
      <c r="C78" s="49"/>
      <c r="D78" s="50" t="s">
        <v>36</v>
      </c>
      <c r="E78" s="70">
        <v>0.13</v>
      </c>
      <c r="F78" s="25">
        <f t="shared" si="5"/>
        <v>57599.28</v>
      </c>
      <c r="G78" s="189">
        <v>500670.66</v>
      </c>
      <c r="H78" s="36">
        <v>43769</v>
      </c>
      <c r="I78" s="188">
        <v>200000</v>
      </c>
      <c r="J78" s="63" t="s">
        <v>20</v>
      </c>
      <c r="K78" s="207" t="s">
        <v>80</v>
      </c>
      <c r="L78" s="82" t="s">
        <v>84</v>
      </c>
      <c r="M78" s="56"/>
      <c r="N78" s="65"/>
      <c r="O78" s="67"/>
    </row>
    <row r="79" s="2" customFormat="1" ht="18" customHeight="1" spans="1:15">
      <c r="A79" s="48">
        <v>43739</v>
      </c>
      <c r="B79" s="25">
        <f t="shared" si="4"/>
        <v>257787.35</v>
      </c>
      <c r="C79" s="49"/>
      <c r="D79" s="50" t="s">
        <v>36</v>
      </c>
      <c r="E79" s="70">
        <v>0.13</v>
      </c>
      <c r="F79" s="196">
        <f t="shared" si="5"/>
        <v>33512.35</v>
      </c>
      <c r="G79" s="189">
        <v>291299.7</v>
      </c>
      <c r="H79" s="36"/>
      <c r="I79" s="210"/>
      <c r="J79" s="63" t="s">
        <v>20</v>
      </c>
      <c r="K79" s="207" t="s">
        <v>80</v>
      </c>
      <c r="L79" s="82" t="s">
        <v>85</v>
      </c>
      <c r="M79" s="56"/>
      <c r="N79" s="65"/>
      <c r="O79" s="67"/>
    </row>
    <row r="80" s="2" customFormat="1" ht="18" customHeight="1" spans="1:15">
      <c r="A80" s="48"/>
      <c r="B80" s="25">
        <f t="shared" si="4"/>
        <v>0</v>
      </c>
      <c r="C80" s="49"/>
      <c r="D80" s="50"/>
      <c r="E80" s="70"/>
      <c r="F80" s="25">
        <f t="shared" si="5"/>
        <v>0</v>
      </c>
      <c r="G80" s="189"/>
      <c r="H80" s="36">
        <v>43769</v>
      </c>
      <c r="I80" s="188">
        <v>600000</v>
      </c>
      <c r="J80" s="63" t="s">
        <v>20</v>
      </c>
      <c r="K80" s="148" t="s">
        <v>53</v>
      </c>
      <c r="L80" s="67" t="s">
        <v>54</v>
      </c>
      <c r="M80" s="56"/>
      <c r="N80" s="65"/>
      <c r="O80" s="67"/>
    </row>
    <row r="81" s="2" customFormat="1" ht="18" customHeight="1" spans="1:15">
      <c r="A81" s="48">
        <v>43770</v>
      </c>
      <c r="B81" s="25">
        <f t="shared" si="4"/>
        <v>500010</v>
      </c>
      <c r="C81" s="49"/>
      <c r="D81" s="50" t="s">
        <v>73</v>
      </c>
      <c r="E81" s="70"/>
      <c r="F81" s="25">
        <f t="shared" si="5"/>
        <v>0</v>
      </c>
      <c r="G81" s="189">
        <v>500010</v>
      </c>
      <c r="H81" s="36">
        <v>43773</v>
      </c>
      <c r="I81" s="188">
        <v>500010</v>
      </c>
      <c r="J81" s="63" t="s">
        <v>21</v>
      </c>
      <c r="K81" s="207" t="s">
        <v>74</v>
      </c>
      <c r="L81" s="82" t="s">
        <v>86</v>
      </c>
      <c r="M81" s="56"/>
      <c r="N81" s="65"/>
      <c r="O81" s="67"/>
    </row>
    <row r="82" s="2" customFormat="1" ht="18" customHeight="1" spans="1:15">
      <c r="A82" s="48">
        <v>43770</v>
      </c>
      <c r="B82" s="25">
        <f t="shared" si="4"/>
        <v>300000</v>
      </c>
      <c r="C82" s="49"/>
      <c r="D82" s="50" t="s">
        <v>73</v>
      </c>
      <c r="E82" s="70"/>
      <c r="F82" s="25">
        <f t="shared" si="5"/>
        <v>0</v>
      </c>
      <c r="G82" s="189">
        <v>300000</v>
      </c>
      <c r="H82" s="36">
        <v>43773</v>
      </c>
      <c r="I82" s="188">
        <v>300000</v>
      </c>
      <c r="J82" s="63" t="s">
        <v>21</v>
      </c>
      <c r="K82" s="207" t="s">
        <v>87</v>
      </c>
      <c r="L82" s="82" t="s">
        <v>88</v>
      </c>
      <c r="M82" s="56"/>
      <c r="N82" s="65"/>
      <c r="O82" s="67"/>
    </row>
    <row r="83" s="2" customFormat="1" ht="18" customHeight="1" spans="1:15">
      <c r="A83" s="48">
        <v>43770</v>
      </c>
      <c r="B83" s="25">
        <f t="shared" si="4"/>
        <v>300000</v>
      </c>
      <c r="C83" s="49"/>
      <c r="D83" s="50" t="s">
        <v>73</v>
      </c>
      <c r="E83" s="70"/>
      <c r="F83" s="25">
        <f t="shared" si="5"/>
        <v>0</v>
      </c>
      <c r="G83" s="189">
        <v>300000</v>
      </c>
      <c r="H83" s="36">
        <v>43773</v>
      </c>
      <c r="I83" s="188">
        <v>300000</v>
      </c>
      <c r="J83" s="63" t="s">
        <v>21</v>
      </c>
      <c r="K83" s="207" t="s">
        <v>89</v>
      </c>
      <c r="L83" s="82" t="s">
        <v>88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4"/>
        <v>300060</v>
      </c>
      <c r="C84" s="49"/>
      <c r="D84" s="50" t="s">
        <v>73</v>
      </c>
      <c r="E84" s="70"/>
      <c r="F84" s="25">
        <f t="shared" si="5"/>
        <v>0</v>
      </c>
      <c r="G84" s="189">
        <v>300060</v>
      </c>
      <c r="H84" s="36">
        <v>43773</v>
      </c>
      <c r="I84" s="188">
        <v>300060</v>
      </c>
      <c r="J84" s="63" t="s">
        <v>21</v>
      </c>
      <c r="K84" s="207" t="s">
        <v>90</v>
      </c>
      <c r="L84" s="82" t="s">
        <v>91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0</v>
      </c>
      <c r="C85" s="49"/>
      <c r="D85" s="50"/>
      <c r="E85" s="70"/>
      <c r="F85" s="25">
        <f t="shared" si="5"/>
        <v>0</v>
      </c>
      <c r="G85" s="189"/>
      <c r="H85" s="36">
        <v>43773</v>
      </c>
      <c r="I85" s="188">
        <v>500000</v>
      </c>
      <c r="J85" s="63" t="s">
        <v>20</v>
      </c>
      <c r="K85" s="207" t="s">
        <v>92</v>
      </c>
      <c r="L85" s="82" t="s">
        <v>93</v>
      </c>
      <c r="M85" s="56"/>
      <c r="N85" s="65"/>
      <c r="O85" s="67"/>
    </row>
    <row r="86" s="2" customFormat="1" ht="18" customHeight="1" spans="1:15">
      <c r="A86" s="48"/>
      <c r="B86" s="25">
        <f t="shared" si="4"/>
        <v>0</v>
      </c>
      <c r="C86" s="49"/>
      <c r="D86" s="50"/>
      <c r="E86" s="70"/>
      <c r="F86" s="25">
        <f t="shared" si="5"/>
        <v>0</v>
      </c>
      <c r="G86" s="189"/>
      <c r="H86" s="36">
        <v>43775</v>
      </c>
      <c r="I86" s="188">
        <v>800000</v>
      </c>
      <c r="J86" s="63" t="s">
        <v>20</v>
      </c>
      <c r="K86" s="207" t="s">
        <v>94</v>
      </c>
      <c r="L86" s="82" t="s">
        <v>95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1165048.54</v>
      </c>
      <c r="C87" s="49"/>
      <c r="D87" s="50" t="s">
        <v>36</v>
      </c>
      <c r="E87" s="70">
        <v>0.03</v>
      </c>
      <c r="F87" s="197">
        <f t="shared" si="5"/>
        <v>34951.46</v>
      </c>
      <c r="G87" s="189">
        <f>96000*12+48000</f>
        <v>1200000</v>
      </c>
      <c r="H87" s="36">
        <v>43776</v>
      </c>
      <c r="I87" s="188">
        <v>400000</v>
      </c>
      <c r="J87" s="63" t="s">
        <v>20</v>
      </c>
      <c r="K87" s="207" t="s">
        <v>94</v>
      </c>
      <c r="L87" s="82" t="s">
        <v>95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ref="B88:B90" si="6">ROUND(G88/(1+E88),2)</f>
        <v>326256.05</v>
      </c>
      <c r="C88" s="49"/>
      <c r="D88" s="50" t="s">
        <v>36</v>
      </c>
      <c r="E88" s="70">
        <v>0.13</v>
      </c>
      <c r="F88" s="197">
        <f t="shared" ref="F88:F90" si="7">ROUND(G88/(1+E88)*E88,2)</f>
        <v>42413.29</v>
      </c>
      <c r="G88" s="189">
        <v>368669.34</v>
      </c>
      <c r="H88" s="36"/>
      <c r="I88" s="210"/>
      <c r="J88" s="56"/>
      <c r="K88" s="207" t="s">
        <v>80</v>
      </c>
      <c r="L88" s="82" t="s">
        <v>96</v>
      </c>
      <c r="M88" s="56"/>
      <c r="N88" s="65"/>
      <c r="O88" s="67"/>
    </row>
    <row r="89" s="2" customFormat="1" ht="18" customHeight="1" spans="1:15">
      <c r="A89" s="48">
        <v>43770</v>
      </c>
      <c r="B89" s="25">
        <f t="shared" si="6"/>
        <v>199980</v>
      </c>
      <c r="C89" s="49"/>
      <c r="D89" s="50" t="s">
        <v>73</v>
      </c>
      <c r="E89" s="70"/>
      <c r="F89" s="25">
        <f t="shared" si="7"/>
        <v>0</v>
      </c>
      <c r="G89" s="189">
        <v>199980</v>
      </c>
      <c r="H89" s="195">
        <v>43784</v>
      </c>
      <c r="I89" s="196">
        <v>199980</v>
      </c>
      <c r="J89" s="201" t="s">
        <v>21</v>
      </c>
      <c r="K89" s="202" t="s">
        <v>97</v>
      </c>
      <c r="L89" s="204" t="s">
        <v>98</v>
      </c>
      <c r="M89" s="56" t="s">
        <v>76</v>
      </c>
      <c r="N89" s="65"/>
      <c r="O89" s="67"/>
    </row>
    <row r="90" s="3" customFormat="1" ht="18" customHeight="1" spans="1:15">
      <c r="A90" s="74">
        <v>43770</v>
      </c>
      <c r="B90" s="25">
        <f t="shared" si="6"/>
        <v>442477.88</v>
      </c>
      <c r="C90" s="75"/>
      <c r="D90" s="76" t="s">
        <v>36</v>
      </c>
      <c r="E90" s="77">
        <v>0.13</v>
      </c>
      <c r="F90" s="197">
        <f t="shared" si="7"/>
        <v>57522.12</v>
      </c>
      <c r="G90" s="198">
        <v>500000</v>
      </c>
      <c r="H90" s="36"/>
      <c r="I90" s="188"/>
      <c r="J90" s="63"/>
      <c r="K90" s="207" t="s">
        <v>92</v>
      </c>
      <c r="L90" s="82" t="s">
        <v>99</v>
      </c>
      <c r="M90" s="63" t="s">
        <v>100</v>
      </c>
      <c r="N90" s="63"/>
      <c r="O90" s="82"/>
    </row>
    <row r="91" s="3" customFormat="1" ht="18" customHeight="1" spans="1:15">
      <c r="A91" s="74"/>
      <c r="B91" s="25"/>
      <c r="C91" s="75"/>
      <c r="D91" s="76"/>
      <c r="E91" s="77"/>
      <c r="F91" s="25"/>
      <c r="G91" s="198"/>
      <c r="H91" s="36">
        <v>43819</v>
      </c>
      <c r="I91" s="188">
        <v>92448</v>
      </c>
      <c r="J91" s="63" t="s">
        <v>20</v>
      </c>
      <c r="K91" s="148" t="s">
        <v>53</v>
      </c>
      <c r="L91" s="67" t="s">
        <v>54</v>
      </c>
      <c r="M91" s="63"/>
      <c r="N91" s="63"/>
      <c r="O91" s="82"/>
    </row>
    <row r="92" s="3" customFormat="1" ht="18" customHeight="1" spans="1:15">
      <c r="A92" s="74"/>
      <c r="B92" s="25">
        <f t="shared" ref="B92:B100" si="8">ROUND(G92/(1+E92),2)</f>
        <v>0</v>
      </c>
      <c r="C92" s="75"/>
      <c r="D92" s="76"/>
      <c r="E92" s="77"/>
      <c r="F92" s="25">
        <f t="shared" ref="F92:F100" si="9">ROUND(G92/(1+E92)*E92,2)</f>
        <v>0</v>
      </c>
      <c r="G92" s="198"/>
      <c r="H92" s="36">
        <v>43829</v>
      </c>
      <c r="I92" s="188">
        <v>800000</v>
      </c>
      <c r="J92" s="63" t="s">
        <v>20</v>
      </c>
      <c r="K92" s="207" t="s">
        <v>80</v>
      </c>
      <c r="L92" s="82" t="s">
        <v>81</v>
      </c>
      <c r="M92" s="63"/>
      <c r="N92" s="63"/>
      <c r="O92" s="82"/>
    </row>
    <row r="93" s="3" customFormat="1" ht="18" customHeight="1" spans="1:15">
      <c r="A93" s="74">
        <v>43800</v>
      </c>
      <c r="B93" s="25">
        <f t="shared" si="8"/>
        <v>650987.86</v>
      </c>
      <c r="C93" s="75"/>
      <c r="D93" s="76" t="s">
        <v>36</v>
      </c>
      <c r="E93" s="77">
        <v>0.13</v>
      </c>
      <c r="F93" s="25">
        <f t="shared" si="9"/>
        <v>84628.42</v>
      </c>
      <c r="G93" s="198">
        <v>735616.28</v>
      </c>
      <c r="H93" s="36"/>
      <c r="I93" s="188"/>
      <c r="J93" s="63"/>
      <c r="K93" s="207" t="s">
        <v>80</v>
      </c>
      <c r="L93" s="82" t="s">
        <v>101</v>
      </c>
      <c r="M93" s="63" t="s">
        <v>100</v>
      </c>
      <c r="N93" s="63"/>
      <c r="O93" s="82"/>
    </row>
    <row r="94" s="3" customFormat="1" ht="18" customHeight="1" spans="1:15">
      <c r="A94" s="74">
        <v>43800</v>
      </c>
      <c r="B94" s="25">
        <f t="shared" si="8"/>
        <v>5825242.72</v>
      </c>
      <c r="C94" s="75"/>
      <c r="D94" s="50" t="s">
        <v>36</v>
      </c>
      <c r="E94" s="70">
        <v>0.03</v>
      </c>
      <c r="F94" s="25">
        <f t="shared" si="9"/>
        <v>174757.28</v>
      </c>
      <c r="G94" s="198">
        <f>1000000*6</f>
        <v>6000000</v>
      </c>
      <c r="H94" s="36">
        <v>43843</v>
      </c>
      <c r="I94" s="188">
        <v>1000000</v>
      </c>
      <c r="J94" s="63" t="s">
        <v>20</v>
      </c>
      <c r="K94" s="207" t="s">
        <v>53</v>
      </c>
      <c r="L94" s="82" t="s">
        <v>54</v>
      </c>
      <c r="M94" s="63" t="s">
        <v>100</v>
      </c>
      <c r="N94" s="63"/>
      <c r="O94" s="82" t="s">
        <v>102</v>
      </c>
    </row>
    <row r="95" s="3" customFormat="1" ht="18" customHeight="1" spans="1:15">
      <c r="A95" s="74">
        <v>43831</v>
      </c>
      <c r="B95" s="25">
        <f t="shared" si="8"/>
        <v>3623633.45</v>
      </c>
      <c r="C95" s="75"/>
      <c r="D95" s="50" t="s">
        <v>36</v>
      </c>
      <c r="E95" s="77">
        <v>0.09</v>
      </c>
      <c r="F95" s="25">
        <f t="shared" si="9"/>
        <v>326127.01</v>
      </c>
      <c r="G95" s="198">
        <f>1000000*3+949760.46</f>
        <v>3949760.46</v>
      </c>
      <c r="H95" s="36">
        <v>43844</v>
      </c>
      <c r="I95" s="188">
        <v>500000</v>
      </c>
      <c r="J95" s="63" t="s">
        <v>20</v>
      </c>
      <c r="K95" s="207" t="s">
        <v>103</v>
      </c>
      <c r="L95" s="82" t="s">
        <v>54</v>
      </c>
      <c r="M95" s="63" t="s">
        <v>100</v>
      </c>
      <c r="N95" s="63"/>
      <c r="O95" s="82"/>
    </row>
    <row r="96" s="3" customFormat="1" ht="18" customHeight="1" spans="1:15">
      <c r="A96" s="74"/>
      <c r="B96" s="25">
        <f t="shared" si="8"/>
        <v>0</v>
      </c>
      <c r="C96" s="75"/>
      <c r="D96" s="76"/>
      <c r="E96" s="77"/>
      <c r="F96" s="25">
        <f t="shared" si="9"/>
        <v>0</v>
      </c>
      <c r="G96" s="198"/>
      <c r="H96" s="36">
        <v>43845</v>
      </c>
      <c r="I96" s="188">
        <v>2000000</v>
      </c>
      <c r="J96" s="63" t="s">
        <v>20</v>
      </c>
      <c r="K96" s="207" t="s">
        <v>103</v>
      </c>
      <c r="L96" s="82" t="s">
        <v>54</v>
      </c>
      <c r="M96" s="63"/>
      <c r="N96" s="63"/>
      <c r="O96" s="82"/>
    </row>
    <row r="97" s="3" customFormat="1" ht="18" customHeight="1" spans="1:15">
      <c r="A97" s="74"/>
      <c r="B97" s="25">
        <f t="shared" si="8"/>
        <v>0</v>
      </c>
      <c r="C97" s="75"/>
      <c r="D97" s="76"/>
      <c r="E97" s="77"/>
      <c r="F97" s="25">
        <f t="shared" si="9"/>
        <v>0</v>
      </c>
      <c r="G97" s="198"/>
      <c r="H97" s="36">
        <v>43849</v>
      </c>
      <c r="I97" s="188">
        <v>1449760.46</v>
      </c>
      <c r="J97" s="63" t="s">
        <v>20</v>
      </c>
      <c r="K97" s="207" t="s">
        <v>103</v>
      </c>
      <c r="L97" s="82" t="s">
        <v>54</v>
      </c>
      <c r="M97" s="63"/>
      <c r="N97" s="63"/>
      <c r="O97" s="82"/>
    </row>
    <row r="98" s="3" customFormat="1" ht="18" customHeight="1" spans="1:15">
      <c r="A98" s="74">
        <v>43831</v>
      </c>
      <c r="B98" s="25">
        <f t="shared" si="8"/>
        <v>600000</v>
      </c>
      <c r="C98" s="75"/>
      <c r="D98" s="50" t="s">
        <v>73</v>
      </c>
      <c r="E98" s="77"/>
      <c r="F98" s="25">
        <f t="shared" si="9"/>
        <v>0</v>
      </c>
      <c r="G98" s="188">
        <v>600000</v>
      </c>
      <c r="H98" s="36">
        <v>43850</v>
      </c>
      <c r="I98" s="188">
        <v>600000</v>
      </c>
      <c r="J98" s="63" t="s">
        <v>21</v>
      </c>
      <c r="K98" s="207" t="s">
        <v>89</v>
      </c>
      <c r="L98" s="82" t="s">
        <v>104</v>
      </c>
      <c r="M98" s="63"/>
      <c r="N98" s="63"/>
      <c r="O98" s="82"/>
    </row>
    <row r="99" s="3" customFormat="1" ht="18" customHeight="1" spans="1:15">
      <c r="A99" s="74">
        <v>43831</v>
      </c>
      <c r="B99" s="25">
        <f t="shared" si="8"/>
        <v>600000</v>
      </c>
      <c r="C99" s="75"/>
      <c r="D99" s="50" t="s">
        <v>73</v>
      </c>
      <c r="E99" s="77"/>
      <c r="F99" s="25">
        <f t="shared" si="9"/>
        <v>0</v>
      </c>
      <c r="G99" s="188">
        <v>600000</v>
      </c>
      <c r="H99" s="36">
        <v>43850</v>
      </c>
      <c r="I99" s="188">
        <v>600000</v>
      </c>
      <c r="J99" s="63" t="s">
        <v>21</v>
      </c>
      <c r="K99" s="207" t="s">
        <v>87</v>
      </c>
      <c r="L99" s="82" t="s">
        <v>104</v>
      </c>
      <c r="M99" s="63"/>
      <c r="N99" s="63"/>
      <c r="O99" s="82"/>
    </row>
    <row r="100" s="3" customFormat="1" ht="18" customHeight="1" spans="1:15">
      <c r="A100" s="74">
        <v>43891</v>
      </c>
      <c r="B100" s="25">
        <f t="shared" si="8"/>
        <v>530100</v>
      </c>
      <c r="C100" s="75"/>
      <c r="D100" s="50" t="s">
        <v>73</v>
      </c>
      <c r="E100" s="77"/>
      <c r="F100" s="25">
        <f t="shared" si="9"/>
        <v>0</v>
      </c>
      <c r="G100" s="188">
        <v>530100</v>
      </c>
      <c r="H100" s="36">
        <v>43903</v>
      </c>
      <c r="I100" s="188">
        <v>530000</v>
      </c>
      <c r="J100" s="63" t="s">
        <v>21</v>
      </c>
      <c r="K100" s="207" t="s">
        <v>105</v>
      </c>
      <c r="L100" s="82" t="s">
        <v>77</v>
      </c>
      <c r="M100" s="63"/>
      <c r="N100" s="63"/>
      <c r="O100" s="82"/>
    </row>
    <row r="101" s="3" customFormat="1" ht="18" customHeight="1" spans="1:15">
      <c r="A101" s="74">
        <v>43952</v>
      </c>
      <c r="B101" s="25">
        <f>298648.6+188837.04+318653.29</f>
        <v>806138.93</v>
      </c>
      <c r="C101" s="75">
        <v>3</v>
      </c>
      <c r="D101" s="50" t="s">
        <v>36</v>
      </c>
      <c r="E101" s="77">
        <v>0.13</v>
      </c>
      <c r="F101" s="25">
        <f>38824.32+24548.82+41424.93</f>
        <v>104798.07</v>
      </c>
      <c r="G101" s="198">
        <f>337472.92+213385.86+360078.22</f>
        <v>910937</v>
      </c>
      <c r="H101" s="36">
        <v>43903</v>
      </c>
      <c r="I101" s="188">
        <v>200000</v>
      </c>
      <c r="J101" s="63" t="s">
        <v>20</v>
      </c>
      <c r="K101" s="207" t="s">
        <v>80</v>
      </c>
      <c r="L101" s="82" t="s">
        <v>81</v>
      </c>
      <c r="M101" s="63"/>
      <c r="N101" s="63"/>
      <c r="O101" s="82"/>
    </row>
    <row r="102" s="3" customFormat="1" ht="18" customHeight="1" spans="1:15">
      <c r="A102" s="74"/>
      <c r="B102" s="25">
        <f t="shared" ref="B102:B104" si="10">ROUND(G102/(1+E102),2)</f>
        <v>0</v>
      </c>
      <c r="C102" s="75"/>
      <c r="D102" s="50"/>
      <c r="E102" s="77"/>
      <c r="F102" s="25">
        <f t="shared" ref="F102:F104" si="11">ROUND(G102/(1+E102)*E102,2)</f>
        <v>0</v>
      </c>
      <c r="G102" s="198"/>
      <c r="H102" s="36">
        <v>43950</v>
      </c>
      <c r="I102" s="188">
        <v>400000</v>
      </c>
      <c r="J102" s="63" t="s">
        <v>20</v>
      </c>
      <c r="K102" s="207" t="s">
        <v>155</v>
      </c>
      <c r="L102" s="82" t="s">
        <v>81</v>
      </c>
      <c r="M102" s="63"/>
      <c r="N102" s="63"/>
      <c r="O102" s="82"/>
    </row>
    <row r="103" s="3" customFormat="1" ht="18" customHeight="1" spans="1:15">
      <c r="A103" s="74"/>
      <c r="B103" s="25">
        <f t="shared" si="10"/>
        <v>0</v>
      </c>
      <c r="C103" s="75"/>
      <c r="D103" s="50"/>
      <c r="E103" s="77"/>
      <c r="F103" s="25">
        <f t="shared" si="11"/>
        <v>0</v>
      </c>
      <c r="G103" s="198"/>
      <c r="H103" s="36">
        <v>43951</v>
      </c>
      <c r="I103" s="188">
        <v>970000</v>
      </c>
      <c r="J103" s="63" t="s">
        <v>21</v>
      </c>
      <c r="K103" s="207" t="s">
        <v>105</v>
      </c>
      <c r="L103" s="82"/>
      <c r="M103" s="63"/>
      <c r="N103" s="63"/>
      <c r="O103" s="82"/>
    </row>
    <row r="104" s="3" customFormat="1" ht="18" customHeight="1" spans="1:15">
      <c r="A104" s="74"/>
      <c r="B104" s="25">
        <f t="shared" si="10"/>
        <v>0</v>
      </c>
      <c r="C104" s="75"/>
      <c r="D104" s="50"/>
      <c r="E104" s="77"/>
      <c r="F104" s="25">
        <f t="shared" si="11"/>
        <v>0</v>
      </c>
      <c r="G104" s="198"/>
      <c r="H104" s="36">
        <v>43966</v>
      </c>
      <c r="I104" s="188">
        <v>150000</v>
      </c>
      <c r="J104" s="63" t="s">
        <v>20</v>
      </c>
      <c r="K104" s="207" t="s">
        <v>155</v>
      </c>
      <c r="L104" s="82" t="s">
        <v>81</v>
      </c>
      <c r="M104" s="63"/>
      <c r="N104" s="63"/>
      <c r="O104" s="82"/>
    </row>
    <row r="105" s="3" customFormat="1" ht="17.1" customHeight="1" spans="1:15">
      <c r="A105" s="74">
        <v>43831</v>
      </c>
      <c r="B105" s="25">
        <v>2632.08</v>
      </c>
      <c r="C105" s="75">
        <v>1</v>
      </c>
      <c r="D105" s="50" t="s">
        <v>36</v>
      </c>
      <c r="E105" s="77">
        <v>0.06</v>
      </c>
      <c r="F105" s="25">
        <v>157.92</v>
      </c>
      <c r="G105" s="198">
        <v>2790</v>
      </c>
      <c r="H105" s="36"/>
      <c r="I105" s="188"/>
      <c r="J105" s="63"/>
      <c r="K105" s="207" t="s">
        <v>156</v>
      </c>
      <c r="L105" s="82" t="s">
        <v>52</v>
      </c>
      <c r="M105" s="63"/>
      <c r="N105" s="63"/>
      <c r="O105" s="82"/>
    </row>
    <row r="106" s="3" customFormat="1" ht="17.1" customHeight="1" spans="1:15">
      <c r="A106" s="74"/>
      <c r="B106" s="25"/>
      <c r="C106" s="75"/>
      <c r="D106" s="50"/>
      <c r="E106" s="77"/>
      <c r="F106" s="25"/>
      <c r="G106" s="198"/>
      <c r="H106" s="36">
        <v>43993</v>
      </c>
      <c r="I106" s="188">
        <v>100000</v>
      </c>
      <c r="J106" s="63"/>
      <c r="K106" s="207" t="s">
        <v>155</v>
      </c>
      <c r="L106" s="82"/>
      <c r="M106" s="63"/>
      <c r="N106" s="63"/>
      <c r="O106" s="82"/>
    </row>
    <row r="107" s="3" customFormat="1" ht="17.1" customHeight="1" spans="1:15">
      <c r="A107" s="74"/>
      <c r="B107" s="25"/>
      <c r="C107" s="75"/>
      <c r="D107" s="50"/>
      <c r="E107" s="77"/>
      <c r="F107" s="25"/>
      <c r="G107" s="198"/>
      <c r="H107" s="36">
        <v>43994</v>
      </c>
      <c r="I107" s="188">
        <v>1000000</v>
      </c>
      <c r="J107" s="63"/>
      <c r="K107" s="213" t="s">
        <v>165</v>
      </c>
      <c r="L107" s="82" t="s">
        <v>54</v>
      </c>
      <c r="M107" s="63"/>
      <c r="N107" s="63"/>
      <c r="O107" s="82"/>
    </row>
    <row r="108" s="3" customFormat="1" ht="17.1" customHeight="1" spans="1:15">
      <c r="A108" s="74"/>
      <c r="B108" s="25"/>
      <c r="C108" s="75"/>
      <c r="D108" s="50"/>
      <c r="E108" s="77"/>
      <c r="F108" s="25"/>
      <c r="G108" s="198"/>
      <c r="H108" s="195">
        <v>44000</v>
      </c>
      <c r="I108" s="262">
        <v>500000</v>
      </c>
      <c r="J108" s="227" t="s">
        <v>20</v>
      </c>
      <c r="K108" s="260" t="s">
        <v>166</v>
      </c>
      <c r="L108" s="82"/>
      <c r="M108" s="63"/>
      <c r="N108" s="63"/>
      <c r="O108" s="82"/>
    </row>
    <row r="109" s="3" customFormat="1" ht="17.1" customHeight="1" spans="1:15">
      <c r="A109" s="74"/>
      <c r="B109" s="25"/>
      <c r="C109" s="75"/>
      <c r="D109" s="50"/>
      <c r="E109" s="77"/>
      <c r="F109" s="25"/>
      <c r="G109" s="198"/>
      <c r="H109" s="195">
        <v>44000</v>
      </c>
      <c r="I109" s="262">
        <v>600040</v>
      </c>
      <c r="J109" s="227" t="s">
        <v>20</v>
      </c>
      <c r="K109" s="260" t="s">
        <v>167</v>
      </c>
      <c r="L109" s="82"/>
      <c r="M109" s="63"/>
      <c r="N109" s="63"/>
      <c r="O109" s="82"/>
    </row>
    <row r="110" s="3" customFormat="1" ht="17.1" customHeight="1" spans="1:15">
      <c r="A110" s="74"/>
      <c r="B110" s="25"/>
      <c r="C110" s="75"/>
      <c r="D110" s="50"/>
      <c r="E110" s="77"/>
      <c r="F110" s="25"/>
      <c r="G110" s="198"/>
      <c r="H110" s="195">
        <v>44000</v>
      </c>
      <c r="I110" s="262">
        <v>600120</v>
      </c>
      <c r="J110" s="227" t="s">
        <v>20</v>
      </c>
      <c r="K110" s="260" t="s">
        <v>168</v>
      </c>
      <c r="L110" s="82"/>
      <c r="M110" s="63"/>
      <c r="N110" s="63"/>
      <c r="O110" s="82"/>
    </row>
    <row r="111" s="3" customFormat="1" ht="17.1" customHeight="1" spans="1:15">
      <c r="A111" s="74"/>
      <c r="B111" s="25"/>
      <c r="C111" s="75"/>
      <c r="D111" s="50"/>
      <c r="E111" s="77"/>
      <c r="F111" s="25"/>
      <c r="G111" s="198"/>
      <c r="H111" s="36"/>
      <c r="I111" s="214"/>
      <c r="J111" s="65"/>
      <c r="K111" s="171"/>
      <c r="L111" s="82"/>
      <c r="M111" s="63"/>
      <c r="N111" s="63"/>
      <c r="O111" s="82"/>
    </row>
    <row r="112" s="3" customFormat="1" ht="17.1" customHeight="1" spans="1:15">
      <c r="A112" s="74"/>
      <c r="B112" s="25"/>
      <c r="C112" s="75"/>
      <c r="D112" s="50"/>
      <c r="E112" s="77"/>
      <c r="F112" s="25"/>
      <c r="G112" s="198"/>
      <c r="H112" s="36"/>
      <c r="I112" s="214"/>
      <c r="J112" s="65"/>
      <c r="K112" s="171"/>
      <c r="L112" s="82"/>
      <c r="M112" s="63"/>
      <c r="N112" s="63"/>
      <c r="O112" s="82"/>
    </row>
    <row r="113" s="3" customFormat="1" ht="17.1" customHeight="1" spans="1:15">
      <c r="A113" s="74"/>
      <c r="B113" s="25"/>
      <c r="C113" s="75"/>
      <c r="D113" s="50"/>
      <c r="E113" s="77"/>
      <c r="F113" s="25"/>
      <c r="G113" s="198"/>
      <c r="H113" s="36"/>
      <c r="I113" s="214"/>
      <c r="J113" s="65"/>
      <c r="K113" s="171"/>
      <c r="L113" s="82"/>
      <c r="M113" s="63"/>
      <c r="N113" s="63"/>
      <c r="O113" s="82"/>
    </row>
    <row r="114" s="3" customFormat="1" ht="17.1" customHeight="1" spans="1:15">
      <c r="A114" s="74"/>
      <c r="B114" s="25"/>
      <c r="C114" s="75"/>
      <c r="D114" s="50"/>
      <c r="E114" s="77"/>
      <c r="F114" s="25"/>
      <c r="G114" s="198"/>
      <c r="H114" s="36"/>
      <c r="I114" s="214"/>
      <c r="J114" s="65"/>
      <c r="K114" s="171"/>
      <c r="L114" s="82"/>
      <c r="M114" s="63"/>
      <c r="N114" s="63"/>
      <c r="O114" s="82"/>
    </row>
    <row r="115" s="3" customFormat="1" ht="17.1" customHeight="1" spans="1:15">
      <c r="A115" s="74"/>
      <c r="B115" s="25"/>
      <c r="C115" s="75"/>
      <c r="D115" s="50"/>
      <c r="E115" s="77"/>
      <c r="F115" s="25"/>
      <c r="G115" s="198"/>
      <c r="H115" s="36"/>
      <c r="I115" s="188"/>
      <c r="J115" s="63"/>
      <c r="K115" s="213"/>
      <c r="L115" s="82"/>
      <c r="M115" s="63"/>
      <c r="N115" s="63"/>
      <c r="O115" s="82"/>
    </row>
    <row r="116" s="3" customFormat="1" ht="17.1" customHeight="1" spans="1:15">
      <c r="A116" s="74"/>
      <c r="B116" s="25"/>
      <c r="C116" s="75"/>
      <c r="D116" s="50"/>
      <c r="E116" s="77"/>
      <c r="F116" s="25"/>
      <c r="G116" s="198"/>
      <c r="H116" s="36"/>
      <c r="I116" s="188"/>
      <c r="J116" s="63"/>
      <c r="K116" s="207"/>
      <c r="L116" s="82"/>
      <c r="M116" s="63"/>
      <c r="N116" s="63"/>
      <c r="O116" s="82"/>
    </row>
    <row r="117" s="3" customFormat="1" ht="17.1" customHeight="1" spans="1:15">
      <c r="A117" s="74"/>
      <c r="B117" s="25"/>
      <c r="C117" s="75"/>
      <c r="D117" s="50"/>
      <c r="E117" s="77"/>
      <c r="F117" s="25"/>
      <c r="G117" s="198"/>
      <c r="H117" s="36"/>
      <c r="I117" s="82"/>
      <c r="J117" s="63"/>
      <c r="K117" s="82"/>
      <c r="L117" s="82"/>
      <c r="M117" s="63"/>
      <c r="N117" s="63"/>
      <c r="O117" s="82"/>
    </row>
    <row r="118" s="3" customFormat="1" ht="17.1" customHeight="1" spans="1:15">
      <c r="A118" s="74"/>
      <c r="B118" s="25"/>
      <c r="C118" s="75"/>
      <c r="D118" s="50"/>
      <c r="E118" s="77"/>
      <c r="F118" s="25"/>
      <c r="G118" s="198"/>
      <c r="H118" s="36"/>
      <c r="I118" s="82"/>
      <c r="J118" s="63"/>
      <c r="K118" s="82"/>
      <c r="L118" s="82"/>
      <c r="M118" s="63"/>
      <c r="N118" s="63"/>
      <c r="O118" s="82"/>
    </row>
    <row r="119" s="3" customFormat="1" ht="17.1" customHeight="1" spans="1:15">
      <c r="A119" s="74"/>
      <c r="B119" s="25"/>
      <c r="C119" s="75"/>
      <c r="D119" s="50"/>
      <c r="E119" s="77"/>
      <c r="F119" s="25"/>
      <c r="G119" s="198"/>
      <c r="H119" s="195">
        <v>44000</v>
      </c>
      <c r="I119" s="206">
        <v>300</v>
      </c>
      <c r="J119" s="176" t="s">
        <v>106</v>
      </c>
      <c r="K119" s="205" t="s">
        <v>110</v>
      </c>
      <c r="L119" s="82"/>
      <c r="M119" s="63"/>
      <c r="N119" s="63"/>
      <c r="O119" s="82"/>
    </row>
    <row r="120" s="3" customFormat="1" ht="17.1" customHeight="1" spans="1:15">
      <c r="A120" s="74"/>
      <c r="B120" s="25"/>
      <c r="C120" s="75"/>
      <c r="D120" s="50"/>
      <c r="E120" s="77"/>
      <c r="F120" s="25"/>
      <c r="G120" s="198"/>
      <c r="H120" s="36">
        <v>43994</v>
      </c>
      <c r="I120" s="235">
        <v>100</v>
      </c>
      <c r="J120" s="65" t="s">
        <v>106</v>
      </c>
      <c r="K120" s="207" t="s">
        <v>110</v>
      </c>
      <c r="L120" s="82"/>
      <c r="M120" s="63"/>
      <c r="N120" s="63"/>
      <c r="O120" s="82"/>
    </row>
    <row r="121" s="3" customFormat="1" ht="18" customHeight="1" spans="1:15">
      <c r="A121" s="74"/>
      <c r="B121" s="25"/>
      <c r="C121" s="75"/>
      <c r="D121" s="50"/>
      <c r="E121" s="77"/>
      <c r="F121" s="25"/>
      <c r="G121" s="198"/>
      <c r="H121" s="36">
        <v>43994</v>
      </c>
      <c r="I121" s="236">
        <v>72400</v>
      </c>
      <c r="J121" s="65" t="s">
        <v>106</v>
      </c>
      <c r="K121" s="207" t="s">
        <v>121</v>
      </c>
      <c r="L121" s="82"/>
      <c r="M121" s="63"/>
      <c r="N121" s="63"/>
      <c r="O121" s="82"/>
    </row>
    <row r="122" s="3" customFormat="1" ht="18" customHeight="1" spans="1:15">
      <c r="A122" s="74"/>
      <c r="B122" s="25"/>
      <c r="C122" s="75"/>
      <c r="D122" s="50"/>
      <c r="E122" s="77"/>
      <c r="F122" s="25"/>
      <c r="G122" s="198"/>
      <c r="H122" s="36">
        <v>43994</v>
      </c>
      <c r="I122" s="188">
        <v>1992.66055045872</v>
      </c>
      <c r="J122" s="65" t="s">
        <v>106</v>
      </c>
      <c r="K122" s="207" t="s">
        <v>123</v>
      </c>
      <c r="L122" s="82"/>
      <c r="M122" s="63"/>
      <c r="N122" s="63"/>
      <c r="O122" s="82"/>
    </row>
    <row r="123" s="3" customFormat="1" ht="18" customHeight="1" spans="1:15">
      <c r="A123" s="74"/>
      <c r="B123" s="25">
        <f t="shared" ref="B123:B129" si="12">ROUND(G123/(1+E123),2)</f>
        <v>0</v>
      </c>
      <c r="C123" s="75"/>
      <c r="D123" s="50"/>
      <c r="E123" s="77"/>
      <c r="F123" s="25">
        <f t="shared" ref="F123:F129" si="13">ROUND(G123/(1+E123)*E123,2)</f>
        <v>0</v>
      </c>
      <c r="G123" s="198"/>
      <c r="H123" s="36">
        <v>43994</v>
      </c>
      <c r="I123" s="188">
        <v>18100</v>
      </c>
      <c r="J123" s="65" t="s">
        <v>106</v>
      </c>
      <c r="K123" s="207" t="s">
        <v>157</v>
      </c>
      <c r="L123" s="82"/>
      <c r="M123" s="63"/>
      <c r="N123" s="63"/>
      <c r="O123" s="82"/>
    </row>
    <row r="124" s="3" customFormat="1" ht="18" customHeight="1" spans="1:15">
      <c r="A124" s="74"/>
      <c r="B124" s="25"/>
      <c r="C124" s="75"/>
      <c r="D124" s="50"/>
      <c r="E124" s="77"/>
      <c r="F124" s="25"/>
      <c r="G124" s="198"/>
      <c r="H124" s="36">
        <v>43993</v>
      </c>
      <c r="I124" s="188">
        <v>100</v>
      </c>
      <c r="J124" s="65" t="s">
        <v>106</v>
      </c>
      <c r="K124" s="207" t="s">
        <v>110</v>
      </c>
      <c r="L124" s="82"/>
      <c r="M124" s="63"/>
      <c r="N124" s="63"/>
      <c r="O124" s="82"/>
    </row>
    <row r="125" s="3" customFormat="1" ht="18" customHeight="1" spans="1:15">
      <c r="A125" s="74"/>
      <c r="B125" s="25">
        <f t="shared" si="12"/>
        <v>0</v>
      </c>
      <c r="C125" s="75"/>
      <c r="D125" s="50"/>
      <c r="E125" s="77"/>
      <c r="F125" s="25">
        <f t="shared" si="13"/>
        <v>0</v>
      </c>
      <c r="G125" s="198"/>
      <c r="H125" s="36">
        <v>43966</v>
      </c>
      <c r="I125" s="188">
        <v>100</v>
      </c>
      <c r="J125" s="65" t="s">
        <v>106</v>
      </c>
      <c r="K125" s="207" t="s">
        <v>110</v>
      </c>
      <c r="L125" s="82"/>
      <c r="M125" s="63"/>
      <c r="N125" s="63"/>
      <c r="O125" s="82"/>
    </row>
    <row r="126" s="3" customFormat="1" ht="18" customHeight="1" spans="1:15">
      <c r="A126" s="74"/>
      <c r="B126" s="25">
        <f t="shared" si="12"/>
        <v>0</v>
      </c>
      <c r="C126" s="75"/>
      <c r="D126" s="50"/>
      <c r="E126" s="77"/>
      <c r="F126" s="25">
        <f t="shared" si="13"/>
        <v>0</v>
      </c>
      <c r="G126" s="198"/>
      <c r="H126" s="76">
        <v>10.2</v>
      </c>
      <c r="I126" s="188">
        <v>100</v>
      </c>
      <c r="J126" s="65" t="s">
        <v>106</v>
      </c>
      <c r="K126" s="207" t="s">
        <v>110</v>
      </c>
      <c r="L126" s="82"/>
      <c r="M126" s="63"/>
      <c r="N126" s="63"/>
      <c r="O126" s="82"/>
    </row>
    <row r="127" s="3" customFormat="1" ht="18" customHeight="1" spans="1:15">
      <c r="A127" s="74"/>
      <c r="B127" s="25">
        <f t="shared" si="12"/>
        <v>0</v>
      </c>
      <c r="C127" s="75"/>
      <c r="D127" s="50"/>
      <c r="E127" s="77"/>
      <c r="F127" s="25">
        <f t="shared" si="13"/>
        <v>0</v>
      </c>
      <c r="G127" s="198"/>
      <c r="H127" s="76">
        <v>10.1</v>
      </c>
      <c r="I127" s="188">
        <v>100</v>
      </c>
      <c r="J127" s="65" t="s">
        <v>106</v>
      </c>
      <c r="K127" s="207" t="s">
        <v>110</v>
      </c>
      <c r="L127" s="82"/>
      <c r="M127" s="63"/>
      <c r="N127" s="63"/>
      <c r="O127" s="82"/>
    </row>
    <row r="128" s="3" customFormat="1" ht="18" customHeight="1" spans="1:15">
      <c r="A128" s="74"/>
      <c r="B128" s="25">
        <f t="shared" si="12"/>
        <v>0</v>
      </c>
      <c r="C128" s="75"/>
      <c r="D128" s="50"/>
      <c r="E128" s="77"/>
      <c r="F128" s="25">
        <f t="shared" si="13"/>
        <v>0</v>
      </c>
      <c r="G128" s="198"/>
      <c r="H128" s="76">
        <v>10.1</v>
      </c>
      <c r="I128" s="188">
        <f>B12*0.0006</f>
        <v>853.211009174312</v>
      </c>
      <c r="J128" s="65" t="s">
        <v>106</v>
      </c>
      <c r="K128" s="207" t="s">
        <v>107</v>
      </c>
      <c r="L128" s="82">
        <f>I128+I129+I132+I137+I140+I141+I142+I143+I150+I151+I157+I159+I160</f>
        <v>916149.577981651</v>
      </c>
      <c r="M128" s="63"/>
      <c r="N128" s="63"/>
      <c r="O128" s="82"/>
    </row>
    <row r="129" s="3" customFormat="1" ht="18" customHeight="1" spans="1:15">
      <c r="A129" s="74"/>
      <c r="B129" s="25">
        <f t="shared" si="12"/>
        <v>0</v>
      </c>
      <c r="C129" s="75"/>
      <c r="D129" s="50"/>
      <c r="E129" s="77"/>
      <c r="F129" s="25">
        <f t="shared" si="13"/>
        <v>0</v>
      </c>
      <c r="G129" s="198"/>
      <c r="H129" s="76">
        <v>10.1</v>
      </c>
      <c r="I129" s="188">
        <f>B12*0.02</f>
        <v>28440.3669724771</v>
      </c>
      <c r="J129" s="65" t="s">
        <v>106</v>
      </c>
      <c r="K129" s="207" t="s">
        <v>108</v>
      </c>
      <c r="L129" s="82"/>
      <c r="M129" s="63"/>
      <c r="N129" s="63"/>
      <c r="O129" s="82"/>
    </row>
    <row r="130" s="3" customFormat="1" ht="18" customHeight="1" spans="1:15">
      <c r="A130" s="74"/>
      <c r="B130" s="25"/>
      <c r="C130" s="75"/>
      <c r="D130" s="50"/>
      <c r="E130" s="77"/>
      <c r="F130" s="25"/>
      <c r="G130" s="198"/>
      <c r="H130" s="76">
        <v>10.1</v>
      </c>
      <c r="I130" s="188">
        <f>G12*0.005</f>
        <v>7750</v>
      </c>
      <c r="J130" s="65" t="s">
        <v>106</v>
      </c>
      <c r="K130" s="207" t="s">
        <v>157</v>
      </c>
      <c r="L130" s="82">
        <f>I130+I162</f>
        <v>140600</v>
      </c>
      <c r="M130" s="63"/>
      <c r="N130" s="63"/>
      <c r="O130" s="82"/>
    </row>
    <row r="131" s="3" customFormat="1" ht="18" customHeight="1" spans="1:15">
      <c r="A131" s="74"/>
      <c r="B131" s="25">
        <f t="shared" ref="B131:B152" si="14">ROUND(G131/(1+E131),2)</f>
        <v>0</v>
      </c>
      <c r="C131" s="75"/>
      <c r="D131" s="50"/>
      <c r="E131" s="77"/>
      <c r="F131" s="25">
        <f t="shared" ref="F131:F152" si="15">ROUND(G131/(1+E131)*E131,2)</f>
        <v>0</v>
      </c>
      <c r="G131" s="198"/>
      <c r="H131" s="36" t="s">
        <v>109</v>
      </c>
      <c r="I131" s="188">
        <v>200</v>
      </c>
      <c r="J131" s="65" t="s">
        <v>106</v>
      </c>
      <c r="K131" s="207" t="s">
        <v>110</v>
      </c>
      <c r="L131" s="82">
        <f>I131+I133+I134+I135+I136+I138+I145+I148+I152+I161+I127</f>
        <v>245132.79</v>
      </c>
      <c r="M131" s="63"/>
      <c r="N131" s="63"/>
      <c r="O131" s="82"/>
    </row>
    <row r="132" s="3" customFormat="1" ht="18" customHeight="1" spans="1:15">
      <c r="A132" s="74"/>
      <c r="B132" s="25">
        <f t="shared" si="14"/>
        <v>0</v>
      </c>
      <c r="C132" s="75"/>
      <c r="D132" s="50"/>
      <c r="E132" s="77"/>
      <c r="F132" s="25">
        <f t="shared" si="15"/>
        <v>0</v>
      </c>
      <c r="G132" s="198"/>
      <c r="H132" s="36" t="s">
        <v>111</v>
      </c>
      <c r="I132" s="188">
        <v>-285325</v>
      </c>
      <c r="J132" s="63" t="s">
        <v>112</v>
      </c>
      <c r="K132" s="207" t="s">
        <v>158</v>
      </c>
      <c r="L132" s="82"/>
      <c r="M132" s="63"/>
      <c r="N132" s="63"/>
      <c r="O132" s="82"/>
    </row>
    <row r="133" s="3" customFormat="1" ht="18" customHeight="1" spans="1:15">
      <c r="A133" s="74"/>
      <c r="B133" s="25">
        <f t="shared" si="14"/>
        <v>0</v>
      </c>
      <c r="C133" s="75"/>
      <c r="D133" s="76"/>
      <c r="E133" s="77"/>
      <c r="F133" s="25">
        <f t="shared" si="15"/>
        <v>0</v>
      </c>
      <c r="G133" s="198"/>
      <c r="H133" s="36" t="s">
        <v>111</v>
      </c>
      <c r="I133" s="188">
        <v>200</v>
      </c>
      <c r="J133" s="65" t="s">
        <v>106</v>
      </c>
      <c r="K133" s="207" t="s">
        <v>110</v>
      </c>
      <c r="L133" s="82"/>
      <c r="M133" s="63"/>
      <c r="N133" s="63"/>
      <c r="O133" s="82"/>
    </row>
    <row r="134" s="3" customFormat="1" ht="18" customHeight="1" spans="1:15">
      <c r="A134" s="74"/>
      <c r="B134" s="25">
        <f t="shared" si="14"/>
        <v>0</v>
      </c>
      <c r="C134" s="75"/>
      <c r="D134" s="76"/>
      <c r="E134" s="77"/>
      <c r="F134" s="25">
        <f t="shared" si="15"/>
        <v>0</v>
      </c>
      <c r="G134" s="198"/>
      <c r="H134" s="36" t="s">
        <v>113</v>
      </c>
      <c r="I134" s="188">
        <v>300</v>
      </c>
      <c r="J134" s="65" t="s">
        <v>106</v>
      </c>
      <c r="K134" s="207" t="s">
        <v>110</v>
      </c>
      <c r="L134" s="82"/>
      <c r="M134" s="63"/>
      <c r="N134" s="63"/>
      <c r="O134" s="82"/>
    </row>
    <row r="135" s="3" customFormat="1" ht="18" customHeight="1" spans="1:15">
      <c r="A135" s="74"/>
      <c r="B135" s="25">
        <f t="shared" si="14"/>
        <v>0</v>
      </c>
      <c r="C135" s="75"/>
      <c r="D135" s="76"/>
      <c r="E135" s="77"/>
      <c r="F135" s="25">
        <f t="shared" si="15"/>
        <v>0</v>
      </c>
      <c r="G135" s="198"/>
      <c r="H135" s="36" t="s">
        <v>114</v>
      </c>
      <c r="I135" s="188">
        <v>9600</v>
      </c>
      <c r="J135" s="65" t="s">
        <v>106</v>
      </c>
      <c r="K135" s="207" t="s">
        <v>115</v>
      </c>
      <c r="L135" s="82"/>
      <c r="M135" s="63"/>
      <c r="N135" s="63"/>
      <c r="O135" s="82"/>
    </row>
    <row r="136" s="3" customFormat="1" ht="18" customHeight="1" spans="1:15">
      <c r="A136" s="74"/>
      <c r="B136" s="25">
        <f t="shared" si="14"/>
        <v>0</v>
      </c>
      <c r="C136" s="75"/>
      <c r="D136" s="76"/>
      <c r="E136" s="77"/>
      <c r="F136" s="25">
        <f t="shared" si="15"/>
        <v>0</v>
      </c>
      <c r="G136" s="198"/>
      <c r="H136" s="36" t="s">
        <v>114</v>
      </c>
      <c r="I136" s="188">
        <v>200</v>
      </c>
      <c r="J136" s="65" t="s">
        <v>106</v>
      </c>
      <c r="K136" s="207" t="s">
        <v>110</v>
      </c>
      <c r="L136" s="82"/>
      <c r="M136" s="63"/>
      <c r="N136" s="63"/>
      <c r="O136" s="82"/>
    </row>
    <row r="137" s="3" customFormat="1" ht="18" customHeight="1" spans="1:15">
      <c r="A137" s="74"/>
      <c r="B137" s="25">
        <f t="shared" si="14"/>
        <v>0</v>
      </c>
      <c r="C137" s="75"/>
      <c r="D137" s="76"/>
      <c r="E137" s="77"/>
      <c r="F137" s="25">
        <f t="shared" si="15"/>
        <v>0</v>
      </c>
      <c r="G137" s="198"/>
      <c r="H137" s="36" t="s">
        <v>114</v>
      </c>
      <c r="I137" s="188">
        <v>-903045</v>
      </c>
      <c r="J137" s="63" t="s">
        <v>112</v>
      </c>
      <c r="K137" s="207" t="s">
        <v>116</v>
      </c>
      <c r="L137" s="82"/>
      <c r="M137" s="63"/>
      <c r="N137" s="63"/>
      <c r="O137" s="82"/>
    </row>
    <row r="138" s="3" customFormat="1" ht="18" customHeight="1" spans="1:15">
      <c r="A138" s="74"/>
      <c r="B138" s="25">
        <f t="shared" si="14"/>
        <v>0</v>
      </c>
      <c r="C138" s="75"/>
      <c r="D138" s="76"/>
      <c r="E138" s="77"/>
      <c r="F138" s="25">
        <f t="shared" si="15"/>
        <v>0</v>
      </c>
      <c r="G138" s="198"/>
      <c r="H138" s="36" t="s">
        <v>117</v>
      </c>
      <c r="I138" s="188">
        <v>232932.79</v>
      </c>
      <c r="J138" s="63" t="s">
        <v>106</v>
      </c>
      <c r="K138" s="207" t="s">
        <v>118</v>
      </c>
      <c r="L138" s="82"/>
      <c r="M138" s="63"/>
      <c r="N138" s="63"/>
      <c r="O138" s="82"/>
    </row>
    <row r="139" s="3" customFormat="1" ht="18" customHeight="1" spans="1:15">
      <c r="A139" s="74"/>
      <c r="B139" s="25">
        <f t="shared" si="14"/>
        <v>0</v>
      </c>
      <c r="C139" s="75"/>
      <c r="D139" s="76"/>
      <c r="E139" s="77"/>
      <c r="F139" s="25">
        <f t="shared" si="15"/>
        <v>0</v>
      </c>
      <c r="G139" s="198"/>
      <c r="H139" s="36" t="s">
        <v>117</v>
      </c>
      <c r="I139" s="188"/>
      <c r="J139" s="63" t="s">
        <v>106</v>
      </c>
      <c r="K139" s="207" t="s">
        <v>119</v>
      </c>
      <c r="L139" s="82"/>
      <c r="M139" s="63"/>
      <c r="N139" s="63"/>
      <c r="O139" s="82"/>
    </row>
    <row r="140" s="3" customFormat="1" ht="18" customHeight="1" spans="1:15">
      <c r="A140" s="74"/>
      <c r="B140" s="25">
        <f t="shared" si="14"/>
        <v>0</v>
      </c>
      <c r="C140" s="75"/>
      <c r="D140" s="76"/>
      <c r="E140" s="77"/>
      <c r="F140" s="25">
        <f t="shared" si="15"/>
        <v>0</v>
      </c>
      <c r="G140" s="198"/>
      <c r="H140" s="36" t="s">
        <v>117</v>
      </c>
      <c r="I140" s="188">
        <v>903045</v>
      </c>
      <c r="J140" s="63" t="s">
        <v>120</v>
      </c>
      <c r="K140" s="207" t="s">
        <v>121</v>
      </c>
      <c r="L140" s="82"/>
      <c r="M140" s="63"/>
      <c r="N140" s="63"/>
      <c r="O140" s="82"/>
    </row>
    <row r="141" s="3" customFormat="1" ht="18" customHeight="1" spans="1:15">
      <c r="A141" s="74"/>
      <c r="B141" s="25">
        <f t="shared" si="14"/>
        <v>0</v>
      </c>
      <c r="C141" s="75"/>
      <c r="D141" s="76"/>
      <c r="E141" s="77"/>
      <c r="F141" s="25">
        <f t="shared" si="15"/>
        <v>0</v>
      </c>
      <c r="G141" s="198"/>
      <c r="H141" s="36" t="s">
        <v>117</v>
      </c>
      <c r="I141" s="188">
        <v>485252</v>
      </c>
      <c r="J141" s="63" t="s">
        <v>106</v>
      </c>
      <c r="K141" s="207" t="s">
        <v>122</v>
      </c>
      <c r="L141" s="82"/>
      <c r="M141" s="63"/>
      <c r="N141" s="63"/>
      <c r="O141" s="82"/>
    </row>
    <row r="142" s="3" customFormat="1" ht="18" customHeight="1" spans="1:15">
      <c r="A142" s="74"/>
      <c r="B142" s="25">
        <f t="shared" si="14"/>
        <v>0</v>
      </c>
      <c r="C142" s="75"/>
      <c r="D142" s="76"/>
      <c r="E142" s="77"/>
      <c r="F142" s="25">
        <f t="shared" si="15"/>
        <v>0</v>
      </c>
      <c r="G142" s="198"/>
      <c r="H142" s="36" t="s">
        <v>117</v>
      </c>
      <c r="I142" s="188">
        <v>4789</v>
      </c>
      <c r="J142" s="63" t="s">
        <v>106</v>
      </c>
      <c r="K142" s="207" t="s">
        <v>123</v>
      </c>
      <c r="L142" s="82"/>
      <c r="M142" s="63"/>
      <c r="N142" s="63"/>
      <c r="O142" s="82"/>
    </row>
    <row r="143" s="3" customFormat="1" ht="18" customHeight="1" spans="1:15">
      <c r="A143" s="74"/>
      <c r="B143" s="25">
        <f t="shared" si="14"/>
        <v>0</v>
      </c>
      <c r="C143" s="75"/>
      <c r="D143" s="76"/>
      <c r="E143" s="77"/>
      <c r="F143" s="25">
        <f t="shared" si="15"/>
        <v>0</v>
      </c>
      <c r="G143" s="198"/>
      <c r="H143" s="36" t="s">
        <v>117</v>
      </c>
      <c r="I143" s="188">
        <v>429349</v>
      </c>
      <c r="J143" s="63" t="s">
        <v>106</v>
      </c>
      <c r="K143" s="207" t="s">
        <v>124</v>
      </c>
      <c r="L143" s="82"/>
      <c r="M143" s="63"/>
      <c r="N143" s="63"/>
      <c r="O143" s="82"/>
    </row>
    <row r="144" s="3" customFormat="1" ht="18" customHeight="1" spans="1:15">
      <c r="A144" s="74"/>
      <c r="B144" s="25">
        <f t="shared" si="14"/>
        <v>0</v>
      </c>
      <c r="C144" s="75"/>
      <c r="D144" s="76"/>
      <c r="E144" s="77"/>
      <c r="F144" s="25">
        <f t="shared" si="15"/>
        <v>0</v>
      </c>
      <c r="G144" s="198"/>
      <c r="H144" s="36" t="s">
        <v>117</v>
      </c>
      <c r="I144" s="188">
        <v>87000</v>
      </c>
      <c r="J144" s="63" t="s">
        <v>125</v>
      </c>
      <c r="K144" s="207" t="s">
        <v>126</v>
      </c>
      <c r="L144" s="82"/>
      <c r="M144" s="63"/>
      <c r="N144" s="63"/>
      <c r="O144" s="82"/>
    </row>
    <row r="145" s="2" customFormat="1" ht="18" customHeight="1" spans="1:15">
      <c r="A145" s="48"/>
      <c r="B145" s="25">
        <f t="shared" si="14"/>
        <v>0</v>
      </c>
      <c r="C145" s="49"/>
      <c r="D145" s="50"/>
      <c r="E145" s="70"/>
      <c r="F145" s="25">
        <f t="shared" si="15"/>
        <v>0</v>
      </c>
      <c r="G145" s="189"/>
      <c r="H145" s="36" t="s">
        <v>117</v>
      </c>
      <c r="I145" s="188">
        <v>100</v>
      </c>
      <c r="J145" s="65" t="s">
        <v>106</v>
      </c>
      <c r="K145" s="207" t="s">
        <v>110</v>
      </c>
      <c r="L145" s="82"/>
      <c r="M145" s="56"/>
      <c r="N145" s="65"/>
      <c r="O145" s="67"/>
    </row>
    <row r="146" s="2" customFormat="1" ht="18" customHeight="1" spans="1:15">
      <c r="A146" s="48"/>
      <c r="B146" s="25">
        <f t="shared" si="14"/>
        <v>0</v>
      </c>
      <c r="C146" s="49"/>
      <c r="D146" s="50"/>
      <c r="E146" s="70"/>
      <c r="F146" s="25">
        <f t="shared" si="15"/>
        <v>0</v>
      </c>
      <c r="G146" s="189"/>
      <c r="H146" s="36" t="s">
        <v>117</v>
      </c>
      <c r="I146" s="188"/>
      <c r="J146" s="63"/>
      <c r="K146" s="207"/>
      <c r="L146" s="82"/>
      <c r="M146" s="56"/>
      <c r="N146" s="65"/>
      <c r="O146" s="67"/>
    </row>
    <row r="147" s="2" customFormat="1" ht="18" customHeight="1" spans="1:15">
      <c r="A147" s="48"/>
      <c r="B147" s="25">
        <f t="shared" si="14"/>
        <v>0</v>
      </c>
      <c r="C147" s="49"/>
      <c r="D147" s="50"/>
      <c r="E147" s="70"/>
      <c r="F147" s="25">
        <f t="shared" si="15"/>
        <v>0</v>
      </c>
      <c r="G147" s="189"/>
      <c r="H147" s="36" t="s">
        <v>127</v>
      </c>
      <c r="I147" s="188">
        <v>-93700</v>
      </c>
      <c r="J147" s="63" t="s">
        <v>125</v>
      </c>
      <c r="K147" s="148" t="s">
        <v>126</v>
      </c>
      <c r="L147" s="82"/>
      <c r="M147" s="56"/>
      <c r="N147" s="65"/>
      <c r="O147" s="67"/>
    </row>
    <row r="148" s="2" customFormat="1" ht="18" customHeight="1" spans="1:16">
      <c r="A148" s="48"/>
      <c r="B148" s="25">
        <f t="shared" si="14"/>
        <v>0</v>
      </c>
      <c r="C148" s="49"/>
      <c r="D148" s="50"/>
      <c r="E148" s="70"/>
      <c r="F148" s="25">
        <f t="shared" si="15"/>
        <v>0</v>
      </c>
      <c r="G148" s="189"/>
      <c r="H148" s="36" t="s">
        <v>127</v>
      </c>
      <c r="I148" s="71">
        <v>50</v>
      </c>
      <c r="J148" s="65" t="s">
        <v>106</v>
      </c>
      <c r="K148" s="148" t="s">
        <v>110</v>
      </c>
      <c r="L148" s="82"/>
      <c r="M148" s="56"/>
      <c r="N148" s="65"/>
      <c r="O148" s="67"/>
      <c r="P148" s="2">
        <f>I150+I143+I132</f>
        <v>387045</v>
      </c>
    </row>
    <row r="149" s="2" customFormat="1" ht="18" customHeight="1" spans="1:15">
      <c r="A149" s="48"/>
      <c r="B149" s="25">
        <f t="shared" si="14"/>
        <v>0</v>
      </c>
      <c r="C149" s="49"/>
      <c r="D149" s="50"/>
      <c r="E149" s="70"/>
      <c r="F149" s="25">
        <f t="shared" si="15"/>
        <v>0</v>
      </c>
      <c r="G149" s="189"/>
      <c r="H149" s="36" t="s">
        <v>127</v>
      </c>
      <c r="I149" s="210">
        <v>-21725</v>
      </c>
      <c r="J149" s="56" t="s">
        <v>112</v>
      </c>
      <c r="K149" s="238" t="s">
        <v>159</v>
      </c>
      <c r="L149" s="82"/>
      <c r="M149" s="56"/>
      <c r="N149" s="65"/>
      <c r="O149" s="67"/>
    </row>
    <row r="150" s="2" customFormat="1" ht="18" customHeight="1" spans="1:15">
      <c r="A150" s="48"/>
      <c r="B150" s="25">
        <f t="shared" si="14"/>
        <v>0</v>
      </c>
      <c r="C150" s="49"/>
      <c r="D150" s="50"/>
      <c r="E150" s="46"/>
      <c r="F150" s="25">
        <f t="shared" si="15"/>
        <v>0</v>
      </c>
      <c r="G150" s="189"/>
      <c r="H150" s="36" t="s">
        <v>129</v>
      </c>
      <c r="I150" s="188">
        <v>243021</v>
      </c>
      <c r="J150" s="63" t="s">
        <v>106</v>
      </c>
      <c r="K150" s="207" t="s">
        <v>124</v>
      </c>
      <c r="L150" s="67"/>
      <c r="M150" s="65"/>
      <c r="N150" s="65"/>
      <c r="O150" s="67"/>
    </row>
    <row r="151" s="2" customFormat="1" ht="18" customHeight="1" spans="1:15">
      <c r="A151" s="48"/>
      <c r="B151" s="25">
        <f t="shared" si="14"/>
        <v>0</v>
      </c>
      <c r="C151" s="49"/>
      <c r="D151" s="50"/>
      <c r="E151" s="46"/>
      <c r="F151" s="25">
        <f t="shared" si="15"/>
        <v>0</v>
      </c>
      <c r="G151" s="189"/>
      <c r="H151" s="36" t="s">
        <v>129</v>
      </c>
      <c r="I151" s="188">
        <v>2340</v>
      </c>
      <c r="J151" s="63" t="s">
        <v>106</v>
      </c>
      <c r="K151" s="207" t="s">
        <v>123</v>
      </c>
      <c r="L151" s="67"/>
      <c r="M151" s="65"/>
      <c r="N151" s="65"/>
      <c r="O151" s="67"/>
    </row>
    <row r="152" s="2" customFormat="1" ht="18" customHeight="1" spans="1:15">
      <c r="A152" s="48"/>
      <c r="B152" s="25">
        <f t="shared" si="14"/>
        <v>0</v>
      </c>
      <c r="C152" s="49"/>
      <c r="D152" s="50"/>
      <c r="E152" s="46"/>
      <c r="F152" s="25">
        <f t="shared" si="15"/>
        <v>0</v>
      </c>
      <c r="G152" s="189"/>
      <c r="H152" s="36" t="s">
        <v>129</v>
      </c>
      <c r="I152" s="188">
        <v>500</v>
      </c>
      <c r="J152" s="63" t="s">
        <v>106</v>
      </c>
      <c r="K152" s="148" t="s">
        <v>130</v>
      </c>
      <c r="L152" s="67"/>
      <c r="M152" s="65"/>
      <c r="N152" s="65"/>
      <c r="O152" s="67"/>
    </row>
    <row r="153" s="2" customFormat="1" ht="18" customHeight="1" spans="1:15">
      <c r="A153" s="48"/>
      <c r="B153" s="25"/>
      <c r="C153" s="49"/>
      <c r="D153" s="50"/>
      <c r="E153" s="46"/>
      <c r="F153" s="25"/>
      <c r="G153" s="189"/>
      <c r="H153" s="36" t="s">
        <v>129</v>
      </c>
      <c r="I153" s="210">
        <v>55725</v>
      </c>
      <c r="J153" s="56" t="s">
        <v>120</v>
      </c>
      <c r="K153" s="238" t="s">
        <v>121</v>
      </c>
      <c r="L153" s="67"/>
      <c r="M153" s="65"/>
      <c r="N153" s="65"/>
      <c r="O153" s="67"/>
    </row>
    <row r="154" s="2" customFormat="1" ht="18" customHeight="1" spans="1:15">
      <c r="A154" s="48"/>
      <c r="B154" s="25">
        <f t="shared" ref="B154:B159" si="16">ROUND(G154/(1+E154),2)</f>
        <v>0</v>
      </c>
      <c r="C154" s="49"/>
      <c r="D154" s="50"/>
      <c r="E154" s="46"/>
      <c r="F154" s="25">
        <f t="shared" ref="F154:F159" si="17">ROUND(G154/(1+E154)*E154,2)</f>
        <v>0</v>
      </c>
      <c r="G154" s="189"/>
      <c r="H154" s="36" t="s">
        <v>129</v>
      </c>
      <c r="I154" s="188">
        <v>8500</v>
      </c>
      <c r="J154" s="63" t="s">
        <v>125</v>
      </c>
      <c r="K154" s="148" t="s">
        <v>126</v>
      </c>
      <c r="L154" s="67"/>
      <c r="M154" s="65"/>
      <c r="N154" s="65"/>
      <c r="O154" s="67"/>
    </row>
    <row r="155" s="2" customFormat="1" ht="18" customHeight="1" spans="1:15">
      <c r="A155" s="48"/>
      <c r="B155" s="25">
        <f t="shared" si="16"/>
        <v>0</v>
      </c>
      <c r="C155" s="49"/>
      <c r="D155" s="50"/>
      <c r="E155" s="46"/>
      <c r="F155" s="25">
        <f t="shared" si="17"/>
        <v>0</v>
      </c>
      <c r="G155" s="189"/>
      <c r="H155" s="36" t="s">
        <v>131</v>
      </c>
      <c r="I155" s="188">
        <v>8800</v>
      </c>
      <c r="J155" s="63" t="s">
        <v>125</v>
      </c>
      <c r="K155" s="148" t="s">
        <v>126</v>
      </c>
      <c r="L155" s="67"/>
      <c r="M155" s="65"/>
      <c r="N155" s="65"/>
      <c r="O155" s="67"/>
    </row>
    <row r="156" s="2" customFormat="1" ht="18" customHeight="1" spans="1:15">
      <c r="A156" s="48"/>
      <c r="B156" s="25">
        <f t="shared" si="16"/>
        <v>0</v>
      </c>
      <c r="C156" s="49"/>
      <c r="D156" s="50"/>
      <c r="E156" s="46"/>
      <c r="F156" s="25">
        <f t="shared" si="17"/>
        <v>0</v>
      </c>
      <c r="G156" s="189"/>
      <c r="H156" s="36" t="s">
        <v>131</v>
      </c>
      <c r="I156" s="188">
        <v>35200</v>
      </c>
      <c r="J156" s="63" t="s">
        <v>125</v>
      </c>
      <c r="K156" s="148" t="s">
        <v>126</v>
      </c>
      <c r="L156" s="67"/>
      <c r="M156" s="65"/>
      <c r="N156" s="65"/>
      <c r="O156" s="67"/>
    </row>
    <row r="157" s="2" customFormat="1" ht="18" customHeight="1" spans="1:15">
      <c r="A157" s="48"/>
      <c r="B157" s="25">
        <f t="shared" si="16"/>
        <v>0</v>
      </c>
      <c r="C157" s="49"/>
      <c r="D157" s="50"/>
      <c r="E157" s="46"/>
      <c r="F157" s="25">
        <f t="shared" si="17"/>
        <v>0</v>
      </c>
      <c r="G157" s="189"/>
      <c r="H157" s="36" t="s">
        <v>131</v>
      </c>
      <c r="I157" s="188">
        <f>B9*E174</f>
        <v>2400</v>
      </c>
      <c r="J157" s="63" t="s">
        <v>106</v>
      </c>
      <c r="K157" s="148" t="s">
        <v>132</v>
      </c>
      <c r="L157" s="67"/>
      <c r="M157" s="65"/>
      <c r="N157" s="65"/>
      <c r="O157" s="67"/>
    </row>
    <row r="158" s="1" customFormat="1" ht="18" customHeight="1" spans="1:15">
      <c r="A158" s="43"/>
      <c r="B158" s="25">
        <f t="shared" si="16"/>
        <v>0</v>
      </c>
      <c r="C158" s="44"/>
      <c r="D158" s="45"/>
      <c r="E158" s="46"/>
      <c r="F158" s="25">
        <f t="shared" si="17"/>
        <v>0</v>
      </c>
      <c r="G158" s="189"/>
      <c r="H158" s="31" t="s">
        <v>133</v>
      </c>
      <c r="I158" s="188">
        <v>41200</v>
      </c>
      <c r="J158" s="63" t="s">
        <v>125</v>
      </c>
      <c r="K158" s="148" t="s">
        <v>126</v>
      </c>
      <c r="L158" s="60"/>
      <c r="M158" s="61"/>
      <c r="N158" s="61"/>
      <c r="O158" s="60"/>
    </row>
    <row r="159" s="1" customFormat="1" ht="18" customHeight="1" spans="1:15">
      <c r="A159" s="43"/>
      <c r="B159" s="25">
        <f t="shared" si="16"/>
        <v>0</v>
      </c>
      <c r="C159" s="44"/>
      <c r="D159" s="45"/>
      <c r="E159" s="46"/>
      <c r="F159" s="25">
        <f t="shared" si="17"/>
        <v>0</v>
      </c>
      <c r="G159" s="189"/>
      <c r="H159" s="31" t="s">
        <v>133</v>
      </c>
      <c r="I159" s="188">
        <v>2248</v>
      </c>
      <c r="J159" s="63" t="s">
        <v>106</v>
      </c>
      <c r="K159" s="148" t="s">
        <v>160</v>
      </c>
      <c r="L159" s="60"/>
      <c r="M159" s="61"/>
      <c r="N159" s="61"/>
      <c r="O159" s="60"/>
    </row>
    <row r="160" s="1" customFormat="1" ht="18" customHeight="1" spans="1:15">
      <c r="A160" s="43"/>
      <c r="B160" s="25"/>
      <c r="C160" s="44"/>
      <c r="D160" s="45"/>
      <c r="E160" s="46"/>
      <c r="F160" s="25"/>
      <c r="G160" s="189"/>
      <c r="H160" s="36" t="s">
        <v>134</v>
      </c>
      <c r="I160" s="188">
        <v>2782</v>
      </c>
      <c r="J160" s="63" t="s">
        <v>106</v>
      </c>
      <c r="K160" s="148" t="s">
        <v>160</v>
      </c>
      <c r="L160" s="60"/>
      <c r="M160" s="61"/>
      <c r="N160" s="61"/>
      <c r="O160" s="60"/>
    </row>
    <row r="161" s="1" customFormat="1" ht="18" customHeight="1" spans="1:15">
      <c r="A161" s="43"/>
      <c r="B161" s="25">
        <f>ROUND(G161/(1+E161),2)</f>
        <v>0</v>
      </c>
      <c r="C161" s="44"/>
      <c r="D161" s="45"/>
      <c r="E161" s="46"/>
      <c r="F161" s="25">
        <f>ROUND(G161/(1+E161)*E161,2)</f>
        <v>0</v>
      </c>
      <c r="G161" s="189"/>
      <c r="H161" s="36" t="s">
        <v>134</v>
      </c>
      <c r="I161" s="188">
        <v>950</v>
      </c>
      <c r="J161" s="63" t="s">
        <v>106</v>
      </c>
      <c r="K161" s="148" t="s">
        <v>130</v>
      </c>
      <c r="L161" s="60"/>
      <c r="M161" s="61"/>
      <c r="N161" s="61"/>
      <c r="O161" s="60"/>
    </row>
    <row r="162" s="1" customFormat="1" ht="18" customHeight="1" spans="1:15">
      <c r="A162" s="43"/>
      <c r="B162" s="25">
        <f>ROUND(G162/(1+E162),2)</f>
        <v>132850</v>
      </c>
      <c r="C162" s="44"/>
      <c r="D162" s="45"/>
      <c r="E162" s="46"/>
      <c r="F162" s="25">
        <f>ROUND(G162/(1+E162)*E162,2)</f>
        <v>0</v>
      </c>
      <c r="G162" s="189">
        <f>46100+17600+4400+17000+4250+34800+8700</f>
        <v>132850</v>
      </c>
      <c r="H162" s="31"/>
      <c r="I162" s="32">
        <f>G162</f>
        <v>132850</v>
      </c>
      <c r="J162" s="63" t="s">
        <v>106</v>
      </c>
      <c r="K162" s="148" t="s">
        <v>161</v>
      </c>
      <c r="L162" s="60"/>
      <c r="M162" s="61"/>
      <c r="N162" s="61"/>
      <c r="O162" s="60"/>
    </row>
    <row r="163" s="1" customFormat="1" ht="18" customHeight="1" spans="1:15">
      <c r="A163" s="43"/>
      <c r="B163" s="25"/>
      <c r="C163" s="44"/>
      <c r="D163" s="45"/>
      <c r="E163" s="46"/>
      <c r="F163" s="25"/>
      <c r="G163" s="239"/>
      <c r="H163" s="31"/>
      <c r="I163" s="141">
        <v>-3000000</v>
      </c>
      <c r="J163" s="249"/>
      <c r="K163" s="250" t="s">
        <v>162</v>
      </c>
      <c r="L163" s="60"/>
      <c r="M163" s="61"/>
      <c r="N163" s="61"/>
      <c r="O163" s="60"/>
    </row>
    <row r="164" ht="18" customHeight="1" spans="1:15">
      <c r="A164" s="39" t="s">
        <v>22</v>
      </c>
      <c r="B164" s="38">
        <f>SUM(B24:B162)</f>
        <v>32667859.4</v>
      </c>
      <c r="C164" s="39"/>
      <c r="D164" s="240"/>
      <c r="E164" s="240"/>
      <c r="F164" s="241">
        <f>SUM(F24:F162)</f>
        <v>1901421.18</v>
      </c>
      <c r="G164" s="242">
        <f>SUM(G24:G162)</f>
        <v>34569280.58</v>
      </c>
      <c r="H164" s="243"/>
      <c r="I164" s="190">
        <f>SUM(I24:I163)</f>
        <v>30966813.4885321</v>
      </c>
      <c r="J164" s="251"/>
      <c r="K164" s="252"/>
      <c r="L164" s="191"/>
      <c r="M164" s="40"/>
      <c r="N164" s="40"/>
      <c r="O164" s="191"/>
    </row>
    <row r="165" ht="18" customHeight="1" spans="1:14">
      <c r="A165" s="99"/>
      <c r="B165" s="100">
        <f>B21*0.92-B164</f>
        <v>-5982641.71859883</v>
      </c>
      <c r="C165" s="99"/>
      <c r="D165" s="244"/>
      <c r="E165" s="244"/>
      <c r="F165" s="100">
        <f>F21-F164</f>
        <v>252793.999316096</v>
      </c>
      <c r="G165" s="100"/>
      <c r="H165" s="30" t="s">
        <v>136</v>
      </c>
      <c r="I165" s="190">
        <f>I21-I164</f>
        <v>773186.511467889</v>
      </c>
      <c r="J165" s="14"/>
      <c r="K165" s="253"/>
      <c r="M165" s="13"/>
      <c r="N165" s="13"/>
    </row>
    <row r="166" ht="18" customHeight="1" spans="1:3">
      <c r="A166" s="6" t="s">
        <v>137</v>
      </c>
      <c r="C166" s="6"/>
    </row>
    <row r="167" ht="18" customHeight="1" spans="1:17">
      <c r="A167" s="30" t="s">
        <v>138</v>
      </c>
      <c r="B167" s="28" t="s">
        <v>139</v>
      </c>
      <c r="C167" s="191"/>
      <c r="D167" s="30" t="s">
        <v>138</v>
      </c>
      <c r="E167" s="27" t="s">
        <v>15</v>
      </c>
      <c r="F167" s="28" t="s">
        <v>139</v>
      </c>
      <c r="G167" s="28" t="s">
        <v>140</v>
      </c>
      <c r="H167" s="28" t="s">
        <v>141</v>
      </c>
      <c r="I167" s="28" t="s">
        <v>142</v>
      </c>
      <c r="K167" s="28" t="s">
        <v>143</v>
      </c>
      <c r="L167" s="254"/>
      <c r="M167" s="28" t="s">
        <v>144</v>
      </c>
      <c r="N167" s="134" t="s">
        <v>144</v>
      </c>
      <c r="O167" s="255"/>
      <c r="P167" s="242" t="s">
        <v>145</v>
      </c>
      <c r="Q167" s="242" t="s">
        <v>163</v>
      </c>
    </row>
    <row r="168" ht="18" customHeight="1" spans="1:17">
      <c r="A168" s="191" t="s">
        <v>146</v>
      </c>
      <c r="B168" s="25">
        <f>(B21-B164)*0.25</f>
        <v>-915547.00179316</v>
      </c>
      <c r="C168" s="191"/>
      <c r="D168" s="18" t="s">
        <v>147</v>
      </c>
      <c r="E168" s="40" t="s">
        <v>148</v>
      </c>
      <c r="F168" s="245">
        <f>F21-F164</f>
        <v>252793.999316096</v>
      </c>
      <c r="G168" s="245">
        <f>F7-F24-F26-F29-F30-F33</f>
        <v>-333763.749090909</v>
      </c>
      <c r="H168" s="245">
        <f>F8-F38</f>
        <v>299461.603636364</v>
      </c>
      <c r="I168" s="245">
        <f>F9-F40-F41-F43-F48-F49-F50-F51-F53</f>
        <v>49772.4599999999</v>
      </c>
      <c r="K168" s="245">
        <f>F10-F74-F75-F76-F77-F78</f>
        <v>205457.659816514</v>
      </c>
      <c r="L168" s="254"/>
      <c r="M168" s="245">
        <f>F11-F79-F87-F88-F90</f>
        <v>390316.376330275</v>
      </c>
      <c r="N168" s="134">
        <v>-259385.7</v>
      </c>
      <c r="O168" s="255"/>
      <c r="P168" s="242"/>
      <c r="Q168" s="265"/>
    </row>
    <row r="169" ht="18" customHeight="1" spans="1:17">
      <c r="A169" s="191" t="s">
        <v>149</v>
      </c>
      <c r="B169" s="21" t="s">
        <v>150</v>
      </c>
      <c r="C169" s="191"/>
      <c r="D169" s="246" t="s">
        <v>151</v>
      </c>
      <c r="E169" s="22">
        <v>0.05</v>
      </c>
      <c r="F169" s="32">
        <f>F168*E169</f>
        <v>12639.6999658048</v>
      </c>
      <c r="G169" s="32">
        <v>0</v>
      </c>
      <c r="H169" s="32">
        <v>0</v>
      </c>
      <c r="I169" s="32">
        <v>0</v>
      </c>
      <c r="K169" s="32">
        <f>K168*E169</f>
        <v>10272.8829908257</v>
      </c>
      <c r="L169" s="254"/>
      <c r="M169" s="32">
        <f>M168*E169</f>
        <v>19515.8188165138</v>
      </c>
      <c r="N169" s="134">
        <f>N168*E169</f>
        <v>-12969.285</v>
      </c>
      <c r="O169" s="255"/>
      <c r="P169" s="242"/>
      <c r="Q169" s="265"/>
    </row>
    <row r="170" ht="18" customHeight="1" spans="1:17">
      <c r="A170" s="191" t="s">
        <v>123</v>
      </c>
      <c r="B170" s="247">
        <f>B21*0.0006</f>
        <v>17403.4028356964</v>
      </c>
      <c r="C170" s="191"/>
      <c r="D170" s="246" t="s">
        <v>152</v>
      </c>
      <c r="E170" s="22">
        <v>0.03</v>
      </c>
      <c r="F170" s="32">
        <f>F168*E170</f>
        <v>7583.81997948289</v>
      </c>
      <c r="G170" s="32">
        <v>0</v>
      </c>
      <c r="H170" s="32">
        <v>0</v>
      </c>
      <c r="I170" s="32">
        <v>0</v>
      </c>
      <c r="K170" s="32">
        <f>K168*E170</f>
        <v>6163.72979449541</v>
      </c>
      <c r="L170" s="254"/>
      <c r="M170" s="32">
        <f>M168*E170</f>
        <v>11709.4912899083</v>
      </c>
      <c r="N170" s="134">
        <f>N168*E170</f>
        <v>-7781.571</v>
      </c>
      <c r="O170" s="255"/>
      <c r="P170" s="242"/>
      <c r="Q170" s="265"/>
    </row>
    <row r="171" ht="18" customHeight="1" spans="1:17">
      <c r="A171" s="191"/>
      <c r="B171" s="32"/>
      <c r="C171" s="191"/>
      <c r="D171" s="246" t="s">
        <v>153</v>
      </c>
      <c r="E171" s="22">
        <v>0.02</v>
      </c>
      <c r="F171" s="32">
        <f>F168*E171</f>
        <v>5055.87998632193</v>
      </c>
      <c r="G171" s="32">
        <v>0</v>
      </c>
      <c r="H171" s="32">
        <v>0</v>
      </c>
      <c r="I171" s="32">
        <v>0</v>
      </c>
      <c r="K171" s="32">
        <f>K168*E171</f>
        <v>4109.15319633028</v>
      </c>
      <c r="L171" s="254"/>
      <c r="M171" s="32">
        <f>M168*E171</f>
        <v>7806.32752660551</v>
      </c>
      <c r="N171" s="134">
        <f>N168*E171</f>
        <v>-5187.714</v>
      </c>
      <c r="O171" s="255"/>
      <c r="P171" s="242"/>
      <c r="Q171" s="265"/>
    </row>
    <row r="172" ht="18" customHeight="1" spans="1:17">
      <c r="A172" s="37" t="s">
        <v>154</v>
      </c>
      <c r="B172" s="38">
        <f>SUM(B168:B171)</f>
        <v>-898143.598957464</v>
      </c>
      <c r="C172" s="191"/>
      <c r="D172" s="37" t="s">
        <v>154</v>
      </c>
      <c r="E172" s="37"/>
      <c r="F172" s="241">
        <f>SUM(F168:F171)</f>
        <v>278073.399247706</v>
      </c>
      <c r="G172" s="241">
        <v>0</v>
      </c>
      <c r="H172" s="241">
        <v>0</v>
      </c>
      <c r="I172" s="241">
        <v>0</v>
      </c>
      <c r="K172" s="241">
        <f t="shared" ref="K172:N172" si="18">SUM(K168:K171)</f>
        <v>226003.425798165</v>
      </c>
      <c r="L172" s="254"/>
      <c r="M172" s="241">
        <f t="shared" si="18"/>
        <v>429348.013963303</v>
      </c>
      <c r="N172" s="134">
        <f t="shared" si="18"/>
        <v>-285324.27</v>
      </c>
      <c r="O172" s="255"/>
      <c r="P172" s="242"/>
      <c r="Q172" s="265"/>
    </row>
    <row r="173" ht="18" customHeight="1" spans="3:17">
      <c r="C173" s="6"/>
      <c r="D173" s="20" t="s">
        <v>149</v>
      </c>
      <c r="E173" s="248">
        <v>0.0003</v>
      </c>
      <c r="F173" s="32">
        <v>0</v>
      </c>
      <c r="G173" s="32"/>
      <c r="H173" s="32"/>
      <c r="I173" s="32">
        <v>0</v>
      </c>
      <c r="K173" s="32"/>
      <c r="M173" s="32"/>
      <c r="N173" s="134"/>
      <c r="O173" s="255"/>
      <c r="P173" s="242"/>
      <c r="Q173" s="265"/>
    </row>
    <row r="174" ht="18" customHeight="1" spans="3:17">
      <c r="C174" s="6"/>
      <c r="D174" s="20" t="s">
        <v>123</v>
      </c>
      <c r="E174" s="248">
        <v>0.0006</v>
      </c>
      <c r="F174" s="32">
        <f>B21*E174</f>
        <v>17403.4028356964</v>
      </c>
      <c r="G174" s="32">
        <f>B7*E174</f>
        <v>2781.81818181818</v>
      </c>
      <c r="H174" s="32">
        <f>B8*E174</f>
        <v>2247.27272727273</v>
      </c>
      <c r="I174" s="32">
        <f>B9*E174</f>
        <v>2400</v>
      </c>
      <c r="K174" s="32">
        <f>B10*E174</f>
        <v>2339.4495412844</v>
      </c>
      <c r="L174" s="254"/>
      <c r="M174" s="32">
        <f>B11*E174</f>
        <v>4788.99082568807</v>
      </c>
      <c r="N174" s="134"/>
      <c r="O174" s="255"/>
      <c r="P174" s="242">
        <v>853.21</v>
      </c>
      <c r="Q174" s="265">
        <f>E174*B13</f>
        <v>1992.66055045872</v>
      </c>
    </row>
    <row r="175" ht="18" customHeight="1" spans="3:17">
      <c r="C175" s="6"/>
      <c r="D175" s="39" t="s">
        <v>22</v>
      </c>
      <c r="E175" s="39"/>
      <c r="F175" s="190">
        <f>F172+F173+F174</f>
        <v>295476.802083402</v>
      </c>
      <c r="G175" s="190"/>
      <c r="H175" s="190"/>
      <c r="I175" s="190"/>
      <c r="K175" s="190"/>
      <c r="M175" s="191">
        <f>M172+M174</f>
        <v>434137.004788991</v>
      </c>
      <c r="N175" s="134"/>
      <c r="O175" s="255"/>
      <c r="P175" s="242"/>
      <c r="Q175" s="265"/>
    </row>
    <row r="176" ht="18" customHeight="1" spans="3:17">
      <c r="C176" s="6"/>
      <c r="D176" s="20" t="s">
        <v>121</v>
      </c>
      <c r="E176" s="248">
        <v>0.02</v>
      </c>
      <c r="F176" s="32">
        <f>B21*E176</f>
        <v>580113.427856547</v>
      </c>
      <c r="G176" s="32"/>
      <c r="H176" s="32"/>
      <c r="I176" s="32"/>
      <c r="K176" s="190"/>
      <c r="M176" s="32">
        <f>(SUM(B7:B11))*E176</f>
        <v>485251.042535446</v>
      </c>
      <c r="N176" s="134"/>
      <c r="O176" s="255"/>
      <c r="P176" s="242">
        <f>B12*0.02</f>
        <v>28440.3669724771</v>
      </c>
      <c r="Q176" s="265">
        <f>G13*E176</f>
        <v>72400</v>
      </c>
    </row>
    <row r="177" ht="18" customHeight="1" spans="3:3">
      <c r="C177" s="6"/>
    </row>
    <row r="178" ht="18" customHeight="1" spans="3:3">
      <c r="C178" s="6"/>
    </row>
    <row r="179" ht="18" customHeight="1" spans="3:3">
      <c r="C179" s="6"/>
    </row>
    <row r="180" spans="3:3">
      <c r="C180" s="6"/>
    </row>
    <row r="181" spans="3:3">
      <c r="C181" s="6"/>
    </row>
    <row r="182" spans="3:3">
      <c r="C182" s="6"/>
    </row>
    <row r="183" spans="3:3">
      <c r="C183" s="6"/>
    </row>
    <row r="184" spans="3:3">
      <c r="C184" s="6"/>
    </row>
    <row r="185" spans="3:3">
      <c r="C185" s="6"/>
    </row>
    <row r="186" spans="3:3">
      <c r="C186" s="6"/>
    </row>
    <row r="187" spans="3:3">
      <c r="C187" s="6"/>
    </row>
    <row r="188" spans="3:3">
      <c r="C188" s="6"/>
    </row>
    <row r="189" spans="3:3">
      <c r="C189" s="6"/>
    </row>
    <row r="190" spans="3:3">
      <c r="C190" s="6"/>
    </row>
    <row r="191" spans="3:3">
      <c r="C191" s="6"/>
    </row>
    <row r="192" spans="3:3">
      <c r="C192" s="6"/>
    </row>
    <row r="193" spans="3:3">
      <c r="C193" s="6"/>
    </row>
    <row r="194" spans="3:3">
      <c r="C194" s="6"/>
    </row>
    <row r="195" spans="3:3">
      <c r="C195" s="6"/>
    </row>
  </sheetData>
  <autoFilter ref="A23:Q110">
    <extLst/>
  </autoFilter>
  <mergeCells count="18">
    <mergeCell ref="A1:J1"/>
    <mergeCell ref="H2:J2"/>
    <mergeCell ref="C5:D5"/>
    <mergeCell ref="E5:F5"/>
    <mergeCell ref="H5:J5"/>
    <mergeCell ref="N167:O167"/>
    <mergeCell ref="N168:O168"/>
    <mergeCell ref="N169:O169"/>
    <mergeCell ref="N170:O170"/>
    <mergeCell ref="N171:O171"/>
    <mergeCell ref="N172:O172"/>
    <mergeCell ref="N173:O173"/>
    <mergeCell ref="N174:O174"/>
    <mergeCell ref="N175:O175"/>
    <mergeCell ref="N176:O176"/>
    <mergeCell ref="A5:A6"/>
    <mergeCell ref="B5:B6"/>
    <mergeCell ref="G5:G6"/>
  </mergeCell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5"/>
  <sheetViews>
    <sheetView topLeftCell="A97" workbookViewId="0">
      <selection activeCell="H118" sqref="H118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/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/>
      <c r="B14" s="32">
        <f t="shared" si="0"/>
        <v>0</v>
      </c>
      <c r="C14" s="33"/>
      <c r="D14" s="188">
        <f t="shared" si="1"/>
        <v>0</v>
      </c>
      <c r="E14" s="33"/>
      <c r="F14" s="32">
        <f t="shared" si="2"/>
        <v>0</v>
      </c>
      <c r="G14" s="189"/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>
        <f>G20/(1+C20+E20)</f>
        <v>0</v>
      </c>
      <c r="C20" s="33"/>
      <c r="D20" s="188">
        <f>G20/(1+E20+C20)*C20</f>
        <v>0</v>
      </c>
      <c r="E20" s="33"/>
      <c r="F20" s="32">
        <f>G20/(1+C20+E20)*E20</f>
        <v>0</v>
      </c>
      <c r="G20" s="189"/>
      <c r="H20" s="14"/>
      <c r="I20" s="14"/>
      <c r="J20" s="40"/>
    </row>
    <row r="21" ht="18" customHeight="1" spans="1:10">
      <c r="A21" s="37" t="s">
        <v>22</v>
      </c>
      <c r="B21" s="38">
        <f t="shared" ref="B21:G21" si="3">SUM(B7:B20)</f>
        <v>29005671.3928274</v>
      </c>
      <c r="C21" s="39"/>
      <c r="D21" s="190">
        <f t="shared" si="3"/>
        <v>580113.427856547</v>
      </c>
      <c r="E21" s="39"/>
      <c r="F21" s="190">
        <f t="shared" si="3"/>
        <v>2154215.1793161</v>
      </c>
      <c r="G21" s="190">
        <f t="shared" si="3"/>
        <v>31740000</v>
      </c>
      <c r="H21" s="191"/>
      <c r="I21" s="190">
        <f>SUM(I7:I19)</f>
        <v>31740000</v>
      </c>
      <c r="J21" s="191"/>
    </row>
    <row r="22" ht="18" customHeight="1" spans="1:12">
      <c r="A22" s="6" t="s">
        <v>23</v>
      </c>
      <c r="J22" s="8"/>
      <c r="K22" s="8"/>
      <c r="L22" s="186"/>
    </row>
    <row r="23" ht="18" customHeight="1" spans="1:15">
      <c r="A23" s="41" t="s">
        <v>24</v>
      </c>
      <c r="B23" s="28" t="s">
        <v>25</v>
      </c>
      <c r="C23" s="27" t="s">
        <v>26</v>
      </c>
      <c r="D23" s="27" t="s">
        <v>27</v>
      </c>
      <c r="E23" s="27" t="s">
        <v>15</v>
      </c>
      <c r="F23" s="28" t="s">
        <v>28</v>
      </c>
      <c r="G23" s="28" t="s">
        <v>13</v>
      </c>
      <c r="H23" s="27" t="s">
        <v>29</v>
      </c>
      <c r="I23" s="28" t="s">
        <v>30</v>
      </c>
      <c r="J23" s="27" t="s">
        <v>19</v>
      </c>
      <c r="K23" s="54" t="s">
        <v>31</v>
      </c>
      <c r="L23" s="30" t="s">
        <v>32</v>
      </c>
      <c r="M23" s="30" t="s">
        <v>33</v>
      </c>
      <c r="N23" s="30" t="s">
        <v>34</v>
      </c>
      <c r="O23" s="30" t="s">
        <v>35</v>
      </c>
    </row>
    <row r="24" s="1" customFormat="1" ht="18" customHeight="1" spans="1:15">
      <c r="A24" s="43">
        <v>43070</v>
      </c>
      <c r="B24" s="25">
        <f t="shared" ref="B24:B87" si="4">ROUND(G24/(1+E24),2)</f>
        <v>2830.19</v>
      </c>
      <c r="C24" s="44"/>
      <c r="D24" s="45" t="s">
        <v>36</v>
      </c>
      <c r="E24" s="46">
        <v>0.06</v>
      </c>
      <c r="F24" s="25">
        <f t="shared" ref="F24:F87" si="5">ROUND(G24/(1+E24)*E24,2)</f>
        <v>169.81</v>
      </c>
      <c r="G24" s="189">
        <v>3000</v>
      </c>
      <c r="H24" s="31"/>
      <c r="I24" s="32"/>
      <c r="J24" s="40"/>
      <c r="K24" s="147" t="s">
        <v>37</v>
      </c>
      <c r="L24" s="60" t="s">
        <v>38</v>
      </c>
      <c r="M24" s="61"/>
      <c r="N24" s="61"/>
      <c r="O24" s="60"/>
    </row>
    <row r="25" s="1" customFormat="1" ht="18" customHeight="1" spans="1:15">
      <c r="A25" s="43">
        <v>43071</v>
      </c>
      <c r="B25" s="25">
        <f t="shared" si="4"/>
        <v>3000</v>
      </c>
      <c r="C25" s="44"/>
      <c r="D25" s="45" t="s">
        <v>39</v>
      </c>
      <c r="E25" s="46"/>
      <c r="F25" s="25">
        <f t="shared" si="5"/>
        <v>0</v>
      </c>
      <c r="G25" s="189">
        <v>3000</v>
      </c>
      <c r="H25" s="31"/>
      <c r="I25" s="32"/>
      <c r="J25" s="40"/>
      <c r="K25" s="147"/>
      <c r="L25" s="60" t="s">
        <v>38</v>
      </c>
      <c r="M25" s="61"/>
      <c r="N25" s="61"/>
      <c r="O25" s="60"/>
    </row>
    <row r="26" s="1" customFormat="1" ht="18" customHeight="1" spans="1:15">
      <c r="A26" s="43">
        <v>43072</v>
      </c>
      <c r="B26" s="25">
        <f t="shared" si="4"/>
        <v>12824.53</v>
      </c>
      <c r="C26" s="44"/>
      <c r="D26" s="45" t="s">
        <v>36</v>
      </c>
      <c r="E26" s="46">
        <v>0.06</v>
      </c>
      <c r="F26" s="25">
        <f t="shared" si="5"/>
        <v>769.47</v>
      </c>
      <c r="G26" s="189">
        <v>13594</v>
      </c>
      <c r="H26" s="31"/>
      <c r="I26" s="32"/>
      <c r="J26" s="40"/>
      <c r="K26" s="147" t="s">
        <v>40</v>
      </c>
      <c r="L26" s="60" t="s">
        <v>41</v>
      </c>
      <c r="M26" s="61"/>
      <c r="N26" s="61"/>
      <c r="O26" s="60"/>
    </row>
    <row r="27" s="1" customFormat="1" ht="18" customHeight="1" spans="1:15">
      <c r="A27" s="43">
        <v>43073</v>
      </c>
      <c r="B27" s="25">
        <f t="shared" si="4"/>
        <v>1206</v>
      </c>
      <c r="C27" s="44"/>
      <c r="D27" s="45" t="s">
        <v>39</v>
      </c>
      <c r="E27" s="46"/>
      <c r="F27" s="25">
        <f t="shared" si="5"/>
        <v>0</v>
      </c>
      <c r="G27" s="189">
        <v>1206</v>
      </c>
      <c r="H27" s="31"/>
      <c r="I27" s="32"/>
      <c r="J27" s="40"/>
      <c r="K27" s="147"/>
      <c r="L27" s="60" t="s">
        <v>42</v>
      </c>
      <c r="M27" s="61"/>
      <c r="N27" s="61"/>
      <c r="O27" s="60"/>
    </row>
    <row r="28" s="1" customFormat="1" ht="18" customHeight="1" spans="1:15">
      <c r="A28" s="43">
        <v>43074</v>
      </c>
      <c r="B28" s="25">
        <f t="shared" si="4"/>
        <v>13191.34</v>
      </c>
      <c r="C28" s="44"/>
      <c r="D28" s="45" t="s">
        <v>39</v>
      </c>
      <c r="E28" s="46"/>
      <c r="F28" s="25">
        <f t="shared" si="5"/>
        <v>0</v>
      </c>
      <c r="G28" s="189">
        <v>13191.34</v>
      </c>
      <c r="H28" s="31"/>
      <c r="I28" s="32"/>
      <c r="J28" s="40"/>
      <c r="K28" s="147"/>
      <c r="L28" s="60" t="s">
        <v>43</v>
      </c>
      <c r="M28" s="61"/>
      <c r="N28" s="61"/>
      <c r="O28" s="60"/>
    </row>
    <row r="29" s="1" customFormat="1" ht="18" customHeight="1" spans="1:15">
      <c r="A29" s="43">
        <v>43149</v>
      </c>
      <c r="B29" s="25">
        <f t="shared" si="4"/>
        <v>1924.53</v>
      </c>
      <c r="C29" s="44"/>
      <c r="D29" s="45" t="s">
        <v>36</v>
      </c>
      <c r="E29" s="46">
        <v>0.06</v>
      </c>
      <c r="F29" s="25">
        <f t="shared" si="5"/>
        <v>115.47</v>
      </c>
      <c r="G29" s="189">
        <v>2040</v>
      </c>
      <c r="H29" s="31"/>
      <c r="I29" s="32"/>
      <c r="J29" s="40"/>
      <c r="K29" s="147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43177</v>
      </c>
      <c r="B30" s="25">
        <f t="shared" si="4"/>
        <v>2830.19</v>
      </c>
      <c r="C30" s="44"/>
      <c r="D30" s="45" t="s">
        <v>36</v>
      </c>
      <c r="E30" s="46">
        <v>0.06</v>
      </c>
      <c r="F30" s="25">
        <f t="shared" si="5"/>
        <v>169.81</v>
      </c>
      <c r="G30" s="189">
        <v>3000</v>
      </c>
      <c r="H30" s="31"/>
      <c r="I30" s="32"/>
      <c r="J30" s="40"/>
      <c r="K30" s="147" t="s">
        <v>44</v>
      </c>
      <c r="L30" s="60" t="s">
        <v>45</v>
      </c>
      <c r="M30" s="61"/>
      <c r="N30" s="61"/>
      <c r="O30" s="60"/>
    </row>
    <row r="31" s="1" customFormat="1" ht="18" customHeight="1" spans="1:15">
      <c r="A31" s="43">
        <v>43178</v>
      </c>
      <c r="B31" s="25">
        <f t="shared" si="4"/>
        <v>12529.12</v>
      </c>
      <c r="C31" s="44"/>
      <c r="D31" s="45" t="s">
        <v>39</v>
      </c>
      <c r="E31" s="46"/>
      <c r="F31" s="25">
        <f t="shared" si="5"/>
        <v>0</v>
      </c>
      <c r="G31" s="189">
        <v>12529.12</v>
      </c>
      <c r="H31" s="31"/>
      <c r="I31" s="32"/>
      <c r="J31" s="40"/>
      <c r="K31" s="147"/>
      <c r="L31" s="60" t="s">
        <v>46</v>
      </c>
      <c r="M31" s="61"/>
      <c r="N31" s="61"/>
      <c r="O31" s="60"/>
    </row>
    <row r="32" s="1" customFormat="1" ht="18" customHeight="1" spans="1:15">
      <c r="A32" s="43">
        <v>43177</v>
      </c>
      <c r="B32" s="25">
        <f t="shared" si="4"/>
        <v>7575</v>
      </c>
      <c r="C32" s="44"/>
      <c r="D32" s="45" t="s">
        <v>39</v>
      </c>
      <c r="E32" s="46"/>
      <c r="F32" s="25">
        <f t="shared" si="5"/>
        <v>0</v>
      </c>
      <c r="G32" s="189">
        <v>7575</v>
      </c>
      <c r="H32" s="31"/>
      <c r="I32" s="32"/>
      <c r="J32" s="40"/>
      <c r="K32" s="147"/>
      <c r="L32" s="60" t="s">
        <v>46</v>
      </c>
      <c r="M32" s="61"/>
      <c r="N32" s="61"/>
      <c r="O32" s="60"/>
    </row>
    <row r="33" s="1" customFormat="1" ht="18" customHeight="1" spans="1:15">
      <c r="A33" s="43">
        <v>43238</v>
      </c>
      <c r="B33" s="25">
        <f t="shared" si="4"/>
        <v>4396551.72</v>
      </c>
      <c r="C33" s="44"/>
      <c r="D33" s="45" t="s">
        <v>36</v>
      </c>
      <c r="E33" s="46">
        <v>0.16</v>
      </c>
      <c r="F33" s="25">
        <f t="shared" si="5"/>
        <v>703448.28</v>
      </c>
      <c r="G33" s="189">
        <v>5100000</v>
      </c>
      <c r="H33" s="31">
        <v>43251</v>
      </c>
      <c r="I33" s="32">
        <v>2500000</v>
      </c>
      <c r="J33" s="40" t="s">
        <v>20</v>
      </c>
      <c r="K33" s="147" t="s">
        <v>47</v>
      </c>
      <c r="L33" s="60" t="s">
        <v>48</v>
      </c>
      <c r="M33" s="61"/>
      <c r="N33" s="61"/>
      <c r="O33" s="60"/>
    </row>
    <row r="34" s="1" customFormat="1" ht="18" customHeight="1" spans="1:15">
      <c r="A34" s="43"/>
      <c r="B34" s="25">
        <f t="shared" si="4"/>
        <v>0</v>
      </c>
      <c r="C34" s="44"/>
      <c r="D34" s="45"/>
      <c r="E34" s="46"/>
      <c r="F34" s="25">
        <f t="shared" si="5"/>
        <v>0</v>
      </c>
      <c r="G34" s="189"/>
      <c r="H34" s="31" t="s">
        <v>49</v>
      </c>
      <c r="I34" s="32">
        <v>2530768</v>
      </c>
      <c r="J34" s="40" t="s">
        <v>20</v>
      </c>
      <c r="K34" s="147" t="s">
        <v>47</v>
      </c>
      <c r="L34" s="60"/>
      <c r="M34" s="61"/>
      <c r="N34" s="61"/>
      <c r="O34" s="60"/>
    </row>
    <row r="35" s="1" customFormat="1" ht="18" customHeight="1" spans="1:15">
      <c r="A35" s="43"/>
      <c r="B35" s="25">
        <f t="shared" si="4"/>
        <v>0</v>
      </c>
      <c r="C35" s="44"/>
      <c r="D35" s="45"/>
      <c r="E35" s="46"/>
      <c r="F35" s="25">
        <f t="shared" si="5"/>
        <v>0</v>
      </c>
      <c r="G35" s="189"/>
      <c r="H35" s="31" t="s">
        <v>49</v>
      </c>
      <c r="I35" s="32">
        <v>69232</v>
      </c>
      <c r="J35" s="40" t="s">
        <v>20</v>
      </c>
      <c r="K35" s="147" t="s">
        <v>47</v>
      </c>
      <c r="L35" s="60"/>
      <c r="M35" s="61"/>
      <c r="N35" s="61"/>
      <c r="O35" s="60"/>
    </row>
    <row r="36" s="1" customFormat="1" ht="18" customHeight="1" spans="1:15">
      <c r="A36" s="43"/>
      <c r="B36" s="25">
        <f t="shared" si="4"/>
        <v>0</v>
      </c>
      <c r="C36" s="44"/>
      <c r="D36" s="45"/>
      <c r="E36" s="46"/>
      <c r="F36" s="25">
        <f t="shared" si="5"/>
        <v>0</v>
      </c>
      <c r="G36" s="189"/>
      <c r="H36" s="31">
        <v>43252</v>
      </c>
      <c r="I36" s="32">
        <v>-29323</v>
      </c>
      <c r="J36" s="40" t="s">
        <v>21</v>
      </c>
      <c r="K36" s="147" t="s">
        <v>50</v>
      </c>
      <c r="L36" s="60"/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>
        <v>43255</v>
      </c>
      <c r="I37" s="32">
        <v>-39909</v>
      </c>
      <c r="J37" s="40" t="s">
        <v>21</v>
      </c>
      <c r="K37" s="147" t="s">
        <v>50</v>
      </c>
      <c r="L37" s="60"/>
      <c r="M37" s="61"/>
      <c r="N37" s="61"/>
      <c r="O37" s="60"/>
    </row>
    <row r="38" s="1" customFormat="1" ht="18" customHeight="1" spans="1:15">
      <c r="A38" s="43">
        <v>43269</v>
      </c>
      <c r="B38" s="25">
        <f t="shared" si="4"/>
        <v>5825.24</v>
      </c>
      <c r="C38" s="44"/>
      <c r="D38" s="45" t="s">
        <v>36</v>
      </c>
      <c r="E38" s="46">
        <v>0.03</v>
      </c>
      <c r="F38" s="25">
        <f t="shared" si="5"/>
        <v>174.76</v>
      </c>
      <c r="G38" s="189">
        <v>6000</v>
      </c>
      <c r="H38" s="31">
        <v>43264</v>
      </c>
      <c r="I38" s="32">
        <v>6000</v>
      </c>
      <c r="J38" s="40" t="s">
        <v>20</v>
      </c>
      <c r="K38" s="147" t="s">
        <v>51</v>
      </c>
      <c r="L38" s="60" t="s">
        <v>52</v>
      </c>
      <c r="M38" s="61"/>
      <c r="N38" s="61"/>
      <c r="O38" s="60"/>
    </row>
    <row r="39" s="1" customFormat="1" ht="18" customHeight="1" spans="1:15">
      <c r="A39" s="43"/>
      <c r="B39" s="25">
        <f t="shared" si="4"/>
        <v>0</v>
      </c>
      <c r="C39" s="44"/>
      <c r="D39" s="45"/>
      <c r="E39" s="46"/>
      <c r="F39" s="25">
        <f t="shared" si="5"/>
        <v>0</v>
      </c>
      <c r="G39" s="189"/>
      <c r="H39" s="31">
        <v>43263</v>
      </c>
      <c r="I39" s="32">
        <v>-6000</v>
      </c>
      <c r="J39" s="40" t="s">
        <v>21</v>
      </c>
      <c r="K39" s="147" t="s">
        <v>50</v>
      </c>
      <c r="L39" s="60"/>
      <c r="M39" s="61"/>
      <c r="N39" s="61"/>
      <c r="O39" s="60"/>
    </row>
    <row r="40" s="2" customFormat="1" ht="18" customHeight="1" spans="1:15">
      <c r="A40" s="48">
        <v>43335</v>
      </c>
      <c r="B40" s="25">
        <f t="shared" si="4"/>
        <v>4000000</v>
      </c>
      <c r="C40" s="49"/>
      <c r="D40" s="50" t="s">
        <v>36</v>
      </c>
      <c r="E40" s="46">
        <v>0.03</v>
      </c>
      <c r="F40" s="25">
        <f t="shared" si="5"/>
        <v>120000</v>
      </c>
      <c r="G40" s="189">
        <v>4120000</v>
      </c>
      <c r="H40" s="36">
        <v>43335</v>
      </c>
      <c r="I40" s="188">
        <v>2000000</v>
      </c>
      <c r="J40" s="63" t="s">
        <v>20</v>
      </c>
      <c r="K40" s="148" t="s">
        <v>53</v>
      </c>
      <c r="L40" s="67" t="s">
        <v>54</v>
      </c>
      <c r="M40" s="65"/>
      <c r="N40" s="65"/>
      <c r="O40" s="67"/>
    </row>
    <row r="41" s="2" customFormat="1" ht="18" customHeight="1" spans="1:15">
      <c r="A41" s="48"/>
      <c r="B41" s="25">
        <f t="shared" si="4"/>
        <v>1344.34</v>
      </c>
      <c r="C41" s="49">
        <v>3</v>
      </c>
      <c r="D41" s="50" t="s">
        <v>36</v>
      </c>
      <c r="E41" s="46">
        <v>0.06</v>
      </c>
      <c r="F41" s="25">
        <f t="shared" si="5"/>
        <v>80.66</v>
      </c>
      <c r="G41" s="189">
        <f>285+690+450</f>
        <v>1425</v>
      </c>
      <c r="H41" s="36"/>
      <c r="I41" s="188"/>
      <c r="J41" s="63"/>
      <c r="K41" s="148" t="s">
        <v>55</v>
      </c>
      <c r="L41" s="67" t="s">
        <v>41</v>
      </c>
      <c r="M41" s="65"/>
      <c r="N41" s="65"/>
      <c r="O41" s="68">
        <v>43335</v>
      </c>
    </row>
    <row r="42" s="2" customFormat="1" ht="18" customHeight="1" spans="1:15">
      <c r="A42" s="48"/>
      <c r="B42" s="25">
        <f t="shared" si="4"/>
        <v>6510</v>
      </c>
      <c r="C42" s="49"/>
      <c r="D42" s="50" t="s">
        <v>39</v>
      </c>
      <c r="E42" s="46"/>
      <c r="F42" s="25">
        <f t="shared" si="5"/>
        <v>0</v>
      </c>
      <c r="G42" s="189">
        <v>6510</v>
      </c>
      <c r="H42" s="36"/>
      <c r="I42" s="188"/>
      <c r="J42" s="63"/>
      <c r="K42" s="148" t="s">
        <v>56</v>
      </c>
      <c r="L42" s="67" t="s">
        <v>57</v>
      </c>
      <c r="M42" s="65"/>
      <c r="N42" s="65"/>
      <c r="O42" s="68">
        <v>43335</v>
      </c>
    </row>
    <row r="43" s="2" customFormat="1" ht="18" customHeight="1" spans="1:15">
      <c r="A43" s="48"/>
      <c r="B43" s="25">
        <f t="shared" si="4"/>
        <v>11436.89</v>
      </c>
      <c r="C43" s="49">
        <v>2</v>
      </c>
      <c r="D43" s="50" t="s">
        <v>36</v>
      </c>
      <c r="E43" s="46">
        <v>0.03</v>
      </c>
      <c r="F43" s="25">
        <f t="shared" si="5"/>
        <v>343.11</v>
      </c>
      <c r="G43" s="189">
        <f>7740+4040</f>
        <v>11780</v>
      </c>
      <c r="H43" s="36"/>
      <c r="I43" s="188"/>
      <c r="J43" s="63"/>
      <c r="K43" s="148" t="s">
        <v>58</v>
      </c>
      <c r="L43" s="67" t="s">
        <v>59</v>
      </c>
      <c r="M43" s="65"/>
      <c r="N43" s="65"/>
      <c r="O43" s="68">
        <v>43335</v>
      </c>
    </row>
    <row r="44" s="2" customFormat="1" ht="18" customHeight="1" spans="1:15">
      <c r="A44" s="48"/>
      <c r="B44" s="25">
        <f t="shared" si="4"/>
        <v>1800</v>
      </c>
      <c r="C44" s="49"/>
      <c r="D44" s="50" t="s">
        <v>39</v>
      </c>
      <c r="E44" s="46"/>
      <c r="F44" s="25">
        <f t="shared" si="5"/>
        <v>0</v>
      </c>
      <c r="G44" s="189">
        <v>1800</v>
      </c>
      <c r="H44" s="36"/>
      <c r="I44" s="188"/>
      <c r="J44" s="63"/>
      <c r="K44" s="148" t="s">
        <v>56</v>
      </c>
      <c r="L44" s="67" t="s">
        <v>60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26788.86</v>
      </c>
      <c r="C45" s="49"/>
      <c r="D45" s="50" t="s">
        <v>61</v>
      </c>
      <c r="E45" s="46"/>
      <c r="F45" s="25">
        <f t="shared" si="5"/>
        <v>0</v>
      </c>
      <c r="G45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5" s="36"/>
      <c r="I45" s="188"/>
      <c r="J45" s="63"/>
      <c r="K45" s="148" t="s">
        <v>62</v>
      </c>
      <c r="L45" s="67" t="s">
        <v>63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4"/>
        <v>4285.5</v>
      </c>
      <c r="C46" s="49"/>
      <c r="D46" s="50" t="s">
        <v>61</v>
      </c>
      <c r="E46" s="46"/>
      <c r="F46" s="25">
        <f t="shared" si="5"/>
        <v>0</v>
      </c>
      <c r="G46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6" s="36"/>
      <c r="I46" s="188"/>
      <c r="J46" s="63"/>
      <c r="K46" s="148" t="s">
        <v>62</v>
      </c>
      <c r="L46" s="67" t="s">
        <v>63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4"/>
        <v>9856.03</v>
      </c>
      <c r="C47" s="49"/>
      <c r="D47" s="50" t="s">
        <v>39</v>
      </c>
      <c r="E47" s="46"/>
      <c r="F47" s="25">
        <f t="shared" si="5"/>
        <v>0</v>
      </c>
      <c r="G47" s="189">
        <f>200.03+500+400+286+300+410+910+405+530+300+500+230+280+295+285+400+380+405+200+200+400+425+405+300+310+300+300</f>
        <v>9856.03</v>
      </c>
      <c r="H47" s="36"/>
      <c r="I47" s="188"/>
      <c r="J47" s="63"/>
      <c r="K47" s="148" t="s">
        <v>64</v>
      </c>
      <c r="L47" s="67" t="s">
        <v>43</v>
      </c>
      <c r="M47" s="65"/>
      <c r="N47" s="65"/>
      <c r="O47" s="68">
        <v>43335</v>
      </c>
    </row>
    <row r="48" s="2" customFormat="1" ht="18" customHeight="1" spans="1:15">
      <c r="A48" s="48">
        <v>43435</v>
      </c>
      <c r="B48" s="25">
        <f t="shared" si="4"/>
        <v>53286.79</v>
      </c>
      <c r="C48" s="49"/>
      <c r="D48" s="50" t="s">
        <v>36</v>
      </c>
      <c r="E48" s="46">
        <v>0.06</v>
      </c>
      <c r="F48" s="25">
        <f t="shared" si="5"/>
        <v>3197.21</v>
      </c>
      <c r="G48" s="189">
        <v>56484</v>
      </c>
      <c r="H48" s="36"/>
      <c r="I48" s="188"/>
      <c r="J48" s="63"/>
      <c r="K48" s="148" t="s">
        <v>65</v>
      </c>
      <c r="L48" s="67" t="s">
        <v>66</v>
      </c>
      <c r="M48" s="65"/>
      <c r="N48" s="65"/>
      <c r="O48" s="67"/>
    </row>
    <row r="49" s="2" customFormat="1" ht="18" customHeight="1" spans="1:15">
      <c r="A49" s="48">
        <v>43435</v>
      </c>
      <c r="B49" s="25">
        <f t="shared" si="4"/>
        <v>5825.24</v>
      </c>
      <c r="C49" s="49"/>
      <c r="D49" s="50" t="s">
        <v>36</v>
      </c>
      <c r="E49" s="46">
        <v>0.03</v>
      </c>
      <c r="F49" s="25">
        <f t="shared" si="5"/>
        <v>174.76</v>
      </c>
      <c r="G49" s="189">
        <v>6000</v>
      </c>
      <c r="H49" s="36">
        <v>43369</v>
      </c>
      <c r="I49" s="188">
        <v>6000</v>
      </c>
      <c r="J49" s="63" t="s">
        <v>20</v>
      </c>
      <c r="K49" s="148" t="s">
        <v>51</v>
      </c>
      <c r="L49" s="67" t="s">
        <v>52</v>
      </c>
      <c r="M49" s="65"/>
      <c r="N49" s="65"/>
      <c r="O49" s="67"/>
    </row>
    <row r="50" s="2" customFormat="1" ht="18" customHeight="1" spans="1:15">
      <c r="A50" s="48">
        <v>43313</v>
      </c>
      <c r="B50" s="25">
        <f t="shared" si="4"/>
        <v>4654.31</v>
      </c>
      <c r="C50" s="49"/>
      <c r="D50" s="50" t="s">
        <v>36</v>
      </c>
      <c r="E50" s="46">
        <v>0.16</v>
      </c>
      <c r="F50" s="25">
        <f t="shared" si="5"/>
        <v>744.69</v>
      </c>
      <c r="G50" s="189">
        <v>5399</v>
      </c>
      <c r="H50" s="36">
        <v>43369</v>
      </c>
      <c r="I50" s="188">
        <v>-6000</v>
      </c>
      <c r="J50" s="63" t="s">
        <v>21</v>
      </c>
      <c r="K50" s="148" t="s">
        <v>50</v>
      </c>
      <c r="L50" s="67"/>
      <c r="M50" s="65"/>
      <c r="N50" s="65"/>
      <c r="O50" s="67"/>
    </row>
    <row r="51" s="2" customFormat="1" ht="18" customHeight="1" spans="1:15">
      <c r="A51" s="48">
        <v>43435</v>
      </c>
      <c r="B51" s="25">
        <f t="shared" si="4"/>
        <v>933.96</v>
      </c>
      <c r="C51" s="49"/>
      <c r="D51" s="50" t="s">
        <v>36</v>
      </c>
      <c r="E51" s="46">
        <v>0.06</v>
      </c>
      <c r="F51" s="25">
        <f t="shared" si="5"/>
        <v>56.04</v>
      </c>
      <c r="G51" s="189">
        <f>90+45+855</f>
        <v>990</v>
      </c>
      <c r="H51" s="36"/>
      <c r="I51" s="188"/>
      <c r="J51" s="63"/>
      <c r="K51" s="148" t="s">
        <v>40</v>
      </c>
      <c r="L51" s="67" t="s">
        <v>41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4"/>
        <v>43031</v>
      </c>
      <c r="C52" s="49"/>
      <c r="D52" s="50"/>
      <c r="E52" s="46"/>
      <c r="F52" s="25">
        <f t="shared" si="5"/>
        <v>0</v>
      </c>
      <c r="G52" s="189">
        <v>43031</v>
      </c>
      <c r="H52" s="36"/>
      <c r="I52" s="188"/>
      <c r="J52" s="63"/>
      <c r="K52" s="148" t="s">
        <v>67</v>
      </c>
      <c r="L52" s="67" t="s">
        <v>68</v>
      </c>
      <c r="M52" s="65"/>
      <c r="N52" s="65"/>
      <c r="O52" s="67"/>
    </row>
    <row r="53" s="2" customFormat="1" ht="18" customHeight="1" spans="1:15">
      <c r="A53" s="48">
        <v>43466</v>
      </c>
      <c r="B53" s="25">
        <f t="shared" si="4"/>
        <v>4854368.93</v>
      </c>
      <c r="C53" s="49"/>
      <c r="D53" s="50" t="s">
        <v>36</v>
      </c>
      <c r="E53" s="46">
        <v>0.03</v>
      </c>
      <c r="F53" s="25">
        <f t="shared" si="5"/>
        <v>145631.07</v>
      </c>
      <c r="G53" s="189">
        <f>5*1000000</f>
        <v>5000000</v>
      </c>
      <c r="H53" s="36">
        <v>43339</v>
      </c>
      <c r="I53" s="188">
        <v>2095952</v>
      </c>
      <c r="J53" s="63" t="s">
        <v>20</v>
      </c>
      <c r="K53" s="148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4"/>
        <v>0</v>
      </c>
      <c r="C54" s="49"/>
      <c r="D54" s="50"/>
      <c r="E54" s="46"/>
      <c r="F54" s="25">
        <f t="shared" si="5"/>
        <v>0</v>
      </c>
      <c r="G54" s="189"/>
      <c r="H54" s="36">
        <v>43495</v>
      </c>
      <c r="I54" s="188">
        <v>3464800</v>
      </c>
      <c r="J54" s="63" t="s">
        <v>20</v>
      </c>
      <c r="K54" s="148" t="s">
        <v>53</v>
      </c>
      <c r="L54" s="67" t="s">
        <v>54</v>
      </c>
      <c r="M54" s="65"/>
      <c r="N54" s="65"/>
      <c r="O54" s="67"/>
    </row>
    <row r="55" s="2" customFormat="1" ht="18" customHeight="1" spans="1:15">
      <c r="A55" s="48"/>
      <c r="B55" s="25">
        <f t="shared" si="4"/>
        <v>0</v>
      </c>
      <c r="C55" s="49"/>
      <c r="D55" s="50"/>
      <c r="E55" s="46"/>
      <c r="F55" s="25">
        <f t="shared" si="5"/>
        <v>0</v>
      </c>
      <c r="G55" s="189"/>
      <c r="H55" s="36">
        <v>43497</v>
      </c>
      <c r="I55" s="188">
        <v>866800</v>
      </c>
      <c r="J55" s="63" t="s">
        <v>20</v>
      </c>
      <c r="K55" s="148" t="s">
        <v>53</v>
      </c>
      <c r="L55" s="67" t="s">
        <v>54</v>
      </c>
      <c r="M55" s="65"/>
      <c r="N55" s="65"/>
      <c r="O55" s="67"/>
    </row>
    <row r="56" s="2" customFormat="1" ht="18" customHeight="1" spans="1:15">
      <c r="A56" s="48"/>
      <c r="B56" s="25">
        <f t="shared" si="4"/>
        <v>0</v>
      </c>
      <c r="C56" s="49"/>
      <c r="D56" s="50"/>
      <c r="E56" s="46"/>
      <c r="F56" s="25">
        <f t="shared" si="5"/>
        <v>0</v>
      </c>
      <c r="G56" s="189"/>
      <c r="H56" s="36">
        <v>43629</v>
      </c>
      <c r="I56" s="188">
        <v>84810</v>
      </c>
      <c r="J56" s="63" t="s">
        <v>20</v>
      </c>
      <c r="K56" s="148" t="s">
        <v>69</v>
      </c>
      <c r="L56" s="67" t="s">
        <v>70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43629</v>
      </c>
      <c r="I57" s="188">
        <v>-84810</v>
      </c>
      <c r="J57" s="63" t="s">
        <v>21</v>
      </c>
      <c r="K57" s="148" t="s">
        <v>50</v>
      </c>
      <c r="L57" s="67"/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43657</v>
      </c>
      <c r="I58" s="188">
        <v>66753</v>
      </c>
      <c r="J58" s="63" t="s">
        <v>20</v>
      </c>
      <c r="K58" s="148" t="s">
        <v>69</v>
      </c>
      <c r="L58" s="67" t="s">
        <v>70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43657</v>
      </c>
      <c r="I59" s="188">
        <v>-66753</v>
      </c>
      <c r="J59" s="63" t="s">
        <v>21</v>
      </c>
      <c r="K59" s="148" t="s">
        <v>50</v>
      </c>
      <c r="L59" s="67"/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43676</v>
      </c>
      <c r="I60" s="188">
        <v>67731.14</v>
      </c>
      <c r="J60" s="63" t="s">
        <v>20</v>
      </c>
      <c r="K60" s="148" t="s">
        <v>69</v>
      </c>
      <c r="L60" s="67" t="s">
        <v>70</v>
      </c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43671</v>
      </c>
      <c r="I61" s="188">
        <v>-67731.14</v>
      </c>
      <c r="J61" s="63" t="s">
        <v>20</v>
      </c>
      <c r="K61" s="148" t="s">
        <v>71</v>
      </c>
      <c r="L61" s="67" t="s">
        <v>72</v>
      </c>
      <c r="M61" s="65"/>
      <c r="N61" s="65"/>
      <c r="O61" s="67"/>
    </row>
    <row r="62" s="2" customFormat="1" ht="18" customHeight="1" spans="1:15">
      <c r="A62" s="48">
        <v>43678</v>
      </c>
      <c r="B62" s="25">
        <f t="shared" si="4"/>
        <v>1000020</v>
      </c>
      <c r="C62" s="49"/>
      <c r="D62" s="50" t="s">
        <v>73</v>
      </c>
      <c r="E62" s="46"/>
      <c r="F62" s="25">
        <f t="shared" si="5"/>
        <v>0</v>
      </c>
      <c r="G62" s="189">
        <v>1000020</v>
      </c>
      <c r="H62" s="194">
        <v>43676</v>
      </c>
      <c r="I62" s="196">
        <v>500000</v>
      </c>
      <c r="J62" s="201" t="s">
        <v>21</v>
      </c>
      <c r="K62" s="202" t="s">
        <v>74</v>
      </c>
      <c r="L62" s="203" t="s">
        <v>75</v>
      </c>
      <c r="M62" s="201" t="s">
        <v>76</v>
      </c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194">
        <v>43682</v>
      </c>
      <c r="I63" s="196">
        <v>500000</v>
      </c>
      <c r="J63" s="201" t="s">
        <v>21</v>
      </c>
      <c r="K63" s="202" t="s">
        <v>74</v>
      </c>
      <c r="L63" s="204" t="s">
        <v>77</v>
      </c>
      <c r="M63" s="201" t="s">
        <v>76</v>
      </c>
      <c r="N63" s="65"/>
      <c r="O63" s="67"/>
    </row>
    <row r="64" s="2" customFormat="1" ht="18" customHeight="1" spans="1:15">
      <c r="A64" s="48">
        <v>43678</v>
      </c>
      <c r="B64" s="25">
        <f t="shared" si="4"/>
        <v>1000080</v>
      </c>
      <c r="C64" s="49"/>
      <c r="D64" s="50" t="s">
        <v>73</v>
      </c>
      <c r="E64" s="46"/>
      <c r="F64" s="25">
        <f t="shared" si="5"/>
        <v>0</v>
      </c>
      <c r="G64" s="189">
        <v>1000080</v>
      </c>
      <c r="H64" s="194">
        <v>43691</v>
      </c>
      <c r="I64" s="196">
        <v>1000000</v>
      </c>
      <c r="J64" s="201" t="s">
        <v>21</v>
      </c>
      <c r="K64" s="205" t="s">
        <v>78</v>
      </c>
      <c r="L64" s="206" t="s">
        <v>79</v>
      </c>
      <c r="M64" s="201" t="s">
        <v>76</v>
      </c>
      <c r="N64" s="65"/>
      <c r="O64" s="67"/>
    </row>
    <row r="65" s="2" customFormat="1" ht="18" customHeight="1" spans="1:15">
      <c r="A65" s="48"/>
      <c r="B65" s="25">
        <f t="shared" si="4"/>
        <v>0</v>
      </c>
      <c r="C65" s="49"/>
      <c r="D65" s="50"/>
      <c r="E65" s="46"/>
      <c r="F65" s="25">
        <f t="shared" si="5"/>
        <v>0</v>
      </c>
      <c r="G65" s="189"/>
      <c r="H65" s="36">
        <v>43692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36">
        <v>43692</v>
      </c>
      <c r="I66" s="188">
        <v>100000</v>
      </c>
      <c r="J66" s="63" t="s">
        <v>20</v>
      </c>
      <c r="K66" s="207" t="s">
        <v>80</v>
      </c>
      <c r="L66" s="208" t="s">
        <v>81</v>
      </c>
      <c r="M66" s="56"/>
      <c r="N66" s="65"/>
      <c r="O66" s="67"/>
    </row>
    <row r="67" s="2" customFormat="1" ht="18" customHeight="1" spans="1:15">
      <c r="A67" s="48"/>
      <c r="B67" s="25">
        <f t="shared" si="4"/>
        <v>0</v>
      </c>
      <c r="C67" s="49"/>
      <c r="D67" s="50"/>
      <c r="E67" s="46"/>
      <c r="F67" s="25">
        <f t="shared" si="5"/>
        <v>0</v>
      </c>
      <c r="G67" s="189"/>
      <c r="H67" s="36">
        <v>43703</v>
      </c>
      <c r="I67" s="188">
        <v>-100000</v>
      </c>
      <c r="J67" s="63" t="s">
        <v>21</v>
      </c>
      <c r="K67" s="207" t="s">
        <v>50</v>
      </c>
      <c r="L67" s="208"/>
      <c r="M67" s="56"/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43704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36">
        <v>43717</v>
      </c>
      <c r="I69" s="188">
        <v>-100000</v>
      </c>
      <c r="J69" s="63" t="s">
        <v>21</v>
      </c>
      <c r="K69" s="207" t="s">
        <v>50</v>
      </c>
      <c r="L69" s="67"/>
      <c r="M69" s="65"/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36">
        <v>43718</v>
      </c>
      <c r="I70" s="188">
        <v>100000</v>
      </c>
      <c r="J70" s="63" t="s">
        <v>20</v>
      </c>
      <c r="K70" s="207" t="s">
        <v>80</v>
      </c>
      <c r="L70" s="67"/>
      <c r="M70" s="65"/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194">
        <v>43734</v>
      </c>
      <c r="I71" s="196">
        <v>300000</v>
      </c>
      <c r="J71" s="201" t="s">
        <v>20</v>
      </c>
      <c r="K71" s="202" t="s">
        <v>80</v>
      </c>
      <c r="L71" s="209"/>
      <c r="M71" s="201" t="s">
        <v>76</v>
      </c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195">
        <v>43749</v>
      </c>
      <c r="I72" s="196">
        <v>500000</v>
      </c>
      <c r="J72" s="201" t="s">
        <v>20</v>
      </c>
      <c r="K72" s="202" t="s">
        <v>80</v>
      </c>
      <c r="L72" s="209"/>
      <c r="M72" s="201" t="s">
        <v>76</v>
      </c>
      <c r="N72" s="65"/>
      <c r="O72" s="67"/>
    </row>
    <row r="73" s="2" customFormat="1" ht="18" customHeight="1" spans="1:15">
      <c r="A73" s="48">
        <v>43709</v>
      </c>
      <c r="B73" s="25">
        <f t="shared" si="4"/>
        <v>12426.15</v>
      </c>
      <c r="C73" s="49"/>
      <c r="D73" s="50" t="s">
        <v>39</v>
      </c>
      <c r="E73" s="46"/>
      <c r="F73" s="25">
        <f t="shared" si="5"/>
        <v>0</v>
      </c>
      <c r="G73" s="189">
        <v>12426.15</v>
      </c>
      <c r="H73" s="36"/>
      <c r="I73" s="210"/>
      <c r="J73" s="56"/>
      <c r="K73" s="207" t="s">
        <v>68</v>
      </c>
      <c r="L73" s="82"/>
      <c r="M73" s="56"/>
      <c r="N73" s="65"/>
      <c r="O73" s="67"/>
    </row>
    <row r="74" s="2" customFormat="1" ht="18" customHeight="1" spans="1:15">
      <c r="A74" s="48">
        <v>43709</v>
      </c>
      <c r="B74" s="25">
        <f t="shared" si="4"/>
        <v>10316.04</v>
      </c>
      <c r="C74" s="49"/>
      <c r="D74" s="50" t="s">
        <v>36</v>
      </c>
      <c r="E74" s="70">
        <v>0.06</v>
      </c>
      <c r="F74" s="25">
        <f t="shared" si="5"/>
        <v>618.96</v>
      </c>
      <c r="G74" s="189">
        <v>10935</v>
      </c>
      <c r="H74" s="36"/>
      <c r="I74" s="210"/>
      <c r="J74" s="56"/>
      <c r="K74" s="207" t="s">
        <v>82</v>
      </c>
      <c r="L74" s="82" t="s">
        <v>41</v>
      </c>
      <c r="M74" s="56"/>
      <c r="N74" s="65"/>
      <c r="O74" s="67"/>
    </row>
    <row r="75" s="2" customFormat="1" ht="18" customHeight="1" spans="1:15">
      <c r="A75" s="48">
        <v>43709</v>
      </c>
      <c r="B75" s="25">
        <f t="shared" si="4"/>
        <v>10424.53</v>
      </c>
      <c r="C75" s="49"/>
      <c r="D75" s="50" t="s">
        <v>36</v>
      </c>
      <c r="E75" s="70">
        <v>0.06</v>
      </c>
      <c r="F75" s="25">
        <f t="shared" si="5"/>
        <v>625.47</v>
      </c>
      <c r="G75" s="189">
        <v>11050</v>
      </c>
      <c r="H75" s="36"/>
      <c r="I75" s="210"/>
      <c r="J75" s="56"/>
      <c r="K75" s="207" t="s">
        <v>82</v>
      </c>
      <c r="L75" s="82" t="s">
        <v>52</v>
      </c>
      <c r="M75" s="56"/>
      <c r="N75" s="65"/>
      <c r="O75" s="67"/>
    </row>
    <row r="76" s="2" customFormat="1" ht="18" customHeight="1" spans="1:15">
      <c r="A76" s="48">
        <v>43709</v>
      </c>
      <c r="B76" s="25">
        <f t="shared" si="4"/>
        <v>80009.43</v>
      </c>
      <c r="C76" s="49"/>
      <c r="D76" s="50" t="s">
        <v>36</v>
      </c>
      <c r="E76" s="70">
        <v>0.06</v>
      </c>
      <c r="F76" s="25">
        <f t="shared" si="5"/>
        <v>4800.57</v>
      </c>
      <c r="G76" s="189">
        <v>84810</v>
      </c>
      <c r="H76" s="36"/>
      <c r="I76" s="210"/>
      <c r="J76" s="56"/>
      <c r="K76" s="207" t="s">
        <v>69</v>
      </c>
      <c r="L76" s="82" t="s">
        <v>83</v>
      </c>
      <c r="M76" s="56"/>
      <c r="N76" s="65"/>
      <c r="O76" s="67"/>
    </row>
    <row r="77" s="2" customFormat="1" ht="18" customHeight="1" spans="1:15">
      <c r="A77" s="48">
        <v>43709</v>
      </c>
      <c r="B77" s="25">
        <f t="shared" si="4"/>
        <v>63897.3</v>
      </c>
      <c r="C77" s="49"/>
      <c r="D77" s="50" t="s">
        <v>36</v>
      </c>
      <c r="E77" s="70">
        <v>0.06</v>
      </c>
      <c r="F77" s="25">
        <f t="shared" si="5"/>
        <v>3833.84</v>
      </c>
      <c r="G77" s="189">
        <v>67731.14</v>
      </c>
      <c r="H77" s="36"/>
      <c r="I77" s="210"/>
      <c r="J77" s="56"/>
      <c r="K77" s="207" t="s">
        <v>69</v>
      </c>
      <c r="L77" s="82" t="s">
        <v>83</v>
      </c>
      <c r="M77" s="56"/>
      <c r="N77" s="65"/>
      <c r="O77" s="67"/>
    </row>
    <row r="78" s="2" customFormat="1" ht="18" customHeight="1" spans="1:15">
      <c r="A78" s="48">
        <v>43739</v>
      </c>
      <c r="B78" s="25">
        <f t="shared" si="4"/>
        <v>443071.38</v>
      </c>
      <c r="C78" s="49"/>
      <c r="D78" s="50" t="s">
        <v>36</v>
      </c>
      <c r="E78" s="70">
        <v>0.13</v>
      </c>
      <c r="F78" s="25">
        <f t="shared" si="5"/>
        <v>57599.28</v>
      </c>
      <c r="G78" s="189">
        <v>500670.66</v>
      </c>
      <c r="H78" s="36">
        <v>43769</v>
      </c>
      <c r="I78" s="188">
        <v>200000</v>
      </c>
      <c r="J78" s="63" t="s">
        <v>20</v>
      </c>
      <c r="K78" s="207" t="s">
        <v>80</v>
      </c>
      <c r="L78" s="82" t="s">
        <v>84</v>
      </c>
      <c r="M78" s="56"/>
      <c r="N78" s="65"/>
      <c r="O78" s="67"/>
    </row>
    <row r="79" s="2" customFormat="1" ht="18" customHeight="1" spans="1:15">
      <c r="A79" s="48">
        <v>43739</v>
      </c>
      <c r="B79" s="25">
        <f t="shared" si="4"/>
        <v>257787.35</v>
      </c>
      <c r="C79" s="49"/>
      <c r="D79" s="50" t="s">
        <v>36</v>
      </c>
      <c r="E79" s="70">
        <v>0.13</v>
      </c>
      <c r="F79" s="196">
        <f t="shared" si="5"/>
        <v>33512.35</v>
      </c>
      <c r="G79" s="189">
        <v>291299.7</v>
      </c>
      <c r="H79" s="36"/>
      <c r="I79" s="210"/>
      <c r="J79" s="63" t="s">
        <v>20</v>
      </c>
      <c r="K79" s="207" t="s">
        <v>80</v>
      </c>
      <c r="L79" s="82" t="s">
        <v>85</v>
      </c>
      <c r="M79" s="56"/>
      <c r="N79" s="65"/>
      <c r="O79" s="67"/>
    </row>
    <row r="80" s="2" customFormat="1" ht="18" customHeight="1" spans="1:15">
      <c r="A80" s="48"/>
      <c r="B80" s="25">
        <f t="shared" si="4"/>
        <v>0</v>
      </c>
      <c r="C80" s="49"/>
      <c r="D80" s="50"/>
      <c r="E80" s="70"/>
      <c r="F80" s="25">
        <f t="shared" si="5"/>
        <v>0</v>
      </c>
      <c r="G80" s="189"/>
      <c r="H80" s="36">
        <v>43769</v>
      </c>
      <c r="I80" s="188">
        <v>600000</v>
      </c>
      <c r="J80" s="63" t="s">
        <v>20</v>
      </c>
      <c r="K80" s="148" t="s">
        <v>53</v>
      </c>
      <c r="L80" s="67" t="s">
        <v>54</v>
      </c>
      <c r="M80" s="56"/>
      <c r="N80" s="65"/>
      <c r="O80" s="67"/>
    </row>
    <row r="81" s="2" customFormat="1" ht="18" customHeight="1" spans="1:15">
      <c r="A81" s="48">
        <v>43770</v>
      </c>
      <c r="B81" s="25">
        <f t="shared" si="4"/>
        <v>500010</v>
      </c>
      <c r="C81" s="49"/>
      <c r="D81" s="50" t="s">
        <v>73</v>
      </c>
      <c r="E81" s="70"/>
      <c r="F81" s="25">
        <f t="shared" si="5"/>
        <v>0</v>
      </c>
      <c r="G81" s="189">
        <v>500010</v>
      </c>
      <c r="H81" s="36">
        <v>43773</v>
      </c>
      <c r="I81" s="188">
        <v>500010</v>
      </c>
      <c r="J81" s="63" t="s">
        <v>21</v>
      </c>
      <c r="K81" s="207" t="s">
        <v>74</v>
      </c>
      <c r="L81" s="82" t="s">
        <v>86</v>
      </c>
      <c r="M81" s="56"/>
      <c r="N81" s="65"/>
      <c r="O81" s="67"/>
    </row>
    <row r="82" s="2" customFormat="1" ht="18" customHeight="1" spans="1:15">
      <c r="A82" s="48">
        <v>43770</v>
      </c>
      <c r="B82" s="25">
        <f t="shared" si="4"/>
        <v>300000</v>
      </c>
      <c r="C82" s="49"/>
      <c r="D82" s="50" t="s">
        <v>73</v>
      </c>
      <c r="E82" s="70"/>
      <c r="F82" s="25">
        <f t="shared" si="5"/>
        <v>0</v>
      </c>
      <c r="G82" s="189">
        <v>300000</v>
      </c>
      <c r="H82" s="36">
        <v>43773</v>
      </c>
      <c r="I82" s="188">
        <v>300000</v>
      </c>
      <c r="J82" s="63" t="s">
        <v>21</v>
      </c>
      <c r="K82" s="207" t="s">
        <v>87</v>
      </c>
      <c r="L82" s="82" t="s">
        <v>88</v>
      </c>
      <c r="M82" s="56"/>
      <c r="N82" s="65"/>
      <c r="O82" s="67"/>
    </row>
    <row r="83" s="2" customFormat="1" ht="18" customHeight="1" spans="1:15">
      <c r="A83" s="48">
        <v>43770</v>
      </c>
      <c r="B83" s="25">
        <f t="shared" si="4"/>
        <v>300000</v>
      </c>
      <c r="C83" s="49"/>
      <c r="D83" s="50" t="s">
        <v>73</v>
      </c>
      <c r="E83" s="70"/>
      <c r="F83" s="25">
        <f t="shared" si="5"/>
        <v>0</v>
      </c>
      <c r="G83" s="189">
        <v>300000</v>
      </c>
      <c r="H83" s="36">
        <v>43773</v>
      </c>
      <c r="I83" s="188">
        <v>300000</v>
      </c>
      <c r="J83" s="63" t="s">
        <v>21</v>
      </c>
      <c r="K83" s="207" t="s">
        <v>89</v>
      </c>
      <c r="L83" s="82" t="s">
        <v>88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4"/>
        <v>300060</v>
      </c>
      <c r="C84" s="49"/>
      <c r="D84" s="50" t="s">
        <v>73</v>
      </c>
      <c r="E84" s="70"/>
      <c r="F84" s="25">
        <f t="shared" si="5"/>
        <v>0</v>
      </c>
      <c r="G84" s="189">
        <v>300060</v>
      </c>
      <c r="H84" s="36">
        <v>43773</v>
      </c>
      <c r="I84" s="188">
        <v>300060</v>
      </c>
      <c r="J84" s="63" t="s">
        <v>21</v>
      </c>
      <c r="K84" s="207" t="s">
        <v>90</v>
      </c>
      <c r="L84" s="82" t="s">
        <v>91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0</v>
      </c>
      <c r="C85" s="49"/>
      <c r="D85" s="50"/>
      <c r="E85" s="70"/>
      <c r="F85" s="25">
        <f t="shared" si="5"/>
        <v>0</v>
      </c>
      <c r="G85" s="189"/>
      <c r="H85" s="36">
        <v>43773</v>
      </c>
      <c r="I85" s="188">
        <v>500000</v>
      </c>
      <c r="J85" s="63" t="s">
        <v>20</v>
      </c>
      <c r="K85" s="207" t="s">
        <v>92</v>
      </c>
      <c r="L85" s="82" t="s">
        <v>93</v>
      </c>
      <c r="M85" s="56"/>
      <c r="N85" s="65"/>
      <c r="O85" s="67"/>
    </row>
    <row r="86" s="2" customFormat="1" ht="18" customHeight="1" spans="1:15">
      <c r="A86" s="48"/>
      <c r="B86" s="25">
        <f t="shared" si="4"/>
        <v>0</v>
      </c>
      <c r="C86" s="49"/>
      <c r="D86" s="50"/>
      <c r="E86" s="70"/>
      <c r="F86" s="25">
        <f t="shared" si="5"/>
        <v>0</v>
      </c>
      <c r="G86" s="189"/>
      <c r="H86" s="36">
        <v>43775</v>
      </c>
      <c r="I86" s="188">
        <v>800000</v>
      </c>
      <c r="J86" s="63" t="s">
        <v>20</v>
      </c>
      <c r="K86" s="207" t="s">
        <v>94</v>
      </c>
      <c r="L86" s="82" t="s">
        <v>95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1165048.54</v>
      </c>
      <c r="C87" s="49"/>
      <c r="D87" s="50" t="s">
        <v>36</v>
      </c>
      <c r="E87" s="70">
        <v>0.03</v>
      </c>
      <c r="F87" s="197">
        <f t="shared" si="5"/>
        <v>34951.46</v>
      </c>
      <c r="G87" s="189">
        <f>96000*12+48000</f>
        <v>1200000</v>
      </c>
      <c r="H87" s="36">
        <v>43776</v>
      </c>
      <c r="I87" s="188">
        <v>400000</v>
      </c>
      <c r="J87" s="63" t="s">
        <v>20</v>
      </c>
      <c r="K87" s="207" t="s">
        <v>94</v>
      </c>
      <c r="L87" s="82" t="s">
        <v>95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ref="B88:B90" si="6">ROUND(G88/(1+E88),2)</f>
        <v>326256.05</v>
      </c>
      <c r="C88" s="49"/>
      <c r="D88" s="50" t="s">
        <v>36</v>
      </c>
      <c r="E88" s="70">
        <v>0.13</v>
      </c>
      <c r="F88" s="197">
        <f t="shared" ref="F88:F90" si="7">ROUND(G88/(1+E88)*E88,2)</f>
        <v>42413.29</v>
      </c>
      <c r="G88" s="189">
        <v>368669.34</v>
      </c>
      <c r="H88" s="36"/>
      <c r="I88" s="210"/>
      <c r="J88" s="56"/>
      <c r="K88" s="207" t="s">
        <v>80</v>
      </c>
      <c r="L88" s="82" t="s">
        <v>96</v>
      </c>
      <c r="M88" s="56"/>
      <c r="N88" s="65"/>
      <c r="O88" s="67"/>
    </row>
    <row r="89" s="2" customFormat="1" ht="18" customHeight="1" spans="1:15">
      <c r="A89" s="48">
        <v>43770</v>
      </c>
      <c r="B89" s="25">
        <f t="shared" si="6"/>
        <v>199980</v>
      </c>
      <c r="C89" s="49"/>
      <c r="D89" s="50" t="s">
        <v>73</v>
      </c>
      <c r="E89" s="70"/>
      <c r="F89" s="25">
        <f t="shared" si="7"/>
        <v>0</v>
      </c>
      <c r="G89" s="189">
        <v>199980</v>
      </c>
      <c r="H89" s="195">
        <v>43784</v>
      </c>
      <c r="I89" s="196">
        <v>199980</v>
      </c>
      <c r="J89" s="201" t="s">
        <v>21</v>
      </c>
      <c r="K89" s="202" t="s">
        <v>97</v>
      </c>
      <c r="L89" s="204" t="s">
        <v>98</v>
      </c>
      <c r="M89" s="56" t="s">
        <v>76</v>
      </c>
      <c r="N89" s="65"/>
      <c r="O89" s="67"/>
    </row>
    <row r="90" s="3" customFormat="1" ht="18" customHeight="1" spans="1:15">
      <c r="A90" s="74">
        <v>43770</v>
      </c>
      <c r="B90" s="25">
        <f t="shared" si="6"/>
        <v>442477.88</v>
      </c>
      <c r="C90" s="75"/>
      <c r="D90" s="76" t="s">
        <v>36</v>
      </c>
      <c r="E90" s="77">
        <v>0.13</v>
      </c>
      <c r="F90" s="197">
        <f t="shared" si="7"/>
        <v>57522.12</v>
      </c>
      <c r="G90" s="198">
        <v>500000</v>
      </c>
      <c r="H90" s="36"/>
      <c r="I90" s="188"/>
      <c r="J90" s="63"/>
      <c r="K90" s="207" t="s">
        <v>92</v>
      </c>
      <c r="L90" s="82" t="s">
        <v>99</v>
      </c>
      <c r="M90" s="63" t="s">
        <v>100</v>
      </c>
      <c r="N90" s="63"/>
      <c r="O90" s="82"/>
    </row>
    <row r="91" s="3" customFormat="1" ht="18" customHeight="1" spans="1:15">
      <c r="A91" s="74"/>
      <c r="B91" s="25"/>
      <c r="C91" s="75"/>
      <c r="D91" s="76"/>
      <c r="E91" s="77"/>
      <c r="F91" s="25"/>
      <c r="G91" s="198"/>
      <c r="H91" s="36">
        <v>43819</v>
      </c>
      <c r="I91" s="188">
        <v>92448</v>
      </c>
      <c r="J91" s="63" t="s">
        <v>20</v>
      </c>
      <c r="K91" s="148" t="s">
        <v>53</v>
      </c>
      <c r="L91" s="67" t="s">
        <v>54</v>
      </c>
      <c r="M91" s="63"/>
      <c r="N91" s="63"/>
      <c r="O91" s="82"/>
    </row>
    <row r="92" s="3" customFormat="1" ht="18" customHeight="1" spans="1:15">
      <c r="A92" s="74"/>
      <c r="B92" s="25">
        <f t="shared" ref="B92:B100" si="8">ROUND(G92/(1+E92),2)</f>
        <v>0</v>
      </c>
      <c r="C92" s="75"/>
      <c r="D92" s="76"/>
      <c r="E92" s="77"/>
      <c r="F92" s="25">
        <f t="shared" ref="F92:F100" si="9">ROUND(G92/(1+E92)*E92,2)</f>
        <v>0</v>
      </c>
      <c r="G92" s="198"/>
      <c r="H92" s="36">
        <v>43829</v>
      </c>
      <c r="I92" s="188">
        <v>800000</v>
      </c>
      <c r="J92" s="63" t="s">
        <v>20</v>
      </c>
      <c r="K92" s="207" t="s">
        <v>80</v>
      </c>
      <c r="L92" s="82" t="s">
        <v>81</v>
      </c>
      <c r="M92" s="63"/>
      <c r="N92" s="63"/>
      <c r="O92" s="82"/>
    </row>
    <row r="93" s="3" customFormat="1" ht="18" customHeight="1" spans="1:15">
      <c r="A93" s="74">
        <v>43800</v>
      </c>
      <c r="B93" s="25">
        <f t="shared" si="8"/>
        <v>650987.86</v>
      </c>
      <c r="C93" s="75"/>
      <c r="D93" s="76" t="s">
        <v>36</v>
      </c>
      <c r="E93" s="77">
        <v>0.13</v>
      </c>
      <c r="F93" s="25">
        <f t="shared" si="9"/>
        <v>84628.42</v>
      </c>
      <c r="G93" s="198">
        <v>735616.28</v>
      </c>
      <c r="H93" s="36"/>
      <c r="I93" s="188"/>
      <c r="J93" s="63"/>
      <c r="K93" s="207" t="s">
        <v>80</v>
      </c>
      <c r="L93" s="82" t="s">
        <v>101</v>
      </c>
      <c r="M93" s="63" t="s">
        <v>100</v>
      </c>
      <c r="N93" s="63"/>
      <c r="O93" s="82"/>
    </row>
    <row r="94" s="3" customFormat="1" ht="18" customHeight="1" spans="1:15">
      <c r="A94" s="74">
        <v>43800</v>
      </c>
      <c r="B94" s="25">
        <f t="shared" si="8"/>
        <v>5825242.72</v>
      </c>
      <c r="C94" s="75"/>
      <c r="D94" s="50" t="s">
        <v>36</v>
      </c>
      <c r="E94" s="70">
        <v>0.03</v>
      </c>
      <c r="F94" s="25">
        <f t="shared" si="9"/>
        <v>174757.28</v>
      </c>
      <c r="G94" s="198">
        <f>1000000*6</f>
        <v>6000000</v>
      </c>
      <c r="H94" s="36">
        <v>43843</v>
      </c>
      <c r="I94" s="188">
        <v>1000000</v>
      </c>
      <c r="J94" s="63" t="s">
        <v>20</v>
      </c>
      <c r="K94" s="207" t="s">
        <v>53</v>
      </c>
      <c r="L94" s="82" t="s">
        <v>54</v>
      </c>
      <c r="M94" s="63" t="s">
        <v>100</v>
      </c>
      <c r="N94" s="63"/>
      <c r="O94" s="82" t="s">
        <v>102</v>
      </c>
    </row>
    <row r="95" s="3" customFormat="1" ht="18" customHeight="1" spans="1:15">
      <c r="A95" s="74">
        <v>43831</v>
      </c>
      <c r="B95" s="25">
        <f t="shared" si="8"/>
        <v>3623633.45</v>
      </c>
      <c r="C95" s="75"/>
      <c r="D95" s="50" t="s">
        <v>36</v>
      </c>
      <c r="E95" s="77">
        <v>0.09</v>
      </c>
      <c r="F95" s="25">
        <f t="shared" si="9"/>
        <v>326127.01</v>
      </c>
      <c r="G95" s="198">
        <f>1000000*3+949760.46</f>
        <v>3949760.46</v>
      </c>
      <c r="H95" s="36">
        <v>43844</v>
      </c>
      <c r="I95" s="188">
        <v>500000</v>
      </c>
      <c r="J95" s="63" t="s">
        <v>20</v>
      </c>
      <c r="K95" s="207" t="s">
        <v>103</v>
      </c>
      <c r="L95" s="82" t="s">
        <v>54</v>
      </c>
      <c r="M95" s="63" t="s">
        <v>100</v>
      </c>
      <c r="N95" s="63"/>
      <c r="O95" s="82"/>
    </row>
    <row r="96" s="3" customFormat="1" ht="18" customHeight="1" spans="1:15">
      <c r="A96" s="74"/>
      <c r="B96" s="25">
        <f t="shared" si="8"/>
        <v>0</v>
      </c>
      <c r="C96" s="75"/>
      <c r="D96" s="76"/>
      <c r="E96" s="77"/>
      <c r="F96" s="25">
        <f t="shared" si="9"/>
        <v>0</v>
      </c>
      <c r="G96" s="198"/>
      <c r="H96" s="36">
        <v>43845</v>
      </c>
      <c r="I96" s="188">
        <v>2000000</v>
      </c>
      <c r="J96" s="63" t="s">
        <v>20</v>
      </c>
      <c r="K96" s="207" t="s">
        <v>103</v>
      </c>
      <c r="L96" s="82" t="s">
        <v>54</v>
      </c>
      <c r="M96" s="63"/>
      <c r="N96" s="63"/>
      <c r="O96" s="82"/>
    </row>
    <row r="97" s="3" customFormat="1" ht="18" customHeight="1" spans="1:15">
      <c r="A97" s="74"/>
      <c r="B97" s="25">
        <f t="shared" si="8"/>
        <v>0</v>
      </c>
      <c r="C97" s="75"/>
      <c r="D97" s="76"/>
      <c r="E97" s="77"/>
      <c r="F97" s="25">
        <f t="shared" si="9"/>
        <v>0</v>
      </c>
      <c r="G97" s="198"/>
      <c r="H97" s="36">
        <v>43849</v>
      </c>
      <c r="I97" s="188">
        <v>1449760.46</v>
      </c>
      <c r="J97" s="63" t="s">
        <v>20</v>
      </c>
      <c r="K97" s="207" t="s">
        <v>103</v>
      </c>
      <c r="L97" s="82" t="s">
        <v>54</v>
      </c>
      <c r="M97" s="63"/>
      <c r="N97" s="63"/>
      <c r="O97" s="82"/>
    </row>
    <row r="98" s="3" customFormat="1" ht="18" customHeight="1" spans="1:15">
      <c r="A98" s="74">
        <v>43831</v>
      </c>
      <c r="B98" s="25">
        <f t="shared" si="8"/>
        <v>600000</v>
      </c>
      <c r="C98" s="75"/>
      <c r="D98" s="50" t="s">
        <v>73</v>
      </c>
      <c r="E98" s="77"/>
      <c r="F98" s="25">
        <f t="shared" si="9"/>
        <v>0</v>
      </c>
      <c r="G98" s="188">
        <v>600000</v>
      </c>
      <c r="H98" s="36">
        <v>43850</v>
      </c>
      <c r="I98" s="188">
        <v>600000</v>
      </c>
      <c r="J98" s="63" t="s">
        <v>21</v>
      </c>
      <c r="K98" s="207" t="s">
        <v>89</v>
      </c>
      <c r="L98" s="82" t="s">
        <v>104</v>
      </c>
      <c r="M98" s="63"/>
      <c r="N98" s="63"/>
      <c r="O98" s="82"/>
    </row>
    <row r="99" s="3" customFormat="1" ht="18" customHeight="1" spans="1:15">
      <c r="A99" s="74">
        <v>43831</v>
      </c>
      <c r="B99" s="25">
        <f t="shared" si="8"/>
        <v>600000</v>
      </c>
      <c r="C99" s="75"/>
      <c r="D99" s="50" t="s">
        <v>73</v>
      </c>
      <c r="E99" s="77"/>
      <c r="F99" s="25">
        <f t="shared" si="9"/>
        <v>0</v>
      </c>
      <c r="G99" s="188">
        <v>600000</v>
      </c>
      <c r="H99" s="36">
        <v>43850</v>
      </c>
      <c r="I99" s="188">
        <v>600000</v>
      </c>
      <c r="J99" s="63" t="s">
        <v>21</v>
      </c>
      <c r="K99" s="207" t="s">
        <v>87</v>
      </c>
      <c r="L99" s="82" t="s">
        <v>104</v>
      </c>
      <c r="M99" s="63"/>
      <c r="N99" s="63"/>
      <c r="O99" s="82"/>
    </row>
    <row r="100" s="3" customFormat="1" ht="18" customHeight="1" spans="1:15">
      <c r="A100" s="74">
        <v>43891</v>
      </c>
      <c r="B100" s="25">
        <f t="shared" si="8"/>
        <v>530100</v>
      </c>
      <c r="C100" s="75"/>
      <c r="D100" s="50" t="s">
        <v>73</v>
      </c>
      <c r="E100" s="77"/>
      <c r="F100" s="25">
        <f t="shared" si="9"/>
        <v>0</v>
      </c>
      <c r="G100" s="188">
        <v>530100</v>
      </c>
      <c r="H100" s="36">
        <v>43903</v>
      </c>
      <c r="I100" s="188">
        <v>530000</v>
      </c>
      <c r="J100" s="63" t="s">
        <v>21</v>
      </c>
      <c r="K100" s="207" t="s">
        <v>105</v>
      </c>
      <c r="L100" s="82" t="s">
        <v>77</v>
      </c>
      <c r="M100" s="63"/>
      <c r="N100" s="63"/>
      <c r="O100" s="82"/>
    </row>
    <row r="101" s="3" customFormat="1" ht="18" customHeight="1" spans="1:15">
      <c r="A101" s="74">
        <v>43952</v>
      </c>
      <c r="B101" s="25">
        <f>298648.6+188837.04+318653.29</f>
        <v>806138.93</v>
      </c>
      <c r="C101" s="75">
        <v>3</v>
      </c>
      <c r="D101" s="50" t="s">
        <v>36</v>
      </c>
      <c r="E101" s="77">
        <v>0.13</v>
      </c>
      <c r="F101" s="25">
        <f>38824.32+24548.82+41424.93</f>
        <v>104798.07</v>
      </c>
      <c r="G101" s="198">
        <f>337472.92+213385.86+360078.22</f>
        <v>910937</v>
      </c>
      <c r="H101" s="36">
        <v>43903</v>
      </c>
      <c r="I101" s="188">
        <v>200000</v>
      </c>
      <c r="J101" s="63" t="s">
        <v>20</v>
      </c>
      <c r="K101" s="207" t="s">
        <v>80</v>
      </c>
      <c r="L101" s="82" t="s">
        <v>81</v>
      </c>
      <c r="M101" s="63"/>
      <c r="N101" s="63"/>
      <c r="O101" s="82"/>
    </row>
    <row r="102" s="3" customFormat="1" ht="18" customHeight="1" spans="1:15">
      <c r="A102" s="74"/>
      <c r="B102" s="25">
        <f t="shared" ref="B102:B104" si="10">ROUND(G102/(1+E102),2)</f>
        <v>0</v>
      </c>
      <c r="C102" s="75"/>
      <c r="D102" s="50"/>
      <c r="E102" s="77"/>
      <c r="F102" s="25">
        <f t="shared" ref="F102:F104" si="11">ROUND(G102/(1+E102)*E102,2)</f>
        <v>0</v>
      </c>
      <c r="G102" s="198"/>
      <c r="H102" s="36">
        <v>43950</v>
      </c>
      <c r="I102" s="188">
        <v>400000</v>
      </c>
      <c r="J102" s="63" t="s">
        <v>20</v>
      </c>
      <c r="K102" s="207" t="s">
        <v>155</v>
      </c>
      <c r="L102" s="82" t="s">
        <v>81</v>
      </c>
      <c r="M102" s="63"/>
      <c r="N102" s="63"/>
      <c r="O102" s="82"/>
    </row>
    <row r="103" s="3" customFormat="1" ht="18" customHeight="1" spans="1:15">
      <c r="A103" s="74"/>
      <c r="B103" s="25">
        <f t="shared" si="10"/>
        <v>0</v>
      </c>
      <c r="C103" s="75"/>
      <c r="D103" s="50"/>
      <c r="E103" s="77"/>
      <c r="F103" s="25">
        <f t="shared" si="11"/>
        <v>0</v>
      </c>
      <c r="G103" s="198"/>
      <c r="H103" s="36">
        <v>43951</v>
      </c>
      <c r="I103" s="188">
        <v>970000</v>
      </c>
      <c r="J103" s="63" t="s">
        <v>21</v>
      </c>
      <c r="K103" s="207" t="s">
        <v>105</v>
      </c>
      <c r="L103" s="82"/>
      <c r="M103" s="63"/>
      <c r="N103" s="63"/>
      <c r="O103" s="82"/>
    </row>
    <row r="104" s="3" customFormat="1" ht="18" customHeight="1" spans="1:15">
      <c r="A104" s="74"/>
      <c r="B104" s="25">
        <f t="shared" si="10"/>
        <v>0</v>
      </c>
      <c r="C104" s="75"/>
      <c r="D104" s="50"/>
      <c r="E104" s="77"/>
      <c r="F104" s="25">
        <f t="shared" si="11"/>
        <v>0</v>
      </c>
      <c r="G104" s="198"/>
      <c r="H104" s="36">
        <v>43966</v>
      </c>
      <c r="I104" s="188">
        <v>150000</v>
      </c>
      <c r="J104" s="63" t="s">
        <v>20</v>
      </c>
      <c r="K104" s="207" t="s">
        <v>155</v>
      </c>
      <c r="L104" s="82" t="s">
        <v>81</v>
      </c>
      <c r="M104" s="63"/>
      <c r="N104" s="63"/>
      <c r="O104" s="82"/>
    </row>
    <row r="105" s="3" customFormat="1" ht="17.1" customHeight="1" spans="1:15">
      <c r="A105" s="74">
        <v>43831</v>
      </c>
      <c r="B105" s="25">
        <v>2632.08</v>
      </c>
      <c r="C105" s="75">
        <v>1</v>
      </c>
      <c r="D105" s="50" t="s">
        <v>36</v>
      </c>
      <c r="E105" s="77">
        <v>0.06</v>
      </c>
      <c r="F105" s="25">
        <v>157.92</v>
      </c>
      <c r="G105" s="198">
        <v>2790</v>
      </c>
      <c r="H105" s="36"/>
      <c r="I105" s="188"/>
      <c r="J105" s="63"/>
      <c r="K105" s="207" t="s">
        <v>156</v>
      </c>
      <c r="L105" s="82" t="s">
        <v>52</v>
      </c>
      <c r="M105" s="63"/>
      <c r="N105" s="63"/>
      <c r="O105" s="82"/>
    </row>
    <row r="106" s="3" customFormat="1" ht="17.1" customHeight="1" spans="1:15">
      <c r="A106" s="74"/>
      <c r="B106" s="25"/>
      <c r="C106" s="75"/>
      <c r="D106" s="50"/>
      <c r="E106" s="77"/>
      <c r="F106" s="25"/>
      <c r="G106" s="198"/>
      <c r="H106" s="36">
        <v>43993</v>
      </c>
      <c r="I106" s="188">
        <v>100000</v>
      </c>
      <c r="J106" s="63"/>
      <c r="K106" s="207" t="s">
        <v>155</v>
      </c>
      <c r="L106" s="82"/>
      <c r="M106" s="63"/>
      <c r="N106" s="63"/>
      <c r="O106" s="82"/>
    </row>
    <row r="107" s="3" customFormat="1" ht="17.1" customHeight="1" spans="1:15">
      <c r="A107" s="74"/>
      <c r="B107" s="25"/>
      <c r="C107" s="75"/>
      <c r="D107" s="50"/>
      <c r="E107" s="77"/>
      <c r="F107" s="25"/>
      <c r="G107" s="198"/>
      <c r="H107" s="36">
        <v>43994</v>
      </c>
      <c r="I107" s="188">
        <v>1000000</v>
      </c>
      <c r="J107" s="63"/>
      <c r="K107" s="213" t="s">
        <v>165</v>
      </c>
      <c r="L107" s="82" t="s">
        <v>54</v>
      </c>
      <c r="M107" s="63"/>
      <c r="N107" s="63"/>
      <c r="O107" s="82"/>
    </row>
    <row r="108" s="3" customFormat="1" ht="17.1" customHeight="1" spans="1:15">
      <c r="A108" s="74"/>
      <c r="B108" s="25"/>
      <c r="C108" s="75"/>
      <c r="D108" s="50"/>
      <c r="E108" s="77"/>
      <c r="F108" s="25"/>
      <c r="G108" s="198"/>
      <c r="H108" s="36">
        <v>44000</v>
      </c>
      <c r="I108" s="214">
        <v>500000</v>
      </c>
      <c r="J108" s="63" t="s">
        <v>20</v>
      </c>
      <c r="K108" s="171" t="s">
        <v>166</v>
      </c>
      <c r="L108" s="82"/>
      <c r="M108" s="63"/>
      <c r="N108" s="63"/>
      <c r="O108" s="82"/>
    </row>
    <row r="109" s="3" customFormat="1" ht="17.1" customHeight="1" spans="1:15">
      <c r="A109" s="74"/>
      <c r="B109" s="25"/>
      <c r="C109" s="75"/>
      <c r="D109" s="50"/>
      <c r="E109" s="77"/>
      <c r="F109" s="25"/>
      <c r="G109" s="198"/>
      <c r="H109" s="36">
        <v>44000</v>
      </c>
      <c r="I109" s="214">
        <v>600040</v>
      </c>
      <c r="J109" s="63" t="s">
        <v>20</v>
      </c>
      <c r="K109" s="171" t="s">
        <v>167</v>
      </c>
      <c r="L109" s="82"/>
      <c r="M109" s="63"/>
      <c r="N109" s="63"/>
      <c r="O109" s="82"/>
    </row>
    <row r="110" s="3" customFormat="1" ht="17.1" customHeight="1" spans="1:15">
      <c r="A110" s="74"/>
      <c r="B110" s="25"/>
      <c r="C110" s="75"/>
      <c r="D110" s="50"/>
      <c r="E110" s="77"/>
      <c r="F110" s="25"/>
      <c r="G110" s="198"/>
      <c r="H110" s="36">
        <v>44000</v>
      </c>
      <c r="I110" s="214">
        <v>600120</v>
      </c>
      <c r="J110" s="63" t="s">
        <v>20</v>
      </c>
      <c r="K110" s="171" t="s">
        <v>168</v>
      </c>
      <c r="L110" s="82"/>
      <c r="M110" s="63"/>
      <c r="N110" s="63"/>
      <c r="O110" s="82"/>
    </row>
    <row r="111" s="3" customFormat="1" ht="17.1" customHeight="1" spans="1:15">
      <c r="A111" s="74"/>
      <c r="B111" s="25"/>
      <c r="C111" s="75"/>
      <c r="D111" s="50"/>
      <c r="E111" s="77"/>
      <c r="F111" s="25"/>
      <c r="G111" s="198"/>
      <c r="H111" s="36">
        <v>44000</v>
      </c>
      <c r="I111" s="214">
        <v>300000</v>
      </c>
      <c r="J111" s="63" t="s">
        <v>20</v>
      </c>
      <c r="K111" s="171" t="s">
        <v>89</v>
      </c>
      <c r="L111" s="82"/>
      <c r="M111" s="63"/>
      <c r="N111" s="63"/>
      <c r="O111" s="82"/>
    </row>
    <row r="112" s="3" customFormat="1" ht="17.1" customHeight="1" spans="1:15">
      <c r="A112" s="74"/>
      <c r="B112" s="25"/>
      <c r="C112" s="75"/>
      <c r="D112" s="50"/>
      <c r="E112" s="77"/>
      <c r="F112" s="25"/>
      <c r="G112" s="198"/>
      <c r="H112" s="36"/>
      <c r="I112" s="214"/>
      <c r="J112" s="65"/>
      <c r="K112" s="171"/>
      <c r="L112" s="82"/>
      <c r="M112" s="63"/>
      <c r="N112" s="63"/>
      <c r="O112" s="82"/>
    </row>
    <row r="113" s="3" customFormat="1" ht="17.1" customHeight="1" spans="1:15">
      <c r="A113" s="74"/>
      <c r="B113" s="25"/>
      <c r="C113" s="75"/>
      <c r="D113" s="50"/>
      <c r="E113" s="77"/>
      <c r="F113" s="25"/>
      <c r="G113" s="198"/>
      <c r="H113" s="36"/>
      <c r="I113" s="214"/>
      <c r="J113" s="65"/>
      <c r="K113" s="171"/>
      <c r="L113" s="82"/>
      <c r="M113" s="63"/>
      <c r="N113" s="63"/>
      <c r="O113" s="82"/>
    </row>
    <row r="114" s="3" customFormat="1" ht="17.1" customHeight="1" spans="1:15">
      <c r="A114" s="74"/>
      <c r="B114" s="25"/>
      <c r="C114" s="75"/>
      <c r="D114" s="50"/>
      <c r="E114" s="77"/>
      <c r="F114" s="25"/>
      <c r="G114" s="198"/>
      <c r="H114" s="36"/>
      <c r="I114" s="214"/>
      <c r="J114" s="65"/>
      <c r="K114" s="171"/>
      <c r="L114" s="82"/>
      <c r="M114" s="63"/>
      <c r="N114" s="63"/>
      <c r="O114" s="82"/>
    </row>
    <row r="115" s="3" customFormat="1" ht="17.1" customHeight="1" spans="1:15">
      <c r="A115" s="74"/>
      <c r="B115" s="25"/>
      <c r="C115" s="75"/>
      <c r="D115" s="50"/>
      <c r="E115" s="77"/>
      <c r="F115" s="25"/>
      <c r="G115" s="198"/>
      <c r="H115" s="36"/>
      <c r="I115" s="188"/>
      <c r="J115" s="63"/>
      <c r="K115" s="213"/>
      <c r="L115" s="82"/>
      <c r="M115" s="63"/>
      <c r="N115" s="63"/>
      <c r="O115" s="82"/>
    </row>
    <row r="116" s="3" customFormat="1" ht="17.1" customHeight="1" spans="1:15">
      <c r="A116" s="74"/>
      <c r="B116" s="25"/>
      <c r="C116" s="75"/>
      <c r="D116" s="50"/>
      <c r="E116" s="77"/>
      <c r="F116" s="25"/>
      <c r="G116" s="198"/>
      <c r="H116" s="36"/>
      <c r="I116" s="188"/>
      <c r="J116" s="63"/>
      <c r="K116" s="207"/>
      <c r="L116" s="82"/>
      <c r="M116" s="63"/>
      <c r="N116" s="63"/>
      <c r="O116" s="82"/>
    </row>
    <row r="117" s="3" customFormat="1" ht="17.1" customHeight="1" spans="1:15">
      <c r="A117" s="74"/>
      <c r="B117" s="25"/>
      <c r="C117" s="75"/>
      <c r="D117" s="50"/>
      <c r="E117" s="77"/>
      <c r="F117" s="25"/>
      <c r="G117" s="198"/>
      <c r="H117" s="36"/>
      <c r="I117" s="82"/>
      <c r="J117" s="63"/>
      <c r="K117" s="82"/>
      <c r="L117" s="82"/>
      <c r="M117" s="63"/>
      <c r="N117" s="63"/>
      <c r="O117" s="82"/>
    </row>
    <row r="118" s="3" customFormat="1" ht="17.1" customHeight="1" spans="1:15">
      <c r="A118" s="74"/>
      <c r="B118" s="25"/>
      <c r="C118" s="75"/>
      <c r="D118" s="50"/>
      <c r="E118" s="77"/>
      <c r="F118" s="25"/>
      <c r="G118" s="198"/>
      <c r="H118" s="36">
        <v>44000</v>
      </c>
      <c r="I118" s="82">
        <v>100</v>
      </c>
      <c r="J118" s="63" t="s">
        <v>106</v>
      </c>
      <c r="K118" s="82" t="s">
        <v>110</v>
      </c>
      <c r="L118" s="82"/>
      <c r="M118" s="63"/>
      <c r="N118" s="63"/>
      <c r="O118" s="82"/>
    </row>
    <row r="119" s="3" customFormat="1" ht="17.1" customHeight="1" spans="1:15">
      <c r="A119" s="74"/>
      <c r="B119" s="25"/>
      <c r="C119" s="75"/>
      <c r="D119" s="50"/>
      <c r="E119" s="77"/>
      <c r="F119" s="25"/>
      <c r="G119" s="198"/>
      <c r="H119" s="36">
        <v>44000</v>
      </c>
      <c r="I119" s="82">
        <v>300</v>
      </c>
      <c r="J119" s="65" t="s">
        <v>106</v>
      </c>
      <c r="K119" s="207" t="s">
        <v>110</v>
      </c>
      <c r="L119" s="82"/>
      <c r="M119" s="63"/>
      <c r="N119" s="63"/>
      <c r="O119" s="82"/>
    </row>
    <row r="120" s="3" customFormat="1" ht="17.1" customHeight="1" spans="1:15">
      <c r="A120" s="74"/>
      <c r="B120" s="25"/>
      <c r="C120" s="75"/>
      <c r="D120" s="50"/>
      <c r="E120" s="77"/>
      <c r="F120" s="25"/>
      <c r="G120" s="198"/>
      <c r="H120" s="36">
        <v>43994</v>
      </c>
      <c r="I120" s="235">
        <v>100</v>
      </c>
      <c r="J120" s="65" t="s">
        <v>106</v>
      </c>
      <c r="K120" s="207" t="s">
        <v>110</v>
      </c>
      <c r="L120" s="82"/>
      <c r="M120" s="63"/>
      <c r="N120" s="63"/>
      <c r="O120" s="82"/>
    </row>
    <row r="121" s="3" customFormat="1" ht="18" customHeight="1" spans="1:15">
      <c r="A121" s="74"/>
      <c r="B121" s="25"/>
      <c r="C121" s="75"/>
      <c r="D121" s="50"/>
      <c r="E121" s="77"/>
      <c r="F121" s="25"/>
      <c r="G121" s="198"/>
      <c r="H121" s="36">
        <v>43994</v>
      </c>
      <c r="I121" s="236">
        <v>72400</v>
      </c>
      <c r="J121" s="65" t="s">
        <v>106</v>
      </c>
      <c r="K121" s="207" t="s">
        <v>121</v>
      </c>
      <c r="L121" s="82"/>
      <c r="M121" s="63"/>
      <c r="N121" s="63"/>
      <c r="O121" s="82"/>
    </row>
    <row r="122" s="3" customFormat="1" ht="18" customHeight="1" spans="1:15">
      <c r="A122" s="74"/>
      <c r="B122" s="25"/>
      <c r="C122" s="75"/>
      <c r="D122" s="50"/>
      <c r="E122" s="77"/>
      <c r="F122" s="25"/>
      <c r="G122" s="198"/>
      <c r="H122" s="36">
        <v>43994</v>
      </c>
      <c r="I122" s="188">
        <v>1992.66055045872</v>
      </c>
      <c r="J122" s="65" t="s">
        <v>106</v>
      </c>
      <c r="K122" s="207" t="s">
        <v>123</v>
      </c>
      <c r="L122" s="82"/>
      <c r="M122" s="63"/>
      <c r="N122" s="63"/>
      <c r="O122" s="82"/>
    </row>
    <row r="123" s="3" customFormat="1" ht="18" customHeight="1" spans="1:15">
      <c r="A123" s="74"/>
      <c r="B123" s="25">
        <f t="shared" ref="B123:B129" si="12">ROUND(G123/(1+E123),2)</f>
        <v>0</v>
      </c>
      <c r="C123" s="75"/>
      <c r="D123" s="50"/>
      <c r="E123" s="77"/>
      <c r="F123" s="25">
        <f t="shared" ref="F123:F129" si="13">ROUND(G123/(1+E123)*E123,2)</f>
        <v>0</v>
      </c>
      <c r="G123" s="198"/>
      <c r="H123" s="36">
        <v>43994</v>
      </c>
      <c r="I123" s="188">
        <v>18100</v>
      </c>
      <c r="J123" s="65" t="s">
        <v>106</v>
      </c>
      <c r="K123" s="207" t="s">
        <v>157</v>
      </c>
      <c r="L123" s="82"/>
      <c r="M123" s="63"/>
      <c r="N123" s="63"/>
      <c r="O123" s="82"/>
    </row>
    <row r="124" s="3" customFormat="1" ht="18" customHeight="1" spans="1:15">
      <c r="A124" s="74"/>
      <c r="B124" s="25"/>
      <c r="C124" s="75"/>
      <c r="D124" s="50"/>
      <c r="E124" s="77"/>
      <c r="F124" s="25"/>
      <c r="G124" s="198"/>
      <c r="H124" s="36">
        <v>43993</v>
      </c>
      <c r="I124" s="188">
        <v>100</v>
      </c>
      <c r="J124" s="65" t="s">
        <v>106</v>
      </c>
      <c r="K124" s="207" t="s">
        <v>110</v>
      </c>
      <c r="L124" s="82"/>
      <c r="M124" s="63"/>
      <c r="N124" s="63"/>
      <c r="O124" s="82"/>
    </row>
    <row r="125" s="3" customFormat="1" ht="18" customHeight="1" spans="1:15">
      <c r="A125" s="74"/>
      <c r="B125" s="25">
        <f t="shared" si="12"/>
        <v>0</v>
      </c>
      <c r="C125" s="75"/>
      <c r="D125" s="50"/>
      <c r="E125" s="77"/>
      <c r="F125" s="25">
        <f t="shared" si="13"/>
        <v>0</v>
      </c>
      <c r="G125" s="198"/>
      <c r="H125" s="36">
        <v>43966</v>
      </c>
      <c r="I125" s="188">
        <v>100</v>
      </c>
      <c r="J125" s="65" t="s">
        <v>106</v>
      </c>
      <c r="K125" s="207" t="s">
        <v>110</v>
      </c>
      <c r="L125" s="82"/>
      <c r="M125" s="63"/>
      <c r="N125" s="63"/>
      <c r="O125" s="82"/>
    </row>
    <row r="126" s="3" customFormat="1" ht="18" customHeight="1" spans="1:15">
      <c r="A126" s="74"/>
      <c r="B126" s="25">
        <f t="shared" si="12"/>
        <v>0</v>
      </c>
      <c r="C126" s="75"/>
      <c r="D126" s="50"/>
      <c r="E126" s="77"/>
      <c r="F126" s="25">
        <f t="shared" si="13"/>
        <v>0</v>
      </c>
      <c r="G126" s="198"/>
      <c r="H126" s="76">
        <v>10.2</v>
      </c>
      <c r="I126" s="188">
        <v>100</v>
      </c>
      <c r="J126" s="65" t="s">
        <v>106</v>
      </c>
      <c r="K126" s="207" t="s">
        <v>110</v>
      </c>
      <c r="L126" s="82"/>
      <c r="M126" s="63"/>
      <c r="N126" s="63"/>
      <c r="O126" s="82"/>
    </row>
    <row r="127" s="3" customFormat="1" ht="18" customHeight="1" spans="1:15">
      <c r="A127" s="74"/>
      <c r="B127" s="25">
        <f t="shared" si="12"/>
        <v>0</v>
      </c>
      <c r="C127" s="75"/>
      <c r="D127" s="50"/>
      <c r="E127" s="77"/>
      <c r="F127" s="25">
        <f t="shared" si="13"/>
        <v>0</v>
      </c>
      <c r="G127" s="198"/>
      <c r="H127" s="76">
        <v>10.1</v>
      </c>
      <c r="I127" s="188">
        <v>100</v>
      </c>
      <c r="J127" s="65" t="s">
        <v>106</v>
      </c>
      <c r="K127" s="207" t="s">
        <v>110</v>
      </c>
      <c r="L127" s="82"/>
      <c r="M127" s="63"/>
      <c r="N127" s="63"/>
      <c r="O127" s="82"/>
    </row>
    <row r="128" s="3" customFormat="1" ht="18" customHeight="1" spans="1:15">
      <c r="A128" s="74"/>
      <c r="B128" s="25">
        <f t="shared" si="12"/>
        <v>0</v>
      </c>
      <c r="C128" s="75"/>
      <c r="D128" s="50"/>
      <c r="E128" s="77"/>
      <c r="F128" s="25">
        <f t="shared" si="13"/>
        <v>0</v>
      </c>
      <c r="G128" s="198"/>
      <c r="H128" s="76">
        <v>10.1</v>
      </c>
      <c r="I128" s="188">
        <f>B12*0.0006</f>
        <v>853.211009174312</v>
      </c>
      <c r="J128" s="65" t="s">
        <v>106</v>
      </c>
      <c r="K128" s="207" t="s">
        <v>107</v>
      </c>
      <c r="L128" s="82">
        <f>I128+I129+I132+I137+I140+I141+I142+I143+I150+I151+I157+I159+I160</f>
        <v>916149.577981651</v>
      </c>
      <c r="M128" s="63"/>
      <c r="N128" s="63"/>
      <c r="O128" s="82"/>
    </row>
    <row r="129" s="3" customFormat="1" ht="18" customHeight="1" spans="1:15">
      <c r="A129" s="74"/>
      <c r="B129" s="25">
        <f t="shared" si="12"/>
        <v>0</v>
      </c>
      <c r="C129" s="75"/>
      <c r="D129" s="50"/>
      <c r="E129" s="77"/>
      <c r="F129" s="25">
        <f t="shared" si="13"/>
        <v>0</v>
      </c>
      <c r="G129" s="198"/>
      <c r="H129" s="76">
        <v>10.1</v>
      </c>
      <c r="I129" s="188">
        <f>B12*0.02</f>
        <v>28440.3669724771</v>
      </c>
      <c r="J129" s="65" t="s">
        <v>106</v>
      </c>
      <c r="K129" s="207" t="s">
        <v>108</v>
      </c>
      <c r="L129" s="82"/>
      <c r="M129" s="63"/>
      <c r="N129" s="63"/>
      <c r="O129" s="82"/>
    </row>
    <row r="130" s="3" customFormat="1" ht="18" customHeight="1" spans="1:15">
      <c r="A130" s="74"/>
      <c r="B130" s="25"/>
      <c r="C130" s="75"/>
      <c r="D130" s="50"/>
      <c r="E130" s="77"/>
      <c r="F130" s="25"/>
      <c r="G130" s="198"/>
      <c r="H130" s="76">
        <v>10.1</v>
      </c>
      <c r="I130" s="188">
        <f>G12*0.005</f>
        <v>7750</v>
      </c>
      <c r="J130" s="65" t="s">
        <v>106</v>
      </c>
      <c r="K130" s="207" t="s">
        <v>157</v>
      </c>
      <c r="L130" s="82">
        <f>I130+I162</f>
        <v>140600</v>
      </c>
      <c r="M130" s="63"/>
      <c r="N130" s="63"/>
      <c r="O130" s="82"/>
    </row>
    <row r="131" s="3" customFormat="1" ht="18" customHeight="1" spans="1:15">
      <c r="A131" s="74"/>
      <c r="B131" s="25">
        <f t="shared" ref="B131:B152" si="14">ROUND(G131/(1+E131),2)</f>
        <v>0</v>
      </c>
      <c r="C131" s="75"/>
      <c r="D131" s="50"/>
      <c r="E131" s="77"/>
      <c r="F131" s="25">
        <f t="shared" ref="F131:F152" si="15">ROUND(G131/(1+E131)*E131,2)</f>
        <v>0</v>
      </c>
      <c r="G131" s="198"/>
      <c r="H131" s="36" t="s">
        <v>109</v>
      </c>
      <c r="I131" s="188">
        <v>200</v>
      </c>
      <c r="J131" s="65" t="s">
        <v>106</v>
      </c>
      <c r="K131" s="207" t="s">
        <v>110</v>
      </c>
      <c r="L131" s="82">
        <f>I131+I133+I134+I135+I136+I138+I145+I148+I152+I161+I127</f>
        <v>245132.79</v>
      </c>
      <c r="M131" s="63"/>
      <c r="N131" s="63"/>
      <c r="O131" s="82"/>
    </row>
    <row r="132" s="3" customFormat="1" ht="18" customHeight="1" spans="1:15">
      <c r="A132" s="74"/>
      <c r="B132" s="25">
        <f t="shared" si="14"/>
        <v>0</v>
      </c>
      <c r="C132" s="75"/>
      <c r="D132" s="50"/>
      <c r="E132" s="77"/>
      <c r="F132" s="25">
        <f t="shared" si="15"/>
        <v>0</v>
      </c>
      <c r="G132" s="198"/>
      <c r="H132" s="36" t="s">
        <v>111</v>
      </c>
      <c r="I132" s="188">
        <v>-285325</v>
      </c>
      <c r="J132" s="63" t="s">
        <v>112</v>
      </c>
      <c r="K132" s="207" t="s">
        <v>158</v>
      </c>
      <c r="L132" s="82"/>
      <c r="M132" s="63"/>
      <c r="N132" s="63"/>
      <c r="O132" s="82"/>
    </row>
    <row r="133" s="3" customFormat="1" ht="18" customHeight="1" spans="1:15">
      <c r="A133" s="74"/>
      <c r="B133" s="25">
        <f t="shared" si="14"/>
        <v>0</v>
      </c>
      <c r="C133" s="75"/>
      <c r="D133" s="76"/>
      <c r="E133" s="77"/>
      <c r="F133" s="25">
        <f t="shared" si="15"/>
        <v>0</v>
      </c>
      <c r="G133" s="198"/>
      <c r="H133" s="36" t="s">
        <v>111</v>
      </c>
      <c r="I133" s="188">
        <v>200</v>
      </c>
      <c r="J133" s="65" t="s">
        <v>106</v>
      </c>
      <c r="K133" s="207" t="s">
        <v>110</v>
      </c>
      <c r="L133" s="82"/>
      <c r="M133" s="63"/>
      <c r="N133" s="63"/>
      <c r="O133" s="82"/>
    </row>
    <row r="134" s="3" customFormat="1" ht="18" customHeight="1" spans="1:15">
      <c r="A134" s="74"/>
      <c r="B134" s="25">
        <f t="shared" si="14"/>
        <v>0</v>
      </c>
      <c r="C134" s="75"/>
      <c r="D134" s="76"/>
      <c r="E134" s="77"/>
      <c r="F134" s="25">
        <f t="shared" si="15"/>
        <v>0</v>
      </c>
      <c r="G134" s="198"/>
      <c r="H134" s="36" t="s">
        <v>113</v>
      </c>
      <c r="I134" s="188">
        <v>300</v>
      </c>
      <c r="J134" s="65" t="s">
        <v>106</v>
      </c>
      <c r="K134" s="207" t="s">
        <v>110</v>
      </c>
      <c r="L134" s="82"/>
      <c r="M134" s="63"/>
      <c r="N134" s="63"/>
      <c r="O134" s="82"/>
    </row>
    <row r="135" s="3" customFormat="1" ht="18" customHeight="1" spans="1:15">
      <c r="A135" s="74"/>
      <c r="B135" s="25">
        <f t="shared" si="14"/>
        <v>0</v>
      </c>
      <c r="C135" s="75"/>
      <c r="D135" s="76"/>
      <c r="E135" s="77"/>
      <c r="F135" s="25">
        <f t="shared" si="15"/>
        <v>0</v>
      </c>
      <c r="G135" s="198"/>
      <c r="H135" s="36" t="s">
        <v>114</v>
      </c>
      <c r="I135" s="188">
        <v>9600</v>
      </c>
      <c r="J135" s="65" t="s">
        <v>106</v>
      </c>
      <c r="K135" s="207" t="s">
        <v>115</v>
      </c>
      <c r="L135" s="82"/>
      <c r="M135" s="63"/>
      <c r="N135" s="63"/>
      <c r="O135" s="82"/>
    </row>
    <row r="136" s="3" customFormat="1" ht="18" customHeight="1" spans="1:15">
      <c r="A136" s="74"/>
      <c r="B136" s="25">
        <f t="shared" si="14"/>
        <v>0</v>
      </c>
      <c r="C136" s="75"/>
      <c r="D136" s="76"/>
      <c r="E136" s="77"/>
      <c r="F136" s="25">
        <f t="shared" si="15"/>
        <v>0</v>
      </c>
      <c r="G136" s="198"/>
      <c r="H136" s="36" t="s">
        <v>114</v>
      </c>
      <c r="I136" s="188">
        <v>200</v>
      </c>
      <c r="J136" s="65" t="s">
        <v>106</v>
      </c>
      <c r="K136" s="207" t="s">
        <v>110</v>
      </c>
      <c r="L136" s="82"/>
      <c r="M136" s="63"/>
      <c r="N136" s="63"/>
      <c r="O136" s="82"/>
    </row>
    <row r="137" s="3" customFormat="1" ht="18" customHeight="1" spans="1:15">
      <c r="A137" s="74"/>
      <c r="B137" s="25">
        <f t="shared" si="14"/>
        <v>0</v>
      </c>
      <c r="C137" s="75"/>
      <c r="D137" s="76"/>
      <c r="E137" s="77"/>
      <c r="F137" s="25">
        <f t="shared" si="15"/>
        <v>0</v>
      </c>
      <c r="G137" s="198"/>
      <c r="H137" s="36" t="s">
        <v>114</v>
      </c>
      <c r="I137" s="188">
        <v>-903045</v>
      </c>
      <c r="J137" s="63" t="s">
        <v>112</v>
      </c>
      <c r="K137" s="207" t="s">
        <v>116</v>
      </c>
      <c r="L137" s="82"/>
      <c r="M137" s="63"/>
      <c r="N137" s="63"/>
      <c r="O137" s="82"/>
    </row>
    <row r="138" s="3" customFormat="1" ht="18" customHeight="1" spans="1:15">
      <c r="A138" s="74"/>
      <c r="B138" s="25">
        <f t="shared" si="14"/>
        <v>0</v>
      </c>
      <c r="C138" s="75"/>
      <c r="D138" s="76"/>
      <c r="E138" s="77"/>
      <c r="F138" s="25">
        <f t="shared" si="15"/>
        <v>0</v>
      </c>
      <c r="G138" s="198"/>
      <c r="H138" s="36" t="s">
        <v>117</v>
      </c>
      <c r="I138" s="188">
        <v>232932.79</v>
      </c>
      <c r="J138" s="63" t="s">
        <v>106</v>
      </c>
      <c r="K138" s="207" t="s">
        <v>118</v>
      </c>
      <c r="L138" s="82"/>
      <c r="M138" s="63"/>
      <c r="N138" s="63"/>
      <c r="O138" s="82"/>
    </row>
    <row r="139" s="3" customFormat="1" ht="18" customHeight="1" spans="1:15">
      <c r="A139" s="74"/>
      <c r="B139" s="25">
        <f t="shared" si="14"/>
        <v>0</v>
      </c>
      <c r="C139" s="75"/>
      <c r="D139" s="76"/>
      <c r="E139" s="77"/>
      <c r="F139" s="25">
        <f t="shared" si="15"/>
        <v>0</v>
      </c>
      <c r="G139" s="198"/>
      <c r="H139" s="36" t="s">
        <v>117</v>
      </c>
      <c r="I139" s="188"/>
      <c r="J139" s="63" t="s">
        <v>106</v>
      </c>
      <c r="K139" s="207" t="s">
        <v>119</v>
      </c>
      <c r="L139" s="82"/>
      <c r="M139" s="63"/>
      <c r="N139" s="63"/>
      <c r="O139" s="82"/>
    </row>
    <row r="140" s="3" customFormat="1" ht="18" customHeight="1" spans="1:15">
      <c r="A140" s="74"/>
      <c r="B140" s="25">
        <f t="shared" si="14"/>
        <v>0</v>
      </c>
      <c r="C140" s="75"/>
      <c r="D140" s="76"/>
      <c r="E140" s="77"/>
      <c r="F140" s="25">
        <f t="shared" si="15"/>
        <v>0</v>
      </c>
      <c r="G140" s="198"/>
      <c r="H140" s="36" t="s">
        <v>117</v>
      </c>
      <c r="I140" s="188">
        <v>903045</v>
      </c>
      <c r="J140" s="63" t="s">
        <v>120</v>
      </c>
      <c r="K140" s="207" t="s">
        <v>121</v>
      </c>
      <c r="L140" s="82"/>
      <c r="M140" s="63"/>
      <c r="N140" s="63"/>
      <c r="O140" s="82"/>
    </row>
    <row r="141" s="3" customFormat="1" ht="18" customHeight="1" spans="1:15">
      <c r="A141" s="74"/>
      <c r="B141" s="25">
        <f t="shared" si="14"/>
        <v>0</v>
      </c>
      <c r="C141" s="75"/>
      <c r="D141" s="76"/>
      <c r="E141" s="77"/>
      <c r="F141" s="25">
        <f t="shared" si="15"/>
        <v>0</v>
      </c>
      <c r="G141" s="198"/>
      <c r="H141" s="36" t="s">
        <v>117</v>
      </c>
      <c r="I141" s="188">
        <v>485252</v>
      </c>
      <c r="J141" s="63" t="s">
        <v>106</v>
      </c>
      <c r="K141" s="207" t="s">
        <v>122</v>
      </c>
      <c r="L141" s="82"/>
      <c r="M141" s="63"/>
      <c r="N141" s="63"/>
      <c r="O141" s="82"/>
    </row>
    <row r="142" s="3" customFormat="1" ht="18" customHeight="1" spans="1:15">
      <c r="A142" s="74"/>
      <c r="B142" s="25">
        <f t="shared" si="14"/>
        <v>0</v>
      </c>
      <c r="C142" s="75"/>
      <c r="D142" s="76"/>
      <c r="E142" s="77"/>
      <c r="F142" s="25">
        <f t="shared" si="15"/>
        <v>0</v>
      </c>
      <c r="G142" s="198"/>
      <c r="H142" s="36" t="s">
        <v>117</v>
      </c>
      <c r="I142" s="188">
        <v>4789</v>
      </c>
      <c r="J142" s="63" t="s">
        <v>106</v>
      </c>
      <c r="K142" s="207" t="s">
        <v>123</v>
      </c>
      <c r="L142" s="82"/>
      <c r="M142" s="63"/>
      <c r="N142" s="63"/>
      <c r="O142" s="82"/>
    </row>
    <row r="143" s="3" customFormat="1" ht="18" customHeight="1" spans="1:15">
      <c r="A143" s="74"/>
      <c r="B143" s="25">
        <f t="shared" si="14"/>
        <v>0</v>
      </c>
      <c r="C143" s="75"/>
      <c r="D143" s="76"/>
      <c r="E143" s="77"/>
      <c r="F143" s="25">
        <f t="shared" si="15"/>
        <v>0</v>
      </c>
      <c r="G143" s="198"/>
      <c r="H143" s="36" t="s">
        <v>117</v>
      </c>
      <c r="I143" s="188">
        <v>429349</v>
      </c>
      <c r="J143" s="63" t="s">
        <v>106</v>
      </c>
      <c r="K143" s="207" t="s">
        <v>124</v>
      </c>
      <c r="L143" s="82"/>
      <c r="M143" s="63"/>
      <c r="N143" s="63"/>
      <c r="O143" s="82"/>
    </row>
    <row r="144" s="3" customFormat="1" ht="18" customHeight="1" spans="1:15">
      <c r="A144" s="74"/>
      <c r="B144" s="25">
        <f t="shared" si="14"/>
        <v>0</v>
      </c>
      <c r="C144" s="75"/>
      <c r="D144" s="76"/>
      <c r="E144" s="77"/>
      <c r="F144" s="25">
        <f t="shared" si="15"/>
        <v>0</v>
      </c>
      <c r="G144" s="198"/>
      <c r="H144" s="36" t="s">
        <v>117</v>
      </c>
      <c r="I144" s="188">
        <v>87000</v>
      </c>
      <c r="J144" s="63" t="s">
        <v>125</v>
      </c>
      <c r="K144" s="207" t="s">
        <v>126</v>
      </c>
      <c r="L144" s="82"/>
      <c r="M144" s="63"/>
      <c r="N144" s="63"/>
      <c r="O144" s="82"/>
    </row>
    <row r="145" s="2" customFormat="1" ht="18" customHeight="1" spans="1:15">
      <c r="A145" s="48"/>
      <c r="B145" s="25">
        <f t="shared" si="14"/>
        <v>0</v>
      </c>
      <c r="C145" s="49"/>
      <c r="D145" s="50"/>
      <c r="E145" s="70"/>
      <c r="F145" s="25">
        <f t="shared" si="15"/>
        <v>0</v>
      </c>
      <c r="G145" s="189"/>
      <c r="H145" s="36" t="s">
        <v>117</v>
      </c>
      <c r="I145" s="188">
        <v>100</v>
      </c>
      <c r="J145" s="65" t="s">
        <v>106</v>
      </c>
      <c r="K145" s="207" t="s">
        <v>110</v>
      </c>
      <c r="L145" s="82"/>
      <c r="M145" s="56"/>
      <c r="N145" s="65"/>
      <c r="O145" s="67"/>
    </row>
    <row r="146" s="2" customFormat="1" ht="18" customHeight="1" spans="1:15">
      <c r="A146" s="48"/>
      <c r="B146" s="25">
        <f t="shared" si="14"/>
        <v>0</v>
      </c>
      <c r="C146" s="49"/>
      <c r="D146" s="50"/>
      <c r="E146" s="70"/>
      <c r="F146" s="25">
        <f t="shared" si="15"/>
        <v>0</v>
      </c>
      <c r="G146" s="189"/>
      <c r="H146" s="36" t="s">
        <v>117</v>
      </c>
      <c r="I146" s="188"/>
      <c r="J146" s="63"/>
      <c r="K146" s="207"/>
      <c r="L146" s="82"/>
      <c r="M146" s="56"/>
      <c r="N146" s="65"/>
      <c r="O146" s="67"/>
    </row>
    <row r="147" s="2" customFormat="1" ht="18" customHeight="1" spans="1:15">
      <c r="A147" s="48"/>
      <c r="B147" s="25">
        <f t="shared" si="14"/>
        <v>0</v>
      </c>
      <c r="C147" s="49"/>
      <c r="D147" s="50"/>
      <c r="E147" s="70"/>
      <c r="F147" s="25">
        <f t="shared" si="15"/>
        <v>0</v>
      </c>
      <c r="G147" s="189"/>
      <c r="H147" s="36" t="s">
        <v>127</v>
      </c>
      <c r="I147" s="188">
        <v>-93700</v>
      </c>
      <c r="J147" s="63" t="s">
        <v>125</v>
      </c>
      <c r="K147" s="148" t="s">
        <v>126</v>
      </c>
      <c r="L147" s="82"/>
      <c r="M147" s="56"/>
      <c r="N147" s="65"/>
      <c r="O147" s="67"/>
    </row>
    <row r="148" s="2" customFormat="1" ht="18" customHeight="1" spans="1:16">
      <c r="A148" s="48"/>
      <c r="B148" s="25">
        <f t="shared" si="14"/>
        <v>0</v>
      </c>
      <c r="C148" s="49"/>
      <c r="D148" s="50"/>
      <c r="E148" s="70"/>
      <c r="F148" s="25">
        <f t="shared" si="15"/>
        <v>0</v>
      </c>
      <c r="G148" s="189"/>
      <c r="H148" s="36" t="s">
        <v>127</v>
      </c>
      <c r="I148" s="71">
        <v>50</v>
      </c>
      <c r="J148" s="65" t="s">
        <v>106</v>
      </c>
      <c r="K148" s="148" t="s">
        <v>110</v>
      </c>
      <c r="L148" s="82"/>
      <c r="M148" s="56"/>
      <c r="N148" s="65"/>
      <c r="O148" s="67"/>
      <c r="P148" s="2">
        <f>I150+I143+I132</f>
        <v>387045</v>
      </c>
    </row>
    <row r="149" s="2" customFormat="1" ht="18" customHeight="1" spans="1:15">
      <c r="A149" s="48"/>
      <c r="B149" s="25">
        <f t="shared" si="14"/>
        <v>0</v>
      </c>
      <c r="C149" s="49"/>
      <c r="D149" s="50"/>
      <c r="E149" s="70"/>
      <c r="F149" s="25">
        <f t="shared" si="15"/>
        <v>0</v>
      </c>
      <c r="G149" s="189"/>
      <c r="H149" s="36" t="s">
        <v>127</v>
      </c>
      <c r="I149" s="210">
        <v>-21725</v>
      </c>
      <c r="J149" s="56" t="s">
        <v>112</v>
      </c>
      <c r="K149" s="238" t="s">
        <v>159</v>
      </c>
      <c r="L149" s="82"/>
      <c r="M149" s="56"/>
      <c r="N149" s="65"/>
      <c r="O149" s="67"/>
    </row>
    <row r="150" s="2" customFormat="1" ht="18" customHeight="1" spans="1:15">
      <c r="A150" s="48"/>
      <c r="B150" s="25">
        <f t="shared" si="14"/>
        <v>0</v>
      </c>
      <c r="C150" s="49"/>
      <c r="D150" s="50"/>
      <c r="E150" s="46"/>
      <c r="F150" s="25">
        <f t="shared" si="15"/>
        <v>0</v>
      </c>
      <c r="G150" s="189"/>
      <c r="H150" s="36" t="s">
        <v>129</v>
      </c>
      <c r="I150" s="188">
        <v>243021</v>
      </c>
      <c r="J150" s="63" t="s">
        <v>106</v>
      </c>
      <c r="K150" s="207" t="s">
        <v>124</v>
      </c>
      <c r="L150" s="67"/>
      <c r="M150" s="65"/>
      <c r="N150" s="65"/>
      <c r="O150" s="67"/>
    </row>
    <row r="151" s="2" customFormat="1" ht="18" customHeight="1" spans="1:15">
      <c r="A151" s="48"/>
      <c r="B151" s="25">
        <f t="shared" si="14"/>
        <v>0</v>
      </c>
      <c r="C151" s="49"/>
      <c r="D151" s="50"/>
      <c r="E151" s="46"/>
      <c r="F151" s="25">
        <f t="shared" si="15"/>
        <v>0</v>
      </c>
      <c r="G151" s="189"/>
      <c r="H151" s="36" t="s">
        <v>129</v>
      </c>
      <c r="I151" s="188">
        <v>2340</v>
      </c>
      <c r="J151" s="63" t="s">
        <v>106</v>
      </c>
      <c r="K151" s="207" t="s">
        <v>123</v>
      </c>
      <c r="L151" s="67"/>
      <c r="M151" s="65"/>
      <c r="N151" s="65"/>
      <c r="O151" s="67"/>
    </row>
    <row r="152" s="2" customFormat="1" ht="18" customHeight="1" spans="1:15">
      <c r="A152" s="48"/>
      <c r="B152" s="25">
        <f t="shared" si="14"/>
        <v>0</v>
      </c>
      <c r="C152" s="49"/>
      <c r="D152" s="50"/>
      <c r="E152" s="46"/>
      <c r="F152" s="25">
        <f t="shared" si="15"/>
        <v>0</v>
      </c>
      <c r="G152" s="189"/>
      <c r="H152" s="36" t="s">
        <v>129</v>
      </c>
      <c r="I152" s="188">
        <v>500</v>
      </c>
      <c r="J152" s="63" t="s">
        <v>106</v>
      </c>
      <c r="K152" s="148" t="s">
        <v>130</v>
      </c>
      <c r="L152" s="67"/>
      <c r="M152" s="65"/>
      <c r="N152" s="65"/>
      <c r="O152" s="67"/>
    </row>
    <row r="153" s="2" customFormat="1" ht="18" customHeight="1" spans="1:15">
      <c r="A153" s="48"/>
      <c r="B153" s="25"/>
      <c r="C153" s="49"/>
      <c r="D153" s="50"/>
      <c r="E153" s="46"/>
      <c r="F153" s="25"/>
      <c r="G153" s="189"/>
      <c r="H153" s="36" t="s">
        <v>129</v>
      </c>
      <c r="I153" s="210">
        <v>55725</v>
      </c>
      <c r="J153" s="56" t="s">
        <v>120</v>
      </c>
      <c r="K153" s="238" t="s">
        <v>121</v>
      </c>
      <c r="L153" s="67"/>
      <c r="M153" s="65"/>
      <c r="N153" s="65"/>
      <c r="O153" s="67"/>
    </row>
    <row r="154" s="2" customFormat="1" ht="18" customHeight="1" spans="1:15">
      <c r="A154" s="48"/>
      <c r="B154" s="25">
        <f t="shared" ref="B154:B159" si="16">ROUND(G154/(1+E154),2)</f>
        <v>0</v>
      </c>
      <c r="C154" s="49"/>
      <c r="D154" s="50"/>
      <c r="E154" s="46"/>
      <c r="F154" s="25">
        <f t="shared" ref="F154:F159" si="17">ROUND(G154/(1+E154)*E154,2)</f>
        <v>0</v>
      </c>
      <c r="G154" s="189"/>
      <c r="H154" s="36" t="s">
        <v>129</v>
      </c>
      <c r="I154" s="188">
        <v>8500</v>
      </c>
      <c r="J154" s="63" t="s">
        <v>125</v>
      </c>
      <c r="K154" s="148" t="s">
        <v>126</v>
      </c>
      <c r="L154" s="67"/>
      <c r="M154" s="65"/>
      <c r="N154" s="65"/>
      <c r="O154" s="67"/>
    </row>
    <row r="155" s="2" customFormat="1" ht="18" customHeight="1" spans="1:15">
      <c r="A155" s="48"/>
      <c r="B155" s="25">
        <f t="shared" si="16"/>
        <v>0</v>
      </c>
      <c r="C155" s="49"/>
      <c r="D155" s="50"/>
      <c r="E155" s="46"/>
      <c r="F155" s="25">
        <f t="shared" si="17"/>
        <v>0</v>
      </c>
      <c r="G155" s="189"/>
      <c r="H155" s="36" t="s">
        <v>131</v>
      </c>
      <c r="I155" s="188">
        <v>8800</v>
      </c>
      <c r="J155" s="63" t="s">
        <v>125</v>
      </c>
      <c r="K155" s="148" t="s">
        <v>126</v>
      </c>
      <c r="L155" s="67"/>
      <c r="M155" s="65"/>
      <c r="N155" s="65"/>
      <c r="O155" s="67"/>
    </row>
    <row r="156" s="2" customFormat="1" ht="18" customHeight="1" spans="1:15">
      <c r="A156" s="48"/>
      <c r="B156" s="25">
        <f t="shared" si="16"/>
        <v>0</v>
      </c>
      <c r="C156" s="49"/>
      <c r="D156" s="50"/>
      <c r="E156" s="46"/>
      <c r="F156" s="25">
        <f t="shared" si="17"/>
        <v>0</v>
      </c>
      <c r="G156" s="189"/>
      <c r="H156" s="36" t="s">
        <v>131</v>
      </c>
      <c r="I156" s="188">
        <v>35200</v>
      </c>
      <c r="J156" s="63" t="s">
        <v>125</v>
      </c>
      <c r="K156" s="148" t="s">
        <v>126</v>
      </c>
      <c r="L156" s="67"/>
      <c r="M156" s="65"/>
      <c r="N156" s="65"/>
      <c r="O156" s="67"/>
    </row>
    <row r="157" s="2" customFormat="1" ht="18" customHeight="1" spans="1:15">
      <c r="A157" s="48"/>
      <c r="B157" s="25">
        <f t="shared" si="16"/>
        <v>0</v>
      </c>
      <c r="C157" s="49"/>
      <c r="D157" s="50"/>
      <c r="E157" s="46"/>
      <c r="F157" s="25">
        <f t="shared" si="17"/>
        <v>0</v>
      </c>
      <c r="G157" s="189"/>
      <c r="H157" s="36" t="s">
        <v>131</v>
      </c>
      <c r="I157" s="188">
        <f>B9*E174</f>
        <v>2400</v>
      </c>
      <c r="J157" s="63" t="s">
        <v>106</v>
      </c>
      <c r="K157" s="148" t="s">
        <v>132</v>
      </c>
      <c r="L157" s="67"/>
      <c r="M157" s="65"/>
      <c r="N157" s="65"/>
      <c r="O157" s="67"/>
    </row>
    <row r="158" s="1" customFormat="1" ht="18" customHeight="1" spans="1:15">
      <c r="A158" s="43"/>
      <c r="B158" s="25">
        <f t="shared" si="16"/>
        <v>0</v>
      </c>
      <c r="C158" s="44"/>
      <c r="D158" s="45"/>
      <c r="E158" s="46"/>
      <c r="F158" s="25">
        <f t="shared" si="17"/>
        <v>0</v>
      </c>
      <c r="G158" s="189"/>
      <c r="H158" s="31" t="s">
        <v>133</v>
      </c>
      <c r="I158" s="188">
        <v>41200</v>
      </c>
      <c r="J158" s="63" t="s">
        <v>125</v>
      </c>
      <c r="K158" s="148" t="s">
        <v>126</v>
      </c>
      <c r="L158" s="60"/>
      <c r="M158" s="61"/>
      <c r="N158" s="61"/>
      <c r="O158" s="60"/>
    </row>
    <row r="159" s="1" customFormat="1" ht="18" customHeight="1" spans="1:15">
      <c r="A159" s="43"/>
      <c r="B159" s="25">
        <f t="shared" si="16"/>
        <v>0</v>
      </c>
      <c r="C159" s="44"/>
      <c r="D159" s="45"/>
      <c r="E159" s="46"/>
      <c r="F159" s="25">
        <f t="shared" si="17"/>
        <v>0</v>
      </c>
      <c r="G159" s="189"/>
      <c r="H159" s="31" t="s">
        <v>133</v>
      </c>
      <c r="I159" s="188">
        <v>2248</v>
      </c>
      <c r="J159" s="63" t="s">
        <v>106</v>
      </c>
      <c r="K159" s="148" t="s">
        <v>160</v>
      </c>
      <c r="L159" s="60"/>
      <c r="M159" s="61"/>
      <c r="N159" s="61"/>
      <c r="O159" s="60"/>
    </row>
    <row r="160" s="1" customFormat="1" ht="18" customHeight="1" spans="1:15">
      <c r="A160" s="43"/>
      <c r="B160" s="25"/>
      <c r="C160" s="44"/>
      <c r="D160" s="45"/>
      <c r="E160" s="46"/>
      <c r="F160" s="25"/>
      <c r="G160" s="189"/>
      <c r="H160" s="36" t="s">
        <v>134</v>
      </c>
      <c r="I160" s="188">
        <v>2782</v>
      </c>
      <c r="J160" s="63" t="s">
        <v>106</v>
      </c>
      <c r="K160" s="148" t="s">
        <v>160</v>
      </c>
      <c r="L160" s="60"/>
      <c r="M160" s="61"/>
      <c r="N160" s="61"/>
      <c r="O160" s="60"/>
    </row>
    <row r="161" s="1" customFormat="1" ht="18" customHeight="1" spans="1:15">
      <c r="A161" s="43"/>
      <c r="B161" s="25">
        <f>ROUND(G161/(1+E161),2)</f>
        <v>0</v>
      </c>
      <c r="C161" s="44"/>
      <c r="D161" s="45"/>
      <c r="E161" s="46"/>
      <c r="F161" s="25">
        <f>ROUND(G161/(1+E161)*E161,2)</f>
        <v>0</v>
      </c>
      <c r="G161" s="189"/>
      <c r="H161" s="36" t="s">
        <v>134</v>
      </c>
      <c r="I161" s="188">
        <v>950</v>
      </c>
      <c r="J161" s="63" t="s">
        <v>106</v>
      </c>
      <c r="K161" s="148" t="s">
        <v>130</v>
      </c>
      <c r="L161" s="60"/>
      <c r="M161" s="61"/>
      <c r="N161" s="61"/>
      <c r="O161" s="60"/>
    </row>
    <row r="162" s="1" customFormat="1" ht="18" customHeight="1" spans="1:15">
      <c r="A162" s="43"/>
      <c r="B162" s="25">
        <f>ROUND(G162/(1+E162),2)</f>
        <v>132850</v>
      </c>
      <c r="C162" s="44"/>
      <c r="D162" s="45"/>
      <c r="E162" s="46"/>
      <c r="F162" s="25">
        <f>ROUND(G162/(1+E162)*E162,2)</f>
        <v>0</v>
      </c>
      <c r="G162" s="189">
        <f>46100+17600+4400+17000+4250+34800+8700</f>
        <v>132850</v>
      </c>
      <c r="H162" s="31"/>
      <c r="I162" s="32">
        <f>G162</f>
        <v>132850</v>
      </c>
      <c r="J162" s="63" t="s">
        <v>106</v>
      </c>
      <c r="K162" s="148" t="s">
        <v>161</v>
      </c>
      <c r="L162" s="60"/>
      <c r="M162" s="61"/>
      <c r="N162" s="61"/>
      <c r="O162" s="60"/>
    </row>
    <row r="163" s="1" customFormat="1" ht="18" customHeight="1" spans="1:15">
      <c r="A163" s="43"/>
      <c r="B163" s="25"/>
      <c r="C163" s="44"/>
      <c r="D163" s="45"/>
      <c r="E163" s="46"/>
      <c r="F163" s="25"/>
      <c r="G163" s="239"/>
      <c r="H163" s="31"/>
      <c r="I163" s="141">
        <v>-3000000</v>
      </c>
      <c r="J163" s="249"/>
      <c r="K163" s="250" t="s">
        <v>162</v>
      </c>
      <c r="L163" s="60"/>
      <c r="M163" s="61"/>
      <c r="N163" s="61"/>
      <c r="O163" s="60"/>
    </row>
    <row r="164" ht="18" customHeight="1" spans="1:15">
      <c r="A164" s="39" t="s">
        <v>22</v>
      </c>
      <c r="B164" s="38">
        <f t="shared" ref="B164:G164" si="18">SUM(B24:B162)</f>
        <v>32667859.4</v>
      </c>
      <c r="C164" s="39"/>
      <c r="D164" s="240"/>
      <c r="E164" s="240"/>
      <c r="F164" s="241">
        <f t="shared" si="18"/>
        <v>1901421.18</v>
      </c>
      <c r="G164" s="242">
        <f t="shared" si="18"/>
        <v>34569280.58</v>
      </c>
      <c r="H164" s="243"/>
      <c r="I164" s="190">
        <f>SUM(I24:I163)</f>
        <v>31266913.4885321</v>
      </c>
      <c r="J164" s="251"/>
      <c r="K164" s="252"/>
      <c r="L164" s="191"/>
      <c r="M164" s="40"/>
      <c r="N164" s="40"/>
      <c r="O164" s="191"/>
    </row>
    <row r="165" ht="18" customHeight="1" spans="1:14">
      <c r="A165" s="99"/>
      <c r="B165" s="100">
        <f>B21*0.92-B164</f>
        <v>-5982641.71859883</v>
      </c>
      <c r="C165" s="99"/>
      <c r="D165" s="244"/>
      <c r="E165" s="244"/>
      <c r="F165" s="100">
        <f>F21-F164</f>
        <v>252793.999316096</v>
      </c>
      <c r="G165" s="100"/>
      <c r="H165" s="30" t="s">
        <v>136</v>
      </c>
      <c r="I165" s="190">
        <f>I21-I164</f>
        <v>473086.511467889</v>
      </c>
      <c r="J165" s="14"/>
      <c r="K165" s="253"/>
      <c r="M165" s="13"/>
      <c r="N165" s="13"/>
    </row>
    <row r="166" ht="18" customHeight="1" spans="1:3">
      <c r="A166" s="6" t="s">
        <v>137</v>
      </c>
      <c r="C166" s="6"/>
    </row>
    <row r="167" ht="18" customHeight="1" spans="1:17">
      <c r="A167" s="30" t="s">
        <v>138</v>
      </c>
      <c r="B167" s="28" t="s">
        <v>139</v>
      </c>
      <c r="C167" s="191"/>
      <c r="D167" s="30" t="s">
        <v>138</v>
      </c>
      <c r="E167" s="27" t="s">
        <v>15</v>
      </c>
      <c r="F167" s="28" t="s">
        <v>139</v>
      </c>
      <c r="G167" s="28" t="s">
        <v>140</v>
      </c>
      <c r="H167" s="28" t="s">
        <v>141</v>
      </c>
      <c r="I167" s="28" t="s">
        <v>142</v>
      </c>
      <c r="K167" s="28" t="s">
        <v>143</v>
      </c>
      <c r="L167" s="254"/>
      <c r="M167" s="28" t="s">
        <v>144</v>
      </c>
      <c r="N167" s="134" t="s">
        <v>144</v>
      </c>
      <c r="O167" s="255"/>
      <c r="P167" s="242" t="s">
        <v>145</v>
      </c>
      <c r="Q167" s="242" t="s">
        <v>163</v>
      </c>
    </row>
    <row r="168" ht="18" customHeight="1" spans="1:17">
      <c r="A168" s="191" t="s">
        <v>146</v>
      </c>
      <c r="B168" s="25">
        <f>(B21-B164)*0.25</f>
        <v>-915547.00179316</v>
      </c>
      <c r="C168" s="191"/>
      <c r="D168" s="18" t="s">
        <v>147</v>
      </c>
      <c r="E168" s="40" t="s">
        <v>148</v>
      </c>
      <c r="F168" s="245">
        <f>F21-F164</f>
        <v>252793.999316096</v>
      </c>
      <c r="G168" s="245">
        <f>F7-F24-F26-F29-F30-F33</f>
        <v>-333763.749090909</v>
      </c>
      <c r="H168" s="245">
        <f>F8-F38</f>
        <v>299461.603636364</v>
      </c>
      <c r="I168" s="245">
        <f>F9-F40-F41-F43-F48-F49-F50-F51-F53</f>
        <v>49772.4599999999</v>
      </c>
      <c r="K168" s="245">
        <f>F10-F74-F75-F76-F77-F78</f>
        <v>205457.659816514</v>
      </c>
      <c r="L168" s="254"/>
      <c r="M168" s="245">
        <f>F11-F79-F87-F88-F90</f>
        <v>390316.376330275</v>
      </c>
      <c r="N168" s="134">
        <v>-259385.7</v>
      </c>
      <c r="O168" s="255"/>
      <c r="P168" s="242"/>
      <c r="Q168" s="265"/>
    </row>
    <row r="169" ht="18" customHeight="1" spans="1:17">
      <c r="A169" s="191" t="s">
        <v>149</v>
      </c>
      <c r="B169" s="21" t="s">
        <v>150</v>
      </c>
      <c r="C169" s="191"/>
      <c r="D169" s="246" t="s">
        <v>151</v>
      </c>
      <c r="E169" s="22">
        <v>0.05</v>
      </c>
      <c r="F169" s="32">
        <f>F168*E169</f>
        <v>12639.6999658048</v>
      </c>
      <c r="G169" s="32">
        <v>0</v>
      </c>
      <c r="H169" s="32">
        <v>0</v>
      </c>
      <c r="I169" s="32">
        <v>0</v>
      </c>
      <c r="K169" s="32">
        <f>K168*E169</f>
        <v>10272.8829908257</v>
      </c>
      <c r="L169" s="254"/>
      <c r="M169" s="32">
        <f>M168*E169</f>
        <v>19515.8188165138</v>
      </c>
      <c r="N169" s="134">
        <f>N168*E169</f>
        <v>-12969.285</v>
      </c>
      <c r="O169" s="255"/>
      <c r="P169" s="242"/>
      <c r="Q169" s="265"/>
    </row>
    <row r="170" ht="18" customHeight="1" spans="1:17">
      <c r="A170" s="191" t="s">
        <v>123</v>
      </c>
      <c r="B170" s="247">
        <f>B21*0.0006</f>
        <v>17403.4028356964</v>
      </c>
      <c r="C170" s="191"/>
      <c r="D170" s="246" t="s">
        <v>152</v>
      </c>
      <c r="E170" s="22">
        <v>0.03</v>
      </c>
      <c r="F170" s="32">
        <f>F168*E170</f>
        <v>7583.81997948289</v>
      </c>
      <c r="G170" s="32">
        <v>0</v>
      </c>
      <c r="H170" s="32">
        <v>0</v>
      </c>
      <c r="I170" s="32">
        <v>0</v>
      </c>
      <c r="K170" s="32">
        <f>K168*E170</f>
        <v>6163.72979449541</v>
      </c>
      <c r="L170" s="254"/>
      <c r="M170" s="32">
        <f>M168*E170</f>
        <v>11709.4912899083</v>
      </c>
      <c r="N170" s="134">
        <f>N168*E170</f>
        <v>-7781.571</v>
      </c>
      <c r="O170" s="255"/>
      <c r="P170" s="242"/>
      <c r="Q170" s="265"/>
    </row>
    <row r="171" ht="18" customHeight="1" spans="1:17">
      <c r="A171" s="191"/>
      <c r="B171" s="32"/>
      <c r="C171" s="191"/>
      <c r="D171" s="246" t="s">
        <v>153</v>
      </c>
      <c r="E171" s="22">
        <v>0.02</v>
      </c>
      <c r="F171" s="32">
        <f>F168*E171</f>
        <v>5055.87998632193</v>
      </c>
      <c r="G171" s="32">
        <v>0</v>
      </c>
      <c r="H171" s="32">
        <v>0</v>
      </c>
      <c r="I171" s="32">
        <v>0</v>
      </c>
      <c r="K171" s="32">
        <f>K168*E171</f>
        <v>4109.15319633028</v>
      </c>
      <c r="L171" s="254"/>
      <c r="M171" s="32">
        <f>M168*E171</f>
        <v>7806.32752660551</v>
      </c>
      <c r="N171" s="134">
        <f>N168*E171</f>
        <v>-5187.714</v>
      </c>
      <c r="O171" s="255"/>
      <c r="P171" s="242"/>
      <c r="Q171" s="265"/>
    </row>
    <row r="172" ht="18" customHeight="1" spans="1:17">
      <c r="A172" s="37" t="s">
        <v>154</v>
      </c>
      <c r="B172" s="38">
        <f>SUM(B168:B171)</f>
        <v>-898143.598957464</v>
      </c>
      <c r="C172" s="191"/>
      <c r="D172" s="37" t="s">
        <v>154</v>
      </c>
      <c r="E172" s="37"/>
      <c r="F172" s="241">
        <f>SUM(F168:F171)</f>
        <v>278073.399247706</v>
      </c>
      <c r="G172" s="241">
        <v>0</v>
      </c>
      <c r="H172" s="241">
        <v>0</v>
      </c>
      <c r="I172" s="241">
        <v>0</v>
      </c>
      <c r="K172" s="241">
        <f t="shared" ref="K172:N172" si="19">SUM(K168:K171)</f>
        <v>226003.425798165</v>
      </c>
      <c r="L172" s="254"/>
      <c r="M172" s="241">
        <f t="shared" si="19"/>
        <v>429348.013963303</v>
      </c>
      <c r="N172" s="134">
        <f t="shared" si="19"/>
        <v>-285324.27</v>
      </c>
      <c r="O172" s="255"/>
      <c r="P172" s="242"/>
      <c r="Q172" s="265"/>
    </row>
    <row r="173" ht="18" customHeight="1" spans="3:17">
      <c r="C173" s="6"/>
      <c r="D173" s="20" t="s">
        <v>149</v>
      </c>
      <c r="E173" s="248">
        <v>0.0003</v>
      </c>
      <c r="F173" s="32">
        <v>0</v>
      </c>
      <c r="G173" s="32"/>
      <c r="H173" s="32"/>
      <c r="I173" s="32">
        <v>0</v>
      </c>
      <c r="K173" s="32"/>
      <c r="M173" s="32"/>
      <c r="N173" s="134"/>
      <c r="O173" s="255"/>
      <c r="P173" s="242"/>
      <c r="Q173" s="265"/>
    </row>
    <row r="174" ht="18" customHeight="1" spans="3:17">
      <c r="C174" s="6"/>
      <c r="D174" s="20" t="s">
        <v>123</v>
      </c>
      <c r="E174" s="248">
        <v>0.0006</v>
      </c>
      <c r="F174" s="32">
        <f>B21*E174</f>
        <v>17403.4028356964</v>
      </c>
      <c r="G174" s="32">
        <f>B7*E174</f>
        <v>2781.81818181818</v>
      </c>
      <c r="H174" s="32">
        <f>B8*E174</f>
        <v>2247.27272727273</v>
      </c>
      <c r="I174" s="32">
        <f>B9*E174</f>
        <v>2400</v>
      </c>
      <c r="K174" s="32">
        <f>B10*E174</f>
        <v>2339.4495412844</v>
      </c>
      <c r="L174" s="254"/>
      <c r="M174" s="32">
        <f>B11*E174</f>
        <v>4788.99082568807</v>
      </c>
      <c r="N174" s="134"/>
      <c r="O174" s="255"/>
      <c r="P174" s="242">
        <v>853.21</v>
      </c>
      <c r="Q174" s="265">
        <f>E174*B13</f>
        <v>1992.66055045872</v>
      </c>
    </row>
    <row r="175" ht="18" customHeight="1" spans="3:17">
      <c r="C175" s="6"/>
      <c r="D175" s="39" t="s">
        <v>22</v>
      </c>
      <c r="E175" s="39"/>
      <c r="F175" s="190">
        <f>F172+F173+F174</f>
        <v>295476.802083402</v>
      </c>
      <c r="G175" s="190"/>
      <c r="H175" s="190"/>
      <c r="I175" s="190"/>
      <c r="K175" s="190"/>
      <c r="M175" s="191">
        <f>M172+M174</f>
        <v>434137.004788991</v>
      </c>
      <c r="N175" s="134"/>
      <c r="O175" s="255"/>
      <c r="P175" s="242"/>
      <c r="Q175" s="265"/>
    </row>
    <row r="176" ht="18" customHeight="1" spans="3:17">
      <c r="C176" s="6"/>
      <c r="D176" s="20" t="s">
        <v>121</v>
      </c>
      <c r="E176" s="248">
        <v>0.02</v>
      </c>
      <c r="F176" s="32">
        <f>B21*E176</f>
        <v>580113.427856547</v>
      </c>
      <c r="G176" s="32"/>
      <c r="H176" s="32"/>
      <c r="I176" s="32"/>
      <c r="K176" s="190"/>
      <c r="M176" s="32">
        <f>(SUM(B7:B11))*E176</f>
        <v>485251.042535446</v>
      </c>
      <c r="N176" s="134"/>
      <c r="O176" s="255"/>
      <c r="P176" s="242">
        <f>B12*0.02</f>
        <v>28440.3669724771</v>
      </c>
      <c r="Q176" s="265">
        <f>G13*E176</f>
        <v>72400</v>
      </c>
    </row>
    <row r="177" ht="18" customHeight="1" spans="3:3">
      <c r="C177" s="6"/>
    </row>
    <row r="178" ht="18" customHeight="1" spans="3:3">
      <c r="C178" s="6"/>
    </row>
    <row r="179" ht="18" customHeight="1" spans="3:3">
      <c r="C179" s="6"/>
    </row>
    <row r="180" spans="3:3">
      <c r="C180" s="6"/>
    </row>
    <row r="181" spans="3:3">
      <c r="C181" s="6"/>
    </row>
    <row r="182" spans="3:3">
      <c r="C182" s="6"/>
    </row>
    <row r="183" spans="3:3">
      <c r="C183" s="6"/>
    </row>
    <row r="184" spans="3:3">
      <c r="C184" s="6"/>
    </row>
    <row r="185" spans="3:3">
      <c r="C185" s="6"/>
    </row>
    <row r="186" spans="3:3">
      <c r="C186" s="6"/>
    </row>
    <row r="187" spans="3:3">
      <c r="C187" s="6"/>
    </row>
    <row r="188" spans="3:3">
      <c r="C188" s="6"/>
    </row>
    <row r="189" spans="3:3">
      <c r="C189" s="6"/>
    </row>
    <row r="190" spans="3:3">
      <c r="C190" s="6"/>
    </row>
    <row r="191" spans="3:3">
      <c r="C191" s="6"/>
    </row>
    <row r="192" spans="3:3">
      <c r="C192" s="6"/>
    </row>
    <row r="193" spans="3:3">
      <c r="C193" s="6"/>
    </row>
    <row r="194" spans="3:3">
      <c r="C194" s="6"/>
    </row>
    <row r="195" spans="3:3">
      <c r="C195" s="6"/>
    </row>
  </sheetData>
  <autoFilter ref="A23:Q111">
    <extLst/>
  </autoFilter>
  <mergeCells count="18">
    <mergeCell ref="A1:J1"/>
    <mergeCell ref="H2:J2"/>
    <mergeCell ref="C5:D5"/>
    <mergeCell ref="E5:F5"/>
    <mergeCell ref="H5:J5"/>
    <mergeCell ref="N167:O167"/>
    <mergeCell ref="N168:O168"/>
    <mergeCell ref="N169:O169"/>
    <mergeCell ref="N170:O170"/>
    <mergeCell ref="N171:O171"/>
    <mergeCell ref="N172:O172"/>
    <mergeCell ref="N173:O173"/>
    <mergeCell ref="N174:O174"/>
    <mergeCell ref="N175:O175"/>
    <mergeCell ref="N176:O176"/>
    <mergeCell ref="A5:A6"/>
    <mergeCell ref="B5:B6"/>
    <mergeCell ref="G5:G6"/>
  </mergeCell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1"/>
  <sheetViews>
    <sheetView topLeftCell="A94" workbookViewId="0">
      <selection activeCell="C112" sqref="C112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/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/>
      <c r="B14" s="32">
        <f t="shared" si="0"/>
        <v>0</v>
      </c>
      <c r="C14" s="33"/>
      <c r="D14" s="188">
        <f t="shared" si="1"/>
        <v>0</v>
      </c>
      <c r="E14" s="33"/>
      <c r="F14" s="32">
        <f t="shared" si="2"/>
        <v>0</v>
      </c>
      <c r="G14" s="189"/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>
        <f>G20/(1+C20+E20)</f>
        <v>0</v>
      </c>
      <c r="C20" s="33"/>
      <c r="D20" s="188">
        <f>G20/(1+E20+C20)*C20</f>
        <v>0</v>
      </c>
      <c r="E20" s="33"/>
      <c r="F20" s="32">
        <f>G20/(1+C20+E20)*E20</f>
        <v>0</v>
      </c>
      <c r="G20" s="189"/>
      <c r="H20" s="14"/>
      <c r="I20" s="14"/>
      <c r="J20" s="40"/>
    </row>
    <row r="21" ht="18" customHeight="1" spans="1:10">
      <c r="A21" s="37" t="s">
        <v>22</v>
      </c>
      <c r="B21" s="38">
        <f t="shared" ref="B21:G21" si="3">SUM(B7:B20)</f>
        <v>29005671.3928274</v>
      </c>
      <c r="C21" s="39"/>
      <c r="D21" s="190">
        <f t="shared" si="3"/>
        <v>580113.427856547</v>
      </c>
      <c r="E21" s="39"/>
      <c r="F21" s="190">
        <f t="shared" si="3"/>
        <v>2154215.1793161</v>
      </c>
      <c r="G21" s="190">
        <f t="shared" si="3"/>
        <v>31740000</v>
      </c>
      <c r="H21" s="191"/>
      <c r="I21" s="190">
        <f>SUM(I7:I19)</f>
        <v>31740000</v>
      </c>
      <c r="J21" s="191"/>
    </row>
    <row r="22" ht="18" customHeight="1" spans="1:12">
      <c r="A22" s="6" t="s">
        <v>23</v>
      </c>
      <c r="J22" s="8"/>
      <c r="K22" s="8"/>
      <c r="L22" s="186"/>
    </row>
    <row r="23" ht="18" customHeight="1" spans="1:15">
      <c r="A23" s="41" t="s">
        <v>24</v>
      </c>
      <c r="B23" s="28" t="s">
        <v>25</v>
      </c>
      <c r="C23" s="27" t="s">
        <v>26</v>
      </c>
      <c r="D23" s="27" t="s">
        <v>27</v>
      </c>
      <c r="E23" s="27" t="s">
        <v>15</v>
      </c>
      <c r="F23" s="28" t="s">
        <v>28</v>
      </c>
      <c r="G23" s="28" t="s">
        <v>13</v>
      </c>
      <c r="H23" s="27" t="s">
        <v>29</v>
      </c>
      <c r="I23" s="28" t="s">
        <v>30</v>
      </c>
      <c r="J23" s="27" t="s">
        <v>19</v>
      </c>
      <c r="K23" s="54" t="s">
        <v>31</v>
      </c>
      <c r="L23" s="30" t="s">
        <v>32</v>
      </c>
      <c r="M23" s="30" t="s">
        <v>33</v>
      </c>
      <c r="N23" s="30" t="s">
        <v>34</v>
      </c>
      <c r="O23" s="30" t="s">
        <v>35</v>
      </c>
    </row>
    <row r="24" s="1" customFormat="1" ht="18" customHeight="1" spans="1:15">
      <c r="A24" s="43">
        <v>43070</v>
      </c>
      <c r="B24" s="25">
        <f t="shared" ref="B24:B87" si="4">ROUND(G24/(1+E24),2)</f>
        <v>2830.19</v>
      </c>
      <c r="C24" s="44"/>
      <c r="D24" s="45" t="s">
        <v>36</v>
      </c>
      <c r="E24" s="46">
        <v>0.06</v>
      </c>
      <c r="F24" s="25">
        <f t="shared" ref="F24:F87" si="5">ROUND(G24/(1+E24)*E24,2)</f>
        <v>169.81</v>
      </c>
      <c r="G24" s="189">
        <v>3000</v>
      </c>
      <c r="H24" s="31"/>
      <c r="I24" s="32"/>
      <c r="J24" s="40"/>
      <c r="K24" s="147" t="s">
        <v>37</v>
      </c>
      <c r="L24" s="60" t="s">
        <v>38</v>
      </c>
      <c r="M24" s="61"/>
      <c r="N24" s="61"/>
      <c r="O24" s="60"/>
    </row>
    <row r="25" s="1" customFormat="1" ht="18" customHeight="1" spans="1:15">
      <c r="A25" s="43">
        <v>43071</v>
      </c>
      <c r="B25" s="25">
        <f t="shared" si="4"/>
        <v>3000</v>
      </c>
      <c r="C25" s="44"/>
      <c r="D25" s="45" t="s">
        <v>39</v>
      </c>
      <c r="E25" s="46"/>
      <c r="F25" s="25">
        <f t="shared" si="5"/>
        <v>0</v>
      </c>
      <c r="G25" s="189">
        <v>3000</v>
      </c>
      <c r="H25" s="31"/>
      <c r="I25" s="32"/>
      <c r="J25" s="40"/>
      <c r="K25" s="147"/>
      <c r="L25" s="60" t="s">
        <v>38</v>
      </c>
      <c r="M25" s="61"/>
      <c r="N25" s="61"/>
      <c r="O25" s="60"/>
    </row>
    <row r="26" s="1" customFormat="1" ht="18" customHeight="1" spans="1:15">
      <c r="A26" s="43">
        <v>43072</v>
      </c>
      <c r="B26" s="25">
        <f t="shared" si="4"/>
        <v>12824.53</v>
      </c>
      <c r="C26" s="44"/>
      <c r="D26" s="45" t="s">
        <v>36</v>
      </c>
      <c r="E26" s="46">
        <v>0.06</v>
      </c>
      <c r="F26" s="25">
        <f t="shared" si="5"/>
        <v>769.47</v>
      </c>
      <c r="G26" s="189">
        <v>13594</v>
      </c>
      <c r="H26" s="31"/>
      <c r="I26" s="32"/>
      <c r="J26" s="40"/>
      <c r="K26" s="147" t="s">
        <v>40</v>
      </c>
      <c r="L26" s="60" t="s">
        <v>41</v>
      </c>
      <c r="M26" s="61"/>
      <c r="N26" s="61"/>
      <c r="O26" s="60"/>
    </row>
    <row r="27" s="1" customFormat="1" ht="18" customHeight="1" spans="1:15">
      <c r="A27" s="43">
        <v>43073</v>
      </c>
      <c r="B27" s="25">
        <f t="shared" si="4"/>
        <v>1206</v>
      </c>
      <c r="C27" s="44"/>
      <c r="D27" s="45" t="s">
        <v>39</v>
      </c>
      <c r="E27" s="46"/>
      <c r="F27" s="25">
        <f t="shared" si="5"/>
        <v>0</v>
      </c>
      <c r="G27" s="189">
        <v>1206</v>
      </c>
      <c r="H27" s="31"/>
      <c r="I27" s="32"/>
      <c r="J27" s="40"/>
      <c r="K27" s="147"/>
      <c r="L27" s="60" t="s">
        <v>42</v>
      </c>
      <c r="M27" s="61"/>
      <c r="N27" s="61"/>
      <c r="O27" s="60"/>
    </row>
    <row r="28" s="1" customFormat="1" ht="18" customHeight="1" spans="1:15">
      <c r="A28" s="43">
        <v>43074</v>
      </c>
      <c r="B28" s="25">
        <f t="shared" si="4"/>
        <v>13191.34</v>
      </c>
      <c r="C28" s="44"/>
      <c r="D28" s="45" t="s">
        <v>39</v>
      </c>
      <c r="E28" s="46"/>
      <c r="F28" s="25">
        <f t="shared" si="5"/>
        <v>0</v>
      </c>
      <c r="G28" s="189">
        <v>13191.34</v>
      </c>
      <c r="H28" s="31"/>
      <c r="I28" s="32"/>
      <c r="J28" s="40"/>
      <c r="K28" s="147"/>
      <c r="L28" s="60" t="s">
        <v>43</v>
      </c>
      <c r="M28" s="61"/>
      <c r="N28" s="61"/>
      <c r="O28" s="60"/>
    </row>
    <row r="29" s="1" customFormat="1" ht="18" customHeight="1" spans="1:15">
      <c r="A29" s="43">
        <v>43149</v>
      </c>
      <c r="B29" s="25">
        <f t="shared" si="4"/>
        <v>1924.53</v>
      </c>
      <c r="C29" s="44"/>
      <c r="D29" s="45" t="s">
        <v>36</v>
      </c>
      <c r="E29" s="46">
        <v>0.06</v>
      </c>
      <c r="F29" s="25">
        <f t="shared" si="5"/>
        <v>115.47</v>
      </c>
      <c r="G29" s="189">
        <v>2040</v>
      </c>
      <c r="H29" s="31"/>
      <c r="I29" s="32"/>
      <c r="J29" s="40"/>
      <c r="K29" s="147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43177</v>
      </c>
      <c r="B30" s="25">
        <f t="shared" si="4"/>
        <v>2830.19</v>
      </c>
      <c r="C30" s="44"/>
      <c r="D30" s="45" t="s">
        <v>36</v>
      </c>
      <c r="E30" s="46">
        <v>0.06</v>
      </c>
      <c r="F30" s="25">
        <f t="shared" si="5"/>
        <v>169.81</v>
      </c>
      <c r="G30" s="189">
        <v>3000</v>
      </c>
      <c r="H30" s="31"/>
      <c r="I30" s="32"/>
      <c r="J30" s="40"/>
      <c r="K30" s="147" t="s">
        <v>44</v>
      </c>
      <c r="L30" s="60" t="s">
        <v>45</v>
      </c>
      <c r="M30" s="61"/>
      <c r="N30" s="61"/>
      <c r="O30" s="60"/>
    </row>
    <row r="31" s="1" customFormat="1" ht="18" customHeight="1" spans="1:15">
      <c r="A31" s="43">
        <v>43178</v>
      </c>
      <c r="B31" s="25">
        <f t="shared" si="4"/>
        <v>12529.12</v>
      </c>
      <c r="C31" s="44"/>
      <c r="D31" s="45" t="s">
        <v>39</v>
      </c>
      <c r="E31" s="46"/>
      <c r="F31" s="25">
        <f t="shared" si="5"/>
        <v>0</v>
      </c>
      <c r="G31" s="189">
        <v>12529.12</v>
      </c>
      <c r="H31" s="31"/>
      <c r="I31" s="32"/>
      <c r="J31" s="40"/>
      <c r="K31" s="147"/>
      <c r="L31" s="60" t="s">
        <v>46</v>
      </c>
      <c r="M31" s="61"/>
      <c r="N31" s="61"/>
      <c r="O31" s="60"/>
    </row>
    <row r="32" s="1" customFormat="1" ht="18" customHeight="1" spans="1:15">
      <c r="A32" s="43">
        <v>43177</v>
      </c>
      <c r="B32" s="25">
        <f t="shared" si="4"/>
        <v>7575</v>
      </c>
      <c r="C32" s="44"/>
      <c r="D32" s="45" t="s">
        <v>39</v>
      </c>
      <c r="E32" s="46"/>
      <c r="F32" s="25">
        <f t="shared" si="5"/>
        <v>0</v>
      </c>
      <c r="G32" s="189">
        <v>7575</v>
      </c>
      <c r="H32" s="31"/>
      <c r="I32" s="32"/>
      <c r="J32" s="40"/>
      <c r="K32" s="147"/>
      <c r="L32" s="60" t="s">
        <v>46</v>
      </c>
      <c r="M32" s="61"/>
      <c r="N32" s="61"/>
      <c r="O32" s="60"/>
    </row>
    <row r="33" s="1" customFormat="1" ht="18" customHeight="1" spans="1:15">
      <c r="A33" s="43">
        <v>43238</v>
      </c>
      <c r="B33" s="25">
        <f t="shared" si="4"/>
        <v>4396551.72</v>
      </c>
      <c r="C33" s="44"/>
      <c r="D33" s="45" t="s">
        <v>36</v>
      </c>
      <c r="E33" s="46">
        <v>0.16</v>
      </c>
      <c r="F33" s="25">
        <f t="shared" si="5"/>
        <v>703448.28</v>
      </c>
      <c r="G33" s="189">
        <v>5100000</v>
      </c>
      <c r="H33" s="31">
        <v>43251</v>
      </c>
      <c r="I33" s="32">
        <v>2500000</v>
      </c>
      <c r="J33" s="40" t="s">
        <v>20</v>
      </c>
      <c r="K33" s="147" t="s">
        <v>47</v>
      </c>
      <c r="L33" s="60" t="s">
        <v>48</v>
      </c>
      <c r="M33" s="61"/>
      <c r="N33" s="61"/>
      <c r="O33" s="60"/>
    </row>
    <row r="34" s="1" customFormat="1" ht="18" customHeight="1" spans="1:15">
      <c r="A34" s="43"/>
      <c r="B34" s="25">
        <f t="shared" si="4"/>
        <v>0</v>
      </c>
      <c r="C34" s="44"/>
      <c r="D34" s="45"/>
      <c r="E34" s="46"/>
      <c r="F34" s="25">
        <f t="shared" si="5"/>
        <v>0</v>
      </c>
      <c r="G34" s="189"/>
      <c r="H34" s="31" t="s">
        <v>49</v>
      </c>
      <c r="I34" s="32">
        <v>2530768</v>
      </c>
      <c r="J34" s="40" t="s">
        <v>20</v>
      </c>
      <c r="K34" s="147" t="s">
        <v>47</v>
      </c>
      <c r="L34" s="60"/>
      <c r="M34" s="61"/>
      <c r="N34" s="61"/>
      <c r="O34" s="60"/>
    </row>
    <row r="35" s="1" customFormat="1" ht="18" customHeight="1" spans="1:15">
      <c r="A35" s="43"/>
      <c r="B35" s="25">
        <f t="shared" si="4"/>
        <v>0</v>
      </c>
      <c r="C35" s="44"/>
      <c r="D35" s="45"/>
      <c r="E35" s="46"/>
      <c r="F35" s="25">
        <f t="shared" si="5"/>
        <v>0</v>
      </c>
      <c r="G35" s="189"/>
      <c r="H35" s="31" t="s">
        <v>49</v>
      </c>
      <c r="I35" s="32">
        <v>69232</v>
      </c>
      <c r="J35" s="40" t="s">
        <v>20</v>
      </c>
      <c r="K35" s="147" t="s">
        <v>47</v>
      </c>
      <c r="L35" s="60"/>
      <c r="M35" s="61"/>
      <c r="N35" s="61"/>
      <c r="O35" s="60"/>
    </row>
    <row r="36" s="1" customFormat="1" ht="18" customHeight="1" spans="1:15">
      <c r="A36" s="43"/>
      <c r="B36" s="25">
        <f t="shared" si="4"/>
        <v>0</v>
      </c>
      <c r="C36" s="44"/>
      <c r="D36" s="45"/>
      <c r="E36" s="46"/>
      <c r="F36" s="25">
        <f t="shared" si="5"/>
        <v>0</v>
      </c>
      <c r="G36" s="189"/>
      <c r="H36" s="31">
        <v>43252</v>
      </c>
      <c r="I36" s="32">
        <v>-29323</v>
      </c>
      <c r="J36" s="40" t="s">
        <v>21</v>
      </c>
      <c r="K36" s="147" t="s">
        <v>50</v>
      </c>
      <c r="L36" s="60"/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>
        <v>43255</v>
      </c>
      <c r="I37" s="32">
        <v>-39909</v>
      </c>
      <c r="J37" s="40" t="s">
        <v>21</v>
      </c>
      <c r="K37" s="147" t="s">
        <v>50</v>
      </c>
      <c r="L37" s="60"/>
      <c r="M37" s="61"/>
      <c r="N37" s="61"/>
      <c r="O37" s="60"/>
    </row>
    <row r="38" s="1" customFormat="1" ht="18" customHeight="1" spans="1:15">
      <c r="A38" s="43">
        <v>43269</v>
      </c>
      <c r="B38" s="25">
        <f t="shared" si="4"/>
        <v>5825.24</v>
      </c>
      <c r="C38" s="44"/>
      <c r="D38" s="45" t="s">
        <v>36</v>
      </c>
      <c r="E38" s="46">
        <v>0.03</v>
      </c>
      <c r="F38" s="25">
        <f t="shared" si="5"/>
        <v>174.76</v>
      </c>
      <c r="G38" s="189">
        <v>6000</v>
      </c>
      <c r="H38" s="31">
        <v>43264</v>
      </c>
      <c r="I38" s="32">
        <v>6000</v>
      </c>
      <c r="J38" s="40" t="s">
        <v>20</v>
      </c>
      <c r="K38" s="147" t="s">
        <v>51</v>
      </c>
      <c r="L38" s="60" t="s">
        <v>52</v>
      </c>
      <c r="M38" s="61"/>
      <c r="N38" s="61"/>
      <c r="O38" s="60"/>
    </row>
    <row r="39" s="1" customFormat="1" ht="18" customHeight="1" spans="1:15">
      <c r="A39" s="43"/>
      <c r="B39" s="25">
        <f t="shared" si="4"/>
        <v>0</v>
      </c>
      <c r="C39" s="44"/>
      <c r="D39" s="45"/>
      <c r="E39" s="46"/>
      <c r="F39" s="25">
        <f t="shared" si="5"/>
        <v>0</v>
      </c>
      <c r="G39" s="189"/>
      <c r="H39" s="31">
        <v>43263</v>
      </c>
      <c r="I39" s="32">
        <v>-6000</v>
      </c>
      <c r="J39" s="40" t="s">
        <v>21</v>
      </c>
      <c r="K39" s="147" t="s">
        <v>50</v>
      </c>
      <c r="L39" s="60"/>
      <c r="M39" s="61"/>
      <c r="N39" s="61"/>
      <c r="O39" s="60"/>
    </row>
    <row r="40" s="2" customFormat="1" ht="18" customHeight="1" spans="1:15">
      <c r="A40" s="48">
        <v>43335</v>
      </c>
      <c r="B40" s="25">
        <f t="shared" si="4"/>
        <v>4000000</v>
      </c>
      <c r="C40" s="49"/>
      <c r="D40" s="50" t="s">
        <v>36</v>
      </c>
      <c r="E40" s="46">
        <v>0.03</v>
      </c>
      <c r="F40" s="25">
        <f t="shared" si="5"/>
        <v>120000</v>
      </c>
      <c r="G40" s="189">
        <v>4120000</v>
      </c>
      <c r="H40" s="36">
        <v>43335</v>
      </c>
      <c r="I40" s="188">
        <v>2000000</v>
      </c>
      <c r="J40" s="63" t="s">
        <v>20</v>
      </c>
      <c r="K40" s="148" t="s">
        <v>53</v>
      </c>
      <c r="L40" s="67" t="s">
        <v>54</v>
      </c>
      <c r="M40" s="65"/>
      <c r="N40" s="65"/>
      <c r="O40" s="67"/>
    </row>
    <row r="41" s="2" customFormat="1" ht="18" customHeight="1" spans="1:15">
      <c r="A41" s="48"/>
      <c r="B41" s="25">
        <f t="shared" si="4"/>
        <v>1344.34</v>
      </c>
      <c r="C41" s="49">
        <v>3</v>
      </c>
      <c r="D41" s="50" t="s">
        <v>36</v>
      </c>
      <c r="E41" s="46">
        <v>0.06</v>
      </c>
      <c r="F41" s="25">
        <f t="shared" si="5"/>
        <v>80.66</v>
      </c>
      <c r="G41" s="189">
        <f>285+690+450</f>
        <v>1425</v>
      </c>
      <c r="H41" s="36"/>
      <c r="I41" s="188"/>
      <c r="J41" s="63"/>
      <c r="K41" s="148" t="s">
        <v>55</v>
      </c>
      <c r="L41" s="67" t="s">
        <v>41</v>
      </c>
      <c r="M41" s="65"/>
      <c r="N41" s="65"/>
      <c r="O41" s="68">
        <v>43335</v>
      </c>
    </row>
    <row r="42" s="2" customFormat="1" ht="18" customHeight="1" spans="1:15">
      <c r="A42" s="48"/>
      <c r="B42" s="25">
        <f t="shared" si="4"/>
        <v>6510</v>
      </c>
      <c r="C42" s="49"/>
      <c r="D42" s="50" t="s">
        <v>39</v>
      </c>
      <c r="E42" s="46"/>
      <c r="F42" s="25">
        <f t="shared" si="5"/>
        <v>0</v>
      </c>
      <c r="G42" s="189">
        <v>6510</v>
      </c>
      <c r="H42" s="36"/>
      <c r="I42" s="188"/>
      <c r="J42" s="63"/>
      <c r="K42" s="148" t="s">
        <v>56</v>
      </c>
      <c r="L42" s="67" t="s">
        <v>57</v>
      </c>
      <c r="M42" s="65"/>
      <c r="N42" s="65"/>
      <c r="O42" s="68">
        <v>43335</v>
      </c>
    </row>
    <row r="43" s="2" customFormat="1" ht="18" customHeight="1" spans="1:15">
      <c r="A43" s="48"/>
      <c r="B43" s="25">
        <f t="shared" si="4"/>
        <v>11436.89</v>
      </c>
      <c r="C43" s="49">
        <v>2</v>
      </c>
      <c r="D43" s="50" t="s">
        <v>36</v>
      </c>
      <c r="E43" s="46">
        <v>0.03</v>
      </c>
      <c r="F43" s="25">
        <f t="shared" si="5"/>
        <v>343.11</v>
      </c>
      <c r="G43" s="189">
        <f>7740+4040</f>
        <v>11780</v>
      </c>
      <c r="H43" s="36"/>
      <c r="I43" s="188"/>
      <c r="J43" s="63"/>
      <c r="K43" s="148" t="s">
        <v>58</v>
      </c>
      <c r="L43" s="67" t="s">
        <v>59</v>
      </c>
      <c r="M43" s="65"/>
      <c r="N43" s="65"/>
      <c r="O43" s="68">
        <v>43335</v>
      </c>
    </row>
    <row r="44" s="2" customFormat="1" ht="18" customHeight="1" spans="1:15">
      <c r="A44" s="48"/>
      <c r="B44" s="25">
        <f t="shared" si="4"/>
        <v>1800</v>
      </c>
      <c r="C44" s="49"/>
      <c r="D44" s="50" t="s">
        <v>39</v>
      </c>
      <c r="E44" s="46"/>
      <c r="F44" s="25">
        <f t="shared" si="5"/>
        <v>0</v>
      </c>
      <c r="G44" s="189">
        <v>1800</v>
      </c>
      <c r="H44" s="36"/>
      <c r="I44" s="188"/>
      <c r="J44" s="63"/>
      <c r="K44" s="148" t="s">
        <v>56</v>
      </c>
      <c r="L44" s="67" t="s">
        <v>60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26788.86</v>
      </c>
      <c r="C45" s="49"/>
      <c r="D45" s="50" t="s">
        <v>61</v>
      </c>
      <c r="E45" s="46"/>
      <c r="F45" s="25">
        <f t="shared" si="5"/>
        <v>0</v>
      </c>
      <c r="G45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5" s="36"/>
      <c r="I45" s="188"/>
      <c r="J45" s="63"/>
      <c r="K45" s="148" t="s">
        <v>62</v>
      </c>
      <c r="L45" s="67" t="s">
        <v>63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4"/>
        <v>4285.5</v>
      </c>
      <c r="C46" s="49"/>
      <c r="D46" s="50" t="s">
        <v>61</v>
      </c>
      <c r="E46" s="46"/>
      <c r="F46" s="25">
        <f t="shared" si="5"/>
        <v>0</v>
      </c>
      <c r="G46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6" s="36"/>
      <c r="I46" s="188"/>
      <c r="J46" s="63"/>
      <c r="K46" s="148" t="s">
        <v>62</v>
      </c>
      <c r="L46" s="67" t="s">
        <v>63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4"/>
        <v>9856.03</v>
      </c>
      <c r="C47" s="49"/>
      <c r="D47" s="50" t="s">
        <v>39</v>
      </c>
      <c r="E47" s="46"/>
      <c r="F47" s="25">
        <f t="shared" si="5"/>
        <v>0</v>
      </c>
      <c r="G47" s="189">
        <f>200.03+500+400+286+300+410+910+405+530+300+500+230+280+295+285+400+380+405+200+200+400+425+405+300+310+300+300</f>
        <v>9856.03</v>
      </c>
      <c r="H47" s="36"/>
      <c r="I47" s="188"/>
      <c r="J47" s="63"/>
      <c r="K47" s="148" t="s">
        <v>64</v>
      </c>
      <c r="L47" s="67" t="s">
        <v>43</v>
      </c>
      <c r="M47" s="65"/>
      <c r="N47" s="65"/>
      <c r="O47" s="68">
        <v>43335</v>
      </c>
    </row>
    <row r="48" s="2" customFormat="1" ht="18" customHeight="1" spans="1:15">
      <c r="A48" s="48">
        <v>43435</v>
      </c>
      <c r="B48" s="25">
        <f t="shared" si="4"/>
        <v>53286.79</v>
      </c>
      <c r="C48" s="49"/>
      <c r="D48" s="50" t="s">
        <v>36</v>
      </c>
      <c r="E48" s="46">
        <v>0.06</v>
      </c>
      <c r="F48" s="25">
        <f t="shared" si="5"/>
        <v>3197.21</v>
      </c>
      <c r="G48" s="189">
        <v>56484</v>
      </c>
      <c r="H48" s="36"/>
      <c r="I48" s="188"/>
      <c r="J48" s="63"/>
      <c r="K48" s="148" t="s">
        <v>65</v>
      </c>
      <c r="L48" s="67" t="s">
        <v>66</v>
      </c>
      <c r="M48" s="65"/>
      <c r="N48" s="65"/>
      <c r="O48" s="67"/>
    </row>
    <row r="49" s="2" customFormat="1" ht="18" customHeight="1" spans="1:15">
      <c r="A49" s="48">
        <v>43435</v>
      </c>
      <c r="B49" s="25">
        <f t="shared" si="4"/>
        <v>5825.24</v>
      </c>
      <c r="C49" s="49"/>
      <c r="D49" s="50" t="s">
        <v>36</v>
      </c>
      <c r="E49" s="46">
        <v>0.03</v>
      </c>
      <c r="F49" s="25">
        <f t="shared" si="5"/>
        <v>174.76</v>
      </c>
      <c r="G49" s="189">
        <v>6000</v>
      </c>
      <c r="H49" s="36">
        <v>43369</v>
      </c>
      <c r="I49" s="188">
        <v>6000</v>
      </c>
      <c r="J49" s="63" t="s">
        <v>20</v>
      </c>
      <c r="K49" s="148" t="s">
        <v>51</v>
      </c>
      <c r="L49" s="67" t="s">
        <v>52</v>
      </c>
      <c r="M49" s="65"/>
      <c r="N49" s="65"/>
      <c r="O49" s="67"/>
    </row>
    <row r="50" s="2" customFormat="1" ht="18" customHeight="1" spans="1:15">
      <c r="A50" s="48">
        <v>43313</v>
      </c>
      <c r="B50" s="25">
        <f t="shared" si="4"/>
        <v>4654.31</v>
      </c>
      <c r="C50" s="49"/>
      <c r="D50" s="50" t="s">
        <v>36</v>
      </c>
      <c r="E50" s="46">
        <v>0.16</v>
      </c>
      <c r="F50" s="25">
        <f t="shared" si="5"/>
        <v>744.69</v>
      </c>
      <c r="G50" s="189">
        <v>5399</v>
      </c>
      <c r="H50" s="36">
        <v>43369</v>
      </c>
      <c r="I50" s="188">
        <v>-6000</v>
      </c>
      <c r="J50" s="63" t="s">
        <v>21</v>
      </c>
      <c r="K50" s="148" t="s">
        <v>50</v>
      </c>
      <c r="L50" s="67"/>
      <c r="M50" s="65"/>
      <c r="N50" s="65"/>
      <c r="O50" s="67"/>
    </row>
    <row r="51" s="2" customFormat="1" ht="18" customHeight="1" spans="1:15">
      <c r="A51" s="48">
        <v>43435</v>
      </c>
      <c r="B51" s="25">
        <f t="shared" si="4"/>
        <v>933.96</v>
      </c>
      <c r="C51" s="49"/>
      <c r="D51" s="50" t="s">
        <v>36</v>
      </c>
      <c r="E51" s="46">
        <v>0.06</v>
      </c>
      <c r="F51" s="25">
        <f t="shared" si="5"/>
        <v>56.04</v>
      </c>
      <c r="G51" s="189">
        <f>90+45+855</f>
        <v>990</v>
      </c>
      <c r="H51" s="36"/>
      <c r="I51" s="188"/>
      <c r="J51" s="63"/>
      <c r="K51" s="148" t="s">
        <v>40</v>
      </c>
      <c r="L51" s="67" t="s">
        <v>41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4"/>
        <v>43031</v>
      </c>
      <c r="C52" s="49"/>
      <c r="D52" s="50"/>
      <c r="E52" s="46"/>
      <c r="F52" s="25">
        <f t="shared" si="5"/>
        <v>0</v>
      </c>
      <c r="G52" s="189">
        <v>43031</v>
      </c>
      <c r="H52" s="36"/>
      <c r="I52" s="188"/>
      <c r="J52" s="63"/>
      <c r="K52" s="148" t="s">
        <v>67</v>
      </c>
      <c r="L52" s="67" t="s">
        <v>68</v>
      </c>
      <c r="M52" s="65"/>
      <c r="N52" s="65"/>
      <c r="O52" s="67"/>
    </row>
    <row r="53" s="2" customFormat="1" ht="18" customHeight="1" spans="1:15">
      <c r="A53" s="48">
        <v>43466</v>
      </c>
      <c r="B53" s="25">
        <f t="shared" si="4"/>
        <v>4854368.93</v>
      </c>
      <c r="C53" s="49"/>
      <c r="D53" s="50" t="s">
        <v>36</v>
      </c>
      <c r="E53" s="46">
        <v>0.03</v>
      </c>
      <c r="F53" s="25">
        <f t="shared" si="5"/>
        <v>145631.07</v>
      </c>
      <c r="G53" s="189">
        <f>5*1000000</f>
        <v>5000000</v>
      </c>
      <c r="H53" s="36">
        <v>43339</v>
      </c>
      <c r="I53" s="188">
        <v>2095952</v>
      </c>
      <c r="J53" s="63" t="s">
        <v>20</v>
      </c>
      <c r="K53" s="148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4"/>
        <v>0</v>
      </c>
      <c r="C54" s="49"/>
      <c r="D54" s="50"/>
      <c r="E54" s="46"/>
      <c r="F54" s="25">
        <f t="shared" si="5"/>
        <v>0</v>
      </c>
      <c r="G54" s="189"/>
      <c r="H54" s="36">
        <v>43495</v>
      </c>
      <c r="I54" s="188">
        <v>3464800</v>
      </c>
      <c r="J54" s="63" t="s">
        <v>20</v>
      </c>
      <c r="K54" s="148" t="s">
        <v>53</v>
      </c>
      <c r="L54" s="67" t="s">
        <v>54</v>
      </c>
      <c r="M54" s="65"/>
      <c r="N54" s="65"/>
      <c r="O54" s="67"/>
    </row>
    <row r="55" s="2" customFormat="1" ht="18" customHeight="1" spans="1:15">
      <c r="A55" s="48"/>
      <c r="B55" s="25">
        <f t="shared" si="4"/>
        <v>0</v>
      </c>
      <c r="C55" s="49"/>
      <c r="D55" s="50"/>
      <c r="E55" s="46"/>
      <c r="F55" s="25">
        <f t="shared" si="5"/>
        <v>0</v>
      </c>
      <c r="G55" s="189"/>
      <c r="H55" s="36">
        <v>43497</v>
      </c>
      <c r="I55" s="188">
        <v>866800</v>
      </c>
      <c r="J55" s="63" t="s">
        <v>20</v>
      </c>
      <c r="K55" s="148" t="s">
        <v>53</v>
      </c>
      <c r="L55" s="67" t="s">
        <v>54</v>
      </c>
      <c r="M55" s="65"/>
      <c r="N55" s="65"/>
      <c r="O55" s="67"/>
    </row>
    <row r="56" s="2" customFormat="1" ht="18" customHeight="1" spans="1:15">
      <c r="A56" s="48"/>
      <c r="B56" s="25">
        <f t="shared" si="4"/>
        <v>0</v>
      </c>
      <c r="C56" s="49"/>
      <c r="D56" s="50"/>
      <c r="E56" s="46"/>
      <c r="F56" s="25">
        <f t="shared" si="5"/>
        <v>0</v>
      </c>
      <c r="G56" s="189"/>
      <c r="H56" s="36">
        <v>43629</v>
      </c>
      <c r="I56" s="188">
        <v>84810</v>
      </c>
      <c r="J56" s="63" t="s">
        <v>20</v>
      </c>
      <c r="K56" s="148" t="s">
        <v>69</v>
      </c>
      <c r="L56" s="67" t="s">
        <v>70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43629</v>
      </c>
      <c r="I57" s="188">
        <v>-84810</v>
      </c>
      <c r="J57" s="63" t="s">
        <v>21</v>
      </c>
      <c r="K57" s="148" t="s">
        <v>50</v>
      </c>
      <c r="L57" s="67"/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43657</v>
      </c>
      <c r="I58" s="188">
        <v>66753</v>
      </c>
      <c r="J58" s="63" t="s">
        <v>20</v>
      </c>
      <c r="K58" s="148" t="s">
        <v>69</v>
      </c>
      <c r="L58" s="67" t="s">
        <v>70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43657</v>
      </c>
      <c r="I59" s="188">
        <v>-66753</v>
      </c>
      <c r="J59" s="63" t="s">
        <v>21</v>
      </c>
      <c r="K59" s="148" t="s">
        <v>50</v>
      </c>
      <c r="L59" s="67"/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43676</v>
      </c>
      <c r="I60" s="188">
        <v>67731.14</v>
      </c>
      <c r="J60" s="63" t="s">
        <v>20</v>
      </c>
      <c r="K60" s="148" t="s">
        <v>69</v>
      </c>
      <c r="L60" s="67" t="s">
        <v>70</v>
      </c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43671</v>
      </c>
      <c r="I61" s="188">
        <v>-67731.14</v>
      </c>
      <c r="J61" s="63" t="s">
        <v>20</v>
      </c>
      <c r="K61" s="148" t="s">
        <v>71</v>
      </c>
      <c r="L61" s="67" t="s">
        <v>72</v>
      </c>
      <c r="M61" s="65"/>
      <c r="N61" s="65"/>
      <c r="O61" s="67"/>
    </row>
    <row r="62" s="2" customFormat="1" ht="18" customHeight="1" spans="1:15">
      <c r="A62" s="48">
        <v>43678</v>
      </c>
      <c r="B62" s="25">
        <f t="shared" si="4"/>
        <v>1000020</v>
      </c>
      <c r="C62" s="49"/>
      <c r="D62" s="50" t="s">
        <v>73</v>
      </c>
      <c r="E62" s="46"/>
      <c r="F62" s="25">
        <f t="shared" si="5"/>
        <v>0</v>
      </c>
      <c r="G62" s="189">
        <v>1000020</v>
      </c>
      <c r="H62" s="194">
        <v>43676</v>
      </c>
      <c r="I62" s="196">
        <v>500000</v>
      </c>
      <c r="J62" s="201" t="s">
        <v>21</v>
      </c>
      <c r="K62" s="202" t="s">
        <v>74</v>
      </c>
      <c r="L62" s="203" t="s">
        <v>75</v>
      </c>
      <c r="M62" s="201" t="s">
        <v>76</v>
      </c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194">
        <v>43682</v>
      </c>
      <c r="I63" s="196">
        <v>500000</v>
      </c>
      <c r="J63" s="201" t="s">
        <v>21</v>
      </c>
      <c r="K63" s="202" t="s">
        <v>74</v>
      </c>
      <c r="L63" s="204" t="s">
        <v>77</v>
      </c>
      <c r="M63" s="201" t="s">
        <v>76</v>
      </c>
      <c r="N63" s="65"/>
      <c r="O63" s="67"/>
    </row>
    <row r="64" s="2" customFormat="1" ht="18" customHeight="1" spans="1:15">
      <c r="A64" s="48">
        <v>43678</v>
      </c>
      <c r="B64" s="25">
        <f t="shared" si="4"/>
        <v>1000080</v>
      </c>
      <c r="C64" s="49"/>
      <c r="D64" s="50" t="s">
        <v>73</v>
      </c>
      <c r="E64" s="46"/>
      <c r="F64" s="25">
        <f t="shared" si="5"/>
        <v>0</v>
      </c>
      <c r="G64" s="189">
        <v>1000080</v>
      </c>
      <c r="H64" s="194">
        <v>43691</v>
      </c>
      <c r="I64" s="196">
        <v>1000000</v>
      </c>
      <c r="J64" s="201" t="s">
        <v>21</v>
      </c>
      <c r="K64" s="205" t="s">
        <v>78</v>
      </c>
      <c r="L64" s="206" t="s">
        <v>79</v>
      </c>
      <c r="M64" s="201" t="s">
        <v>76</v>
      </c>
      <c r="N64" s="65"/>
      <c r="O64" s="67"/>
    </row>
    <row r="65" s="2" customFormat="1" ht="18" customHeight="1" spans="1:15">
      <c r="A65" s="48"/>
      <c r="B65" s="25">
        <f t="shared" si="4"/>
        <v>0</v>
      </c>
      <c r="C65" s="49"/>
      <c r="D65" s="50"/>
      <c r="E65" s="46"/>
      <c r="F65" s="25">
        <f t="shared" si="5"/>
        <v>0</v>
      </c>
      <c r="G65" s="189"/>
      <c r="H65" s="36">
        <v>43692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36">
        <v>43692</v>
      </c>
      <c r="I66" s="188">
        <v>100000</v>
      </c>
      <c r="J66" s="63" t="s">
        <v>20</v>
      </c>
      <c r="K66" s="207" t="s">
        <v>80</v>
      </c>
      <c r="L66" s="208" t="s">
        <v>81</v>
      </c>
      <c r="M66" s="56"/>
      <c r="N66" s="65"/>
      <c r="O66" s="67"/>
    </row>
    <row r="67" s="2" customFormat="1" ht="18" customHeight="1" spans="1:15">
      <c r="A67" s="48"/>
      <c r="B67" s="25">
        <f t="shared" si="4"/>
        <v>0</v>
      </c>
      <c r="C67" s="49"/>
      <c r="D67" s="50"/>
      <c r="E67" s="46"/>
      <c r="F67" s="25">
        <f t="shared" si="5"/>
        <v>0</v>
      </c>
      <c r="G67" s="189"/>
      <c r="H67" s="36">
        <v>43703</v>
      </c>
      <c r="I67" s="188">
        <v>-100000</v>
      </c>
      <c r="J67" s="63" t="s">
        <v>21</v>
      </c>
      <c r="K67" s="207" t="s">
        <v>50</v>
      </c>
      <c r="L67" s="208"/>
      <c r="M67" s="56"/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43704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36">
        <v>43717</v>
      </c>
      <c r="I69" s="188">
        <v>-100000</v>
      </c>
      <c r="J69" s="63" t="s">
        <v>21</v>
      </c>
      <c r="K69" s="207" t="s">
        <v>50</v>
      </c>
      <c r="L69" s="67"/>
      <c r="M69" s="65"/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36">
        <v>43718</v>
      </c>
      <c r="I70" s="188">
        <v>100000</v>
      </c>
      <c r="J70" s="63" t="s">
        <v>20</v>
      </c>
      <c r="K70" s="207" t="s">
        <v>80</v>
      </c>
      <c r="L70" s="67"/>
      <c r="M70" s="65"/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194">
        <v>43734</v>
      </c>
      <c r="I71" s="196">
        <v>300000</v>
      </c>
      <c r="J71" s="201" t="s">
        <v>20</v>
      </c>
      <c r="K71" s="202" t="s">
        <v>80</v>
      </c>
      <c r="L71" s="209"/>
      <c r="M71" s="201" t="s">
        <v>76</v>
      </c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195">
        <v>43749</v>
      </c>
      <c r="I72" s="196">
        <v>500000</v>
      </c>
      <c r="J72" s="201" t="s">
        <v>20</v>
      </c>
      <c r="K72" s="202" t="s">
        <v>80</v>
      </c>
      <c r="L72" s="209"/>
      <c r="M72" s="201" t="s">
        <v>76</v>
      </c>
      <c r="N72" s="65"/>
      <c r="O72" s="67"/>
    </row>
    <row r="73" s="2" customFormat="1" ht="18" customHeight="1" spans="1:15">
      <c r="A73" s="48">
        <v>43709</v>
      </c>
      <c r="B73" s="25">
        <f t="shared" si="4"/>
        <v>12426.15</v>
      </c>
      <c r="C73" s="49"/>
      <c r="D73" s="50" t="s">
        <v>39</v>
      </c>
      <c r="E73" s="46"/>
      <c r="F73" s="25">
        <f t="shared" si="5"/>
        <v>0</v>
      </c>
      <c r="G73" s="189">
        <v>12426.15</v>
      </c>
      <c r="H73" s="36"/>
      <c r="I73" s="210"/>
      <c r="J73" s="56"/>
      <c r="K73" s="207" t="s">
        <v>68</v>
      </c>
      <c r="L73" s="82"/>
      <c r="M73" s="56"/>
      <c r="N73" s="65"/>
      <c r="O73" s="67"/>
    </row>
    <row r="74" s="2" customFormat="1" ht="18" customHeight="1" spans="1:15">
      <c r="A74" s="48">
        <v>43709</v>
      </c>
      <c r="B74" s="25">
        <f t="shared" si="4"/>
        <v>10316.04</v>
      </c>
      <c r="C74" s="49"/>
      <c r="D74" s="50" t="s">
        <v>36</v>
      </c>
      <c r="E74" s="70">
        <v>0.06</v>
      </c>
      <c r="F74" s="25">
        <f t="shared" si="5"/>
        <v>618.96</v>
      </c>
      <c r="G74" s="189">
        <v>10935</v>
      </c>
      <c r="H74" s="36"/>
      <c r="I74" s="210"/>
      <c r="J74" s="56"/>
      <c r="K74" s="207" t="s">
        <v>82</v>
      </c>
      <c r="L74" s="82" t="s">
        <v>41</v>
      </c>
      <c r="M74" s="56"/>
      <c r="N74" s="65"/>
      <c r="O74" s="67"/>
    </row>
    <row r="75" s="2" customFormat="1" ht="18" customHeight="1" spans="1:15">
      <c r="A75" s="48">
        <v>43709</v>
      </c>
      <c r="B75" s="25">
        <f t="shared" si="4"/>
        <v>10424.53</v>
      </c>
      <c r="C75" s="49"/>
      <c r="D75" s="50" t="s">
        <v>36</v>
      </c>
      <c r="E75" s="70">
        <v>0.06</v>
      </c>
      <c r="F75" s="25">
        <f t="shared" si="5"/>
        <v>625.47</v>
      </c>
      <c r="G75" s="189">
        <v>11050</v>
      </c>
      <c r="H75" s="36"/>
      <c r="I75" s="210"/>
      <c r="J75" s="56"/>
      <c r="K75" s="207" t="s">
        <v>82</v>
      </c>
      <c r="L75" s="82" t="s">
        <v>52</v>
      </c>
      <c r="M75" s="56"/>
      <c r="N75" s="65"/>
      <c r="O75" s="67"/>
    </row>
    <row r="76" s="2" customFormat="1" ht="18" customHeight="1" spans="1:15">
      <c r="A76" s="48">
        <v>43709</v>
      </c>
      <c r="B76" s="25">
        <f t="shared" si="4"/>
        <v>80009.43</v>
      </c>
      <c r="C76" s="49"/>
      <c r="D76" s="50" t="s">
        <v>36</v>
      </c>
      <c r="E76" s="70">
        <v>0.06</v>
      </c>
      <c r="F76" s="25">
        <f t="shared" si="5"/>
        <v>4800.57</v>
      </c>
      <c r="G76" s="189">
        <v>84810</v>
      </c>
      <c r="H76" s="36"/>
      <c r="I76" s="210"/>
      <c r="J76" s="56"/>
      <c r="K76" s="207" t="s">
        <v>69</v>
      </c>
      <c r="L76" s="82" t="s">
        <v>83</v>
      </c>
      <c r="M76" s="56"/>
      <c r="N76" s="65"/>
      <c r="O76" s="67"/>
    </row>
    <row r="77" s="2" customFormat="1" ht="18" customHeight="1" spans="1:15">
      <c r="A77" s="48">
        <v>43709</v>
      </c>
      <c r="B77" s="25">
        <f t="shared" si="4"/>
        <v>63897.3</v>
      </c>
      <c r="C77" s="49"/>
      <c r="D77" s="50" t="s">
        <v>36</v>
      </c>
      <c r="E77" s="70">
        <v>0.06</v>
      </c>
      <c r="F77" s="25">
        <f t="shared" si="5"/>
        <v>3833.84</v>
      </c>
      <c r="G77" s="189">
        <v>67731.14</v>
      </c>
      <c r="H77" s="36"/>
      <c r="I77" s="210"/>
      <c r="J77" s="56"/>
      <c r="K77" s="207" t="s">
        <v>69</v>
      </c>
      <c r="L77" s="82" t="s">
        <v>83</v>
      </c>
      <c r="M77" s="56"/>
      <c r="N77" s="65"/>
      <c r="O77" s="67"/>
    </row>
    <row r="78" s="2" customFormat="1" ht="18" customHeight="1" spans="1:15">
      <c r="A78" s="48">
        <v>43739</v>
      </c>
      <c r="B78" s="25">
        <f t="shared" si="4"/>
        <v>443071.38</v>
      </c>
      <c r="C78" s="49"/>
      <c r="D78" s="50" t="s">
        <v>36</v>
      </c>
      <c r="E78" s="70">
        <v>0.13</v>
      </c>
      <c r="F78" s="25">
        <f t="shared" si="5"/>
        <v>57599.28</v>
      </c>
      <c r="G78" s="189">
        <v>500670.66</v>
      </c>
      <c r="H78" s="36">
        <v>43769</v>
      </c>
      <c r="I78" s="188">
        <v>200000</v>
      </c>
      <c r="J78" s="63" t="s">
        <v>20</v>
      </c>
      <c r="K78" s="207" t="s">
        <v>80</v>
      </c>
      <c r="L78" s="82" t="s">
        <v>84</v>
      </c>
      <c r="M78" s="56"/>
      <c r="N78" s="65"/>
      <c r="O78" s="67"/>
    </row>
    <row r="79" s="2" customFormat="1" ht="18" customHeight="1" spans="1:15">
      <c r="A79" s="48">
        <v>43739</v>
      </c>
      <c r="B79" s="25">
        <f t="shared" si="4"/>
        <v>257787.35</v>
      </c>
      <c r="C79" s="49"/>
      <c r="D79" s="50" t="s">
        <v>36</v>
      </c>
      <c r="E79" s="70">
        <v>0.13</v>
      </c>
      <c r="F79" s="196">
        <f t="shared" si="5"/>
        <v>33512.35</v>
      </c>
      <c r="G79" s="189">
        <v>291299.7</v>
      </c>
      <c r="H79" s="36"/>
      <c r="I79" s="210"/>
      <c r="J79" s="63" t="s">
        <v>20</v>
      </c>
      <c r="K79" s="207" t="s">
        <v>80</v>
      </c>
      <c r="L79" s="82" t="s">
        <v>85</v>
      </c>
      <c r="M79" s="56"/>
      <c r="N79" s="65"/>
      <c r="O79" s="67"/>
    </row>
    <row r="80" s="2" customFormat="1" ht="18" customHeight="1" spans="1:15">
      <c r="A80" s="48"/>
      <c r="B80" s="25">
        <f t="shared" si="4"/>
        <v>0</v>
      </c>
      <c r="C80" s="49"/>
      <c r="D80" s="50"/>
      <c r="E80" s="70"/>
      <c r="F80" s="25">
        <f t="shared" si="5"/>
        <v>0</v>
      </c>
      <c r="G80" s="189"/>
      <c r="H80" s="36">
        <v>43769</v>
      </c>
      <c r="I80" s="188">
        <v>600000</v>
      </c>
      <c r="J80" s="63" t="s">
        <v>20</v>
      </c>
      <c r="K80" s="148" t="s">
        <v>53</v>
      </c>
      <c r="L80" s="67" t="s">
        <v>54</v>
      </c>
      <c r="M80" s="56"/>
      <c r="N80" s="65"/>
      <c r="O80" s="67"/>
    </row>
    <row r="81" s="2" customFormat="1" ht="18" customHeight="1" spans="1:15">
      <c r="A81" s="48">
        <v>43770</v>
      </c>
      <c r="B81" s="25">
        <f t="shared" si="4"/>
        <v>500010</v>
      </c>
      <c r="C81" s="49"/>
      <c r="D81" s="50" t="s">
        <v>73</v>
      </c>
      <c r="E81" s="70"/>
      <c r="F81" s="25">
        <f t="shared" si="5"/>
        <v>0</v>
      </c>
      <c r="G81" s="189">
        <v>500010</v>
      </c>
      <c r="H81" s="36">
        <v>43773</v>
      </c>
      <c r="I81" s="188">
        <v>500010</v>
      </c>
      <c r="J81" s="63" t="s">
        <v>21</v>
      </c>
      <c r="K81" s="207" t="s">
        <v>74</v>
      </c>
      <c r="L81" s="82" t="s">
        <v>86</v>
      </c>
      <c r="M81" s="56"/>
      <c r="N81" s="65"/>
      <c r="O81" s="67"/>
    </row>
    <row r="82" s="2" customFormat="1" ht="18" customHeight="1" spans="1:15">
      <c r="A82" s="48">
        <v>43770</v>
      </c>
      <c r="B82" s="25">
        <f t="shared" si="4"/>
        <v>300000</v>
      </c>
      <c r="C82" s="49"/>
      <c r="D82" s="50" t="s">
        <v>73</v>
      </c>
      <c r="E82" s="70"/>
      <c r="F82" s="25">
        <f t="shared" si="5"/>
        <v>0</v>
      </c>
      <c r="G82" s="189">
        <v>300000</v>
      </c>
      <c r="H82" s="36">
        <v>43773</v>
      </c>
      <c r="I82" s="188">
        <v>300000</v>
      </c>
      <c r="J82" s="63" t="s">
        <v>21</v>
      </c>
      <c r="K82" s="207" t="s">
        <v>87</v>
      </c>
      <c r="L82" s="82" t="s">
        <v>88</v>
      </c>
      <c r="M82" s="56"/>
      <c r="N82" s="65"/>
      <c r="O82" s="67"/>
    </row>
    <row r="83" s="2" customFormat="1" ht="18" customHeight="1" spans="1:15">
      <c r="A83" s="48">
        <v>43770</v>
      </c>
      <c r="B83" s="25">
        <f t="shared" si="4"/>
        <v>300000</v>
      </c>
      <c r="C83" s="49"/>
      <c r="D83" s="50" t="s">
        <v>73</v>
      </c>
      <c r="E83" s="70"/>
      <c r="F83" s="25">
        <f t="shared" si="5"/>
        <v>0</v>
      </c>
      <c r="G83" s="189">
        <v>300000</v>
      </c>
      <c r="H83" s="36">
        <v>43773</v>
      </c>
      <c r="I83" s="188">
        <v>300000</v>
      </c>
      <c r="J83" s="63" t="s">
        <v>21</v>
      </c>
      <c r="K83" s="207" t="s">
        <v>89</v>
      </c>
      <c r="L83" s="82" t="s">
        <v>88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4"/>
        <v>300060</v>
      </c>
      <c r="C84" s="49"/>
      <c r="D84" s="50" t="s">
        <v>73</v>
      </c>
      <c r="E84" s="70"/>
      <c r="F84" s="25">
        <f t="shared" si="5"/>
        <v>0</v>
      </c>
      <c r="G84" s="189">
        <v>300060</v>
      </c>
      <c r="H84" s="36">
        <v>43773</v>
      </c>
      <c r="I84" s="188">
        <v>300060</v>
      </c>
      <c r="J84" s="63" t="s">
        <v>21</v>
      </c>
      <c r="K84" s="207" t="s">
        <v>90</v>
      </c>
      <c r="L84" s="82" t="s">
        <v>91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0</v>
      </c>
      <c r="C85" s="49"/>
      <c r="D85" s="50"/>
      <c r="E85" s="70"/>
      <c r="F85" s="25">
        <f t="shared" si="5"/>
        <v>0</v>
      </c>
      <c r="G85" s="189"/>
      <c r="H85" s="36">
        <v>43773</v>
      </c>
      <c r="I85" s="188">
        <v>500000</v>
      </c>
      <c r="J85" s="63" t="s">
        <v>20</v>
      </c>
      <c r="K85" s="207" t="s">
        <v>92</v>
      </c>
      <c r="L85" s="82" t="s">
        <v>93</v>
      </c>
      <c r="M85" s="56"/>
      <c r="N85" s="65"/>
      <c r="O85" s="67"/>
    </row>
    <row r="86" s="2" customFormat="1" ht="18" customHeight="1" spans="1:15">
      <c r="A86" s="48"/>
      <c r="B86" s="25">
        <f t="shared" si="4"/>
        <v>0</v>
      </c>
      <c r="C86" s="49"/>
      <c r="D86" s="50"/>
      <c r="E86" s="70"/>
      <c r="F86" s="25">
        <f t="shared" si="5"/>
        <v>0</v>
      </c>
      <c r="G86" s="189"/>
      <c r="H86" s="36">
        <v>43775</v>
      </c>
      <c r="I86" s="188">
        <v>800000</v>
      </c>
      <c r="J86" s="63" t="s">
        <v>20</v>
      </c>
      <c r="K86" s="207" t="s">
        <v>94</v>
      </c>
      <c r="L86" s="82" t="s">
        <v>95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1165048.54</v>
      </c>
      <c r="C87" s="49"/>
      <c r="D87" s="50" t="s">
        <v>36</v>
      </c>
      <c r="E87" s="70">
        <v>0.03</v>
      </c>
      <c r="F87" s="197">
        <f t="shared" si="5"/>
        <v>34951.46</v>
      </c>
      <c r="G87" s="189">
        <f>96000*12+48000</f>
        <v>1200000</v>
      </c>
      <c r="H87" s="36">
        <v>43776</v>
      </c>
      <c r="I87" s="188">
        <v>400000</v>
      </c>
      <c r="J87" s="63" t="s">
        <v>20</v>
      </c>
      <c r="K87" s="207" t="s">
        <v>94</v>
      </c>
      <c r="L87" s="82" t="s">
        <v>95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ref="B88:B90" si="6">ROUND(G88/(1+E88),2)</f>
        <v>326256.05</v>
      </c>
      <c r="C88" s="49"/>
      <c r="D88" s="50" t="s">
        <v>36</v>
      </c>
      <c r="E88" s="70">
        <v>0.13</v>
      </c>
      <c r="F88" s="197">
        <f t="shared" ref="F88:F90" si="7">ROUND(G88/(1+E88)*E88,2)</f>
        <v>42413.29</v>
      </c>
      <c r="G88" s="189">
        <v>368669.34</v>
      </c>
      <c r="H88" s="36"/>
      <c r="I88" s="210"/>
      <c r="J88" s="56"/>
      <c r="K88" s="207" t="s">
        <v>80</v>
      </c>
      <c r="L88" s="82" t="s">
        <v>96</v>
      </c>
      <c r="M88" s="56"/>
      <c r="N88" s="65"/>
      <c r="O88" s="67"/>
    </row>
    <row r="89" s="2" customFormat="1" ht="18" customHeight="1" spans="1:15">
      <c r="A89" s="48">
        <v>43770</v>
      </c>
      <c r="B89" s="25">
        <f t="shared" si="6"/>
        <v>199980</v>
      </c>
      <c r="C89" s="49"/>
      <c r="D89" s="50" t="s">
        <v>73</v>
      </c>
      <c r="E89" s="70"/>
      <c r="F89" s="25">
        <f t="shared" si="7"/>
        <v>0</v>
      </c>
      <c r="G89" s="189">
        <v>199980</v>
      </c>
      <c r="H89" s="195">
        <v>43784</v>
      </c>
      <c r="I89" s="196">
        <v>199980</v>
      </c>
      <c r="J89" s="201" t="s">
        <v>21</v>
      </c>
      <c r="K89" s="202" t="s">
        <v>97</v>
      </c>
      <c r="L89" s="204" t="s">
        <v>98</v>
      </c>
      <c r="M89" s="56" t="s">
        <v>76</v>
      </c>
      <c r="N89" s="65"/>
      <c r="O89" s="67"/>
    </row>
    <row r="90" s="3" customFormat="1" ht="18" customHeight="1" spans="1:15">
      <c r="A90" s="74">
        <v>43770</v>
      </c>
      <c r="B90" s="25">
        <f t="shared" si="6"/>
        <v>442477.88</v>
      </c>
      <c r="C90" s="75"/>
      <c r="D90" s="76" t="s">
        <v>36</v>
      </c>
      <c r="E90" s="77">
        <v>0.13</v>
      </c>
      <c r="F90" s="197">
        <f t="shared" si="7"/>
        <v>57522.12</v>
      </c>
      <c r="G90" s="198">
        <v>500000</v>
      </c>
      <c r="H90" s="36"/>
      <c r="I90" s="188"/>
      <c r="J90" s="63"/>
      <c r="K90" s="207" t="s">
        <v>92</v>
      </c>
      <c r="L90" s="82" t="s">
        <v>99</v>
      </c>
      <c r="M90" s="63" t="s">
        <v>100</v>
      </c>
      <c r="N90" s="63"/>
      <c r="O90" s="82"/>
    </row>
    <row r="91" s="3" customFormat="1" ht="18" customHeight="1" spans="1:15">
      <c r="A91" s="74"/>
      <c r="B91" s="25"/>
      <c r="C91" s="75"/>
      <c r="D91" s="76"/>
      <c r="E91" s="77"/>
      <c r="F91" s="25"/>
      <c r="G91" s="198"/>
      <c r="H91" s="36">
        <v>43819</v>
      </c>
      <c r="I91" s="188">
        <v>92448</v>
      </c>
      <c r="J91" s="63" t="s">
        <v>20</v>
      </c>
      <c r="K91" s="148" t="s">
        <v>53</v>
      </c>
      <c r="L91" s="67" t="s">
        <v>54</v>
      </c>
      <c r="M91" s="63"/>
      <c r="N91" s="63"/>
      <c r="O91" s="82"/>
    </row>
    <row r="92" s="3" customFormat="1" ht="18" customHeight="1" spans="1:15">
      <c r="A92" s="74"/>
      <c r="B92" s="25">
        <f t="shared" ref="B92:B100" si="8">ROUND(G92/(1+E92),2)</f>
        <v>0</v>
      </c>
      <c r="C92" s="75"/>
      <c r="D92" s="76"/>
      <c r="E92" s="77"/>
      <c r="F92" s="25">
        <f t="shared" ref="F92:F100" si="9">ROUND(G92/(1+E92)*E92,2)</f>
        <v>0</v>
      </c>
      <c r="G92" s="198"/>
      <c r="H92" s="36">
        <v>43829</v>
      </c>
      <c r="I92" s="188">
        <v>800000</v>
      </c>
      <c r="J92" s="63" t="s">
        <v>20</v>
      </c>
      <c r="K92" s="207" t="s">
        <v>80</v>
      </c>
      <c r="L92" s="82" t="s">
        <v>81</v>
      </c>
      <c r="M92" s="63"/>
      <c r="N92" s="63"/>
      <c r="O92" s="82"/>
    </row>
    <row r="93" s="3" customFormat="1" ht="18" customHeight="1" spans="1:15">
      <c r="A93" s="74">
        <v>43800</v>
      </c>
      <c r="B93" s="25">
        <f t="shared" si="8"/>
        <v>650987.86</v>
      </c>
      <c r="C93" s="75"/>
      <c r="D93" s="76" t="s">
        <v>36</v>
      </c>
      <c r="E93" s="77">
        <v>0.13</v>
      </c>
      <c r="F93" s="25">
        <f t="shared" si="9"/>
        <v>84628.42</v>
      </c>
      <c r="G93" s="198">
        <v>735616.28</v>
      </c>
      <c r="H93" s="36"/>
      <c r="I93" s="188"/>
      <c r="J93" s="63"/>
      <c r="K93" s="207" t="s">
        <v>80</v>
      </c>
      <c r="L93" s="82" t="s">
        <v>101</v>
      </c>
      <c r="M93" s="63" t="s">
        <v>100</v>
      </c>
      <c r="N93" s="63"/>
      <c r="O93" s="82"/>
    </row>
    <row r="94" s="3" customFormat="1" ht="18" customHeight="1" spans="1:15">
      <c r="A94" s="74">
        <v>43800</v>
      </c>
      <c r="B94" s="25">
        <f t="shared" si="8"/>
        <v>5825242.72</v>
      </c>
      <c r="C94" s="75"/>
      <c r="D94" s="50" t="s">
        <v>36</v>
      </c>
      <c r="E94" s="70">
        <v>0.03</v>
      </c>
      <c r="F94" s="25">
        <f t="shared" si="9"/>
        <v>174757.28</v>
      </c>
      <c r="G94" s="198">
        <f>1000000*6</f>
        <v>6000000</v>
      </c>
      <c r="H94" s="36">
        <v>43843</v>
      </c>
      <c r="I94" s="188">
        <v>1000000</v>
      </c>
      <c r="J94" s="63" t="s">
        <v>20</v>
      </c>
      <c r="K94" s="207" t="s">
        <v>53</v>
      </c>
      <c r="L94" s="82" t="s">
        <v>54</v>
      </c>
      <c r="M94" s="63" t="s">
        <v>100</v>
      </c>
      <c r="N94" s="63"/>
      <c r="O94" s="82" t="s">
        <v>102</v>
      </c>
    </row>
    <row r="95" s="3" customFormat="1" ht="18" customHeight="1" spans="1:15">
      <c r="A95" s="74">
        <v>43831</v>
      </c>
      <c r="B95" s="25">
        <f t="shared" si="8"/>
        <v>3623633.45</v>
      </c>
      <c r="C95" s="75"/>
      <c r="D95" s="50" t="s">
        <v>36</v>
      </c>
      <c r="E95" s="77">
        <v>0.09</v>
      </c>
      <c r="F95" s="25">
        <f t="shared" si="9"/>
        <v>326127.01</v>
      </c>
      <c r="G95" s="198">
        <f>1000000*3+949760.46</f>
        <v>3949760.46</v>
      </c>
      <c r="H95" s="36">
        <v>43844</v>
      </c>
      <c r="I95" s="188">
        <v>500000</v>
      </c>
      <c r="J95" s="63" t="s">
        <v>20</v>
      </c>
      <c r="K95" s="207" t="s">
        <v>103</v>
      </c>
      <c r="L95" s="82" t="s">
        <v>54</v>
      </c>
      <c r="M95" s="63" t="s">
        <v>100</v>
      </c>
      <c r="N95" s="63"/>
      <c r="O95" s="82"/>
    </row>
    <row r="96" s="3" customFormat="1" ht="18" customHeight="1" spans="1:15">
      <c r="A96" s="74"/>
      <c r="B96" s="25">
        <f t="shared" si="8"/>
        <v>0</v>
      </c>
      <c r="C96" s="75"/>
      <c r="D96" s="76"/>
      <c r="E96" s="77"/>
      <c r="F96" s="25">
        <f t="shared" si="9"/>
        <v>0</v>
      </c>
      <c r="G96" s="198"/>
      <c r="H96" s="36">
        <v>43845</v>
      </c>
      <c r="I96" s="188">
        <v>2000000</v>
      </c>
      <c r="J96" s="63" t="s">
        <v>20</v>
      </c>
      <c r="K96" s="207" t="s">
        <v>103</v>
      </c>
      <c r="L96" s="82" t="s">
        <v>54</v>
      </c>
      <c r="M96" s="63"/>
      <c r="N96" s="63"/>
      <c r="O96" s="82"/>
    </row>
    <row r="97" s="3" customFormat="1" ht="18" customHeight="1" spans="1:15">
      <c r="A97" s="74"/>
      <c r="B97" s="25">
        <f t="shared" si="8"/>
        <v>0</v>
      </c>
      <c r="C97" s="75"/>
      <c r="D97" s="76"/>
      <c r="E97" s="77"/>
      <c r="F97" s="25">
        <f t="shared" si="9"/>
        <v>0</v>
      </c>
      <c r="G97" s="198"/>
      <c r="H97" s="36">
        <v>43849</v>
      </c>
      <c r="I97" s="188">
        <v>1449760.46</v>
      </c>
      <c r="J97" s="63" t="s">
        <v>20</v>
      </c>
      <c r="K97" s="207" t="s">
        <v>103</v>
      </c>
      <c r="L97" s="82" t="s">
        <v>54</v>
      </c>
      <c r="M97" s="63"/>
      <c r="N97" s="63"/>
      <c r="O97" s="82"/>
    </row>
    <row r="98" s="3" customFormat="1" ht="18" customHeight="1" spans="1:15">
      <c r="A98" s="74">
        <v>43831</v>
      </c>
      <c r="B98" s="25">
        <f t="shared" si="8"/>
        <v>600000</v>
      </c>
      <c r="C98" s="75"/>
      <c r="D98" s="50" t="s">
        <v>73</v>
      </c>
      <c r="E98" s="77"/>
      <c r="F98" s="25">
        <f t="shared" si="9"/>
        <v>0</v>
      </c>
      <c r="G98" s="188">
        <v>600000</v>
      </c>
      <c r="H98" s="36">
        <v>43850</v>
      </c>
      <c r="I98" s="188">
        <v>600000</v>
      </c>
      <c r="J98" s="63" t="s">
        <v>21</v>
      </c>
      <c r="K98" s="207" t="s">
        <v>89</v>
      </c>
      <c r="L98" s="82" t="s">
        <v>104</v>
      </c>
      <c r="M98" s="63"/>
      <c r="N98" s="63"/>
      <c r="O98" s="82"/>
    </row>
    <row r="99" s="3" customFormat="1" ht="18" customHeight="1" spans="1:15">
      <c r="A99" s="74">
        <v>43831</v>
      </c>
      <c r="B99" s="25">
        <f t="shared" si="8"/>
        <v>600000</v>
      </c>
      <c r="C99" s="75"/>
      <c r="D99" s="50" t="s">
        <v>73</v>
      </c>
      <c r="E99" s="77"/>
      <c r="F99" s="25">
        <f t="shared" si="9"/>
        <v>0</v>
      </c>
      <c r="G99" s="188">
        <v>600000</v>
      </c>
      <c r="H99" s="36">
        <v>43850</v>
      </c>
      <c r="I99" s="188">
        <v>600000</v>
      </c>
      <c r="J99" s="63" t="s">
        <v>21</v>
      </c>
      <c r="K99" s="207" t="s">
        <v>87</v>
      </c>
      <c r="L99" s="82" t="s">
        <v>104</v>
      </c>
      <c r="M99" s="63"/>
      <c r="N99" s="63"/>
      <c r="O99" s="82"/>
    </row>
    <row r="100" s="3" customFormat="1" ht="18" customHeight="1" spans="1:15">
      <c r="A100" s="74">
        <v>43891</v>
      </c>
      <c r="B100" s="25">
        <f t="shared" si="8"/>
        <v>530100</v>
      </c>
      <c r="C100" s="75"/>
      <c r="D100" s="50" t="s">
        <v>73</v>
      </c>
      <c r="E100" s="77"/>
      <c r="F100" s="25">
        <f t="shared" si="9"/>
        <v>0</v>
      </c>
      <c r="G100" s="188">
        <v>530100</v>
      </c>
      <c r="H100" s="36">
        <v>43903</v>
      </c>
      <c r="I100" s="188">
        <v>530000</v>
      </c>
      <c r="J100" s="63" t="s">
        <v>21</v>
      </c>
      <c r="K100" s="207" t="s">
        <v>105</v>
      </c>
      <c r="L100" s="82" t="s">
        <v>77</v>
      </c>
      <c r="M100" s="63"/>
      <c r="N100" s="63"/>
      <c r="O100" s="82"/>
    </row>
    <row r="101" s="3" customFormat="1" ht="18" customHeight="1" spans="1:15">
      <c r="A101" s="74">
        <v>43952</v>
      </c>
      <c r="B101" s="25">
        <f>298648.6+188837.04+318653.29</f>
        <v>806138.93</v>
      </c>
      <c r="C101" s="75">
        <v>3</v>
      </c>
      <c r="D101" s="50" t="s">
        <v>36</v>
      </c>
      <c r="E101" s="77">
        <v>0.13</v>
      </c>
      <c r="F101" s="25">
        <f>38824.32+24548.82+41424.93</f>
        <v>104798.07</v>
      </c>
      <c r="G101" s="198">
        <f>337472.92+213385.86+360078.22</f>
        <v>910937</v>
      </c>
      <c r="H101" s="36">
        <v>43903</v>
      </c>
      <c r="I101" s="188">
        <v>200000</v>
      </c>
      <c r="J101" s="63" t="s">
        <v>20</v>
      </c>
      <c r="K101" s="207" t="s">
        <v>80</v>
      </c>
      <c r="L101" s="82" t="s">
        <v>81</v>
      </c>
      <c r="M101" s="63"/>
      <c r="N101" s="63"/>
      <c r="O101" s="82"/>
    </row>
    <row r="102" s="3" customFormat="1" ht="18" customHeight="1" spans="1:15">
      <c r="A102" s="74"/>
      <c r="B102" s="25">
        <f t="shared" ref="B102:B104" si="10">ROUND(G102/(1+E102),2)</f>
        <v>0</v>
      </c>
      <c r="C102" s="75"/>
      <c r="D102" s="50"/>
      <c r="E102" s="77"/>
      <c r="F102" s="25">
        <f t="shared" ref="F102:F104" si="11">ROUND(G102/(1+E102)*E102,2)</f>
        <v>0</v>
      </c>
      <c r="G102" s="198"/>
      <c r="H102" s="36">
        <v>43950</v>
      </c>
      <c r="I102" s="188">
        <v>400000</v>
      </c>
      <c r="J102" s="63" t="s">
        <v>20</v>
      </c>
      <c r="K102" s="207" t="s">
        <v>155</v>
      </c>
      <c r="L102" s="82" t="s">
        <v>81</v>
      </c>
      <c r="M102" s="63"/>
      <c r="N102" s="63"/>
      <c r="O102" s="82"/>
    </row>
    <row r="103" s="3" customFormat="1" ht="18" customHeight="1" spans="1:15">
      <c r="A103" s="74"/>
      <c r="B103" s="25">
        <f t="shared" si="10"/>
        <v>0</v>
      </c>
      <c r="C103" s="75"/>
      <c r="D103" s="50"/>
      <c r="E103" s="77"/>
      <c r="F103" s="25">
        <f t="shared" si="11"/>
        <v>0</v>
      </c>
      <c r="G103" s="198"/>
      <c r="H103" s="36">
        <v>43951</v>
      </c>
      <c r="I103" s="188">
        <v>970000</v>
      </c>
      <c r="J103" s="63" t="s">
        <v>21</v>
      </c>
      <c r="K103" s="207" t="s">
        <v>105</v>
      </c>
      <c r="L103" s="82"/>
      <c r="M103" s="63"/>
      <c r="N103" s="63"/>
      <c r="O103" s="82"/>
    </row>
    <row r="104" s="3" customFormat="1" ht="18" customHeight="1" spans="1:15">
      <c r="A104" s="74"/>
      <c r="B104" s="25">
        <f t="shared" si="10"/>
        <v>0</v>
      </c>
      <c r="C104" s="75"/>
      <c r="D104" s="50"/>
      <c r="E104" s="77"/>
      <c r="F104" s="25">
        <f t="shared" si="11"/>
        <v>0</v>
      </c>
      <c r="G104" s="198"/>
      <c r="H104" s="36">
        <v>43966</v>
      </c>
      <c r="I104" s="188">
        <v>150000</v>
      </c>
      <c r="J104" s="63" t="s">
        <v>20</v>
      </c>
      <c r="K104" s="207" t="s">
        <v>155</v>
      </c>
      <c r="L104" s="82" t="s">
        <v>81</v>
      </c>
      <c r="M104" s="63"/>
      <c r="N104" s="63"/>
      <c r="O104" s="82"/>
    </row>
    <row r="105" s="3" customFormat="1" ht="17.1" customHeight="1" spans="1:15">
      <c r="A105" s="74">
        <v>43831</v>
      </c>
      <c r="B105" s="25">
        <v>2632.08</v>
      </c>
      <c r="C105" s="75">
        <v>1</v>
      </c>
      <c r="D105" s="50" t="s">
        <v>36</v>
      </c>
      <c r="E105" s="77">
        <v>0.06</v>
      </c>
      <c r="F105" s="25">
        <v>157.92</v>
      </c>
      <c r="G105" s="198">
        <v>2790</v>
      </c>
      <c r="H105" s="36"/>
      <c r="I105" s="188"/>
      <c r="J105" s="63"/>
      <c r="K105" s="207" t="s">
        <v>156</v>
      </c>
      <c r="L105" s="82" t="s">
        <v>52</v>
      </c>
      <c r="M105" s="63"/>
      <c r="N105" s="63"/>
      <c r="O105" s="82"/>
    </row>
    <row r="106" s="3" customFormat="1" ht="17.1" customHeight="1" spans="1:15">
      <c r="A106" s="74"/>
      <c r="B106" s="25"/>
      <c r="C106" s="75"/>
      <c r="D106" s="50"/>
      <c r="E106" s="77"/>
      <c r="F106" s="25"/>
      <c r="G106" s="198"/>
      <c r="H106" s="36">
        <v>43993</v>
      </c>
      <c r="I106" s="188">
        <v>100000</v>
      </c>
      <c r="J106" s="63"/>
      <c r="K106" s="207" t="s">
        <v>155</v>
      </c>
      <c r="L106" s="82"/>
      <c r="M106" s="63"/>
      <c r="N106" s="63"/>
      <c r="O106" s="82"/>
    </row>
    <row r="107" s="3" customFormat="1" ht="17.1" customHeight="1" spans="1:15">
      <c r="A107" s="74"/>
      <c r="B107" s="25"/>
      <c r="C107" s="75"/>
      <c r="D107" s="50"/>
      <c r="E107" s="77"/>
      <c r="F107" s="25"/>
      <c r="G107" s="198"/>
      <c r="H107" s="36">
        <v>43994</v>
      </c>
      <c r="I107" s="188">
        <v>1000000</v>
      </c>
      <c r="J107" s="63"/>
      <c r="K107" s="213" t="s">
        <v>165</v>
      </c>
      <c r="L107" s="82" t="s">
        <v>54</v>
      </c>
      <c r="M107" s="63"/>
      <c r="N107" s="63"/>
      <c r="O107" s="82"/>
    </row>
    <row r="108" s="3" customFormat="1" ht="17.1" customHeight="1" spans="1:15">
      <c r="A108" s="74"/>
      <c r="B108" s="25"/>
      <c r="C108" s="75"/>
      <c r="D108" s="50"/>
      <c r="E108" s="77"/>
      <c r="F108" s="25"/>
      <c r="G108" s="198"/>
      <c r="H108" s="36">
        <v>44000</v>
      </c>
      <c r="I108" s="214">
        <v>500000</v>
      </c>
      <c r="J108" s="63" t="s">
        <v>20</v>
      </c>
      <c r="K108" s="171" t="s">
        <v>166</v>
      </c>
      <c r="L108" s="82"/>
      <c r="M108" s="63"/>
      <c r="N108" s="63"/>
      <c r="O108" s="82"/>
    </row>
    <row r="109" s="3" customFormat="1" ht="17.1" customHeight="1" spans="1:15">
      <c r="A109" s="74"/>
      <c r="B109" s="25"/>
      <c r="C109" s="75"/>
      <c r="D109" s="50"/>
      <c r="E109" s="77"/>
      <c r="F109" s="25"/>
      <c r="G109" s="198"/>
      <c r="H109" s="36">
        <v>44000</v>
      </c>
      <c r="I109" s="214">
        <v>600040</v>
      </c>
      <c r="J109" s="63" t="s">
        <v>20</v>
      </c>
      <c r="K109" s="171" t="s">
        <v>167</v>
      </c>
      <c r="L109" s="82"/>
      <c r="M109" s="63"/>
      <c r="N109" s="63"/>
      <c r="O109" s="82"/>
    </row>
    <row r="110" s="3" customFormat="1" ht="17.1" customHeight="1" spans="1:15">
      <c r="A110" s="74"/>
      <c r="B110" s="25"/>
      <c r="C110" s="75"/>
      <c r="D110" s="50"/>
      <c r="E110" s="77"/>
      <c r="F110" s="25"/>
      <c r="G110" s="198"/>
      <c r="H110" s="36">
        <v>44000</v>
      </c>
      <c r="I110" s="214">
        <v>600120</v>
      </c>
      <c r="J110" s="63" t="s">
        <v>20</v>
      </c>
      <c r="K110" s="171" t="s">
        <v>168</v>
      </c>
      <c r="L110" s="82"/>
      <c r="M110" s="63"/>
      <c r="N110" s="63"/>
      <c r="O110" s="82"/>
    </row>
    <row r="111" s="3" customFormat="1" ht="17.1" customHeight="1" spans="1:15">
      <c r="A111" s="74"/>
      <c r="B111" s="25"/>
      <c r="C111" s="75"/>
      <c r="D111" s="50"/>
      <c r="E111" s="77"/>
      <c r="F111" s="25"/>
      <c r="G111" s="198"/>
      <c r="H111" s="36">
        <v>44000</v>
      </c>
      <c r="I111" s="214">
        <v>300000</v>
      </c>
      <c r="J111" s="63" t="s">
        <v>20</v>
      </c>
      <c r="K111" s="171" t="s">
        <v>89</v>
      </c>
      <c r="L111" s="82"/>
      <c r="M111" s="63"/>
      <c r="N111" s="63"/>
      <c r="O111" s="82"/>
    </row>
    <row r="112" s="3" customFormat="1" ht="17.1" customHeight="1" spans="1:15">
      <c r="A112" s="74"/>
      <c r="B112" s="25"/>
      <c r="C112" s="75"/>
      <c r="D112" s="50"/>
      <c r="E112" s="77"/>
      <c r="F112" s="25"/>
      <c r="G112" s="198"/>
      <c r="H112" s="195">
        <v>44001</v>
      </c>
      <c r="I112" s="262">
        <v>300000</v>
      </c>
      <c r="J112" s="227" t="s">
        <v>20</v>
      </c>
      <c r="K112" s="260" t="s">
        <v>87</v>
      </c>
      <c r="L112" s="82"/>
      <c r="M112" s="63"/>
      <c r="N112" s="63"/>
      <c r="O112" s="82"/>
    </row>
    <row r="113" s="3" customFormat="1" ht="18" customHeight="1" spans="1:15">
      <c r="A113" s="74"/>
      <c r="B113" s="25"/>
      <c r="C113" s="75"/>
      <c r="D113" s="50"/>
      <c r="E113" s="77"/>
      <c r="F113" s="25"/>
      <c r="G113" s="198"/>
      <c r="H113" s="36"/>
      <c r="I113" s="214"/>
      <c r="J113" s="65"/>
      <c r="K113" s="171"/>
      <c r="L113" s="82"/>
      <c r="M113" s="63"/>
      <c r="N113" s="63"/>
      <c r="O113" s="82"/>
    </row>
    <row r="114" s="3" customFormat="1" ht="18" customHeight="1" spans="1:15">
      <c r="A114" s="74"/>
      <c r="B114" s="25"/>
      <c r="C114" s="75"/>
      <c r="D114" s="50"/>
      <c r="E114" s="77"/>
      <c r="F114" s="25"/>
      <c r="G114" s="198"/>
      <c r="H114" s="36"/>
      <c r="I114" s="214"/>
      <c r="J114" s="65"/>
      <c r="K114" s="171"/>
      <c r="L114" s="82"/>
      <c r="M114" s="63"/>
      <c r="N114" s="63"/>
      <c r="O114" s="82"/>
    </row>
    <row r="115" s="3" customFormat="1" ht="18" customHeight="1" spans="1:15">
      <c r="A115" s="74"/>
      <c r="B115" s="25"/>
      <c r="C115" s="75"/>
      <c r="D115" s="50"/>
      <c r="E115" s="77"/>
      <c r="F115" s="25"/>
      <c r="G115" s="198"/>
      <c r="H115" s="36"/>
      <c r="I115" s="214"/>
      <c r="J115" s="65"/>
      <c r="K115" s="171"/>
      <c r="L115" s="82"/>
      <c r="M115" s="63"/>
      <c r="N115" s="63"/>
      <c r="O115" s="82"/>
    </row>
    <row r="116" s="3" customFormat="1" ht="18" customHeight="1" spans="1:15">
      <c r="A116" s="74"/>
      <c r="B116" s="25"/>
      <c r="C116" s="75"/>
      <c r="D116" s="50"/>
      <c r="E116" s="77"/>
      <c r="F116" s="25"/>
      <c r="G116" s="198"/>
      <c r="H116" s="36"/>
      <c r="I116" s="214"/>
      <c r="J116" s="65"/>
      <c r="K116" s="171"/>
      <c r="L116" s="82"/>
      <c r="M116" s="63"/>
      <c r="N116" s="63"/>
      <c r="O116" s="82"/>
    </row>
    <row r="117" s="3" customFormat="1" ht="18" customHeight="1" spans="1:15">
      <c r="A117" s="74"/>
      <c r="B117" s="25"/>
      <c r="C117" s="75"/>
      <c r="D117" s="50"/>
      <c r="E117" s="77"/>
      <c r="F117" s="25"/>
      <c r="G117" s="198"/>
      <c r="H117" s="36"/>
      <c r="I117" s="214"/>
      <c r="J117" s="65"/>
      <c r="K117" s="171"/>
      <c r="L117" s="82"/>
      <c r="M117" s="63"/>
      <c r="N117" s="63"/>
      <c r="O117" s="82"/>
    </row>
    <row r="118" s="3" customFormat="1" ht="18" customHeight="1" spans="1:15">
      <c r="A118" s="74"/>
      <c r="B118" s="25"/>
      <c r="C118" s="75"/>
      <c r="D118" s="50"/>
      <c r="E118" s="77"/>
      <c r="F118" s="25"/>
      <c r="G118" s="198"/>
      <c r="H118" s="36"/>
      <c r="I118" s="214"/>
      <c r="J118" s="65"/>
      <c r="K118" s="171"/>
      <c r="L118" s="82"/>
      <c r="M118" s="63"/>
      <c r="N118" s="63"/>
      <c r="O118" s="82"/>
    </row>
    <row r="119" s="3" customFormat="1" ht="18" customHeight="1" spans="1:15">
      <c r="A119" s="74"/>
      <c r="B119" s="25"/>
      <c r="C119" s="75"/>
      <c r="D119" s="50"/>
      <c r="E119" s="77"/>
      <c r="F119" s="25"/>
      <c r="G119" s="198"/>
      <c r="H119" s="36"/>
      <c r="I119" s="214"/>
      <c r="J119" s="65"/>
      <c r="K119" s="171"/>
      <c r="L119" s="82"/>
      <c r="M119" s="63"/>
      <c r="N119" s="63"/>
      <c r="O119" s="82"/>
    </row>
    <row r="120" s="3" customFormat="1" ht="18" customHeight="1" spans="1:15">
      <c r="A120" s="74"/>
      <c r="B120" s="25"/>
      <c r="C120" s="75"/>
      <c r="D120" s="50"/>
      <c r="E120" s="77"/>
      <c r="F120" s="25"/>
      <c r="G120" s="198"/>
      <c r="H120" s="36"/>
      <c r="I120" s="214"/>
      <c r="J120" s="65"/>
      <c r="K120" s="171"/>
      <c r="L120" s="82"/>
      <c r="M120" s="63"/>
      <c r="N120" s="63"/>
      <c r="O120" s="82"/>
    </row>
    <row r="121" s="3" customFormat="1" ht="18" customHeight="1" spans="1:15">
      <c r="A121" s="74"/>
      <c r="B121" s="25"/>
      <c r="C121" s="75"/>
      <c r="D121" s="50"/>
      <c r="E121" s="77"/>
      <c r="F121" s="25"/>
      <c r="G121" s="198"/>
      <c r="H121" s="36"/>
      <c r="I121" s="188"/>
      <c r="J121" s="63"/>
      <c r="K121" s="213"/>
      <c r="L121" s="82"/>
      <c r="M121" s="63"/>
      <c r="N121" s="63"/>
      <c r="O121" s="82"/>
    </row>
    <row r="122" s="3" customFormat="1" ht="17.1" customHeight="1" spans="1:15">
      <c r="A122" s="74"/>
      <c r="B122" s="25"/>
      <c r="C122" s="75"/>
      <c r="D122" s="50"/>
      <c r="E122" s="77"/>
      <c r="F122" s="25"/>
      <c r="G122" s="198"/>
      <c r="H122" s="36"/>
      <c r="I122" s="188"/>
      <c r="J122" s="63"/>
      <c r="K122" s="207"/>
      <c r="L122" s="82"/>
      <c r="M122" s="63"/>
      <c r="N122" s="63"/>
      <c r="O122" s="82"/>
    </row>
    <row r="123" s="3" customFormat="1" ht="17.1" customHeight="1" spans="1:15">
      <c r="A123" s="74"/>
      <c r="B123" s="25"/>
      <c r="C123" s="75"/>
      <c r="D123" s="50"/>
      <c r="E123" s="77"/>
      <c r="F123" s="25"/>
      <c r="G123" s="198"/>
      <c r="H123" s="195">
        <v>44001</v>
      </c>
      <c r="I123" s="206">
        <v>100</v>
      </c>
      <c r="J123" s="227" t="s">
        <v>106</v>
      </c>
      <c r="K123" s="206" t="s">
        <v>110</v>
      </c>
      <c r="L123" s="82"/>
      <c r="M123" s="63"/>
      <c r="N123" s="63"/>
      <c r="O123" s="82"/>
    </row>
    <row r="124" s="3" customFormat="1" ht="17.1" customHeight="1" spans="1:15">
      <c r="A124" s="74"/>
      <c r="B124" s="25"/>
      <c r="C124" s="75"/>
      <c r="D124" s="50"/>
      <c r="E124" s="77"/>
      <c r="F124" s="25"/>
      <c r="G124" s="198"/>
      <c r="H124" s="36">
        <v>44000</v>
      </c>
      <c r="I124" s="82">
        <v>100</v>
      </c>
      <c r="J124" s="63" t="s">
        <v>106</v>
      </c>
      <c r="K124" s="82" t="s">
        <v>110</v>
      </c>
      <c r="L124" s="82"/>
      <c r="M124" s="63"/>
      <c r="N124" s="63"/>
      <c r="O124" s="82"/>
    </row>
    <row r="125" s="3" customFormat="1" ht="17.1" customHeight="1" spans="1:15">
      <c r="A125" s="74"/>
      <c r="B125" s="25"/>
      <c r="C125" s="75"/>
      <c r="D125" s="50"/>
      <c r="E125" s="77"/>
      <c r="F125" s="25"/>
      <c r="G125" s="198"/>
      <c r="H125" s="36">
        <v>44000</v>
      </c>
      <c r="I125" s="82">
        <v>300</v>
      </c>
      <c r="J125" s="65" t="s">
        <v>106</v>
      </c>
      <c r="K125" s="207" t="s">
        <v>110</v>
      </c>
      <c r="L125" s="82"/>
      <c r="M125" s="63"/>
      <c r="N125" s="63"/>
      <c r="O125" s="82"/>
    </row>
    <row r="126" s="3" customFormat="1" ht="17.1" customHeight="1" spans="1:15">
      <c r="A126" s="74"/>
      <c r="B126" s="25"/>
      <c r="C126" s="75"/>
      <c r="D126" s="50"/>
      <c r="E126" s="77"/>
      <c r="F126" s="25"/>
      <c r="G126" s="198"/>
      <c r="H126" s="36">
        <v>43994</v>
      </c>
      <c r="I126" s="235">
        <v>100</v>
      </c>
      <c r="J126" s="65" t="s">
        <v>106</v>
      </c>
      <c r="K126" s="207" t="s">
        <v>110</v>
      </c>
      <c r="L126" s="82"/>
      <c r="M126" s="63"/>
      <c r="N126" s="63"/>
      <c r="O126" s="82"/>
    </row>
    <row r="127" s="3" customFormat="1" ht="18" customHeight="1" spans="1:15">
      <c r="A127" s="74"/>
      <c r="B127" s="25"/>
      <c r="C127" s="75"/>
      <c r="D127" s="50"/>
      <c r="E127" s="77"/>
      <c r="F127" s="25"/>
      <c r="G127" s="198"/>
      <c r="H127" s="36">
        <v>43994</v>
      </c>
      <c r="I127" s="236">
        <v>72400</v>
      </c>
      <c r="J127" s="65" t="s">
        <v>106</v>
      </c>
      <c r="K127" s="207" t="s">
        <v>121</v>
      </c>
      <c r="L127" s="82"/>
      <c r="M127" s="63"/>
      <c r="N127" s="63"/>
      <c r="O127" s="82"/>
    </row>
    <row r="128" s="3" customFormat="1" ht="18" customHeight="1" spans="1:15">
      <c r="A128" s="74"/>
      <c r="B128" s="25"/>
      <c r="C128" s="75"/>
      <c r="D128" s="50"/>
      <c r="E128" s="77"/>
      <c r="F128" s="25"/>
      <c r="G128" s="198"/>
      <c r="H128" s="36">
        <v>43994</v>
      </c>
      <c r="I128" s="188">
        <v>1992.66055045872</v>
      </c>
      <c r="J128" s="65" t="s">
        <v>106</v>
      </c>
      <c r="K128" s="207" t="s">
        <v>123</v>
      </c>
      <c r="L128" s="82"/>
      <c r="M128" s="63"/>
      <c r="N128" s="63"/>
      <c r="O128" s="82"/>
    </row>
    <row r="129" s="3" customFormat="1" ht="18" customHeight="1" spans="1:15">
      <c r="A129" s="74"/>
      <c r="B129" s="25">
        <f t="shared" ref="B129:B135" si="12">ROUND(G129/(1+E129),2)</f>
        <v>0</v>
      </c>
      <c r="C129" s="75"/>
      <c r="D129" s="50"/>
      <c r="E129" s="77"/>
      <c r="F129" s="25">
        <f t="shared" ref="F129:F135" si="13">ROUND(G129/(1+E129)*E129,2)</f>
        <v>0</v>
      </c>
      <c r="G129" s="198"/>
      <c r="H129" s="36">
        <v>43994</v>
      </c>
      <c r="I129" s="188">
        <v>18100</v>
      </c>
      <c r="J129" s="65" t="s">
        <v>106</v>
      </c>
      <c r="K129" s="207" t="s">
        <v>157</v>
      </c>
      <c r="L129" s="82"/>
      <c r="M129" s="63"/>
      <c r="N129" s="63"/>
      <c r="O129" s="82"/>
    </row>
    <row r="130" s="3" customFormat="1" ht="18" customHeight="1" spans="1:15">
      <c r="A130" s="74"/>
      <c r="B130" s="25"/>
      <c r="C130" s="75"/>
      <c r="D130" s="50"/>
      <c r="E130" s="77"/>
      <c r="F130" s="25"/>
      <c r="G130" s="198"/>
      <c r="H130" s="36">
        <v>43993</v>
      </c>
      <c r="I130" s="188">
        <v>100</v>
      </c>
      <c r="J130" s="65" t="s">
        <v>106</v>
      </c>
      <c r="K130" s="207" t="s">
        <v>110</v>
      </c>
      <c r="L130" s="82"/>
      <c r="M130" s="63"/>
      <c r="N130" s="63"/>
      <c r="O130" s="82"/>
    </row>
    <row r="131" s="3" customFormat="1" ht="18" customHeight="1" spans="1:15">
      <c r="A131" s="74"/>
      <c r="B131" s="25">
        <f t="shared" si="12"/>
        <v>0</v>
      </c>
      <c r="C131" s="75"/>
      <c r="D131" s="50"/>
      <c r="E131" s="77"/>
      <c r="F131" s="25">
        <f t="shared" si="13"/>
        <v>0</v>
      </c>
      <c r="G131" s="198"/>
      <c r="H131" s="36">
        <v>43966</v>
      </c>
      <c r="I131" s="188">
        <v>100</v>
      </c>
      <c r="J131" s="65" t="s">
        <v>106</v>
      </c>
      <c r="K131" s="207" t="s">
        <v>110</v>
      </c>
      <c r="L131" s="82"/>
      <c r="M131" s="63"/>
      <c r="N131" s="63"/>
      <c r="O131" s="82"/>
    </row>
    <row r="132" s="3" customFormat="1" ht="18" customHeight="1" spans="1:15">
      <c r="A132" s="74"/>
      <c r="B132" s="25">
        <f t="shared" si="12"/>
        <v>0</v>
      </c>
      <c r="C132" s="75"/>
      <c r="D132" s="50"/>
      <c r="E132" s="77"/>
      <c r="F132" s="25">
        <f t="shared" si="13"/>
        <v>0</v>
      </c>
      <c r="G132" s="198"/>
      <c r="H132" s="76">
        <v>10.2</v>
      </c>
      <c r="I132" s="188">
        <v>100</v>
      </c>
      <c r="J132" s="65" t="s">
        <v>106</v>
      </c>
      <c r="K132" s="207" t="s">
        <v>110</v>
      </c>
      <c r="L132" s="82"/>
      <c r="M132" s="63"/>
      <c r="N132" s="63"/>
      <c r="O132" s="82"/>
    </row>
    <row r="133" s="3" customFormat="1" ht="18" customHeight="1" spans="1:15">
      <c r="A133" s="74"/>
      <c r="B133" s="25">
        <f t="shared" si="12"/>
        <v>0</v>
      </c>
      <c r="C133" s="75"/>
      <c r="D133" s="50"/>
      <c r="E133" s="77"/>
      <c r="F133" s="25">
        <f t="shared" si="13"/>
        <v>0</v>
      </c>
      <c r="G133" s="198"/>
      <c r="H133" s="76">
        <v>10.1</v>
      </c>
      <c r="I133" s="188">
        <v>100</v>
      </c>
      <c r="J133" s="65" t="s">
        <v>106</v>
      </c>
      <c r="K133" s="207" t="s">
        <v>110</v>
      </c>
      <c r="L133" s="82"/>
      <c r="M133" s="63"/>
      <c r="N133" s="63"/>
      <c r="O133" s="82"/>
    </row>
    <row r="134" s="3" customFormat="1" ht="18" customHeight="1" spans="1:15">
      <c r="A134" s="74"/>
      <c r="B134" s="25">
        <f t="shared" si="12"/>
        <v>0</v>
      </c>
      <c r="C134" s="75"/>
      <c r="D134" s="50"/>
      <c r="E134" s="77"/>
      <c r="F134" s="25">
        <f t="shared" si="13"/>
        <v>0</v>
      </c>
      <c r="G134" s="198"/>
      <c r="H134" s="76">
        <v>10.1</v>
      </c>
      <c r="I134" s="188">
        <f>B12*0.0006</f>
        <v>853.211009174312</v>
      </c>
      <c r="J134" s="65" t="s">
        <v>106</v>
      </c>
      <c r="K134" s="207" t="s">
        <v>107</v>
      </c>
      <c r="L134" s="82">
        <f>I134+I135+I138+I143+I146+I147+I148+I149+I156+I157+I163+I165+I166</f>
        <v>916149.577981651</v>
      </c>
      <c r="M134" s="63"/>
      <c r="N134" s="63"/>
      <c r="O134" s="82"/>
    </row>
    <row r="135" s="3" customFormat="1" ht="18" customHeight="1" spans="1:15">
      <c r="A135" s="74"/>
      <c r="B135" s="25">
        <f t="shared" si="12"/>
        <v>0</v>
      </c>
      <c r="C135" s="75"/>
      <c r="D135" s="50"/>
      <c r="E135" s="77"/>
      <c r="F135" s="25">
        <f t="shared" si="13"/>
        <v>0</v>
      </c>
      <c r="G135" s="198"/>
      <c r="H135" s="76">
        <v>10.1</v>
      </c>
      <c r="I135" s="188">
        <f>B12*0.02</f>
        <v>28440.3669724771</v>
      </c>
      <c r="J135" s="65" t="s">
        <v>106</v>
      </c>
      <c r="K135" s="207" t="s">
        <v>108</v>
      </c>
      <c r="L135" s="82"/>
      <c r="M135" s="63"/>
      <c r="N135" s="63"/>
      <c r="O135" s="82"/>
    </row>
    <row r="136" s="3" customFormat="1" ht="18" customHeight="1" spans="1:15">
      <c r="A136" s="74"/>
      <c r="B136" s="25"/>
      <c r="C136" s="75"/>
      <c r="D136" s="50"/>
      <c r="E136" s="77"/>
      <c r="F136" s="25"/>
      <c r="G136" s="198"/>
      <c r="H136" s="76">
        <v>10.1</v>
      </c>
      <c r="I136" s="188">
        <f>G12*0.005</f>
        <v>7750</v>
      </c>
      <c r="J136" s="65" t="s">
        <v>106</v>
      </c>
      <c r="K136" s="207" t="s">
        <v>157</v>
      </c>
      <c r="L136" s="82">
        <f>I136+I168</f>
        <v>140600</v>
      </c>
      <c r="M136" s="63"/>
      <c r="N136" s="63"/>
      <c r="O136" s="82"/>
    </row>
    <row r="137" s="3" customFormat="1" ht="18" customHeight="1" spans="1:15">
      <c r="A137" s="74"/>
      <c r="B137" s="25">
        <f t="shared" ref="B137:B158" si="14">ROUND(G137/(1+E137),2)</f>
        <v>0</v>
      </c>
      <c r="C137" s="75"/>
      <c r="D137" s="50"/>
      <c r="E137" s="77"/>
      <c r="F137" s="25">
        <f t="shared" ref="F137:F158" si="15">ROUND(G137/(1+E137)*E137,2)</f>
        <v>0</v>
      </c>
      <c r="G137" s="198"/>
      <c r="H137" s="36" t="s">
        <v>109</v>
      </c>
      <c r="I137" s="188">
        <v>200</v>
      </c>
      <c r="J137" s="65" t="s">
        <v>106</v>
      </c>
      <c r="K137" s="207" t="s">
        <v>110</v>
      </c>
      <c r="L137" s="82">
        <f>I137+I139+I140+I141+I142+I144+I151+I154+I158+I167+I133</f>
        <v>245132.79</v>
      </c>
      <c r="M137" s="63"/>
      <c r="N137" s="63"/>
      <c r="O137" s="82"/>
    </row>
    <row r="138" s="3" customFormat="1" ht="18" customHeight="1" spans="1:15">
      <c r="A138" s="74"/>
      <c r="B138" s="25">
        <f t="shared" si="14"/>
        <v>0</v>
      </c>
      <c r="C138" s="75"/>
      <c r="D138" s="50"/>
      <c r="E138" s="77"/>
      <c r="F138" s="25">
        <f t="shared" si="15"/>
        <v>0</v>
      </c>
      <c r="G138" s="198"/>
      <c r="H138" s="36" t="s">
        <v>111</v>
      </c>
      <c r="I138" s="188">
        <v>-285325</v>
      </c>
      <c r="J138" s="63" t="s">
        <v>112</v>
      </c>
      <c r="K138" s="207" t="s">
        <v>158</v>
      </c>
      <c r="L138" s="82"/>
      <c r="M138" s="63"/>
      <c r="N138" s="63"/>
      <c r="O138" s="82"/>
    </row>
    <row r="139" s="3" customFormat="1" ht="18" customHeight="1" spans="1:15">
      <c r="A139" s="74"/>
      <c r="B139" s="25">
        <f t="shared" si="14"/>
        <v>0</v>
      </c>
      <c r="C139" s="75"/>
      <c r="D139" s="76"/>
      <c r="E139" s="77"/>
      <c r="F139" s="25">
        <f t="shared" si="15"/>
        <v>0</v>
      </c>
      <c r="G139" s="198"/>
      <c r="H139" s="36" t="s">
        <v>111</v>
      </c>
      <c r="I139" s="188">
        <v>200</v>
      </c>
      <c r="J139" s="65" t="s">
        <v>106</v>
      </c>
      <c r="K139" s="207" t="s">
        <v>110</v>
      </c>
      <c r="L139" s="82"/>
      <c r="M139" s="63"/>
      <c r="N139" s="63"/>
      <c r="O139" s="82"/>
    </row>
    <row r="140" s="3" customFormat="1" ht="18" customHeight="1" spans="1:15">
      <c r="A140" s="74"/>
      <c r="B140" s="25">
        <f t="shared" si="14"/>
        <v>0</v>
      </c>
      <c r="C140" s="75"/>
      <c r="D140" s="76"/>
      <c r="E140" s="77"/>
      <c r="F140" s="25">
        <f t="shared" si="15"/>
        <v>0</v>
      </c>
      <c r="G140" s="198"/>
      <c r="H140" s="36" t="s">
        <v>113</v>
      </c>
      <c r="I140" s="188">
        <v>300</v>
      </c>
      <c r="J140" s="65" t="s">
        <v>106</v>
      </c>
      <c r="K140" s="207" t="s">
        <v>110</v>
      </c>
      <c r="L140" s="82"/>
      <c r="M140" s="63"/>
      <c r="N140" s="63"/>
      <c r="O140" s="82"/>
    </row>
    <row r="141" s="3" customFormat="1" ht="18" customHeight="1" spans="1:15">
      <c r="A141" s="74"/>
      <c r="B141" s="25">
        <f t="shared" si="14"/>
        <v>0</v>
      </c>
      <c r="C141" s="75"/>
      <c r="D141" s="76"/>
      <c r="E141" s="77"/>
      <c r="F141" s="25">
        <f t="shared" si="15"/>
        <v>0</v>
      </c>
      <c r="G141" s="198"/>
      <c r="H141" s="36" t="s">
        <v>114</v>
      </c>
      <c r="I141" s="188">
        <v>9600</v>
      </c>
      <c r="J141" s="65" t="s">
        <v>106</v>
      </c>
      <c r="K141" s="207" t="s">
        <v>115</v>
      </c>
      <c r="L141" s="82"/>
      <c r="M141" s="63"/>
      <c r="N141" s="63"/>
      <c r="O141" s="82"/>
    </row>
    <row r="142" s="3" customFormat="1" ht="18" customHeight="1" spans="1:15">
      <c r="A142" s="74"/>
      <c r="B142" s="25">
        <f t="shared" si="14"/>
        <v>0</v>
      </c>
      <c r="C142" s="75"/>
      <c r="D142" s="76"/>
      <c r="E142" s="77"/>
      <c r="F142" s="25">
        <f t="shared" si="15"/>
        <v>0</v>
      </c>
      <c r="G142" s="198"/>
      <c r="H142" s="36" t="s">
        <v>114</v>
      </c>
      <c r="I142" s="188">
        <v>200</v>
      </c>
      <c r="J142" s="65" t="s">
        <v>106</v>
      </c>
      <c r="K142" s="207" t="s">
        <v>110</v>
      </c>
      <c r="L142" s="82"/>
      <c r="M142" s="63"/>
      <c r="N142" s="63"/>
      <c r="O142" s="82"/>
    </row>
    <row r="143" s="3" customFormat="1" ht="18" customHeight="1" spans="1:15">
      <c r="A143" s="74"/>
      <c r="B143" s="25">
        <f t="shared" si="14"/>
        <v>0</v>
      </c>
      <c r="C143" s="75"/>
      <c r="D143" s="76"/>
      <c r="E143" s="77"/>
      <c r="F143" s="25">
        <f t="shared" si="15"/>
        <v>0</v>
      </c>
      <c r="G143" s="198"/>
      <c r="H143" s="36" t="s">
        <v>114</v>
      </c>
      <c r="I143" s="188">
        <v>-903045</v>
      </c>
      <c r="J143" s="63" t="s">
        <v>112</v>
      </c>
      <c r="K143" s="207" t="s">
        <v>116</v>
      </c>
      <c r="L143" s="82"/>
      <c r="M143" s="63"/>
      <c r="N143" s="63"/>
      <c r="O143" s="82"/>
    </row>
    <row r="144" s="3" customFormat="1" ht="18" customHeight="1" spans="1:15">
      <c r="A144" s="74"/>
      <c r="B144" s="25">
        <f t="shared" si="14"/>
        <v>0</v>
      </c>
      <c r="C144" s="75"/>
      <c r="D144" s="76"/>
      <c r="E144" s="77"/>
      <c r="F144" s="25">
        <f t="shared" si="15"/>
        <v>0</v>
      </c>
      <c r="G144" s="198"/>
      <c r="H144" s="36" t="s">
        <v>117</v>
      </c>
      <c r="I144" s="188">
        <v>232932.79</v>
      </c>
      <c r="J144" s="63" t="s">
        <v>106</v>
      </c>
      <c r="K144" s="207" t="s">
        <v>118</v>
      </c>
      <c r="L144" s="82"/>
      <c r="M144" s="63"/>
      <c r="N144" s="63"/>
      <c r="O144" s="82"/>
    </row>
    <row r="145" s="3" customFormat="1" ht="18" customHeight="1" spans="1:15">
      <c r="A145" s="74"/>
      <c r="B145" s="25">
        <f t="shared" si="14"/>
        <v>0</v>
      </c>
      <c r="C145" s="75"/>
      <c r="D145" s="76"/>
      <c r="E145" s="77"/>
      <c r="F145" s="25">
        <f t="shared" si="15"/>
        <v>0</v>
      </c>
      <c r="G145" s="198"/>
      <c r="H145" s="36" t="s">
        <v>117</v>
      </c>
      <c r="I145" s="188"/>
      <c r="J145" s="63" t="s">
        <v>106</v>
      </c>
      <c r="K145" s="207" t="s">
        <v>119</v>
      </c>
      <c r="L145" s="82"/>
      <c r="M145" s="63"/>
      <c r="N145" s="63"/>
      <c r="O145" s="82"/>
    </row>
    <row r="146" s="3" customFormat="1" ht="18" customHeight="1" spans="1:15">
      <c r="A146" s="74"/>
      <c r="B146" s="25">
        <f t="shared" si="14"/>
        <v>0</v>
      </c>
      <c r="C146" s="75"/>
      <c r="D146" s="76"/>
      <c r="E146" s="77"/>
      <c r="F146" s="25">
        <f t="shared" si="15"/>
        <v>0</v>
      </c>
      <c r="G146" s="198"/>
      <c r="H146" s="36" t="s">
        <v>117</v>
      </c>
      <c r="I146" s="188">
        <v>903045</v>
      </c>
      <c r="J146" s="63" t="s">
        <v>120</v>
      </c>
      <c r="K146" s="207" t="s">
        <v>121</v>
      </c>
      <c r="L146" s="82"/>
      <c r="M146" s="63"/>
      <c r="N146" s="63"/>
      <c r="O146" s="82"/>
    </row>
    <row r="147" s="3" customFormat="1" ht="18" customHeight="1" spans="1:15">
      <c r="A147" s="74"/>
      <c r="B147" s="25">
        <f t="shared" si="14"/>
        <v>0</v>
      </c>
      <c r="C147" s="75"/>
      <c r="D147" s="76"/>
      <c r="E147" s="77"/>
      <c r="F147" s="25">
        <f t="shared" si="15"/>
        <v>0</v>
      </c>
      <c r="G147" s="198"/>
      <c r="H147" s="36" t="s">
        <v>117</v>
      </c>
      <c r="I147" s="188">
        <v>485252</v>
      </c>
      <c r="J147" s="63" t="s">
        <v>106</v>
      </c>
      <c r="K147" s="207" t="s">
        <v>122</v>
      </c>
      <c r="L147" s="82"/>
      <c r="M147" s="63"/>
      <c r="N147" s="63"/>
      <c r="O147" s="82"/>
    </row>
    <row r="148" s="3" customFormat="1" ht="18" customHeight="1" spans="1:15">
      <c r="A148" s="74"/>
      <c r="B148" s="25">
        <f t="shared" si="14"/>
        <v>0</v>
      </c>
      <c r="C148" s="75"/>
      <c r="D148" s="76"/>
      <c r="E148" s="77"/>
      <c r="F148" s="25">
        <f t="shared" si="15"/>
        <v>0</v>
      </c>
      <c r="G148" s="198"/>
      <c r="H148" s="36" t="s">
        <v>117</v>
      </c>
      <c r="I148" s="188">
        <v>4789</v>
      </c>
      <c r="J148" s="63" t="s">
        <v>106</v>
      </c>
      <c r="K148" s="207" t="s">
        <v>123</v>
      </c>
      <c r="L148" s="82"/>
      <c r="M148" s="63"/>
      <c r="N148" s="63"/>
      <c r="O148" s="82"/>
    </row>
    <row r="149" s="3" customFormat="1" ht="18" customHeight="1" spans="1:15">
      <c r="A149" s="74"/>
      <c r="B149" s="25">
        <f t="shared" si="14"/>
        <v>0</v>
      </c>
      <c r="C149" s="75"/>
      <c r="D149" s="76"/>
      <c r="E149" s="77"/>
      <c r="F149" s="25">
        <f t="shared" si="15"/>
        <v>0</v>
      </c>
      <c r="G149" s="198"/>
      <c r="H149" s="36" t="s">
        <v>117</v>
      </c>
      <c r="I149" s="188">
        <v>429349</v>
      </c>
      <c r="J149" s="63" t="s">
        <v>106</v>
      </c>
      <c r="K149" s="207" t="s">
        <v>124</v>
      </c>
      <c r="L149" s="82"/>
      <c r="M149" s="63"/>
      <c r="N149" s="63"/>
      <c r="O149" s="82"/>
    </row>
    <row r="150" s="3" customFormat="1" ht="18" customHeight="1" spans="1:15">
      <c r="A150" s="74"/>
      <c r="B150" s="25">
        <f t="shared" si="14"/>
        <v>0</v>
      </c>
      <c r="C150" s="75"/>
      <c r="D150" s="76"/>
      <c r="E150" s="77"/>
      <c r="F150" s="25">
        <f t="shared" si="15"/>
        <v>0</v>
      </c>
      <c r="G150" s="198"/>
      <c r="H150" s="36" t="s">
        <v>117</v>
      </c>
      <c r="I150" s="188">
        <v>87000</v>
      </c>
      <c r="J150" s="63" t="s">
        <v>125</v>
      </c>
      <c r="K150" s="207" t="s">
        <v>126</v>
      </c>
      <c r="L150" s="82"/>
      <c r="M150" s="63"/>
      <c r="N150" s="63"/>
      <c r="O150" s="82"/>
    </row>
    <row r="151" s="2" customFormat="1" ht="18" customHeight="1" spans="1:15">
      <c r="A151" s="48"/>
      <c r="B151" s="25">
        <f t="shared" si="14"/>
        <v>0</v>
      </c>
      <c r="C151" s="49"/>
      <c r="D151" s="50"/>
      <c r="E151" s="70"/>
      <c r="F151" s="25">
        <f t="shared" si="15"/>
        <v>0</v>
      </c>
      <c r="G151" s="189"/>
      <c r="H151" s="36" t="s">
        <v>117</v>
      </c>
      <c r="I151" s="188">
        <v>100</v>
      </c>
      <c r="J151" s="65" t="s">
        <v>106</v>
      </c>
      <c r="K151" s="207" t="s">
        <v>110</v>
      </c>
      <c r="L151" s="82"/>
      <c r="M151" s="56"/>
      <c r="N151" s="65"/>
      <c r="O151" s="67"/>
    </row>
    <row r="152" s="2" customFormat="1" ht="18" customHeight="1" spans="1:15">
      <c r="A152" s="48"/>
      <c r="B152" s="25">
        <f t="shared" si="14"/>
        <v>0</v>
      </c>
      <c r="C152" s="49"/>
      <c r="D152" s="50"/>
      <c r="E152" s="70"/>
      <c r="F152" s="25">
        <f t="shared" si="15"/>
        <v>0</v>
      </c>
      <c r="G152" s="189"/>
      <c r="H152" s="36" t="s">
        <v>117</v>
      </c>
      <c r="I152" s="188"/>
      <c r="J152" s="63"/>
      <c r="K152" s="207"/>
      <c r="L152" s="82"/>
      <c r="M152" s="56"/>
      <c r="N152" s="65"/>
      <c r="O152" s="67"/>
    </row>
    <row r="153" s="2" customFormat="1" ht="18" customHeight="1" spans="1:15">
      <c r="A153" s="48"/>
      <c r="B153" s="25">
        <f t="shared" si="14"/>
        <v>0</v>
      </c>
      <c r="C153" s="49"/>
      <c r="D153" s="50"/>
      <c r="E153" s="70"/>
      <c r="F153" s="25">
        <f t="shared" si="15"/>
        <v>0</v>
      </c>
      <c r="G153" s="189"/>
      <c r="H153" s="36" t="s">
        <v>127</v>
      </c>
      <c r="I153" s="188">
        <v>-93700</v>
      </c>
      <c r="J153" s="63" t="s">
        <v>125</v>
      </c>
      <c r="K153" s="148" t="s">
        <v>126</v>
      </c>
      <c r="L153" s="82"/>
      <c r="M153" s="56"/>
      <c r="N153" s="65"/>
      <c r="O153" s="67"/>
    </row>
    <row r="154" s="2" customFormat="1" ht="18" customHeight="1" spans="1:16">
      <c r="A154" s="48"/>
      <c r="B154" s="25">
        <f t="shared" si="14"/>
        <v>0</v>
      </c>
      <c r="C154" s="49"/>
      <c r="D154" s="50"/>
      <c r="E154" s="70"/>
      <c r="F154" s="25">
        <f t="shared" si="15"/>
        <v>0</v>
      </c>
      <c r="G154" s="189"/>
      <c r="H154" s="36" t="s">
        <v>127</v>
      </c>
      <c r="I154" s="71">
        <v>50</v>
      </c>
      <c r="J154" s="65" t="s">
        <v>106</v>
      </c>
      <c r="K154" s="148" t="s">
        <v>110</v>
      </c>
      <c r="L154" s="82"/>
      <c r="M154" s="56"/>
      <c r="N154" s="65"/>
      <c r="O154" s="67"/>
      <c r="P154" s="2">
        <f>I156+I149+I138</f>
        <v>387045</v>
      </c>
    </row>
    <row r="155" s="2" customFormat="1" ht="18" customHeight="1" spans="1:15">
      <c r="A155" s="48"/>
      <c r="B155" s="25">
        <f t="shared" si="14"/>
        <v>0</v>
      </c>
      <c r="C155" s="49"/>
      <c r="D155" s="50"/>
      <c r="E155" s="70"/>
      <c r="F155" s="25">
        <f t="shared" si="15"/>
        <v>0</v>
      </c>
      <c r="G155" s="189"/>
      <c r="H155" s="36" t="s">
        <v>127</v>
      </c>
      <c r="I155" s="210">
        <v>-21725</v>
      </c>
      <c r="J155" s="56" t="s">
        <v>112</v>
      </c>
      <c r="K155" s="238" t="s">
        <v>159</v>
      </c>
      <c r="L155" s="82"/>
      <c r="M155" s="56"/>
      <c r="N155" s="65"/>
      <c r="O155" s="67"/>
    </row>
    <row r="156" s="2" customFormat="1" ht="18" customHeight="1" spans="1:15">
      <c r="A156" s="48"/>
      <c r="B156" s="25">
        <f t="shared" si="14"/>
        <v>0</v>
      </c>
      <c r="C156" s="49"/>
      <c r="D156" s="50"/>
      <c r="E156" s="46"/>
      <c r="F156" s="25">
        <f t="shared" si="15"/>
        <v>0</v>
      </c>
      <c r="G156" s="189"/>
      <c r="H156" s="36" t="s">
        <v>129</v>
      </c>
      <c r="I156" s="188">
        <v>243021</v>
      </c>
      <c r="J156" s="63" t="s">
        <v>106</v>
      </c>
      <c r="K156" s="207" t="s">
        <v>124</v>
      </c>
      <c r="L156" s="67"/>
      <c r="M156" s="65"/>
      <c r="N156" s="65"/>
      <c r="O156" s="67"/>
    </row>
    <row r="157" s="2" customFormat="1" ht="18" customHeight="1" spans="1:15">
      <c r="A157" s="48"/>
      <c r="B157" s="25">
        <f t="shared" si="14"/>
        <v>0</v>
      </c>
      <c r="C157" s="49"/>
      <c r="D157" s="50"/>
      <c r="E157" s="46"/>
      <c r="F157" s="25">
        <f t="shared" si="15"/>
        <v>0</v>
      </c>
      <c r="G157" s="189"/>
      <c r="H157" s="36" t="s">
        <v>129</v>
      </c>
      <c r="I157" s="188">
        <v>2340</v>
      </c>
      <c r="J157" s="63" t="s">
        <v>106</v>
      </c>
      <c r="K157" s="207" t="s">
        <v>123</v>
      </c>
      <c r="L157" s="67"/>
      <c r="M157" s="65"/>
      <c r="N157" s="65"/>
      <c r="O157" s="67"/>
    </row>
    <row r="158" s="2" customFormat="1" ht="18" customHeight="1" spans="1:15">
      <c r="A158" s="48"/>
      <c r="B158" s="25">
        <f t="shared" si="14"/>
        <v>0</v>
      </c>
      <c r="C158" s="49"/>
      <c r="D158" s="50"/>
      <c r="E158" s="46"/>
      <c r="F158" s="25">
        <f t="shared" si="15"/>
        <v>0</v>
      </c>
      <c r="G158" s="189"/>
      <c r="H158" s="36" t="s">
        <v>129</v>
      </c>
      <c r="I158" s="188">
        <v>500</v>
      </c>
      <c r="J158" s="63" t="s">
        <v>106</v>
      </c>
      <c r="K158" s="148" t="s">
        <v>130</v>
      </c>
      <c r="L158" s="67"/>
      <c r="M158" s="65"/>
      <c r="N158" s="65"/>
      <c r="O158" s="67"/>
    </row>
    <row r="159" s="2" customFormat="1" ht="18" customHeight="1" spans="1:15">
      <c r="A159" s="48"/>
      <c r="B159" s="25"/>
      <c r="C159" s="49"/>
      <c r="D159" s="50"/>
      <c r="E159" s="46"/>
      <c r="F159" s="25"/>
      <c r="G159" s="189"/>
      <c r="H159" s="36" t="s">
        <v>129</v>
      </c>
      <c r="I159" s="210">
        <v>55725</v>
      </c>
      <c r="J159" s="56" t="s">
        <v>120</v>
      </c>
      <c r="K159" s="238" t="s">
        <v>121</v>
      </c>
      <c r="L159" s="67"/>
      <c r="M159" s="65"/>
      <c r="N159" s="65"/>
      <c r="O159" s="67"/>
    </row>
    <row r="160" s="2" customFormat="1" ht="18" customHeight="1" spans="1:15">
      <c r="A160" s="48"/>
      <c r="B160" s="25">
        <f t="shared" ref="B160:B165" si="16">ROUND(G160/(1+E160),2)</f>
        <v>0</v>
      </c>
      <c r="C160" s="49"/>
      <c r="D160" s="50"/>
      <c r="E160" s="46"/>
      <c r="F160" s="25">
        <f t="shared" ref="F160:F165" si="17">ROUND(G160/(1+E160)*E160,2)</f>
        <v>0</v>
      </c>
      <c r="G160" s="189"/>
      <c r="H160" s="36" t="s">
        <v>129</v>
      </c>
      <c r="I160" s="188">
        <v>8500</v>
      </c>
      <c r="J160" s="63" t="s">
        <v>125</v>
      </c>
      <c r="K160" s="148" t="s">
        <v>126</v>
      </c>
      <c r="L160" s="67"/>
      <c r="M160" s="65"/>
      <c r="N160" s="65"/>
      <c r="O160" s="67"/>
    </row>
    <row r="161" s="2" customFormat="1" ht="18" customHeight="1" spans="1:15">
      <c r="A161" s="48"/>
      <c r="B161" s="25">
        <f t="shared" si="16"/>
        <v>0</v>
      </c>
      <c r="C161" s="49"/>
      <c r="D161" s="50"/>
      <c r="E161" s="46"/>
      <c r="F161" s="25">
        <f t="shared" si="17"/>
        <v>0</v>
      </c>
      <c r="G161" s="189"/>
      <c r="H161" s="36" t="s">
        <v>131</v>
      </c>
      <c r="I161" s="188">
        <v>8800</v>
      </c>
      <c r="J161" s="63" t="s">
        <v>125</v>
      </c>
      <c r="K161" s="148" t="s">
        <v>126</v>
      </c>
      <c r="L161" s="67"/>
      <c r="M161" s="65"/>
      <c r="N161" s="65"/>
      <c r="O161" s="67"/>
    </row>
    <row r="162" s="2" customFormat="1" ht="18" customHeight="1" spans="1:15">
      <c r="A162" s="48"/>
      <c r="B162" s="25">
        <f t="shared" si="16"/>
        <v>0</v>
      </c>
      <c r="C162" s="49"/>
      <c r="D162" s="50"/>
      <c r="E162" s="46"/>
      <c r="F162" s="25">
        <f t="shared" si="17"/>
        <v>0</v>
      </c>
      <c r="G162" s="189"/>
      <c r="H162" s="36" t="s">
        <v>131</v>
      </c>
      <c r="I162" s="188">
        <v>35200</v>
      </c>
      <c r="J162" s="63" t="s">
        <v>125</v>
      </c>
      <c r="K162" s="148" t="s">
        <v>126</v>
      </c>
      <c r="L162" s="67"/>
      <c r="M162" s="65"/>
      <c r="N162" s="65"/>
      <c r="O162" s="67"/>
    </row>
    <row r="163" s="2" customFormat="1" ht="18" customHeight="1" spans="1:15">
      <c r="A163" s="48"/>
      <c r="B163" s="25">
        <f t="shared" si="16"/>
        <v>0</v>
      </c>
      <c r="C163" s="49"/>
      <c r="D163" s="50"/>
      <c r="E163" s="46"/>
      <c r="F163" s="25">
        <f t="shared" si="17"/>
        <v>0</v>
      </c>
      <c r="G163" s="189"/>
      <c r="H163" s="36" t="s">
        <v>131</v>
      </c>
      <c r="I163" s="188">
        <f>B9*E180</f>
        <v>2400</v>
      </c>
      <c r="J163" s="63" t="s">
        <v>106</v>
      </c>
      <c r="K163" s="148" t="s">
        <v>132</v>
      </c>
      <c r="L163" s="67"/>
      <c r="M163" s="65"/>
      <c r="N163" s="65"/>
      <c r="O163" s="67"/>
    </row>
    <row r="164" s="1" customFormat="1" ht="18" customHeight="1" spans="1:15">
      <c r="A164" s="43"/>
      <c r="B164" s="25">
        <f t="shared" si="16"/>
        <v>0</v>
      </c>
      <c r="C164" s="44"/>
      <c r="D164" s="45"/>
      <c r="E164" s="46"/>
      <c r="F164" s="25">
        <f t="shared" si="17"/>
        <v>0</v>
      </c>
      <c r="G164" s="189"/>
      <c r="H164" s="31" t="s">
        <v>133</v>
      </c>
      <c r="I164" s="188">
        <v>41200</v>
      </c>
      <c r="J164" s="63" t="s">
        <v>125</v>
      </c>
      <c r="K164" s="148" t="s">
        <v>126</v>
      </c>
      <c r="L164" s="60"/>
      <c r="M164" s="61"/>
      <c r="N164" s="61"/>
      <c r="O164" s="60"/>
    </row>
    <row r="165" s="1" customFormat="1" ht="18" customHeight="1" spans="1:15">
      <c r="A165" s="43"/>
      <c r="B165" s="25">
        <f t="shared" si="16"/>
        <v>0</v>
      </c>
      <c r="C165" s="44"/>
      <c r="D165" s="45"/>
      <c r="E165" s="46"/>
      <c r="F165" s="25">
        <f t="shared" si="17"/>
        <v>0</v>
      </c>
      <c r="G165" s="189"/>
      <c r="H165" s="31" t="s">
        <v>133</v>
      </c>
      <c r="I165" s="188">
        <v>2248</v>
      </c>
      <c r="J165" s="63" t="s">
        <v>106</v>
      </c>
      <c r="K165" s="148" t="s">
        <v>160</v>
      </c>
      <c r="L165" s="60"/>
      <c r="M165" s="61"/>
      <c r="N165" s="61"/>
      <c r="O165" s="60"/>
    </row>
    <row r="166" s="1" customFormat="1" ht="18" customHeight="1" spans="1:15">
      <c r="A166" s="43"/>
      <c r="B166" s="25"/>
      <c r="C166" s="44"/>
      <c r="D166" s="45"/>
      <c r="E166" s="46"/>
      <c r="F166" s="25"/>
      <c r="G166" s="189"/>
      <c r="H166" s="36" t="s">
        <v>134</v>
      </c>
      <c r="I166" s="188">
        <v>2782</v>
      </c>
      <c r="J166" s="63" t="s">
        <v>106</v>
      </c>
      <c r="K166" s="148" t="s">
        <v>160</v>
      </c>
      <c r="L166" s="60"/>
      <c r="M166" s="61"/>
      <c r="N166" s="61"/>
      <c r="O166" s="60"/>
    </row>
    <row r="167" s="1" customFormat="1" ht="18" customHeight="1" spans="1:15">
      <c r="A167" s="43"/>
      <c r="B167" s="25">
        <f>ROUND(G167/(1+E167),2)</f>
        <v>0</v>
      </c>
      <c r="C167" s="44"/>
      <c r="D167" s="45"/>
      <c r="E167" s="46"/>
      <c r="F167" s="25">
        <f>ROUND(G167/(1+E167)*E167,2)</f>
        <v>0</v>
      </c>
      <c r="G167" s="189"/>
      <c r="H167" s="36" t="s">
        <v>134</v>
      </c>
      <c r="I167" s="188">
        <v>950</v>
      </c>
      <c r="J167" s="63" t="s">
        <v>106</v>
      </c>
      <c r="K167" s="148" t="s">
        <v>130</v>
      </c>
      <c r="L167" s="60"/>
      <c r="M167" s="61"/>
      <c r="N167" s="61"/>
      <c r="O167" s="60"/>
    </row>
    <row r="168" s="1" customFormat="1" ht="18" customHeight="1" spans="1:15">
      <c r="A168" s="43"/>
      <c r="B168" s="25">
        <f>ROUND(G168/(1+E168),2)</f>
        <v>132850</v>
      </c>
      <c r="C168" s="44"/>
      <c r="D168" s="45"/>
      <c r="E168" s="46"/>
      <c r="F168" s="25">
        <f>ROUND(G168/(1+E168)*E168,2)</f>
        <v>0</v>
      </c>
      <c r="G168" s="189">
        <f>46100+17600+4400+17000+4250+34800+8700</f>
        <v>132850</v>
      </c>
      <c r="H168" s="31"/>
      <c r="I168" s="32">
        <f>G168</f>
        <v>132850</v>
      </c>
      <c r="J168" s="63" t="s">
        <v>106</v>
      </c>
      <c r="K168" s="148" t="s">
        <v>161</v>
      </c>
      <c r="L168" s="60"/>
      <c r="M168" s="61"/>
      <c r="N168" s="61"/>
      <c r="O168" s="60"/>
    </row>
    <row r="169" s="1" customFormat="1" ht="18" customHeight="1" spans="1:15">
      <c r="A169" s="43"/>
      <c r="B169" s="25"/>
      <c r="C169" s="44"/>
      <c r="D169" s="45"/>
      <c r="E169" s="46"/>
      <c r="F169" s="25"/>
      <c r="G169" s="239"/>
      <c r="H169" s="31"/>
      <c r="I169" s="141">
        <v>-3000000</v>
      </c>
      <c r="J169" s="249"/>
      <c r="K169" s="250" t="s">
        <v>162</v>
      </c>
      <c r="L169" s="60"/>
      <c r="M169" s="61"/>
      <c r="N169" s="61"/>
      <c r="O169" s="60"/>
    </row>
    <row r="170" ht="18" customHeight="1" spans="1:15">
      <c r="A170" s="39" t="s">
        <v>22</v>
      </c>
      <c r="B170" s="38">
        <f>SUM(B24:B168)</f>
        <v>32667859.4</v>
      </c>
      <c r="C170" s="39"/>
      <c r="D170" s="240"/>
      <c r="E170" s="240"/>
      <c r="F170" s="241">
        <f>SUM(F24:F168)</f>
        <v>1901421.18</v>
      </c>
      <c r="G170" s="242">
        <f>SUM(G24:G168)</f>
        <v>34569280.58</v>
      </c>
      <c r="H170" s="243"/>
      <c r="I170" s="190">
        <f>SUM(I24:I169)</f>
        <v>31567013.4885321</v>
      </c>
      <c r="J170" s="251"/>
      <c r="K170" s="252"/>
      <c r="L170" s="191"/>
      <c r="M170" s="40"/>
      <c r="N170" s="40"/>
      <c r="O170" s="191"/>
    </row>
    <row r="171" ht="18" customHeight="1" spans="1:14">
      <c r="A171" s="99"/>
      <c r="B171" s="100">
        <f>B21*0.92-B170</f>
        <v>-5982641.71859883</v>
      </c>
      <c r="C171" s="99"/>
      <c r="D171" s="244"/>
      <c r="E171" s="244"/>
      <c r="F171" s="100">
        <f>F21-F170</f>
        <v>252793.999316096</v>
      </c>
      <c r="G171" s="100"/>
      <c r="H171" s="30" t="s">
        <v>136</v>
      </c>
      <c r="I171" s="190">
        <f>I21-I170</f>
        <v>172986.511467889</v>
      </c>
      <c r="J171" s="14"/>
      <c r="K171" s="253"/>
      <c r="M171" s="13"/>
      <c r="N171" s="13"/>
    </row>
    <row r="172" ht="18" customHeight="1" spans="1:3">
      <c r="A172" s="6" t="s">
        <v>137</v>
      </c>
      <c r="C172" s="6"/>
    </row>
    <row r="173" ht="18" customHeight="1" spans="1:17">
      <c r="A173" s="30" t="s">
        <v>138</v>
      </c>
      <c r="B173" s="28" t="s">
        <v>139</v>
      </c>
      <c r="C173" s="191"/>
      <c r="D173" s="30" t="s">
        <v>138</v>
      </c>
      <c r="E173" s="27" t="s">
        <v>15</v>
      </c>
      <c r="F173" s="28" t="s">
        <v>139</v>
      </c>
      <c r="G173" s="28" t="s">
        <v>140</v>
      </c>
      <c r="H173" s="28" t="s">
        <v>141</v>
      </c>
      <c r="I173" s="28" t="s">
        <v>142</v>
      </c>
      <c r="K173" s="28" t="s">
        <v>143</v>
      </c>
      <c r="L173" s="254"/>
      <c r="M173" s="28" t="s">
        <v>144</v>
      </c>
      <c r="N173" s="134" t="s">
        <v>144</v>
      </c>
      <c r="O173" s="255"/>
      <c r="P173" s="242" t="s">
        <v>145</v>
      </c>
      <c r="Q173" s="242" t="s">
        <v>163</v>
      </c>
    </row>
    <row r="174" ht="18" customHeight="1" spans="1:17">
      <c r="A174" s="191" t="s">
        <v>146</v>
      </c>
      <c r="B174" s="25">
        <f>(B21-B170)*0.25</f>
        <v>-915547.00179316</v>
      </c>
      <c r="C174" s="191"/>
      <c r="D174" s="18" t="s">
        <v>147</v>
      </c>
      <c r="E174" s="40" t="s">
        <v>148</v>
      </c>
      <c r="F174" s="245">
        <f>F21-F170</f>
        <v>252793.999316096</v>
      </c>
      <c r="G174" s="245">
        <f>F7-F24-F26-F29-F30-F33</f>
        <v>-333763.749090909</v>
      </c>
      <c r="H174" s="245">
        <f>F8-F38</f>
        <v>299461.603636364</v>
      </c>
      <c r="I174" s="245">
        <f>F9-F40-F41-F43-F48-F49-F50-F51-F53</f>
        <v>49772.4599999999</v>
      </c>
      <c r="K174" s="245">
        <f>F10-F74-F75-F76-F77-F78</f>
        <v>205457.659816514</v>
      </c>
      <c r="L174" s="254"/>
      <c r="M174" s="245">
        <f>F11-F79-F87-F88-F90</f>
        <v>390316.376330275</v>
      </c>
      <c r="N174" s="134">
        <v>-259385.7</v>
      </c>
      <c r="O174" s="255"/>
      <c r="P174" s="242"/>
      <c r="Q174" s="265"/>
    </row>
    <row r="175" ht="18" customHeight="1" spans="1:17">
      <c r="A175" s="191" t="s">
        <v>149</v>
      </c>
      <c r="B175" s="21" t="s">
        <v>150</v>
      </c>
      <c r="C175" s="191"/>
      <c r="D175" s="246" t="s">
        <v>151</v>
      </c>
      <c r="E175" s="22">
        <v>0.05</v>
      </c>
      <c r="F175" s="32">
        <f>F174*E175</f>
        <v>12639.6999658048</v>
      </c>
      <c r="G175" s="32">
        <v>0</v>
      </c>
      <c r="H175" s="32">
        <v>0</v>
      </c>
      <c r="I175" s="32">
        <v>0</v>
      </c>
      <c r="K175" s="32">
        <f>K174*E175</f>
        <v>10272.8829908257</v>
      </c>
      <c r="L175" s="254"/>
      <c r="M175" s="32">
        <f>M174*E175</f>
        <v>19515.8188165138</v>
      </c>
      <c r="N175" s="134">
        <f>N174*E175</f>
        <v>-12969.285</v>
      </c>
      <c r="O175" s="255"/>
      <c r="P175" s="242"/>
      <c r="Q175" s="265"/>
    </row>
    <row r="176" ht="18" customHeight="1" spans="1:17">
      <c r="A176" s="191" t="s">
        <v>123</v>
      </c>
      <c r="B176" s="247">
        <f>B21*0.0006</f>
        <v>17403.4028356964</v>
      </c>
      <c r="C176" s="191"/>
      <c r="D176" s="246" t="s">
        <v>152</v>
      </c>
      <c r="E176" s="22">
        <v>0.03</v>
      </c>
      <c r="F176" s="32">
        <f>F174*E176</f>
        <v>7583.81997948289</v>
      </c>
      <c r="G176" s="32">
        <v>0</v>
      </c>
      <c r="H176" s="32">
        <v>0</v>
      </c>
      <c r="I176" s="32">
        <v>0</v>
      </c>
      <c r="K176" s="32">
        <f>K174*E176</f>
        <v>6163.72979449541</v>
      </c>
      <c r="L176" s="254"/>
      <c r="M176" s="32">
        <f>M174*E176</f>
        <v>11709.4912899083</v>
      </c>
      <c r="N176" s="134">
        <f>N174*E176</f>
        <v>-7781.571</v>
      </c>
      <c r="O176" s="255"/>
      <c r="P176" s="242"/>
      <c r="Q176" s="265"/>
    </row>
    <row r="177" ht="18" customHeight="1" spans="1:17">
      <c r="A177" s="191"/>
      <c r="B177" s="32"/>
      <c r="C177" s="191"/>
      <c r="D177" s="246" t="s">
        <v>153</v>
      </c>
      <c r="E177" s="22">
        <v>0.02</v>
      </c>
      <c r="F177" s="32">
        <f>F174*E177</f>
        <v>5055.87998632193</v>
      </c>
      <c r="G177" s="32">
        <v>0</v>
      </c>
      <c r="H177" s="32">
        <v>0</v>
      </c>
      <c r="I177" s="32">
        <v>0</v>
      </c>
      <c r="K177" s="32">
        <f>K174*E177</f>
        <v>4109.15319633028</v>
      </c>
      <c r="L177" s="254"/>
      <c r="M177" s="32">
        <f>M174*E177</f>
        <v>7806.32752660551</v>
      </c>
      <c r="N177" s="134">
        <f>N174*E177</f>
        <v>-5187.714</v>
      </c>
      <c r="O177" s="255"/>
      <c r="P177" s="242"/>
      <c r="Q177" s="265"/>
    </row>
    <row r="178" ht="18" customHeight="1" spans="1:17">
      <c r="A178" s="37" t="s">
        <v>154</v>
      </c>
      <c r="B178" s="38">
        <f>SUM(B174:B177)</f>
        <v>-898143.598957464</v>
      </c>
      <c r="C178" s="191"/>
      <c r="D178" s="37" t="s">
        <v>154</v>
      </c>
      <c r="E178" s="37"/>
      <c r="F178" s="241">
        <f>SUM(F174:F177)</f>
        <v>278073.399247706</v>
      </c>
      <c r="G178" s="241">
        <v>0</v>
      </c>
      <c r="H178" s="241">
        <v>0</v>
      </c>
      <c r="I178" s="241">
        <v>0</v>
      </c>
      <c r="K178" s="241">
        <f t="shared" ref="K178:N178" si="18">SUM(K174:K177)</f>
        <v>226003.425798165</v>
      </c>
      <c r="L178" s="254"/>
      <c r="M178" s="241">
        <f t="shared" si="18"/>
        <v>429348.013963303</v>
      </c>
      <c r="N178" s="134">
        <f t="shared" si="18"/>
        <v>-285324.27</v>
      </c>
      <c r="O178" s="255"/>
      <c r="P178" s="242"/>
      <c r="Q178" s="265"/>
    </row>
    <row r="179" ht="18" customHeight="1" spans="3:17">
      <c r="C179" s="6"/>
      <c r="D179" s="20" t="s">
        <v>149</v>
      </c>
      <c r="E179" s="248">
        <v>0.0003</v>
      </c>
      <c r="F179" s="32">
        <v>0</v>
      </c>
      <c r="G179" s="32"/>
      <c r="H179" s="32"/>
      <c r="I179" s="32">
        <v>0</v>
      </c>
      <c r="K179" s="32"/>
      <c r="M179" s="32"/>
      <c r="N179" s="134"/>
      <c r="O179" s="255"/>
      <c r="P179" s="242"/>
      <c r="Q179" s="265"/>
    </row>
    <row r="180" ht="18" customHeight="1" spans="3:17">
      <c r="C180" s="6"/>
      <c r="D180" s="20" t="s">
        <v>123</v>
      </c>
      <c r="E180" s="248">
        <v>0.0006</v>
      </c>
      <c r="F180" s="32">
        <f>B21*E180</f>
        <v>17403.4028356964</v>
      </c>
      <c r="G180" s="32">
        <f>B7*E180</f>
        <v>2781.81818181818</v>
      </c>
      <c r="H180" s="32">
        <f>B8*E180</f>
        <v>2247.27272727273</v>
      </c>
      <c r="I180" s="32">
        <f>B9*E180</f>
        <v>2400</v>
      </c>
      <c r="K180" s="32">
        <f>B10*E180</f>
        <v>2339.4495412844</v>
      </c>
      <c r="L180" s="254"/>
      <c r="M180" s="32">
        <f>B11*E180</f>
        <v>4788.99082568807</v>
      </c>
      <c r="N180" s="134"/>
      <c r="O180" s="255"/>
      <c r="P180" s="242">
        <v>853.21</v>
      </c>
      <c r="Q180" s="265">
        <f>E180*B13</f>
        <v>1992.66055045872</v>
      </c>
    </row>
    <row r="181" ht="18" customHeight="1" spans="3:17">
      <c r="C181" s="6"/>
      <c r="D181" s="39" t="s">
        <v>22</v>
      </c>
      <c r="E181" s="39"/>
      <c r="F181" s="190">
        <f>F178+F179+F180</f>
        <v>295476.802083402</v>
      </c>
      <c r="G181" s="190"/>
      <c r="H181" s="190"/>
      <c r="I181" s="190"/>
      <c r="K181" s="190"/>
      <c r="M181" s="191">
        <f>M178+M180</f>
        <v>434137.004788991</v>
      </c>
      <c r="N181" s="134"/>
      <c r="O181" s="255"/>
      <c r="P181" s="242"/>
      <c r="Q181" s="265"/>
    </row>
    <row r="182" ht="18" customHeight="1" spans="3:17">
      <c r="C182" s="6"/>
      <c r="D182" s="20" t="s">
        <v>121</v>
      </c>
      <c r="E182" s="248">
        <v>0.02</v>
      </c>
      <c r="F182" s="32">
        <f>B21*E182</f>
        <v>580113.427856547</v>
      </c>
      <c r="G182" s="32"/>
      <c r="H182" s="32"/>
      <c r="I182" s="32"/>
      <c r="K182" s="190"/>
      <c r="M182" s="32">
        <f>(SUM(B7:B11))*E182</f>
        <v>485251.042535446</v>
      </c>
      <c r="N182" s="134"/>
      <c r="O182" s="255"/>
      <c r="P182" s="242">
        <f>B12*0.02</f>
        <v>28440.3669724771</v>
      </c>
      <c r="Q182" s="265">
        <f>G13*E182</f>
        <v>72400</v>
      </c>
    </row>
    <row r="183" ht="18" customHeight="1" spans="3:3">
      <c r="C183" s="6"/>
    </row>
    <row r="184" ht="18" customHeight="1" spans="3:3">
      <c r="C184" s="6"/>
    </row>
    <row r="185" ht="18" customHeight="1" spans="3:3">
      <c r="C185" s="6"/>
    </row>
    <row r="186" spans="3:3">
      <c r="C186" s="6"/>
    </row>
    <row r="187" spans="3:3">
      <c r="C187" s="6"/>
    </row>
    <row r="188" spans="3:3">
      <c r="C188" s="6"/>
    </row>
    <row r="189" spans="3:3">
      <c r="C189" s="6"/>
    </row>
    <row r="190" spans="3:3">
      <c r="C190" s="6"/>
    </row>
    <row r="191" spans="3:3">
      <c r="C191" s="6"/>
    </row>
    <row r="192" spans="3:3">
      <c r="C192" s="6"/>
    </row>
    <row r="193" spans="3:3">
      <c r="C193" s="6"/>
    </row>
    <row r="194" spans="3:3">
      <c r="C194" s="6"/>
    </row>
    <row r="195" spans="3:3">
      <c r="C195" s="6"/>
    </row>
    <row r="196" spans="3:3">
      <c r="C196" s="6"/>
    </row>
    <row r="197" spans="3:3">
      <c r="C197" s="6"/>
    </row>
    <row r="198" spans="3:3">
      <c r="C198" s="6"/>
    </row>
    <row r="199" spans="3:3">
      <c r="C199" s="6"/>
    </row>
    <row r="200" spans="3:3">
      <c r="C200" s="6"/>
    </row>
    <row r="201" spans="3:3">
      <c r="C201" s="6"/>
    </row>
  </sheetData>
  <autoFilter ref="A23:Q112">
    <extLst/>
  </autoFilter>
  <mergeCells count="18">
    <mergeCell ref="A1:J1"/>
    <mergeCell ref="H2:J2"/>
    <mergeCell ref="C5:D5"/>
    <mergeCell ref="E5:F5"/>
    <mergeCell ref="H5:J5"/>
    <mergeCell ref="N173:O173"/>
    <mergeCell ref="N174:O174"/>
    <mergeCell ref="N175:O175"/>
    <mergeCell ref="N176:O176"/>
    <mergeCell ref="N177:O177"/>
    <mergeCell ref="N178:O178"/>
    <mergeCell ref="N179:O179"/>
    <mergeCell ref="N180:O180"/>
    <mergeCell ref="N181:O181"/>
    <mergeCell ref="N182:O182"/>
    <mergeCell ref="A5:A6"/>
    <mergeCell ref="B5:B6"/>
    <mergeCell ref="G5:G6"/>
  </mergeCells>
  <pageMargins left="0.75" right="0.75" top="1" bottom="1" header="0.5" footer="0.5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1"/>
  <sheetViews>
    <sheetView topLeftCell="A94" workbookViewId="0">
      <selection activeCell="N124" sqref="N124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/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/>
      <c r="B14" s="32">
        <f t="shared" si="0"/>
        <v>0</v>
      </c>
      <c r="C14" s="33"/>
      <c r="D14" s="188">
        <f t="shared" si="1"/>
        <v>0</v>
      </c>
      <c r="E14" s="33"/>
      <c r="F14" s="32">
        <f t="shared" si="2"/>
        <v>0</v>
      </c>
      <c r="G14" s="189"/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>
        <f>G20/(1+C20+E20)</f>
        <v>0</v>
      </c>
      <c r="C20" s="33"/>
      <c r="D20" s="188">
        <f>G20/(1+E20+C20)*C20</f>
        <v>0</v>
      </c>
      <c r="E20" s="33"/>
      <c r="F20" s="32">
        <f>G20/(1+C20+E20)*E20</f>
        <v>0</v>
      </c>
      <c r="G20" s="189"/>
      <c r="H20" s="14"/>
      <c r="I20" s="14"/>
      <c r="J20" s="40"/>
    </row>
    <row r="21" ht="18" customHeight="1" spans="1:10">
      <c r="A21" s="37" t="s">
        <v>22</v>
      </c>
      <c r="B21" s="38">
        <f t="shared" ref="B21:G21" si="3">SUM(B7:B20)</f>
        <v>29005671.3928274</v>
      </c>
      <c r="C21" s="39"/>
      <c r="D21" s="190">
        <f t="shared" si="3"/>
        <v>580113.427856547</v>
      </c>
      <c r="E21" s="39"/>
      <c r="F21" s="190">
        <f t="shared" si="3"/>
        <v>2154215.1793161</v>
      </c>
      <c r="G21" s="190">
        <f t="shared" si="3"/>
        <v>31740000</v>
      </c>
      <c r="H21" s="191"/>
      <c r="I21" s="190">
        <f>SUM(I7:I19)</f>
        <v>31740000</v>
      </c>
      <c r="J21" s="191"/>
    </row>
    <row r="22" ht="18" customHeight="1" spans="1:12">
      <c r="A22" s="6" t="s">
        <v>23</v>
      </c>
      <c r="J22" s="8"/>
      <c r="K22" s="8"/>
      <c r="L22" s="186"/>
    </row>
    <row r="23" ht="18" customHeight="1" spans="1:15">
      <c r="A23" s="41" t="s">
        <v>24</v>
      </c>
      <c r="B23" s="28" t="s">
        <v>25</v>
      </c>
      <c r="C23" s="27" t="s">
        <v>26</v>
      </c>
      <c r="D23" s="27" t="s">
        <v>27</v>
      </c>
      <c r="E23" s="27" t="s">
        <v>15</v>
      </c>
      <c r="F23" s="28" t="s">
        <v>28</v>
      </c>
      <c r="G23" s="28" t="s">
        <v>13</v>
      </c>
      <c r="H23" s="27" t="s">
        <v>29</v>
      </c>
      <c r="I23" s="28" t="s">
        <v>30</v>
      </c>
      <c r="J23" s="27" t="s">
        <v>19</v>
      </c>
      <c r="K23" s="54" t="s">
        <v>31</v>
      </c>
      <c r="L23" s="30" t="s">
        <v>32</v>
      </c>
      <c r="M23" s="30" t="s">
        <v>33</v>
      </c>
      <c r="N23" s="30" t="s">
        <v>34</v>
      </c>
      <c r="O23" s="30" t="s">
        <v>35</v>
      </c>
    </row>
    <row r="24" s="1" customFormat="1" ht="18" customHeight="1" spans="1:15">
      <c r="A24" s="43">
        <v>43070</v>
      </c>
      <c r="B24" s="25">
        <f t="shared" ref="B24:B87" si="4">ROUND(G24/(1+E24),2)</f>
        <v>2830.19</v>
      </c>
      <c r="C24" s="44"/>
      <c r="D24" s="45" t="s">
        <v>36</v>
      </c>
      <c r="E24" s="46">
        <v>0.06</v>
      </c>
      <c r="F24" s="25">
        <f t="shared" ref="F24:F87" si="5">ROUND(G24/(1+E24)*E24,2)</f>
        <v>169.81</v>
      </c>
      <c r="G24" s="189">
        <v>3000</v>
      </c>
      <c r="H24" s="31"/>
      <c r="I24" s="32"/>
      <c r="J24" s="40"/>
      <c r="K24" s="147" t="s">
        <v>37</v>
      </c>
      <c r="L24" s="60" t="s">
        <v>38</v>
      </c>
      <c r="M24" s="61"/>
      <c r="N24" s="61"/>
      <c r="O24" s="60"/>
    </row>
    <row r="25" s="1" customFormat="1" ht="18" customHeight="1" spans="1:15">
      <c r="A25" s="43">
        <v>43071</v>
      </c>
      <c r="B25" s="25">
        <f t="shared" si="4"/>
        <v>3000</v>
      </c>
      <c r="C25" s="44"/>
      <c r="D25" s="45" t="s">
        <v>39</v>
      </c>
      <c r="E25" s="46"/>
      <c r="F25" s="25">
        <f t="shared" si="5"/>
        <v>0</v>
      </c>
      <c r="G25" s="189">
        <v>3000</v>
      </c>
      <c r="H25" s="31"/>
      <c r="I25" s="32"/>
      <c r="J25" s="40"/>
      <c r="K25" s="147"/>
      <c r="L25" s="60" t="s">
        <v>38</v>
      </c>
      <c r="M25" s="61"/>
      <c r="N25" s="61"/>
      <c r="O25" s="60"/>
    </row>
    <row r="26" s="1" customFormat="1" ht="18" customHeight="1" spans="1:15">
      <c r="A26" s="43">
        <v>43072</v>
      </c>
      <c r="B26" s="25">
        <f t="shared" si="4"/>
        <v>12824.53</v>
      </c>
      <c r="C26" s="44"/>
      <c r="D26" s="45" t="s">
        <v>36</v>
      </c>
      <c r="E26" s="46">
        <v>0.06</v>
      </c>
      <c r="F26" s="25">
        <f t="shared" si="5"/>
        <v>769.47</v>
      </c>
      <c r="G26" s="189">
        <v>13594</v>
      </c>
      <c r="H26" s="31"/>
      <c r="I26" s="32"/>
      <c r="J26" s="40"/>
      <c r="K26" s="147" t="s">
        <v>40</v>
      </c>
      <c r="L26" s="60" t="s">
        <v>41</v>
      </c>
      <c r="M26" s="61"/>
      <c r="N26" s="61"/>
      <c r="O26" s="60"/>
    </row>
    <row r="27" s="1" customFormat="1" ht="18" customHeight="1" spans="1:15">
      <c r="A27" s="43">
        <v>43073</v>
      </c>
      <c r="B27" s="25">
        <f t="shared" si="4"/>
        <v>1206</v>
      </c>
      <c r="C27" s="44"/>
      <c r="D27" s="45" t="s">
        <v>39</v>
      </c>
      <c r="E27" s="46"/>
      <c r="F27" s="25">
        <f t="shared" si="5"/>
        <v>0</v>
      </c>
      <c r="G27" s="189">
        <v>1206</v>
      </c>
      <c r="H27" s="31"/>
      <c r="I27" s="32"/>
      <c r="J27" s="40"/>
      <c r="K27" s="147"/>
      <c r="L27" s="60" t="s">
        <v>42</v>
      </c>
      <c r="M27" s="61"/>
      <c r="N27" s="61"/>
      <c r="O27" s="60"/>
    </row>
    <row r="28" s="1" customFormat="1" ht="18" customHeight="1" spans="1:15">
      <c r="A28" s="43">
        <v>43074</v>
      </c>
      <c r="B28" s="25">
        <f t="shared" si="4"/>
        <v>13191.34</v>
      </c>
      <c r="C28" s="44"/>
      <c r="D28" s="45" t="s">
        <v>39</v>
      </c>
      <c r="E28" s="46"/>
      <c r="F28" s="25">
        <f t="shared" si="5"/>
        <v>0</v>
      </c>
      <c r="G28" s="189">
        <v>13191.34</v>
      </c>
      <c r="H28" s="31"/>
      <c r="I28" s="32"/>
      <c r="J28" s="40"/>
      <c r="K28" s="147"/>
      <c r="L28" s="60" t="s">
        <v>43</v>
      </c>
      <c r="M28" s="61"/>
      <c r="N28" s="61"/>
      <c r="O28" s="60"/>
    </row>
    <row r="29" s="1" customFormat="1" ht="18" customHeight="1" spans="1:15">
      <c r="A29" s="43">
        <v>43149</v>
      </c>
      <c r="B29" s="25">
        <f t="shared" si="4"/>
        <v>1924.53</v>
      </c>
      <c r="C29" s="44"/>
      <c r="D29" s="45" t="s">
        <v>36</v>
      </c>
      <c r="E29" s="46">
        <v>0.06</v>
      </c>
      <c r="F29" s="25">
        <f t="shared" si="5"/>
        <v>115.47</v>
      </c>
      <c r="G29" s="189">
        <v>2040</v>
      </c>
      <c r="H29" s="31"/>
      <c r="I29" s="32"/>
      <c r="J29" s="40"/>
      <c r="K29" s="147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43177</v>
      </c>
      <c r="B30" s="25">
        <f t="shared" si="4"/>
        <v>2830.19</v>
      </c>
      <c r="C30" s="44"/>
      <c r="D30" s="45" t="s">
        <v>36</v>
      </c>
      <c r="E30" s="46">
        <v>0.06</v>
      </c>
      <c r="F30" s="25">
        <f t="shared" si="5"/>
        <v>169.81</v>
      </c>
      <c r="G30" s="189">
        <v>3000</v>
      </c>
      <c r="H30" s="31"/>
      <c r="I30" s="32"/>
      <c r="J30" s="40"/>
      <c r="K30" s="147" t="s">
        <v>44</v>
      </c>
      <c r="L30" s="60" t="s">
        <v>45</v>
      </c>
      <c r="M30" s="61"/>
      <c r="N30" s="61"/>
      <c r="O30" s="60"/>
    </row>
    <row r="31" s="1" customFormat="1" ht="18" customHeight="1" spans="1:15">
      <c r="A31" s="43">
        <v>43178</v>
      </c>
      <c r="B31" s="25">
        <f t="shared" si="4"/>
        <v>12529.12</v>
      </c>
      <c r="C31" s="44"/>
      <c r="D31" s="45" t="s">
        <v>39</v>
      </c>
      <c r="E31" s="46"/>
      <c r="F31" s="25">
        <f t="shared" si="5"/>
        <v>0</v>
      </c>
      <c r="G31" s="189">
        <v>12529.12</v>
      </c>
      <c r="H31" s="31"/>
      <c r="I31" s="32"/>
      <c r="J31" s="40"/>
      <c r="K31" s="147"/>
      <c r="L31" s="60" t="s">
        <v>46</v>
      </c>
      <c r="M31" s="61"/>
      <c r="N31" s="61"/>
      <c r="O31" s="60"/>
    </row>
    <row r="32" s="1" customFormat="1" ht="18" customHeight="1" spans="1:15">
      <c r="A32" s="43">
        <v>43177</v>
      </c>
      <c r="B32" s="25">
        <f t="shared" si="4"/>
        <v>7575</v>
      </c>
      <c r="C32" s="44"/>
      <c r="D32" s="45" t="s">
        <v>39</v>
      </c>
      <c r="E32" s="46"/>
      <c r="F32" s="25">
        <f t="shared" si="5"/>
        <v>0</v>
      </c>
      <c r="G32" s="189">
        <v>7575</v>
      </c>
      <c r="H32" s="31"/>
      <c r="I32" s="32"/>
      <c r="J32" s="40"/>
      <c r="K32" s="147"/>
      <c r="L32" s="60" t="s">
        <v>46</v>
      </c>
      <c r="M32" s="61"/>
      <c r="N32" s="61"/>
      <c r="O32" s="60"/>
    </row>
    <row r="33" s="1" customFormat="1" ht="18" customHeight="1" spans="1:15">
      <c r="A33" s="43">
        <v>43238</v>
      </c>
      <c r="B33" s="25">
        <f t="shared" si="4"/>
        <v>4396551.72</v>
      </c>
      <c r="C33" s="44"/>
      <c r="D33" s="45" t="s">
        <v>36</v>
      </c>
      <c r="E33" s="46">
        <v>0.16</v>
      </c>
      <c r="F33" s="25">
        <f t="shared" si="5"/>
        <v>703448.28</v>
      </c>
      <c r="G33" s="189">
        <v>5100000</v>
      </c>
      <c r="H33" s="31">
        <v>43251</v>
      </c>
      <c r="I33" s="32">
        <v>2500000</v>
      </c>
      <c r="J33" s="40" t="s">
        <v>20</v>
      </c>
      <c r="K33" s="147" t="s">
        <v>47</v>
      </c>
      <c r="L33" s="60" t="s">
        <v>48</v>
      </c>
      <c r="M33" s="61"/>
      <c r="N33" s="61"/>
      <c r="O33" s="60"/>
    </row>
    <row r="34" s="1" customFormat="1" ht="18" customHeight="1" spans="1:15">
      <c r="A34" s="43"/>
      <c r="B34" s="25">
        <f t="shared" si="4"/>
        <v>0</v>
      </c>
      <c r="C34" s="44"/>
      <c r="D34" s="45"/>
      <c r="E34" s="46"/>
      <c r="F34" s="25">
        <f t="shared" si="5"/>
        <v>0</v>
      </c>
      <c r="G34" s="189"/>
      <c r="H34" s="31" t="s">
        <v>49</v>
      </c>
      <c r="I34" s="32">
        <v>2530768</v>
      </c>
      <c r="J34" s="40" t="s">
        <v>20</v>
      </c>
      <c r="K34" s="147" t="s">
        <v>47</v>
      </c>
      <c r="L34" s="60"/>
      <c r="M34" s="61"/>
      <c r="N34" s="61"/>
      <c r="O34" s="60"/>
    </row>
    <row r="35" s="1" customFormat="1" ht="18" customHeight="1" spans="1:15">
      <c r="A35" s="43"/>
      <c r="B35" s="25">
        <f t="shared" si="4"/>
        <v>0</v>
      </c>
      <c r="C35" s="44"/>
      <c r="D35" s="45"/>
      <c r="E35" s="46"/>
      <c r="F35" s="25">
        <f t="shared" si="5"/>
        <v>0</v>
      </c>
      <c r="G35" s="189"/>
      <c r="H35" s="31" t="s">
        <v>49</v>
      </c>
      <c r="I35" s="32">
        <v>69232</v>
      </c>
      <c r="J35" s="40" t="s">
        <v>20</v>
      </c>
      <c r="K35" s="147" t="s">
        <v>47</v>
      </c>
      <c r="L35" s="60"/>
      <c r="M35" s="61"/>
      <c r="N35" s="61"/>
      <c r="O35" s="60"/>
    </row>
    <row r="36" s="1" customFormat="1" ht="18" customHeight="1" spans="1:15">
      <c r="A36" s="43"/>
      <c r="B36" s="25">
        <f t="shared" si="4"/>
        <v>0</v>
      </c>
      <c r="C36" s="44"/>
      <c r="D36" s="45"/>
      <c r="E36" s="46"/>
      <c r="F36" s="25">
        <f t="shared" si="5"/>
        <v>0</v>
      </c>
      <c r="G36" s="189"/>
      <c r="H36" s="31">
        <v>43252</v>
      </c>
      <c r="I36" s="32">
        <v>-29323</v>
      </c>
      <c r="J36" s="40" t="s">
        <v>21</v>
      </c>
      <c r="K36" s="147" t="s">
        <v>50</v>
      </c>
      <c r="L36" s="60"/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>
        <v>43255</v>
      </c>
      <c r="I37" s="32">
        <v>-39909</v>
      </c>
      <c r="J37" s="40" t="s">
        <v>21</v>
      </c>
      <c r="K37" s="147" t="s">
        <v>50</v>
      </c>
      <c r="L37" s="60"/>
      <c r="M37" s="61"/>
      <c r="N37" s="61"/>
      <c r="O37" s="60"/>
    </row>
    <row r="38" s="1" customFormat="1" ht="18" customHeight="1" spans="1:15">
      <c r="A38" s="43">
        <v>43269</v>
      </c>
      <c r="B38" s="25">
        <f t="shared" si="4"/>
        <v>5825.24</v>
      </c>
      <c r="C38" s="44"/>
      <c r="D38" s="45" t="s">
        <v>36</v>
      </c>
      <c r="E38" s="46">
        <v>0.03</v>
      </c>
      <c r="F38" s="25">
        <f t="shared" si="5"/>
        <v>174.76</v>
      </c>
      <c r="G38" s="189">
        <v>6000</v>
      </c>
      <c r="H38" s="31">
        <v>43264</v>
      </c>
      <c r="I38" s="32">
        <v>6000</v>
      </c>
      <c r="J38" s="40" t="s">
        <v>20</v>
      </c>
      <c r="K38" s="147" t="s">
        <v>51</v>
      </c>
      <c r="L38" s="60" t="s">
        <v>52</v>
      </c>
      <c r="M38" s="61"/>
      <c r="N38" s="61"/>
      <c r="O38" s="60"/>
    </row>
    <row r="39" s="1" customFormat="1" ht="18" customHeight="1" spans="1:15">
      <c r="A39" s="43"/>
      <c r="B39" s="25">
        <f t="shared" si="4"/>
        <v>0</v>
      </c>
      <c r="C39" s="44"/>
      <c r="D39" s="45"/>
      <c r="E39" s="46"/>
      <c r="F39" s="25">
        <f t="shared" si="5"/>
        <v>0</v>
      </c>
      <c r="G39" s="189"/>
      <c r="H39" s="31">
        <v>43263</v>
      </c>
      <c r="I39" s="32">
        <v>-6000</v>
      </c>
      <c r="J39" s="40" t="s">
        <v>21</v>
      </c>
      <c r="K39" s="147" t="s">
        <v>50</v>
      </c>
      <c r="L39" s="60"/>
      <c r="M39" s="61"/>
      <c r="N39" s="61"/>
      <c r="O39" s="60"/>
    </row>
    <row r="40" s="2" customFormat="1" ht="18" customHeight="1" spans="1:15">
      <c r="A40" s="48">
        <v>43335</v>
      </c>
      <c r="B40" s="25">
        <f t="shared" si="4"/>
        <v>4000000</v>
      </c>
      <c r="C40" s="49"/>
      <c r="D40" s="50" t="s">
        <v>36</v>
      </c>
      <c r="E40" s="46">
        <v>0.03</v>
      </c>
      <c r="F40" s="25">
        <f t="shared" si="5"/>
        <v>120000</v>
      </c>
      <c r="G40" s="189">
        <v>4120000</v>
      </c>
      <c r="H40" s="36">
        <v>43335</v>
      </c>
      <c r="I40" s="188">
        <v>2000000</v>
      </c>
      <c r="J40" s="63" t="s">
        <v>20</v>
      </c>
      <c r="K40" s="148" t="s">
        <v>53</v>
      </c>
      <c r="L40" s="67" t="s">
        <v>54</v>
      </c>
      <c r="M40" s="65"/>
      <c r="N40" s="65"/>
      <c r="O40" s="67"/>
    </row>
    <row r="41" s="2" customFormat="1" ht="18" customHeight="1" spans="1:15">
      <c r="A41" s="48"/>
      <c r="B41" s="25">
        <f t="shared" si="4"/>
        <v>1344.34</v>
      </c>
      <c r="C41" s="49">
        <v>3</v>
      </c>
      <c r="D41" s="50" t="s">
        <v>36</v>
      </c>
      <c r="E41" s="46">
        <v>0.06</v>
      </c>
      <c r="F41" s="25">
        <f t="shared" si="5"/>
        <v>80.66</v>
      </c>
      <c r="G41" s="189">
        <f>285+690+450</f>
        <v>1425</v>
      </c>
      <c r="H41" s="36"/>
      <c r="I41" s="188"/>
      <c r="J41" s="63"/>
      <c r="K41" s="148" t="s">
        <v>55</v>
      </c>
      <c r="L41" s="67" t="s">
        <v>41</v>
      </c>
      <c r="M41" s="65"/>
      <c r="N41" s="65"/>
      <c r="O41" s="68">
        <v>43335</v>
      </c>
    </row>
    <row r="42" s="2" customFormat="1" ht="18" customHeight="1" spans="1:15">
      <c r="A42" s="48"/>
      <c r="B42" s="25">
        <f t="shared" si="4"/>
        <v>6510</v>
      </c>
      <c r="C42" s="49"/>
      <c r="D42" s="50" t="s">
        <v>39</v>
      </c>
      <c r="E42" s="46"/>
      <c r="F42" s="25">
        <f t="shared" si="5"/>
        <v>0</v>
      </c>
      <c r="G42" s="189">
        <v>6510</v>
      </c>
      <c r="H42" s="36"/>
      <c r="I42" s="188"/>
      <c r="J42" s="63"/>
      <c r="K42" s="148" t="s">
        <v>56</v>
      </c>
      <c r="L42" s="67" t="s">
        <v>57</v>
      </c>
      <c r="M42" s="65"/>
      <c r="N42" s="65"/>
      <c r="O42" s="68">
        <v>43335</v>
      </c>
    </row>
    <row r="43" s="2" customFormat="1" ht="18" customHeight="1" spans="1:15">
      <c r="A43" s="48"/>
      <c r="B43" s="25">
        <f t="shared" si="4"/>
        <v>11436.89</v>
      </c>
      <c r="C43" s="49">
        <v>2</v>
      </c>
      <c r="D43" s="50" t="s">
        <v>36</v>
      </c>
      <c r="E43" s="46">
        <v>0.03</v>
      </c>
      <c r="F43" s="25">
        <f t="shared" si="5"/>
        <v>343.11</v>
      </c>
      <c r="G43" s="189">
        <f>7740+4040</f>
        <v>11780</v>
      </c>
      <c r="H43" s="36"/>
      <c r="I43" s="188"/>
      <c r="J43" s="63"/>
      <c r="K43" s="148" t="s">
        <v>58</v>
      </c>
      <c r="L43" s="67" t="s">
        <v>59</v>
      </c>
      <c r="M43" s="65"/>
      <c r="N43" s="65"/>
      <c r="O43" s="68">
        <v>43335</v>
      </c>
    </row>
    <row r="44" s="2" customFormat="1" ht="18" customHeight="1" spans="1:15">
      <c r="A44" s="48"/>
      <c r="B44" s="25">
        <f t="shared" si="4"/>
        <v>1800</v>
      </c>
      <c r="C44" s="49"/>
      <c r="D44" s="50" t="s">
        <v>39</v>
      </c>
      <c r="E44" s="46"/>
      <c r="F44" s="25">
        <f t="shared" si="5"/>
        <v>0</v>
      </c>
      <c r="G44" s="189">
        <v>1800</v>
      </c>
      <c r="H44" s="36"/>
      <c r="I44" s="188"/>
      <c r="J44" s="63"/>
      <c r="K44" s="148" t="s">
        <v>56</v>
      </c>
      <c r="L44" s="67" t="s">
        <v>60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26788.86</v>
      </c>
      <c r="C45" s="49"/>
      <c r="D45" s="50" t="s">
        <v>61</v>
      </c>
      <c r="E45" s="46"/>
      <c r="F45" s="25">
        <f t="shared" si="5"/>
        <v>0</v>
      </c>
      <c r="G45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5" s="36"/>
      <c r="I45" s="188"/>
      <c r="J45" s="63"/>
      <c r="K45" s="148" t="s">
        <v>62</v>
      </c>
      <c r="L45" s="67" t="s">
        <v>63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4"/>
        <v>4285.5</v>
      </c>
      <c r="C46" s="49"/>
      <c r="D46" s="50" t="s">
        <v>61</v>
      </c>
      <c r="E46" s="46"/>
      <c r="F46" s="25">
        <f t="shared" si="5"/>
        <v>0</v>
      </c>
      <c r="G46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6" s="36"/>
      <c r="I46" s="188"/>
      <c r="J46" s="63"/>
      <c r="K46" s="148" t="s">
        <v>62</v>
      </c>
      <c r="L46" s="67" t="s">
        <v>63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4"/>
        <v>9856.03</v>
      </c>
      <c r="C47" s="49"/>
      <c r="D47" s="50" t="s">
        <v>39</v>
      </c>
      <c r="E47" s="46"/>
      <c r="F47" s="25">
        <f t="shared" si="5"/>
        <v>0</v>
      </c>
      <c r="G47" s="189">
        <f>200.03+500+400+286+300+410+910+405+530+300+500+230+280+295+285+400+380+405+200+200+400+425+405+300+310+300+300</f>
        <v>9856.03</v>
      </c>
      <c r="H47" s="36"/>
      <c r="I47" s="188"/>
      <c r="J47" s="63"/>
      <c r="K47" s="148" t="s">
        <v>64</v>
      </c>
      <c r="L47" s="67" t="s">
        <v>43</v>
      </c>
      <c r="M47" s="65"/>
      <c r="N47" s="65"/>
      <c r="O47" s="68">
        <v>43335</v>
      </c>
    </row>
    <row r="48" s="2" customFormat="1" ht="18" customHeight="1" spans="1:15">
      <c r="A48" s="48">
        <v>43435</v>
      </c>
      <c r="B48" s="25">
        <f t="shared" si="4"/>
        <v>53286.79</v>
      </c>
      <c r="C48" s="49"/>
      <c r="D48" s="50" t="s">
        <v>36</v>
      </c>
      <c r="E48" s="46">
        <v>0.06</v>
      </c>
      <c r="F48" s="25">
        <f t="shared" si="5"/>
        <v>3197.21</v>
      </c>
      <c r="G48" s="189">
        <v>56484</v>
      </c>
      <c r="H48" s="36"/>
      <c r="I48" s="188"/>
      <c r="J48" s="63"/>
      <c r="K48" s="148" t="s">
        <v>65</v>
      </c>
      <c r="L48" s="67" t="s">
        <v>66</v>
      </c>
      <c r="M48" s="65"/>
      <c r="N48" s="65"/>
      <c r="O48" s="67"/>
    </row>
    <row r="49" s="2" customFormat="1" ht="18" customHeight="1" spans="1:15">
      <c r="A49" s="48">
        <v>43435</v>
      </c>
      <c r="B49" s="25">
        <f t="shared" si="4"/>
        <v>5825.24</v>
      </c>
      <c r="C49" s="49"/>
      <c r="D49" s="50" t="s">
        <v>36</v>
      </c>
      <c r="E49" s="46">
        <v>0.03</v>
      </c>
      <c r="F49" s="25">
        <f t="shared" si="5"/>
        <v>174.76</v>
      </c>
      <c r="G49" s="189">
        <v>6000</v>
      </c>
      <c r="H49" s="36">
        <v>43369</v>
      </c>
      <c r="I49" s="188">
        <v>6000</v>
      </c>
      <c r="J49" s="63" t="s">
        <v>20</v>
      </c>
      <c r="K49" s="148" t="s">
        <v>51</v>
      </c>
      <c r="L49" s="67" t="s">
        <v>52</v>
      </c>
      <c r="M49" s="65"/>
      <c r="N49" s="65"/>
      <c r="O49" s="67"/>
    </row>
    <row r="50" s="2" customFormat="1" ht="18" customHeight="1" spans="1:15">
      <c r="A50" s="48">
        <v>43313</v>
      </c>
      <c r="B50" s="25">
        <f t="shared" si="4"/>
        <v>4654.31</v>
      </c>
      <c r="C50" s="49"/>
      <c r="D50" s="50" t="s">
        <v>36</v>
      </c>
      <c r="E50" s="46">
        <v>0.16</v>
      </c>
      <c r="F50" s="25">
        <f t="shared" si="5"/>
        <v>744.69</v>
      </c>
      <c r="G50" s="189">
        <v>5399</v>
      </c>
      <c r="H50" s="36">
        <v>43369</v>
      </c>
      <c r="I50" s="188">
        <v>-6000</v>
      </c>
      <c r="J50" s="63" t="s">
        <v>21</v>
      </c>
      <c r="K50" s="148" t="s">
        <v>50</v>
      </c>
      <c r="L50" s="67"/>
      <c r="M50" s="65"/>
      <c r="N50" s="65"/>
      <c r="O50" s="67"/>
    </row>
    <row r="51" s="2" customFormat="1" ht="18" customHeight="1" spans="1:15">
      <c r="A51" s="48">
        <v>43435</v>
      </c>
      <c r="B51" s="25">
        <f t="shared" si="4"/>
        <v>933.96</v>
      </c>
      <c r="C51" s="49"/>
      <c r="D51" s="50" t="s">
        <v>36</v>
      </c>
      <c r="E51" s="46">
        <v>0.06</v>
      </c>
      <c r="F51" s="25">
        <f t="shared" si="5"/>
        <v>56.04</v>
      </c>
      <c r="G51" s="189">
        <f>90+45+855</f>
        <v>990</v>
      </c>
      <c r="H51" s="36"/>
      <c r="I51" s="188"/>
      <c r="J51" s="63"/>
      <c r="K51" s="148" t="s">
        <v>40</v>
      </c>
      <c r="L51" s="67" t="s">
        <v>41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4"/>
        <v>43031</v>
      </c>
      <c r="C52" s="49"/>
      <c r="D52" s="50"/>
      <c r="E52" s="46"/>
      <c r="F52" s="25">
        <f t="shared" si="5"/>
        <v>0</v>
      </c>
      <c r="G52" s="189">
        <v>43031</v>
      </c>
      <c r="H52" s="36"/>
      <c r="I52" s="188"/>
      <c r="J52" s="63"/>
      <c r="K52" s="148" t="s">
        <v>67</v>
      </c>
      <c r="L52" s="67" t="s">
        <v>68</v>
      </c>
      <c r="M52" s="65"/>
      <c r="N52" s="65"/>
      <c r="O52" s="67"/>
    </row>
    <row r="53" s="2" customFormat="1" ht="18" customHeight="1" spans="1:15">
      <c r="A53" s="48">
        <v>43466</v>
      </c>
      <c r="B53" s="25">
        <f t="shared" si="4"/>
        <v>4854368.93</v>
      </c>
      <c r="C53" s="49"/>
      <c r="D53" s="50" t="s">
        <v>36</v>
      </c>
      <c r="E53" s="46">
        <v>0.03</v>
      </c>
      <c r="F53" s="25">
        <f t="shared" si="5"/>
        <v>145631.07</v>
      </c>
      <c r="G53" s="189">
        <f>5*1000000</f>
        <v>5000000</v>
      </c>
      <c r="H53" s="36">
        <v>43339</v>
      </c>
      <c r="I53" s="188">
        <v>2095952</v>
      </c>
      <c r="J53" s="63" t="s">
        <v>20</v>
      </c>
      <c r="K53" s="148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4"/>
        <v>0</v>
      </c>
      <c r="C54" s="49"/>
      <c r="D54" s="50"/>
      <c r="E54" s="46"/>
      <c r="F54" s="25">
        <f t="shared" si="5"/>
        <v>0</v>
      </c>
      <c r="G54" s="189"/>
      <c r="H54" s="36">
        <v>43495</v>
      </c>
      <c r="I54" s="188">
        <v>3464800</v>
      </c>
      <c r="J54" s="63" t="s">
        <v>20</v>
      </c>
      <c r="K54" s="148" t="s">
        <v>53</v>
      </c>
      <c r="L54" s="67" t="s">
        <v>54</v>
      </c>
      <c r="M54" s="65"/>
      <c r="N54" s="65"/>
      <c r="O54" s="67"/>
    </row>
    <row r="55" s="2" customFormat="1" ht="18" customHeight="1" spans="1:15">
      <c r="A55" s="48"/>
      <c r="B55" s="25">
        <f t="shared" si="4"/>
        <v>0</v>
      </c>
      <c r="C55" s="49"/>
      <c r="D55" s="50"/>
      <c r="E55" s="46"/>
      <c r="F55" s="25">
        <f t="shared" si="5"/>
        <v>0</v>
      </c>
      <c r="G55" s="189"/>
      <c r="H55" s="36">
        <v>43497</v>
      </c>
      <c r="I55" s="188">
        <v>866800</v>
      </c>
      <c r="J55" s="63" t="s">
        <v>20</v>
      </c>
      <c r="K55" s="148" t="s">
        <v>53</v>
      </c>
      <c r="L55" s="67" t="s">
        <v>54</v>
      </c>
      <c r="M55" s="65"/>
      <c r="N55" s="65"/>
      <c r="O55" s="67"/>
    </row>
    <row r="56" s="2" customFormat="1" ht="18" customHeight="1" spans="1:15">
      <c r="A56" s="48"/>
      <c r="B56" s="25">
        <f t="shared" si="4"/>
        <v>0</v>
      </c>
      <c r="C56" s="49"/>
      <c r="D56" s="50"/>
      <c r="E56" s="46"/>
      <c r="F56" s="25">
        <f t="shared" si="5"/>
        <v>0</v>
      </c>
      <c r="G56" s="189"/>
      <c r="H56" s="36">
        <v>43629</v>
      </c>
      <c r="I56" s="188">
        <v>84810</v>
      </c>
      <c r="J56" s="63" t="s">
        <v>20</v>
      </c>
      <c r="K56" s="148" t="s">
        <v>69</v>
      </c>
      <c r="L56" s="67" t="s">
        <v>70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43629</v>
      </c>
      <c r="I57" s="188">
        <v>-84810</v>
      </c>
      <c r="J57" s="63" t="s">
        <v>21</v>
      </c>
      <c r="K57" s="148" t="s">
        <v>50</v>
      </c>
      <c r="L57" s="67"/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43657</v>
      </c>
      <c r="I58" s="188">
        <v>66753</v>
      </c>
      <c r="J58" s="63" t="s">
        <v>20</v>
      </c>
      <c r="K58" s="148" t="s">
        <v>69</v>
      </c>
      <c r="L58" s="67" t="s">
        <v>70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43657</v>
      </c>
      <c r="I59" s="188">
        <v>-66753</v>
      </c>
      <c r="J59" s="63" t="s">
        <v>21</v>
      </c>
      <c r="K59" s="148" t="s">
        <v>50</v>
      </c>
      <c r="L59" s="67"/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43676</v>
      </c>
      <c r="I60" s="188">
        <v>67731.14</v>
      </c>
      <c r="J60" s="63" t="s">
        <v>20</v>
      </c>
      <c r="K60" s="148" t="s">
        <v>69</v>
      </c>
      <c r="L60" s="67" t="s">
        <v>70</v>
      </c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43671</v>
      </c>
      <c r="I61" s="188">
        <v>-67731.14</v>
      </c>
      <c r="J61" s="63" t="s">
        <v>20</v>
      </c>
      <c r="K61" s="148" t="s">
        <v>71</v>
      </c>
      <c r="L61" s="67" t="s">
        <v>72</v>
      </c>
      <c r="M61" s="65"/>
      <c r="N61" s="65"/>
      <c r="O61" s="67"/>
    </row>
    <row r="62" s="2" customFormat="1" ht="18" customHeight="1" spans="1:15">
      <c r="A62" s="48">
        <v>43678</v>
      </c>
      <c r="B62" s="25">
        <f t="shared" si="4"/>
        <v>1000020</v>
      </c>
      <c r="C62" s="49"/>
      <c r="D62" s="50" t="s">
        <v>73</v>
      </c>
      <c r="E62" s="46"/>
      <c r="F62" s="25">
        <f t="shared" si="5"/>
        <v>0</v>
      </c>
      <c r="G62" s="189">
        <v>1000020</v>
      </c>
      <c r="H62" s="194">
        <v>43676</v>
      </c>
      <c r="I62" s="196">
        <v>500000</v>
      </c>
      <c r="J62" s="201" t="s">
        <v>21</v>
      </c>
      <c r="K62" s="202" t="s">
        <v>74</v>
      </c>
      <c r="L62" s="203" t="s">
        <v>75</v>
      </c>
      <c r="M62" s="201" t="s">
        <v>76</v>
      </c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194">
        <v>43682</v>
      </c>
      <c r="I63" s="196">
        <v>500000</v>
      </c>
      <c r="J63" s="201" t="s">
        <v>21</v>
      </c>
      <c r="K63" s="202" t="s">
        <v>74</v>
      </c>
      <c r="L63" s="204" t="s">
        <v>77</v>
      </c>
      <c r="M63" s="201" t="s">
        <v>76</v>
      </c>
      <c r="N63" s="65"/>
      <c r="O63" s="67"/>
    </row>
    <row r="64" s="2" customFormat="1" ht="18" customHeight="1" spans="1:15">
      <c r="A64" s="48">
        <v>43678</v>
      </c>
      <c r="B64" s="25">
        <f t="shared" si="4"/>
        <v>1000080</v>
      </c>
      <c r="C64" s="49"/>
      <c r="D64" s="50" t="s">
        <v>73</v>
      </c>
      <c r="E64" s="46"/>
      <c r="F64" s="25">
        <f t="shared" si="5"/>
        <v>0</v>
      </c>
      <c r="G64" s="189">
        <v>1000080</v>
      </c>
      <c r="H64" s="194">
        <v>43691</v>
      </c>
      <c r="I64" s="196">
        <v>1000000</v>
      </c>
      <c r="J64" s="201" t="s">
        <v>21</v>
      </c>
      <c r="K64" s="205" t="s">
        <v>78</v>
      </c>
      <c r="L64" s="206" t="s">
        <v>79</v>
      </c>
      <c r="M64" s="201" t="s">
        <v>76</v>
      </c>
      <c r="N64" s="65"/>
      <c r="O64" s="67"/>
    </row>
    <row r="65" s="2" customFormat="1" ht="18" customHeight="1" spans="1:15">
      <c r="A65" s="48"/>
      <c r="B65" s="25">
        <f t="shared" si="4"/>
        <v>0</v>
      </c>
      <c r="C65" s="49"/>
      <c r="D65" s="50"/>
      <c r="E65" s="46"/>
      <c r="F65" s="25">
        <f t="shared" si="5"/>
        <v>0</v>
      </c>
      <c r="G65" s="189"/>
      <c r="H65" s="36">
        <v>43692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36">
        <v>43692</v>
      </c>
      <c r="I66" s="188">
        <v>100000</v>
      </c>
      <c r="J66" s="63" t="s">
        <v>20</v>
      </c>
      <c r="K66" s="207" t="s">
        <v>80</v>
      </c>
      <c r="L66" s="208" t="s">
        <v>81</v>
      </c>
      <c r="M66" s="56"/>
      <c r="N66" s="65"/>
      <c r="O66" s="67"/>
    </row>
    <row r="67" s="2" customFormat="1" ht="18" customHeight="1" spans="1:15">
      <c r="A67" s="48"/>
      <c r="B67" s="25">
        <f t="shared" si="4"/>
        <v>0</v>
      </c>
      <c r="C67" s="49"/>
      <c r="D67" s="50"/>
      <c r="E67" s="46"/>
      <c r="F67" s="25">
        <f t="shared" si="5"/>
        <v>0</v>
      </c>
      <c r="G67" s="189"/>
      <c r="H67" s="36">
        <v>43703</v>
      </c>
      <c r="I67" s="188">
        <v>-100000</v>
      </c>
      <c r="J67" s="63" t="s">
        <v>21</v>
      </c>
      <c r="K67" s="207" t="s">
        <v>50</v>
      </c>
      <c r="L67" s="208"/>
      <c r="M67" s="56"/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43704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36">
        <v>43717</v>
      </c>
      <c r="I69" s="188">
        <v>-100000</v>
      </c>
      <c r="J69" s="63" t="s">
        <v>21</v>
      </c>
      <c r="K69" s="207" t="s">
        <v>50</v>
      </c>
      <c r="L69" s="67"/>
      <c r="M69" s="65"/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36">
        <v>43718</v>
      </c>
      <c r="I70" s="188">
        <v>100000</v>
      </c>
      <c r="J70" s="63" t="s">
        <v>20</v>
      </c>
      <c r="K70" s="207" t="s">
        <v>80</v>
      </c>
      <c r="L70" s="67"/>
      <c r="M70" s="65"/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194">
        <v>43734</v>
      </c>
      <c r="I71" s="196">
        <v>300000</v>
      </c>
      <c r="J71" s="201" t="s">
        <v>20</v>
      </c>
      <c r="K71" s="202" t="s">
        <v>80</v>
      </c>
      <c r="L71" s="209"/>
      <c r="M71" s="201" t="s">
        <v>76</v>
      </c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195">
        <v>43749</v>
      </c>
      <c r="I72" s="196">
        <v>500000</v>
      </c>
      <c r="J72" s="201" t="s">
        <v>20</v>
      </c>
      <c r="K72" s="202" t="s">
        <v>80</v>
      </c>
      <c r="L72" s="209"/>
      <c r="M72" s="201" t="s">
        <v>76</v>
      </c>
      <c r="N72" s="65"/>
      <c r="O72" s="67"/>
    </row>
    <row r="73" s="2" customFormat="1" ht="18" customHeight="1" spans="1:15">
      <c r="A73" s="48">
        <v>43709</v>
      </c>
      <c r="B73" s="25">
        <f t="shared" si="4"/>
        <v>12426.15</v>
      </c>
      <c r="C73" s="49"/>
      <c r="D73" s="50" t="s">
        <v>39</v>
      </c>
      <c r="E73" s="46"/>
      <c r="F73" s="25">
        <f t="shared" si="5"/>
        <v>0</v>
      </c>
      <c r="G73" s="189">
        <v>12426.15</v>
      </c>
      <c r="H73" s="36"/>
      <c r="I73" s="210"/>
      <c r="J73" s="56"/>
      <c r="K73" s="207" t="s">
        <v>68</v>
      </c>
      <c r="L73" s="82"/>
      <c r="M73" s="56"/>
      <c r="N73" s="65"/>
      <c r="O73" s="67"/>
    </row>
    <row r="74" s="2" customFormat="1" ht="18" customHeight="1" spans="1:15">
      <c r="A74" s="48">
        <v>43709</v>
      </c>
      <c r="B74" s="25">
        <f t="shared" si="4"/>
        <v>10316.04</v>
      </c>
      <c r="C74" s="49"/>
      <c r="D74" s="50" t="s">
        <v>36</v>
      </c>
      <c r="E74" s="70">
        <v>0.06</v>
      </c>
      <c r="F74" s="25">
        <f t="shared" si="5"/>
        <v>618.96</v>
      </c>
      <c r="G74" s="189">
        <v>10935</v>
      </c>
      <c r="H74" s="36"/>
      <c r="I74" s="210"/>
      <c r="J74" s="56"/>
      <c r="K74" s="207" t="s">
        <v>82</v>
      </c>
      <c r="L74" s="82" t="s">
        <v>41</v>
      </c>
      <c r="M74" s="56"/>
      <c r="N74" s="65"/>
      <c r="O74" s="67"/>
    </row>
    <row r="75" s="2" customFormat="1" ht="18" customHeight="1" spans="1:15">
      <c r="A75" s="48">
        <v>43709</v>
      </c>
      <c r="B75" s="25">
        <f t="shared" si="4"/>
        <v>10424.53</v>
      </c>
      <c r="C75" s="49"/>
      <c r="D75" s="50" t="s">
        <v>36</v>
      </c>
      <c r="E75" s="70">
        <v>0.06</v>
      </c>
      <c r="F75" s="25">
        <f t="shared" si="5"/>
        <v>625.47</v>
      </c>
      <c r="G75" s="189">
        <v>11050</v>
      </c>
      <c r="H75" s="36"/>
      <c r="I75" s="210"/>
      <c r="J75" s="56"/>
      <c r="K75" s="207" t="s">
        <v>82</v>
      </c>
      <c r="L75" s="82" t="s">
        <v>52</v>
      </c>
      <c r="M75" s="56"/>
      <c r="N75" s="65"/>
      <c r="O75" s="67"/>
    </row>
    <row r="76" s="2" customFormat="1" ht="18" customHeight="1" spans="1:15">
      <c r="A76" s="48">
        <v>43709</v>
      </c>
      <c r="B76" s="25">
        <f t="shared" si="4"/>
        <v>80009.43</v>
      </c>
      <c r="C76" s="49"/>
      <c r="D76" s="50" t="s">
        <v>36</v>
      </c>
      <c r="E76" s="70">
        <v>0.06</v>
      </c>
      <c r="F76" s="25">
        <f t="shared" si="5"/>
        <v>4800.57</v>
      </c>
      <c r="G76" s="189">
        <v>84810</v>
      </c>
      <c r="H76" s="36"/>
      <c r="I76" s="210"/>
      <c r="J76" s="56"/>
      <c r="K76" s="207" t="s">
        <v>69</v>
      </c>
      <c r="L76" s="82" t="s">
        <v>83</v>
      </c>
      <c r="M76" s="56"/>
      <c r="N76" s="65"/>
      <c r="O76" s="67"/>
    </row>
    <row r="77" s="2" customFormat="1" ht="18" customHeight="1" spans="1:15">
      <c r="A77" s="48">
        <v>43709</v>
      </c>
      <c r="B77" s="25">
        <f t="shared" si="4"/>
        <v>63897.3</v>
      </c>
      <c r="C77" s="49"/>
      <c r="D77" s="50" t="s">
        <v>36</v>
      </c>
      <c r="E77" s="70">
        <v>0.06</v>
      </c>
      <c r="F77" s="25">
        <f t="shared" si="5"/>
        <v>3833.84</v>
      </c>
      <c r="G77" s="189">
        <v>67731.14</v>
      </c>
      <c r="H77" s="36"/>
      <c r="I77" s="210"/>
      <c r="J77" s="56"/>
      <c r="K77" s="207" t="s">
        <v>69</v>
      </c>
      <c r="L77" s="82" t="s">
        <v>83</v>
      </c>
      <c r="M77" s="56"/>
      <c r="N77" s="65"/>
      <c r="O77" s="67"/>
    </row>
    <row r="78" s="2" customFormat="1" ht="18" customHeight="1" spans="1:15">
      <c r="A78" s="48">
        <v>43739</v>
      </c>
      <c r="B78" s="25">
        <f t="shared" si="4"/>
        <v>443071.38</v>
      </c>
      <c r="C78" s="49"/>
      <c r="D78" s="50" t="s">
        <v>36</v>
      </c>
      <c r="E78" s="70">
        <v>0.13</v>
      </c>
      <c r="F78" s="25">
        <f t="shared" si="5"/>
        <v>57599.28</v>
      </c>
      <c r="G78" s="189">
        <v>500670.66</v>
      </c>
      <c r="H78" s="36">
        <v>43769</v>
      </c>
      <c r="I78" s="188">
        <v>200000</v>
      </c>
      <c r="J78" s="63" t="s">
        <v>20</v>
      </c>
      <c r="K78" s="207" t="s">
        <v>80</v>
      </c>
      <c r="L78" s="82" t="s">
        <v>84</v>
      </c>
      <c r="M78" s="56"/>
      <c r="N78" s="65"/>
      <c r="O78" s="67"/>
    </row>
    <row r="79" s="2" customFormat="1" ht="18" customHeight="1" spans="1:15">
      <c r="A79" s="48">
        <v>43739</v>
      </c>
      <c r="B79" s="25">
        <f t="shared" si="4"/>
        <v>257787.35</v>
      </c>
      <c r="C79" s="49"/>
      <c r="D79" s="50" t="s">
        <v>36</v>
      </c>
      <c r="E79" s="70">
        <v>0.13</v>
      </c>
      <c r="F79" s="196">
        <f t="shared" si="5"/>
        <v>33512.35</v>
      </c>
      <c r="G79" s="189">
        <v>291299.7</v>
      </c>
      <c r="H79" s="36"/>
      <c r="I79" s="210"/>
      <c r="J79" s="63" t="s">
        <v>20</v>
      </c>
      <c r="K79" s="207" t="s">
        <v>80</v>
      </c>
      <c r="L79" s="82" t="s">
        <v>85</v>
      </c>
      <c r="M79" s="56"/>
      <c r="N79" s="65"/>
      <c r="O79" s="67"/>
    </row>
    <row r="80" s="2" customFormat="1" ht="18" customHeight="1" spans="1:15">
      <c r="A80" s="48"/>
      <c r="B80" s="25">
        <f t="shared" si="4"/>
        <v>0</v>
      </c>
      <c r="C80" s="49"/>
      <c r="D80" s="50"/>
      <c r="E80" s="70"/>
      <c r="F80" s="25">
        <f t="shared" si="5"/>
        <v>0</v>
      </c>
      <c r="G80" s="189"/>
      <c r="H80" s="36">
        <v>43769</v>
      </c>
      <c r="I80" s="188">
        <v>600000</v>
      </c>
      <c r="J80" s="63" t="s">
        <v>20</v>
      </c>
      <c r="K80" s="148" t="s">
        <v>53</v>
      </c>
      <c r="L80" s="67" t="s">
        <v>54</v>
      </c>
      <c r="M80" s="56"/>
      <c r="N80" s="65"/>
      <c r="O80" s="67"/>
    </row>
    <row r="81" s="2" customFormat="1" ht="18" customHeight="1" spans="1:15">
      <c r="A81" s="48">
        <v>43770</v>
      </c>
      <c r="B81" s="25">
        <f t="shared" si="4"/>
        <v>500010</v>
      </c>
      <c r="C81" s="49"/>
      <c r="D81" s="50" t="s">
        <v>73</v>
      </c>
      <c r="E81" s="70"/>
      <c r="F81" s="25">
        <f t="shared" si="5"/>
        <v>0</v>
      </c>
      <c r="G81" s="189">
        <v>500010</v>
      </c>
      <c r="H81" s="36">
        <v>43773</v>
      </c>
      <c r="I81" s="188">
        <v>500010</v>
      </c>
      <c r="J81" s="63" t="s">
        <v>21</v>
      </c>
      <c r="K81" s="207" t="s">
        <v>74</v>
      </c>
      <c r="L81" s="82" t="s">
        <v>86</v>
      </c>
      <c r="M81" s="56"/>
      <c r="N81" s="65"/>
      <c r="O81" s="67"/>
    </row>
    <row r="82" s="2" customFormat="1" ht="18" customHeight="1" spans="1:15">
      <c r="A82" s="48">
        <v>43770</v>
      </c>
      <c r="B82" s="25">
        <f t="shared" si="4"/>
        <v>300000</v>
      </c>
      <c r="C82" s="49"/>
      <c r="D82" s="50" t="s">
        <v>73</v>
      </c>
      <c r="E82" s="70"/>
      <c r="F82" s="25">
        <f t="shared" si="5"/>
        <v>0</v>
      </c>
      <c r="G82" s="189">
        <v>300000</v>
      </c>
      <c r="H82" s="36">
        <v>43773</v>
      </c>
      <c r="I82" s="188">
        <v>300000</v>
      </c>
      <c r="J82" s="63" t="s">
        <v>21</v>
      </c>
      <c r="K82" s="207" t="s">
        <v>87</v>
      </c>
      <c r="L82" s="82" t="s">
        <v>88</v>
      </c>
      <c r="M82" s="56"/>
      <c r="N82" s="65"/>
      <c r="O82" s="67"/>
    </row>
    <row r="83" s="2" customFormat="1" ht="18" customHeight="1" spans="1:15">
      <c r="A83" s="48">
        <v>43770</v>
      </c>
      <c r="B83" s="25">
        <f t="shared" si="4"/>
        <v>300000</v>
      </c>
      <c r="C83" s="49"/>
      <c r="D83" s="50" t="s">
        <v>73</v>
      </c>
      <c r="E83" s="70"/>
      <c r="F83" s="25">
        <f t="shared" si="5"/>
        <v>0</v>
      </c>
      <c r="G83" s="189">
        <v>300000</v>
      </c>
      <c r="H83" s="36">
        <v>43773</v>
      </c>
      <c r="I83" s="188">
        <v>300000</v>
      </c>
      <c r="J83" s="63" t="s">
        <v>21</v>
      </c>
      <c r="K83" s="207" t="s">
        <v>89</v>
      </c>
      <c r="L83" s="82" t="s">
        <v>88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4"/>
        <v>300060</v>
      </c>
      <c r="C84" s="49"/>
      <c r="D84" s="50" t="s">
        <v>73</v>
      </c>
      <c r="E84" s="70"/>
      <c r="F84" s="25">
        <f t="shared" si="5"/>
        <v>0</v>
      </c>
      <c r="G84" s="189">
        <v>300060</v>
      </c>
      <c r="H84" s="36">
        <v>43773</v>
      </c>
      <c r="I84" s="188">
        <v>300060</v>
      </c>
      <c r="J84" s="63" t="s">
        <v>21</v>
      </c>
      <c r="K84" s="207" t="s">
        <v>90</v>
      </c>
      <c r="L84" s="82" t="s">
        <v>91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0</v>
      </c>
      <c r="C85" s="49"/>
      <c r="D85" s="50"/>
      <c r="E85" s="70"/>
      <c r="F85" s="25">
        <f t="shared" si="5"/>
        <v>0</v>
      </c>
      <c r="G85" s="189"/>
      <c r="H85" s="36">
        <v>43773</v>
      </c>
      <c r="I85" s="188">
        <v>500000</v>
      </c>
      <c r="J85" s="63" t="s">
        <v>20</v>
      </c>
      <c r="K85" s="207" t="s">
        <v>92</v>
      </c>
      <c r="L85" s="82" t="s">
        <v>93</v>
      </c>
      <c r="M85" s="56"/>
      <c r="N85" s="65"/>
      <c r="O85" s="67"/>
    </row>
    <row r="86" s="2" customFormat="1" ht="18" customHeight="1" spans="1:15">
      <c r="A86" s="48"/>
      <c r="B86" s="25">
        <f t="shared" si="4"/>
        <v>0</v>
      </c>
      <c r="C86" s="49"/>
      <c r="D86" s="50"/>
      <c r="E86" s="70"/>
      <c r="F86" s="25">
        <f t="shared" si="5"/>
        <v>0</v>
      </c>
      <c r="G86" s="189"/>
      <c r="H86" s="36">
        <v>43775</v>
      </c>
      <c r="I86" s="188">
        <v>800000</v>
      </c>
      <c r="J86" s="63" t="s">
        <v>20</v>
      </c>
      <c r="K86" s="207" t="s">
        <v>94</v>
      </c>
      <c r="L86" s="82" t="s">
        <v>95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1165048.54</v>
      </c>
      <c r="C87" s="49"/>
      <c r="D87" s="50" t="s">
        <v>36</v>
      </c>
      <c r="E87" s="70">
        <v>0.03</v>
      </c>
      <c r="F87" s="197">
        <f t="shared" si="5"/>
        <v>34951.46</v>
      </c>
      <c r="G87" s="189">
        <f>96000*12+48000</f>
        <v>1200000</v>
      </c>
      <c r="H87" s="36">
        <v>43776</v>
      </c>
      <c r="I87" s="188">
        <v>400000</v>
      </c>
      <c r="J87" s="63" t="s">
        <v>20</v>
      </c>
      <c r="K87" s="207" t="s">
        <v>94</v>
      </c>
      <c r="L87" s="82" t="s">
        <v>95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ref="B88:B90" si="6">ROUND(G88/(1+E88),2)</f>
        <v>326256.05</v>
      </c>
      <c r="C88" s="49"/>
      <c r="D88" s="50" t="s">
        <v>36</v>
      </c>
      <c r="E88" s="70">
        <v>0.13</v>
      </c>
      <c r="F88" s="197">
        <f t="shared" ref="F88:F90" si="7">ROUND(G88/(1+E88)*E88,2)</f>
        <v>42413.29</v>
      </c>
      <c r="G88" s="189">
        <v>368669.34</v>
      </c>
      <c r="H88" s="36"/>
      <c r="I88" s="210"/>
      <c r="J88" s="56"/>
      <c r="K88" s="207" t="s">
        <v>80</v>
      </c>
      <c r="L88" s="82" t="s">
        <v>96</v>
      </c>
      <c r="M88" s="56"/>
      <c r="N88" s="65"/>
      <c r="O88" s="67"/>
    </row>
    <row r="89" s="2" customFormat="1" ht="18" customHeight="1" spans="1:15">
      <c r="A89" s="48">
        <v>43770</v>
      </c>
      <c r="B89" s="25">
        <f t="shared" si="6"/>
        <v>199980</v>
      </c>
      <c r="C89" s="49"/>
      <c r="D89" s="50" t="s">
        <v>73</v>
      </c>
      <c r="E89" s="70"/>
      <c r="F89" s="25">
        <f t="shared" si="7"/>
        <v>0</v>
      </c>
      <c r="G89" s="189">
        <v>199980</v>
      </c>
      <c r="H89" s="195">
        <v>43784</v>
      </c>
      <c r="I89" s="196">
        <v>199980</v>
      </c>
      <c r="J89" s="201" t="s">
        <v>21</v>
      </c>
      <c r="K89" s="202" t="s">
        <v>97</v>
      </c>
      <c r="L89" s="204" t="s">
        <v>98</v>
      </c>
      <c r="M89" s="56" t="s">
        <v>76</v>
      </c>
      <c r="N89" s="65"/>
      <c r="O89" s="67"/>
    </row>
    <row r="90" s="3" customFormat="1" ht="18" customHeight="1" spans="1:15">
      <c r="A90" s="74">
        <v>43770</v>
      </c>
      <c r="B90" s="25">
        <f t="shared" si="6"/>
        <v>442477.88</v>
      </c>
      <c r="C90" s="75"/>
      <c r="D90" s="76" t="s">
        <v>36</v>
      </c>
      <c r="E90" s="77">
        <v>0.13</v>
      </c>
      <c r="F90" s="197">
        <f t="shared" si="7"/>
        <v>57522.12</v>
      </c>
      <c r="G90" s="198">
        <v>500000</v>
      </c>
      <c r="H90" s="36"/>
      <c r="I90" s="188"/>
      <c r="J90" s="63"/>
      <c r="K90" s="207" t="s">
        <v>92</v>
      </c>
      <c r="L90" s="82" t="s">
        <v>99</v>
      </c>
      <c r="M90" s="63" t="s">
        <v>100</v>
      </c>
      <c r="N90" s="63"/>
      <c r="O90" s="82"/>
    </row>
    <row r="91" s="3" customFormat="1" ht="18" customHeight="1" spans="1:15">
      <c r="A91" s="74"/>
      <c r="B91" s="25"/>
      <c r="C91" s="75"/>
      <c r="D91" s="76"/>
      <c r="E91" s="77"/>
      <c r="F91" s="25"/>
      <c r="G91" s="198"/>
      <c r="H91" s="36">
        <v>43819</v>
      </c>
      <c r="I91" s="188">
        <v>92448</v>
      </c>
      <c r="J91" s="63" t="s">
        <v>20</v>
      </c>
      <c r="K91" s="148" t="s">
        <v>53</v>
      </c>
      <c r="L91" s="67" t="s">
        <v>54</v>
      </c>
      <c r="M91" s="63"/>
      <c r="N91" s="63"/>
      <c r="O91" s="82"/>
    </row>
    <row r="92" s="3" customFormat="1" ht="18" customHeight="1" spans="1:15">
      <c r="A92" s="74"/>
      <c r="B92" s="25">
        <f t="shared" ref="B92:B100" si="8">ROUND(G92/(1+E92),2)</f>
        <v>0</v>
      </c>
      <c r="C92" s="75"/>
      <c r="D92" s="76"/>
      <c r="E92" s="77"/>
      <c r="F92" s="25">
        <f t="shared" ref="F92:F100" si="9">ROUND(G92/(1+E92)*E92,2)</f>
        <v>0</v>
      </c>
      <c r="G92" s="198"/>
      <c r="H92" s="36">
        <v>43829</v>
      </c>
      <c r="I92" s="188">
        <v>800000</v>
      </c>
      <c r="J92" s="63" t="s">
        <v>20</v>
      </c>
      <c r="K92" s="207" t="s">
        <v>80</v>
      </c>
      <c r="L92" s="82" t="s">
        <v>81</v>
      </c>
      <c r="M92" s="63"/>
      <c r="N92" s="63"/>
      <c r="O92" s="82"/>
    </row>
    <row r="93" s="3" customFormat="1" ht="18" customHeight="1" spans="1:15">
      <c r="A93" s="74">
        <v>43800</v>
      </c>
      <c r="B93" s="25">
        <f t="shared" si="8"/>
        <v>650987.86</v>
      </c>
      <c r="C93" s="75"/>
      <c r="D93" s="76" t="s">
        <v>36</v>
      </c>
      <c r="E93" s="77">
        <v>0.13</v>
      </c>
      <c r="F93" s="25">
        <f t="shared" si="9"/>
        <v>84628.42</v>
      </c>
      <c r="G93" s="198">
        <v>735616.28</v>
      </c>
      <c r="H93" s="36"/>
      <c r="I93" s="188"/>
      <c r="J93" s="63"/>
      <c r="K93" s="207" t="s">
        <v>80</v>
      </c>
      <c r="L93" s="82" t="s">
        <v>101</v>
      </c>
      <c r="M93" s="63" t="s">
        <v>100</v>
      </c>
      <c r="N93" s="63"/>
      <c r="O93" s="82"/>
    </row>
    <row r="94" s="3" customFormat="1" ht="18" customHeight="1" spans="1:15">
      <c r="A94" s="74">
        <v>43800</v>
      </c>
      <c r="B94" s="25">
        <f t="shared" si="8"/>
        <v>5825242.72</v>
      </c>
      <c r="C94" s="75"/>
      <c r="D94" s="50" t="s">
        <v>36</v>
      </c>
      <c r="E94" s="70">
        <v>0.03</v>
      </c>
      <c r="F94" s="25">
        <f t="shared" si="9"/>
        <v>174757.28</v>
      </c>
      <c r="G94" s="198">
        <f>1000000*6</f>
        <v>6000000</v>
      </c>
      <c r="H94" s="36">
        <v>43843</v>
      </c>
      <c r="I94" s="188">
        <v>1000000</v>
      </c>
      <c r="J94" s="63" t="s">
        <v>20</v>
      </c>
      <c r="K94" s="207" t="s">
        <v>53</v>
      </c>
      <c r="L94" s="82" t="s">
        <v>54</v>
      </c>
      <c r="M94" s="63" t="s">
        <v>100</v>
      </c>
      <c r="N94" s="63"/>
      <c r="O94" s="82" t="s">
        <v>102</v>
      </c>
    </row>
    <row r="95" s="3" customFormat="1" ht="18" customHeight="1" spans="1:15">
      <c r="A95" s="74">
        <v>43831</v>
      </c>
      <c r="B95" s="25">
        <f t="shared" si="8"/>
        <v>3623633.45</v>
      </c>
      <c r="C95" s="75"/>
      <c r="D95" s="50" t="s">
        <v>36</v>
      </c>
      <c r="E95" s="77">
        <v>0.09</v>
      </c>
      <c r="F95" s="25">
        <f t="shared" si="9"/>
        <v>326127.01</v>
      </c>
      <c r="G95" s="198">
        <f>1000000*3+949760.46</f>
        <v>3949760.46</v>
      </c>
      <c r="H95" s="36">
        <v>43844</v>
      </c>
      <c r="I95" s="188">
        <v>500000</v>
      </c>
      <c r="J95" s="63" t="s">
        <v>20</v>
      </c>
      <c r="K95" s="207" t="s">
        <v>103</v>
      </c>
      <c r="L95" s="82" t="s">
        <v>54</v>
      </c>
      <c r="M95" s="63" t="s">
        <v>100</v>
      </c>
      <c r="N95" s="63"/>
      <c r="O95" s="82"/>
    </row>
    <row r="96" s="3" customFormat="1" ht="18" customHeight="1" spans="1:15">
      <c r="A96" s="74"/>
      <c r="B96" s="25">
        <f t="shared" si="8"/>
        <v>0</v>
      </c>
      <c r="C96" s="75"/>
      <c r="D96" s="76"/>
      <c r="E96" s="77"/>
      <c r="F96" s="25">
        <f t="shared" si="9"/>
        <v>0</v>
      </c>
      <c r="G96" s="198"/>
      <c r="H96" s="36">
        <v>43845</v>
      </c>
      <c r="I96" s="188">
        <v>2000000</v>
      </c>
      <c r="J96" s="63" t="s">
        <v>20</v>
      </c>
      <c r="K96" s="207" t="s">
        <v>103</v>
      </c>
      <c r="L96" s="82" t="s">
        <v>54</v>
      </c>
      <c r="M96" s="63"/>
      <c r="N96" s="63"/>
      <c r="O96" s="82"/>
    </row>
    <row r="97" s="3" customFormat="1" ht="18" customHeight="1" spans="1:15">
      <c r="A97" s="74"/>
      <c r="B97" s="25">
        <f t="shared" si="8"/>
        <v>0</v>
      </c>
      <c r="C97" s="75"/>
      <c r="D97" s="76"/>
      <c r="E97" s="77"/>
      <c r="F97" s="25">
        <f t="shared" si="9"/>
        <v>0</v>
      </c>
      <c r="G97" s="198"/>
      <c r="H97" s="36">
        <v>43849</v>
      </c>
      <c r="I97" s="188">
        <v>1449760.46</v>
      </c>
      <c r="J97" s="63" t="s">
        <v>20</v>
      </c>
      <c r="K97" s="207" t="s">
        <v>103</v>
      </c>
      <c r="L97" s="82" t="s">
        <v>54</v>
      </c>
      <c r="M97" s="63"/>
      <c r="N97" s="63"/>
      <c r="O97" s="82"/>
    </row>
    <row r="98" s="3" customFormat="1" ht="18" customHeight="1" spans="1:15">
      <c r="A98" s="74">
        <v>43831</v>
      </c>
      <c r="B98" s="25">
        <f t="shared" si="8"/>
        <v>600000</v>
      </c>
      <c r="C98" s="75"/>
      <c r="D98" s="50" t="s">
        <v>73</v>
      </c>
      <c r="E98" s="77"/>
      <c r="F98" s="25">
        <f t="shared" si="9"/>
        <v>0</v>
      </c>
      <c r="G98" s="188">
        <v>600000</v>
      </c>
      <c r="H98" s="36">
        <v>43850</v>
      </c>
      <c r="I98" s="188">
        <v>600000</v>
      </c>
      <c r="J98" s="63" t="s">
        <v>21</v>
      </c>
      <c r="K98" s="207" t="s">
        <v>89</v>
      </c>
      <c r="L98" s="82" t="s">
        <v>104</v>
      </c>
      <c r="M98" s="63"/>
      <c r="N98" s="63"/>
      <c r="O98" s="82"/>
    </row>
    <row r="99" s="3" customFormat="1" ht="18" customHeight="1" spans="1:15">
      <c r="A99" s="74">
        <v>43831</v>
      </c>
      <c r="B99" s="25">
        <f t="shared" si="8"/>
        <v>600000</v>
      </c>
      <c r="C99" s="75"/>
      <c r="D99" s="50" t="s">
        <v>73</v>
      </c>
      <c r="E99" s="77"/>
      <c r="F99" s="25">
        <f t="shared" si="9"/>
        <v>0</v>
      </c>
      <c r="G99" s="188">
        <v>600000</v>
      </c>
      <c r="H99" s="36">
        <v>43850</v>
      </c>
      <c r="I99" s="188">
        <v>600000</v>
      </c>
      <c r="J99" s="63" t="s">
        <v>21</v>
      </c>
      <c r="K99" s="207" t="s">
        <v>87</v>
      </c>
      <c r="L99" s="82" t="s">
        <v>104</v>
      </c>
      <c r="M99" s="63"/>
      <c r="N99" s="63"/>
      <c r="O99" s="82"/>
    </row>
    <row r="100" s="3" customFormat="1" ht="18" customHeight="1" spans="1:15">
      <c r="A100" s="74">
        <v>43891</v>
      </c>
      <c r="B100" s="25">
        <f t="shared" si="8"/>
        <v>530100</v>
      </c>
      <c r="C100" s="75"/>
      <c r="D100" s="50" t="s">
        <v>73</v>
      </c>
      <c r="E100" s="77"/>
      <c r="F100" s="25">
        <f t="shared" si="9"/>
        <v>0</v>
      </c>
      <c r="G100" s="188">
        <v>530100</v>
      </c>
      <c r="H100" s="36">
        <v>43903</v>
      </c>
      <c r="I100" s="188">
        <v>530000</v>
      </c>
      <c r="J100" s="63" t="s">
        <v>21</v>
      </c>
      <c r="K100" s="207" t="s">
        <v>105</v>
      </c>
      <c r="L100" s="82" t="s">
        <v>77</v>
      </c>
      <c r="M100" s="63"/>
      <c r="N100" s="63"/>
      <c r="O100" s="82"/>
    </row>
    <row r="101" s="3" customFormat="1" ht="18" customHeight="1" spans="1:15">
      <c r="A101" s="74">
        <v>43952</v>
      </c>
      <c r="B101" s="25">
        <f>298648.6+188837.04+318653.29</f>
        <v>806138.93</v>
      </c>
      <c r="C101" s="75">
        <v>3</v>
      </c>
      <c r="D101" s="50" t="s">
        <v>36</v>
      </c>
      <c r="E101" s="77">
        <v>0.13</v>
      </c>
      <c r="F101" s="25">
        <f>38824.32+24548.82+41424.93</f>
        <v>104798.07</v>
      </c>
      <c r="G101" s="198">
        <f>337472.92+213385.86+360078.22</f>
        <v>910937</v>
      </c>
      <c r="H101" s="36">
        <v>43903</v>
      </c>
      <c r="I101" s="188">
        <v>200000</v>
      </c>
      <c r="J101" s="63" t="s">
        <v>20</v>
      </c>
      <c r="K101" s="207" t="s">
        <v>80</v>
      </c>
      <c r="L101" s="82" t="s">
        <v>81</v>
      </c>
      <c r="M101" s="63"/>
      <c r="N101" s="63"/>
      <c r="O101" s="82"/>
    </row>
    <row r="102" s="3" customFormat="1" ht="18" customHeight="1" spans="1:15">
      <c r="A102" s="74"/>
      <c r="B102" s="25">
        <f t="shared" ref="B102:B104" si="10">ROUND(G102/(1+E102),2)</f>
        <v>0</v>
      </c>
      <c r="C102" s="75"/>
      <c r="D102" s="50"/>
      <c r="E102" s="77"/>
      <c r="F102" s="25">
        <f t="shared" ref="F102:F104" si="11">ROUND(G102/(1+E102)*E102,2)</f>
        <v>0</v>
      </c>
      <c r="G102" s="198"/>
      <c r="H102" s="36">
        <v>43950</v>
      </c>
      <c r="I102" s="188">
        <v>400000</v>
      </c>
      <c r="J102" s="63" t="s">
        <v>20</v>
      </c>
      <c r="K102" s="207" t="s">
        <v>155</v>
      </c>
      <c r="L102" s="82" t="s">
        <v>81</v>
      </c>
      <c r="M102" s="63"/>
      <c r="N102" s="63"/>
      <c r="O102" s="82"/>
    </row>
    <row r="103" s="3" customFormat="1" ht="18" customHeight="1" spans="1:15">
      <c r="A103" s="74"/>
      <c r="B103" s="25">
        <f t="shared" si="10"/>
        <v>0</v>
      </c>
      <c r="C103" s="75"/>
      <c r="D103" s="50"/>
      <c r="E103" s="77"/>
      <c r="F103" s="25">
        <f t="shared" si="11"/>
        <v>0</v>
      </c>
      <c r="G103" s="198"/>
      <c r="H103" s="36">
        <v>43951</v>
      </c>
      <c r="I103" s="188">
        <v>970000</v>
      </c>
      <c r="J103" s="63" t="s">
        <v>21</v>
      </c>
      <c r="K103" s="207" t="s">
        <v>105</v>
      </c>
      <c r="L103" s="82"/>
      <c r="M103" s="63"/>
      <c r="N103" s="63"/>
      <c r="O103" s="82"/>
    </row>
    <row r="104" s="3" customFormat="1" ht="18" customHeight="1" spans="1:15">
      <c r="A104" s="74"/>
      <c r="B104" s="25">
        <f t="shared" si="10"/>
        <v>0</v>
      </c>
      <c r="C104" s="75"/>
      <c r="D104" s="50"/>
      <c r="E104" s="77"/>
      <c r="F104" s="25">
        <f t="shared" si="11"/>
        <v>0</v>
      </c>
      <c r="G104" s="198"/>
      <c r="H104" s="36">
        <v>43966</v>
      </c>
      <c r="I104" s="188">
        <v>150000</v>
      </c>
      <c r="J104" s="63" t="s">
        <v>20</v>
      </c>
      <c r="K104" s="207" t="s">
        <v>155</v>
      </c>
      <c r="L104" s="82" t="s">
        <v>81</v>
      </c>
      <c r="M104" s="63"/>
      <c r="N104" s="63"/>
      <c r="O104" s="82"/>
    </row>
    <row r="105" s="3" customFormat="1" ht="17.1" customHeight="1" spans="1:15">
      <c r="A105" s="74">
        <v>43831</v>
      </c>
      <c r="B105" s="25">
        <v>2632.08</v>
      </c>
      <c r="C105" s="75">
        <v>1</v>
      </c>
      <c r="D105" s="50" t="s">
        <v>36</v>
      </c>
      <c r="E105" s="77">
        <v>0.06</v>
      </c>
      <c r="F105" s="25">
        <v>157.92</v>
      </c>
      <c r="G105" s="198">
        <v>2790</v>
      </c>
      <c r="H105" s="36"/>
      <c r="I105" s="188"/>
      <c r="J105" s="63"/>
      <c r="K105" s="207" t="s">
        <v>156</v>
      </c>
      <c r="L105" s="82" t="s">
        <v>52</v>
      </c>
      <c r="M105" s="63"/>
      <c r="N105" s="63"/>
      <c r="O105" s="82"/>
    </row>
    <row r="106" s="3" customFormat="1" ht="17.1" customHeight="1" spans="1:15">
      <c r="A106" s="74"/>
      <c r="B106" s="25"/>
      <c r="C106" s="75"/>
      <c r="D106" s="50"/>
      <c r="E106" s="77"/>
      <c r="F106" s="25"/>
      <c r="G106" s="198"/>
      <c r="H106" s="36">
        <v>43993</v>
      </c>
      <c r="I106" s="188">
        <v>100000</v>
      </c>
      <c r="J106" s="63"/>
      <c r="K106" s="207" t="s">
        <v>155</v>
      </c>
      <c r="L106" s="82"/>
      <c r="M106" s="63"/>
      <c r="N106" s="63"/>
      <c r="O106" s="82"/>
    </row>
    <row r="107" s="3" customFormat="1" ht="17.1" customHeight="1" spans="1:15">
      <c r="A107" s="74"/>
      <c r="B107" s="25"/>
      <c r="C107" s="75"/>
      <c r="D107" s="50"/>
      <c r="E107" s="77"/>
      <c r="F107" s="25"/>
      <c r="G107" s="198"/>
      <c r="H107" s="36">
        <v>43994</v>
      </c>
      <c r="I107" s="188">
        <v>1000000</v>
      </c>
      <c r="J107" s="63"/>
      <c r="K107" s="213" t="s">
        <v>165</v>
      </c>
      <c r="L107" s="82" t="s">
        <v>54</v>
      </c>
      <c r="M107" s="63"/>
      <c r="N107" s="63"/>
      <c r="O107" s="82"/>
    </row>
    <row r="108" s="3" customFormat="1" ht="17.1" customHeight="1" spans="1:15">
      <c r="A108" s="74"/>
      <c r="B108" s="25"/>
      <c r="C108" s="75"/>
      <c r="D108" s="50"/>
      <c r="E108" s="77"/>
      <c r="F108" s="25"/>
      <c r="G108" s="198"/>
      <c r="H108" s="36">
        <v>44000</v>
      </c>
      <c r="I108" s="214">
        <v>500000</v>
      </c>
      <c r="J108" s="63" t="s">
        <v>20</v>
      </c>
      <c r="K108" s="171" t="s">
        <v>166</v>
      </c>
      <c r="L108" s="82"/>
      <c r="M108" s="63"/>
      <c r="N108" s="63"/>
      <c r="O108" s="82"/>
    </row>
    <row r="109" s="3" customFormat="1" ht="17.1" customHeight="1" spans="1:15">
      <c r="A109" s="74"/>
      <c r="B109" s="25"/>
      <c r="C109" s="75"/>
      <c r="D109" s="50"/>
      <c r="E109" s="77"/>
      <c r="F109" s="25"/>
      <c r="G109" s="198"/>
      <c r="H109" s="36">
        <v>44000</v>
      </c>
      <c r="I109" s="214">
        <v>600040</v>
      </c>
      <c r="J109" s="63" t="s">
        <v>20</v>
      </c>
      <c r="K109" s="171" t="s">
        <v>167</v>
      </c>
      <c r="L109" s="82"/>
      <c r="M109" s="63"/>
      <c r="N109" s="63"/>
      <c r="O109" s="82"/>
    </row>
    <row r="110" s="3" customFormat="1" ht="17.1" customHeight="1" spans="1:15">
      <c r="A110" s="74"/>
      <c r="B110" s="25"/>
      <c r="C110" s="75"/>
      <c r="D110" s="50"/>
      <c r="E110" s="77"/>
      <c r="F110" s="25"/>
      <c r="G110" s="198"/>
      <c r="H110" s="36">
        <v>44000</v>
      </c>
      <c r="I110" s="214">
        <v>600120</v>
      </c>
      <c r="J110" s="63" t="s">
        <v>20</v>
      </c>
      <c r="K110" s="171" t="s">
        <v>168</v>
      </c>
      <c r="L110" s="82"/>
      <c r="M110" s="63"/>
      <c r="N110" s="63"/>
      <c r="O110" s="82"/>
    </row>
    <row r="111" s="3" customFormat="1" ht="17.1" customHeight="1" spans="1:15">
      <c r="A111" s="74"/>
      <c r="B111" s="25"/>
      <c r="C111" s="75"/>
      <c r="D111" s="50"/>
      <c r="E111" s="77"/>
      <c r="F111" s="25"/>
      <c r="G111" s="198"/>
      <c r="H111" s="36">
        <v>44000</v>
      </c>
      <c r="I111" s="214">
        <v>300000</v>
      </c>
      <c r="J111" s="63" t="s">
        <v>20</v>
      </c>
      <c r="K111" s="171" t="s">
        <v>89</v>
      </c>
      <c r="L111" s="82"/>
      <c r="M111" s="63"/>
      <c r="N111" s="63"/>
      <c r="O111" s="82"/>
    </row>
    <row r="112" s="3" customFormat="1" ht="17.1" customHeight="1" spans="1:15">
      <c r="A112" s="74"/>
      <c r="B112" s="25"/>
      <c r="C112" s="75"/>
      <c r="D112" s="50"/>
      <c r="E112" s="77"/>
      <c r="F112" s="25"/>
      <c r="G112" s="198"/>
      <c r="H112" s="36">
        <v>44001</v>
      </c>
      <c r="I112" s="214">
        <v>300000</v>
      </c>
      <c r="J112" s="63" t="s">
        <v>20</v>
      </c>
      <c r="K112" s="171" t="s">
        <v>87</v>
      </c>
      <c r="L112" s="82"/>
      <c r="M112" s="63"/>
      <c r="N112" s="63"/>
      <c r="O112" s="82"/>
    </row>
    <row r="113" s="3" customFormat="1" ht="18" customHeight="1" spans="1:15">
      <c r="A113" s="74"/>
      <c r="B113" s="25"/>
      <c r="C113" s="75"/>
      <c r="D113" s="50"/>
      <c r="E113" s="77"/>
      <c r="F113" s="25"/>
      <c r="G113" s="198"/>
      <c r="H113" s="195">
        <v>44005</v>
      </c>
      <c r="I113" s="262">
        <v>170000</v>
      </c>
      <c r="J113" s="227" t="s">
        <v>20</v>
      </c>
      <c r="K113" s="266" t="s">
        <v>155</v>
      </c>
      <c r="L113" s="82"/>
      <c r="M113" s="63"/>
      <c r="N113" s="63"/>
      <c r="O113" s="82"/>
    </row>
    <row r="114" s="3" customFormat="1" ht="18" customHeight="1" spans="1:15">
      <c r="A114" s="74"/>
      <c r="B114" s="25"/>
      <c r="C114" s="75"/>
      <c r="D114" s="50"/>
      <c r="E114" s="77"/>
      <c r="F114" s="25"/>
      <c r="G114" s="198"/>
      <c r="H114" s="36"/>
      <c r="I114" s="214"/>
      <c r="J114" s="65"/>
      <c r="K114" s="171"/>
      <c r="L114" s="82"/>
      <c r="M114" s="63"/>
      <c r="N114" s="63"/>
      <c r="O114" s="82"/>
    </row>
    <row r="115" s="3" customFormat="1" ht="18" customHeight="1" spans="1:15">
      <c r="A115" s="74"/>
      <c r="B115" s="25"/>
      <c r="C115" s="75"/>
      <c r="D115" s="50"/>
      <c r="E115" s="77"/>
      <c r="F115" s="25"/>
      <c r="G115" s="198"/>
      <c r="H115" s="36"/>
      <c r="I115" s="214"/>
      <c r="J115" s="65"/>
      <c r="K115" s="171"/>
      <c r="L115" s="82"/>
      <c r="M115" s="63"/>
      <c r="N115" s="63"/>
      <c r="O115" s="82"/>
    </row>
    <row r="116" s="3" customFormat="1" ht="18" customHeight="1" spans="1:15">
      <c r="A116" s="74"/>
      <c r="B116" s="25"/>
      <c r="C116" s="75"/>
      <c r="D116" s="50"/>
      <c r="E116" s="77"/>
      <c r="F116" s="25"/>
      <c r="G116" s="198"/>
      <c r="H116" s="36"/>
      <c r="I116" s="214"/>
      <c r="J116" s="65"/>
      <c r="K116" s="171"/>
      <c r="L116" s="82"/>
      <c r="M116" s="63"/>
      <c r="N116" s="63"/>
      <c r="O116" s="82"/>
    </row>
    <row r="117" s="3" customFormat="1" ht="18" customHeight="1" spans="1:15">
      <c r="A117" s="74"/>
      <c r="B117" s="25"/>
      <c r="C117" s="75"/>
      <c r="D117" s="50"/>
      <c r="E117" s="77"/>
      <c r="F117" s="25"/>
      <c r="G117" s="198"/>
      <c r="H117" s="36"/>
      <c r="I117" s="214"/>
      <c r="J117" s="65"/>
      <c r="K117" s="171"/>
      <c r="L117" s="82"/>
      <c r="M117" s="63"/>
      <c r="N117" s="63"/>
      <c r="O117" s="82"/>
    </row>
    <row r="118" s="3" customFormat="1" ht="18" customHeight="1" spans="1:15">
      <c r="A118" s="74"/>
      <c r="B118" s="25"/>
      <c r="C118" s="75"/>
      <c r="D118" s="50"/>
      <c r="E118" s="77"/>
      <c r="F118" s="25"/>
      <c r="G118" s="198"/>
      <c r="H118" s="36"/>
      <c r="I118" s="214"/>
      <c r="J118" s="65"/>
      <c r="K118" s="171"/>
      <c r="L118" s="82"/>
      <c r="M118" s="63"/>
      <c r="N118" s="63"/>
      <c r="O118" s="82"/>
    </row>
    <row r="119" s="3" customFormat="1" ht="18" customHeight="1" spans="1:15">
      <c r="A119" s="74"/>
      <c r="B119" s="25"/>
      <c r="C119" s="75"/>
      <c r="D119" s="50"/>
      <c r="E119" s="77"/>
      <c r="F119" s="25"/>
      <c r="G119" s="198"/>
      <c r="H119" s="36"/>
      <c r="I119" s="214"/>
      <c r="J119" s="65"/>
      <c r="K119" s="171"/>
      <c r="L119" s="82"/>
      <c r="M119" s="63"/>
      <c r="N119" s="63"/>
      <c r="O119" s="82"/>
    </row>
    <row r="120" s="3" customFormat="1" ht="18" customHeight="1" spans="1:15">
      <c r="A120" s="74"/>
      <c r="B120" s="25"/>
      <c r="C120" s="75"/>
      <c r="D120" s="50"/>
      <c r="E120" s="77"/>
      <c r="F120" s="25"/>
      <c r="G120" s="198"/>
      <c r="H120" s="36"/>
      <c r="I120" s="214"/>
      <c r="J120" s="65"/>
      <c r="K120" s="171"/>
      <c r="L120" s="82"/>
      <c r="M120" s="63"/>
      <c r="N120" s="63"/>
      <c r="O120" s="82"/>
    </row>
    <row r="121" s="3" customFormat="1" ht="18" customHeight="1" spans="1:15">
      <c r="A121" s="74"/>
      <c r="B121" s="25"/>
      <c r="C121" s="75"/>
      <c r="D121" s="50"/>
      <c r="E121" s="77"/>
      <c r="F121" s="25"/>
      <c r="G121" s="198"/>
      <c r="H121" s="36"/>
      <c r="I121" s="188"/>
      <c r="J121" s="63"/>
      <c r="K121" s="213"/>
      <c r="L121" s="82"/>
      <c r="M121" s="63"/>
      <c r="N121" s="63"/>
      <c r="O121" s="82"/>
    </row>
    <row r="122" s="3" customFormat="1" ht="17.1" customHeight="1" spans="1:15">
      <c r="A122" s="74"/>
      <c r="B122" s="25"/>
      <c r="C122" s="75"/>
      <c r="D122" s="50"/>
      <c r="E122" s="77"/>
      <c r="F122" s="25"/>
      <c r="G122" s="198"/>
      <c r="H122" s="195">
        <v>44005</v>
      </c>
      <c r="I122" s="237">
        <v>100</v>
      </c>
      <c r="J122" s="227" t="s">
        <v>106</v>
      </c>
      <c r="K122" s="206" t="s">
        <v>110</v>
      </c>
      <c r="L122" s="82"/>
      <c r="M122" s="63"/>
      <c r="N122" s="63"/>
      <c r="O122" s="82"/>
    </row>
    <row r="123" s="3" customFormat="1" ht="17.1" customHeight="1" spans="1:15">
      <c r="A123" s="74"/>
      <c r="B123" s="25"/>
      <c r="C123" s="75"/>
      <c r="D123" s="50"/>
      <c r="E123" s="77"/>
      <c r="F123" s="25"/>
      <c r="G123" s="198"/>
      <c r="H123" s="36">
        <v>44001</v>
      </c>
      <c r="I123" s="82">
        <v>100</v>
      </c>
      <c r="J123" s="63" t="s">
        <v>106</v>
      </c>
      <c r="K123" s="82" t="s">
        <v>110</v>
      </c>
      <c r="L123" s="82"/>
      <c r="M123" s="63"/>
      <c r="N123" s="63"/>
      <c r="O123" s="82"/>
    </row>
    <row r="124" s="3" customFormat="1" ht="17.1" customHeight="1" spans="1:15">
      <c r="A124" s="74"/>
      <c r="B124" s="25"/>
      <c r="C124" s="75"/>
      <c r="D124" s="50"/>
      <c r="E124" s="77"/>
      <c r="F124" s="25"/>
      <c r="G124" s="198"/>
      <c r="H124" s="36">
        <v>44000</v>
      </c>
      <c r="I124" s="82">
        <v>100</v>
      </c>
      <c r="J124" s="63" t="s">
        <v>106</v>
      </c>
      <c r="K124" s="82" t="s">
        <v>110</v>
      </c>
      <c r="L124" s="82"/>
      <c r="M124" s="63"/>
      <c r="N124" s="63"/>
      <c r="O124" s="82"/>
    </row>
    <row r="125" s="3" customFormat="1" ht="17.1" customHeight="1" spans="1:15">
      <c r="A125" s="74"/>
      <c r="B125" s="25"/>
      <c r="C125" s="75"/>
      <c r="D125" s="50"/>
      <c r="E125" s="77"/>
      <c r="F125" s="25"/>
      <c r="G125" s="198"/>
      <c r="H125" s="36">
        <v>44000</v>
      </c>
      <c r="I125" s="82">
        <v>300</v>
      </c>
      <c r="J125" s="65" t="s">
        <v>106</v>
      </c>
      <c r="K125" s="207" t="s">
        <v>110</v>
      </c>
      <c r="L125" s="82"/>
      <c r="M125" s="63"/>
      <c r="N125" s="63"/>
      <c r="O125" s="82"/>
    </row>
    <row r="126" s="3" customFormat="1" ht="17.1" customHeight="1" spans="1:15">
      <c r="A126" s="74"/>
      <c r="B126" s="25"/>
      <c r="C126" s="75"/>
      <c r="D126" s="50"/>
      <c r="E126" s="77"/>
      <c r="F126" s="25"/>
      <c r="G126" s="198"/>
      <c r="H126" s="36">
        <v>43994</v>
      </c>
      <c r="I126" s="235">
        <v>100</v>
      </c>
      <c r="J126" s="65" t="s">
        <v>106</v>
      </c>
      <c r="K126" s="207" t="s">
        <v>110</v>
      </c>
      <c r="L126" s="82"/>
      <c r="M126" s="63"/>
      <c r="N126" s="63"/>
      <c r="O126" s="82"/>
    </row>
    <row r="127" s="3" customFormat="1" ht="18" customHeight="1" spans="1:15">
      <c r="A127" s="74"/>
      <c r="B127" s="25"/>
      <c r="C127" s="75"/>
      <c r="D127" s="50"/>
      <c r="E127" s="77"/>
      <c r="F127" s="25"/>
      <c r="G127" s="198"/>
      <c r="H127" s="36">
        <v>43994</v>
      </c>
      <c r="I127" s="236">
        <v>72400</v>
      </c>
      <c r="J127" s="65" t="s">
        <v>106</v>
      </c>
      <c r="K127" s="207" t="s">
        <v>121</v>
      </c>
      <c r="L127" s="82"/>
      <c r="M127" s="63"/>
      <c r="N127" s="63"/>
      <c r="O127" s="82"/>
    </row>
    <row r="128" s="3" customFormat="1" ht="18" customHeight="1" spans="1:15">
      <c r="A128" s="74"/>
      <c r="B128" s="25"/>
      <c r="C128" s="75"/>
      <c r="D128" s="50"/>
      <c r="E128" s="77"/>
      <c r="F128" s="25"/>
      <c r="G128" s="198"/>
      <c r="H128" s="36">
        <v>43994</v>
      </c>
      <c r="I128" s="188">
        <v>1992.66055045872</v>
      </c>
      <c r="J128" s="65" t="s">
        <v>106</v>
      </c>
      <c r="K128" s="207" t="s">
        <v>123</v>
      </c>
      <c r="L128" s="82"/>
      <c r="M128" s="63"/>
      <c r="N128" s="63"/>
      <c r="O128" s="82"/>
    </row>
    <row r="129" s="3" customFormat="1" ht="18" customHeight="1" spans="1:15">
      <c r="A129" s="74"/>
      <c r="B129" s="25">
        <f t="shared" ref="B129:B135" si="12">ROUND(G129/(1+E129),2)</f>
        <v>0</v>
      </c>
      <c r="C129" s="75"/>
      <c r="D129" s="50"/>
      <c r="E129" s="77"/>
      <c r="F129" s="25">
        <f t="shared" ref="F129:F135" si="13">ROUND(G129/(1+E129)*E129,2)</f>
        <v>0</v>
      </c>
      <c r="G129" s="198"/>
      <c r="H129" s="36">
        <v>43994</v>
      </c>
      <c r="I129" s="188">
        <v>18100</v>
      </c>
      <c r="J129" s="65" t="s">
        <v>106</v>
      </c>
      <c r="K129" s="207" t="s">
        <v>157</v>
      </c>
      <c r="L129" s="82"/>
      <c r="M129" s="63"/>
      <c r="N129" s="63"/>
      <c r="O129" s="82"/>
    </row>
    <row r="130" s="3" customFormat="1" ht="18" customHeight="1" spans="1:15">
      <c r="A130" s="74"/>
      <c r="B130" s="25"/>
      <c r="C130" s="75"/>
      <c r="D130" s="50"/>
      <c r="E130" s="77"/>
      <c r="F130" s="25"/>
      <c r="G130" s="198"/>
      <c r="H130" s="36">
        <v>43993</v>
      </c>
      <c r="I130" s="188">
        <v>100</v>
      </c>
      <c r="J130" s="65" t="s">
        <v>106</v>
      </c>
      <c r="K130" s="207" t="s">
        <v>110</v>
      </c>
      <c r="L130" s="82"/>
      <c r="M130" s="63"/>
      <c r="N130" s="63"/>
      <c r="O130" s="82"/>
    </row>
    <row r="131" s="3" customFormat="1" ht="18" customHeight="1" spans="1:15">
      <c r="A131" s="74"/>
      <c r="B131" s="25">
        <f t="shared" si="12"/>
        <v>0</v>
      </c>
      <c r="C131" s="75"/>
      <c r="D131" s="50"/>
      <c r="E131" s="77"/>
      <c r="F131" s="25">
        <f t="shared" si="13"/>
        <v>0</v>
      </c>
      <c r="G131" s="198"/>
      <c r="H131" s="36">
        <v>43966</v>
      </c>
      <c r="I131" s="188">
        <v>100</v>
      </c>
      <c r="J131" s="65" t="s">
        <v>106</v>
      </c>
      <c r="K131" s="207" t="s">
        <v>110</v>
      </c>
      <c r="L131" s="82"/>
      <c r="M131" s="63"/>
      <c r="N131" s="63"/>
      <c r="O131" s="82"/>
    </row>
    <row r="132" s="3" customFormat="1" ht="18" customHeight="1" spans="1:15">
      <c r="A132" s="74"/>
      <c r="B132" s="25">
        <f t="shared" si="12"/>
        <v>0</v>
      </c>
      <c r="C132" s="75"/>
      <c r="D132" s="50"/>
      <c r="E132" s="77"/>
      <c r="F132" s="25">
        <f t="shared" si="13"/>
        <v>0</v>
      </c>
      <c r="G132" s="198"/>
      <c r="H132" s="76">
        <v>10.2</v>
      </c>
      <c r="I132" s="188">
        <v>100</v>
      </c>
      <c r="J132" s="65" t="s">
        <v>106</v>
      </c>
      <c r="K132" s="207" t="s">
        <v>110</v>
      </c>
      <c r="L132" s="82"/>
      <c r="M132" s="63"/>
      <c r="N132" s="63"/>
      <c r="O132" s="82"/>
    </row>
    <row r="133" s="3" customFormat="1" ht="18" customHeight="1" spans="1:15">
      <c r="A133" s="74"/>
      <c r="B133" s="25">
        <f t="shared" si="12"/>
        <v>0</v>
      </c>
      <c r="C133" s="75"/>
      <c r="D133" s="50"/>
      <c r="E133" s="77"/>
      <c r="F133" s="25">
        <f t="shared" si="13"/>
        <v>0</v>
      </c>
      <c r="G133" s="198"/>
      <c r="H133" s="76">
        <v>10.1</v>
      </c>
      <c r="I133" s="188">
        <v>100</v>
      </c>
      <c r="J133" s="65" t="s">
        <v>106</v>
      </c>
      <c r="K133" s="207" t="s">
        <v>110</v>
      </c>
      <c r="L133" s="82"/>
      <c r="M133" s="63"/>
      <c r="N133" s="63"/>
      <c r="O133" s="82"/>
    </row>
    <row r="134" s="3" customFormat="1" ht="18" customHeight="1" spans="1:15">
      <c r="A134" s="74"/>
      <c r="B134" s="25">
        <f t="shared" si="12"/>
        <v>0</v>
      </c>
      <c r="C134" s="75"/>
      <c r="D134" s="50"/>
      <c r="E134" s="77"/>
      <c r="F134" s="25">
        <f t="shared" si="13"/>
        <v>0</v>
      </c>
      <c r="G134" s="198"/>
      <c r="H134" s="76">
        <v>10.1</v>
      </c>
      <c r="I134" s="188">
        <f>B12*0.0006</f>
        <v>853.211009174312</v>
      </c>
      <c r="J134" s="65" t="s">
        <v>106</v>
      </c>
      <c r="K134" s="207" t="s">
        <v>107</v>
      </c>
      <c r="L134" s="82">
        <f>I134+I135+I138+I143+I146+I147+I148+I149+I156+I157+I163+I165+I166</f>
        <v>916149.577981651</v>
      </c>
      <c r="M134" s="63"/>
      <c r="N134" s="63"/>
      <c r="O134" s="82"/>
    </row>
    <row r="135" s="3" customFormat="1" ht="18" customHeight="1" spans="1:15">
      <c r="A135" s="74"/>
      <c r="B135" s="25">
        <f t="shared" si="12"/>
        <v>0</v>
      </c>
      <c r="C135" s="75"/>
      <c r="D135" s="50"/>
      <c r="E135" s="77"/>
      <c r="F135" s="25">
        <f t="shared" si="13"/>
        <v>0</v>
      </c>
      <c r="G135" s="198"/>
      <c r="H135" s="76">
        <v>10.1</v>
      </c>
      <c r="I135" s="188">
        <f>B12*0.02</f>
        <v>28440.3669724771</v>
      </c>
      <c r="J135" s="65" t="s">
        <v>106</v>
      </c>
      <c r="K135" s="207" t="s">
        <v>108</v>
      </c>
      <c r="L135" s="82"/>
      <c r="M135" s="63"/>
      <c r="N135" s="63"/>
      <c r="O135" s="82"/>
    </row>
    <row r="136" s="3" customFormat="1" ht="18" customHeight="1" spans="1:15">
      <c r="A136" s="74"/>
      <c r="B136" s="25"/>
      <c r="C136" s="75"/>
      <c r="D136" s="50"/>
      <c r="E136" s="77"/>
      <c r="F136" s="25"/>
      <c r="G136" s="198"/>
      <c r="H136" s="76">
        <v>10.1</v>
      </c>
      <c r="I136" s="188">
        <f>G12*0.005</f>
        <v>7750</v>
      </c>
      <c r="J136" s="65" t="s">
        <v>106</v>
      </c>
      <c r="K136" s="207" t="s">
        <v>157</v>
      </c>
      <c r="L136" s="82">
        <f>I136+I168</f>
        <v>140600</v>
      </c>
      <c r="M136" s="63"/>
      <c r="N136" s="63"/>
      <c r="O136" s="82"/>
    </row>
    <row r="137" s="3" customFormat="1" ht="18" customHeight="1" spans="1:15">
      <c r="A137" s="74"/>
      <c r="B137" s="25">
        <f t="shared" ref="B137:B158" si="14">ROUND(G137/(1+E137),2)</f>
        <v>0</v>
      </c>
      <c r="C137" s="75"/>
      <c r="D137" s="50"/>
      <c r="E137" s="77"/>
      <c r="F137" s="25">
        <f t="shared" ref="F137:F158" si="15">ROUND(G137/(1+E137)*E137,2)</f>
        <v>0</v>
      </c>
      <c r="G137" s="198"/>
      <c r="H137" s="36" t="s">
        <v>109</v>
      </c>
      <c r="I137" s="188">
        <v>200</v>
      </c>
      <c r="J137" s="65" t="s">
        <v>106</v>
      </c>
      <c r="K137" s="207" t="s">
        <v>110</v>
      </c>
      <c r="L137" s="82">
        <f>I137+I139+I140+I141+I142+I144+I151+I154+I158+I167+I133</f>
        <v>245132.79</v>
      </c>
      <c r="M137" s="63"/>
      <c r="N137" s="63"/>
      <c r="O137" s="82"/>
    </row>
    <row r="138" s="3" customFormat="1" ht="18" customHeight="1" spans="1:15">
      <c r="A138" s="74"/>
      <c r="B138" s="25">
        <f t="shared" si="14"/>
        <v>0</v>
      </c>
      <c r="C138" s="75"/>
      <c r="D138" s="50"/>
      <c r="E138" s="77"/>
      <c r="F138" s="25">
        <f t="shared" si="15"/>
        <v>0</v>
      </c>
      <c r="G138" s="198"/>
      <c r="H138" s="36" t="s">
        <v>111</v>
      </c>
      <c r="I138" s="188">
        <v>-285325</v>
      </c>
      <c r="J138" s="63" t="s">
        <v>112</v>
      </c>
      <c r="K138" s="207" t="s">
        <v>158</v>
      </c>
      <c r="L138" s="82"/>
      <c r="M138" s="63"/>
      <c r="N138" s="63"/>
      <c r="O138" s="82"/>
    </row>
    <row r="139" s="3" customFormat="1" ht="18" customHeight="1" spans="1:15">
      <c r="A139" s="74"/>
      <c r="B139" s="25">
        <f t="shared" si="14"/>
        <v>0</v>
      </c>
      <c r="C139" s="75"/>
      <c r="D139" s="76"/>
      <c r="E139" s="77"/>
      <c r="F139" s="25">
        <f t="shared" si="15"/>
        <v>0</v>
      </c>
      <c r="G139" s="198"/>
      <c r="H139" s="36" t="s">
        <v>111</v>
      </c>
      <c r="I139" s="188">
        <v>200</v>
      </c>
      <c r="J139" s="65" t="s">
        <v>106</v>
      </c>
      <c r="K139" s="207" t="s">
        <v>110</v>
      </c>
      <c r="L139" s="82"/>
      <c r="M139" s="63"/>
      <c r="N139" s="63"/>
      <c r="O139" s="82"/>
    </row>
    <row r="140" s="3" customFormat="1" ht="18" customHeight="1" spans="1:15">
      <c r="A140" s="74"/>
      <c r="B140" s="25">
        <f t="shared" si="14"/>
        <v>0</v>
      </c>
      <c r="C140" s="75"/>
      <c r="D140" s="76"/>
      <c r="E140" s="77"/>
      <c r="F140" s="25">
        <f t="shared" si="15"/>
        <v>0</v>
      </c>
      <c r="G140" s="198"/>
      <c r="H140" s="36" t="s">
        <v>113</v>
      </c>
      <c r="I140" s="188">
        <v>300</v>
      </c>
      <c r="J140" s="65" t="s">
        <v>106</v>
      </c>
      <c r="K140" s="207" t="s">
        <v>110</v>
      </c>
      <c r="L140" s="82"/>
      <c r="M140" s="63"/>
      <c r="N140" s="63"/>
      <c r="O140" s="82"/>
    </row>
    <row r="141" s="3" customFormat="1" ht="18" customHeight="1" spans="1:15">
      <c r="A141" s="74"/>
      <c r="B141" s="25">
        <f t="shared" si="14"/>
        <v>0</v>
      </c>
      <c r="C141" s="75"/>
      <c r="D141" s="76"/>
      <c r="E141" s="77"/>
      <c r="F141" s="25">
        <f t="shared" si="15"/>
        <v>0</v>
      </c>
      <c r="G141" s="198"/>
      <c r="H141" s="36" t="s">
        <v>114</v>
      </c>
      <c r="I141" s="188">
        <v>9600</v>
      </c>
      <c r="J141" s="65" t="s">
        <v>106</v>
      </c>
      <c r="K141" s="207" t="s">
        <v>115</v>
      </c>
      <c r="L141" s="82"/>
      <c r="M141" s="63"/>
      <c r="N141" s="63"/>
      <c r="O141" s="82"/>
    </row>
    <row r="142" s="3" customFormat="1" ht="18" customHeight="1" spans="1:15">
      <c r="A142" s="74"/>
      <c r="B142" s="25">
        <f t="shared" si="14"/>
        <v>0</v>
      </c>
      <c r="C142" s="75"/>
      <c r="D142" s="76"/>
      <c r="E142" s="77"/>
      <c r="F142" s="25">
        <f t="shared" si="15"/>
        <v>0</v>
      </c>
      <c r="G142" s="198"/>
      <c r="H142" s="36" t="s">
        <v>114</v>
      </c>
      <c r="I142" s="188">
        <v>200</v>
      </c>
      <c r="J142" s="65" t="s">
        <v>106</v>
      </c>
      <c r="K142" s="207" t="s">
        <v>110</v>
      </c>
      <c r="L142" s="82"/>
      <c r="M142" s="63"/>
      <c r="N142" s="63"/>
      <c r="O142" s="82"/>
    </row>
    <row r="143" s="3" customFormat="1" ht="18" customHeight="1" spans="1:15">
      <c r="A143" s="74"/>
      <c r="B143" s="25">
        <f t="shared" si="14"/>
        <v>0</v>
      </c>
      <c r="C143" s="75"/>
      <c r="D143" s="76"/>
      <c r="E143" s="77"/>
      <c r="F143" s="25">
        <f t="shared" si="15"/>
        <v>0</v>
      </c>
      <c r="G143" s="198"/>
      <c r="H143" s="36" t="s">
        <v>114</v>
      </c>
      <c r="I143" s="188">
        <v>-903045</v>
      </c>
      <c r="J143" s="63" t="s">
        <v>112</v>
      </c>
      <c r="K143" s="207" t="s">
        <v>116</v>
      </c>
      <c r="L143" s="82"/>
      <c r="M143" s="63"/>
      <c r="N143" s="63"/>
      <c r="O143" s="82"/>
    </row>
    <row r="144" s="3" customFormat="1" ht="18" customHeight="1" spans="1:15">
      <c r="A144" s="74"/>
      <c r="B144" s="25">
        <f t="shared" si="14"/>
        <v>0</v>
      </c>
      <c r="C144" s="75"/>
      <c r="D144" s="76"/>
      <c r="E144" s="77"/>
      <c r="F144" s="25">
        <f t="shared" si="15"/>
        <v>0</v>
      </c>
      <c r="G144" s="198"/>
      <c r="H144" s="36" t="s">
        <v>117</v>
      </c>
      <c r="I144" s="188">
        <v>232932.79</v>
      </c>
      <c r="J144" s="63" t="s">
        <v>106</v>
      </c>
      <c r="K144" s="207" t="s">
        <v>118</v>
      </c>
      <c r="L144" s="82"/>
      <c r="M144" s="63"/>
      <c r="N144" s="63"/>
      <c r="O144" s="82"/>
    </row>
    <row r="145" s="3" customFormat="1" ht="18" customHeight="1" spans="1:15">
      <c r="A145" s="74"/>
      <c r="B145" s="25">
        <f t="shared" si="14"/>
        <v>0</v>
      </c>
      <c r="C145" s="75"/>
      <c r="D145" s="76"/>
      <c r="E145" s="77"/>
      <c r="F145" s="25">
        <f t="shared" si="15"/>
        <v>0</v>
      </c>
      <c r="G145" s="198"/>
      <c r="H145" s="36" t="s">
        <v>117</v>
      </c>
      <c r="I145" s="188"/>
      <c r="J145" s="63" t="s">
        <v>106</v>
      </c>
      <c r="K145" s="207" t="s">
        <v>119</v>
      </c>
      <c r="L145" s="82"/>
      <c r="M145" s="63"/>
      <c r="N145" s="63"/>
      <c r="O145" s="82"/>
    </row>
    <row r="146" s="3" customFormat="1" ht="18" customHeight="1" spans="1:15">
      <c r="A146" s="74"/>
      <c r="B146" s="25">
        <f t="shared" si="14"/>
        <v>0</v>
      </c>
      <c r="C146" s="75"/>
      <c r="D146" s="76"/>
      <c r="E146" s="77"/>
      <c r="F146" s="25">
        <f t="shared" si="15"/>
        <v>0</v>
      </c>
      <c r="G146" s="198"/>
      <c r="H146" s="36" t="s">
        <v>117</v>
      </c>
      <c r="I146" s="188">
        <v>903045</v>
      </c>
      <c r="J146" s="63" t="s">
        <v>120</v>
      </c>
      <c r="K146" s="207" t="s">
        <v>121</v>
      </c>
      <c r="L146" s="82"/>
      <c r="M146" s="63"/>
      <c r="N146" s="63"/>
      <c r="O146" s="82"/>
    </row>
    <row r="147" s="3" customFormat="1" ht="18" customHeight="1" spans="1:15">
      <c r="A147" s="74"/>
      <c r="B147" s="25">
        <f t="shared" si="14"/>
        <v>0</v>
      </c>
      <c r="C147" s="75"/>
      <c r="D147" s="76"/>
      <c r="E147" s="77"/>
      <c r="F147" s="25">
        <f t="shared" si="15"/>
        <v>0</v>
      </c>
      <c r="G147" s="198"/>
      <c r="H147" s="36" t="s">
        <v>117</v>
      </c>
      <c r="I147" s="188">
        <v>485252</v>
      </c>
      <c r="J147" s="63" t="s">
        <v>106</v>
      </c>
      <c r="K147" s="207" t="s">
        <v>122</v>
      </c>
      <c r="L147" s="82"/>
      <c r="M147" s="63"/>
      <c r="N147" s="63"/>
      <c r="O147" s="82"/>
    </row>
    <row r="148" s="3" customFormat="1" ht="18" customHeight="1" spans="1:15">
      <c r="A148" s="74"/>
      <c r="B148" s="25">
        <f t="shared" si="14"/>
        <v>0</v>
      </c>
      <c r="C148" s="75"/>
      <c r="D148" s="76"/>
      <c r="E148" s="77"/>
      <c r="F148" s="25">
        <f t="shared" si="15"/>
        <v>0</v>
      </c>
      <c r="G148" s="198"/>
      <c r="H148" s="36" t="s">
        <v>117</v>
      </c>
      <c r="I148" s="188">
        <v>4789</v>
      </c>
      <c r="J148" s="63" t="s">
        <v>106</v>
      </c>
      <c r="K148" s="207" t="s">
        <v>123</v>
      </c>
      <c r="L148" s="82"/>
      <c r="M148" s="63"/>
      <c r="N148" s="63"/>
      <c r="O148" s="82"/>
    </row>
    <row r="149" s="3" customFormat="1" ht="18" customHeight="1" spans="1:15">
      <c r="A149" s="74"/>
      <c r="B149" s="25">
        <f t="shared" si="14"/>
        <v>0</v>
      </c>
      <c r="C149" s="75"/>
      <c r="D149" s="76"/>
      <c r="E149" s="77"/>
      <c r="F149" s="25">
        <f t="shared" si="15"/>
        <v>0</v>
      </c>
      <c r="G149" s="198"/>
      <c r="H149" s="36" t="s">
        <v>117</v>
      </c>
      <c r="I149" s="188">
        <v>429349</v>
      </c>
      <c r="J149" s="63" t="s">
        <v>106</v>
      </c>
      <c r="K149" s="207" t="s">
        <v>124</v>
      </c>
      <c r="L149" s="82"/>
      <c r="M149" s="63"/>
      <c r="N149" s="63"/>
      <c r="O149" s="82"/>
    </row>
    <row r="150" s="3" customFormat="1" ht="18" customHeight="1" spans="1:15">
      <c r="A150" s="74"/>
      <c r="B150" s="25">
        <f t="shared" si="14"/>
        <v>0</v>
      </c>
      <c r="C150" s="75"/>
      <c r="D150" s="76"/>
      <c r="E150" s="77"/>
      <c r="F150" s="25">
        <f t="shared" si="15"/>
        <v>0</v>
      </c>
      <c r="G150" s="198"/>
      <c r="H150" s="36" t="s">
        <v>117</v>
      </c>
      <c r="I150" s="188">
        <v>87000</v>
      </c>
      <c r="J150" s="63" t="s">
        <v>125</v>
      </c>
      <c r="K150" s="207" t="s">
        <v>126</v>
      </c>
      <c r="L150" s="82"/>
      <c r="M150" s="63"/>
      <c r="N150" s="63"/>
      <c r="O150" s="82"/>
    </row>
    <row r="151" s="2" customFormat="1" ht="18" customHeight="1" spans="1:15">
      <c r="A151" s="48"/>
      <c r="B151" s="25">
        <f t="shared" si="14"/>
        <v>0</v>
      </c>
      <c r="C151" s="49"/>
      <c r="D151" s="50"/>
      <c r="E151" s="70"/>
      <c r="F151" s="25">
        <f t="shared" si="15"/>
        <v>0</v>
      </c>
      <c r="G151" s="189"/>
      <c r="H151" s="36" t="s">
        <v>117</v>
      </c>
      <c r="I151" s="188">
        <v>100</v>
      </c>
      <c r="J151" s="65" t="s">
        <v>106</v>
      </c>
      <c r="K151" s="207" t="s">
        <v>110</v>
      </c>
      <c r="L151" s="82"/>
      <c r="M151" s="56"/>
      <c r="N151" s="65"/>
      <c r="O151" s="67"/>
    </row>
    <row r="152" s="2" customFormat="1" ht="18" customHeight="1" spans="1:15">
      <c r="A152" s="48"/>
      <c r="B152" s="25">
        <f t="shared" si="14"/>
        <v>0</v>
      </c>
      <c r="C152" s="49"/>
      <c r="D152" s="50"/>
      <c r="E152" s="70"/>
      <c r="F152" s="25">
        <f t="shared" si="15"/>
        <v>0</v>
      </c>
      <c r="G152" s="189"/>
      <c r="H152" s="36" t="s">
        <v>117</v>
      </c>
      <c r="I152" s="188"/>
      <c r="J152" s="63"/>
      <c r="K152" s="207"/>
      <c r="L152" s="82"/>
      <c r="M152" s="56"/>
      <c r="N152" s="65"/>
      <c r="O152" s="67"/>
    </row>
    <row r="153" s="2" customFormat="1" ht="18" customHeight="1" spans="1:15">
      <c r="A153" s="48"/>
      <c r="B153" s="25">
        <f t="shared" si="14"/>
        <v>0</v>
      </c>
      <c r="C153" s="49"/>
      <c r="D153" s="50"/>
      <c r="E153" s="70"/>
      <c r="F153" s="25">
        <f t="shared" si="15"/>
        <v>0</v>
      </c>
      <c r="G153" s="189"/>
      <c r="H153" s="36" t="s">
        <v>127</v>
      </c>
      <c r="I153" s="188">
        <v>-93700</v>
      </c>
      <c r="J153" s="63" t="s">
        <v>125</v>
      </c>
      <c r="K153" s="148" t="s">
        <v>126</v>
      </c>
      <c r="L153" s="82"/>
      <c r="M153" s="56"/>
      <c r="N153" s="65"/>
      <c r="O153" s="67"/>
    </row>
    <row r="154" s="2" customFormat="1" ht="18" customHeight="1" spans="1:16">
      <c r="A154" s="48"/>
      <c r="B154" s="25">
        <f t="shared" si="14"/>
        <v>0</v>
      </c>
      <c r="C154" s="49"/>
      <c r="D154" s="50"/>
      <c r="E154" s="70"/>
      <c r="F154" s="25">
        <f t="shared" si="15"/>
        <v>0</v>
      </c>
      <c r="G154" s="189"/>
      <c r="H154" s="36" t="s">
        <v>127</v>
      </c>
      <c r="I154" s="71">
        <v>50</v>
      </c>
      <c r="J154" s="65" t="s">
        <v>106</v>
      </c>
      <c r="K154" s="148" t="s">
        <v>110</v>
      </c>
      <c r="L154" s="82"/>
      <c r="M154" s="56"/>
      <c r="N154" s="65"/>
      <c r="O154" s="67"/>
      <c r="P154" s="2">
        <f>I156+I149+I138</f>
        <v>387045</v>
      </c>
    </row>
    <row r="155" s="2" customFormat="1" ht="18" customHeight="1" spans="1:15">
      <c r="A155" s="48"/>
      <c r="B155" s="25">
        <f t="shared" si="14"/>
        <v>0</v>
      </c>
      <c r="C155" s="49"/>
      <c r="D155" s="50"/>
      <c r="E155" s="70"/>
      <c r="F155" s="25">
        <f t="shared" si="15"/>
        <v>0</v>
      </c>
      <c r="G155" s="189"/>
      <c r="H155" s="36" t="s">
        <v>127</v>
      </c>
      <c r="I155" s="210">
        <v>-21725</v>
      </c>
      <c r="J155" s="56" t="s">
        <v>112</v>
      </c>
      <c r="K155" s="238" t="s">
        <v>159</v>
      </c>
      <c r="L155" s="82"/>
      <c r="M155" s="56"/>
      <c r="N155" s="65"/>
      <c r="O155" s="67"/>
    </row>
    <row r="156" s="2" customFormat="1" ht="18" customHeight="1" spans="1:15">
      <c r="A156" s="48"/>
      <c r="B156" s="25">
        <f t="shared" si="14"/>
        <v>0</v>
      </c>
      <c r="C156" s="49"/>
      <c r="D156" s="50"/>
      <c r="E156" s="46"/>
      <c r="F156" s="25">
        <f t="shared" si="15"/>
        <v>0</v>
      </c>
      <c r="G156" s="189"/>
      <c r="H156" s="36" t="s">
        <v>129</v>
      </c>
      <c r="I156" s="188">
        <v>243021</v>
      </c>
      <c r="J156" s="63" t="s">
        <v>106</v>
      </c>
      <c r="K156" s="207" t="s">
        <v>124</v>
      </c>
      <c r="L156" s="67"/>
      <c r="M156" s="65"/>
      <c r="N156" s="65"/>
      <c r="O156" s="67"/>
    </row>
    <row r="157" s="2" customFormat="1" ht="18" customHeight="1" spans="1:15">
      <c r="A157" s="48"/>
      <c r="B157" s="25">
        <f t="shared" si="14"/>
        <v>0</v>
      </c>
      <c r="C157" s="49"/>
      <c r="D157" s="50"/>
      <c r="E157" s="46"/>
      <c r="F157" s="25">
        <f t="shared" si="15"/>
        <v>0</v>
      </c>
      <c r="G157" s="189"/>
      <c r="H157" s="36" t="s">
        <v>129</v>
      </c>
      <c r="I157" s="188">
        <v>2340</v>
      </c>
      <c r="J157" s="63" t="s">
        <v>106</v>
      </c>
      <c r="K157" s="207" t="s">
        <v>123</v>
      </c>
      <c r="L157" s="67"/>
      <c r="M157" s="65"/>
      <c r="N157" s="65"/>
      <c r="O157" s="67"/>
    </row>
    <row r="158" s="2" customFormat="1" ht="18" customHeight="1" spans="1:15">
      <c r="A158" s="48"/>
      <c r="B158" s="25">
        <f t="shared" si="14"/>
        <v>0</v>
      </c>
      <c r="C158" s="49"/>
      <c r="D158" s="50"/>
      <c r="E158" s="46"/>
      <c r="F158" s="25">
        <f t="shared" si="15"/>
        <v>0</v>
      </c>
      <c r="G158" s="189"/>
      <c r="H158" s="36" t="s">
        <v>129</v>
      </c>
      <c r="I158" s="188">
        <v>500</v>
      </c>
      <c r="J158" s="63" t="s">
        <v>106</v>
      </c>
      <c r="K158" s="148" t="s">
        <v>130</v>
      </c>
      <c r="L158" s="67"/>
      <c r="M158" s="65"/>
      <c r="N158" s="65"/>
      <c r="O158" s="67"/>
    </row>
    <row r="159" s="2" customFormat="1" ht="18" customHeight="1" spans="1:15">
      <c r="A159" s="48"/>
      <c r="B159" s="25"/>
      <c r="C159" s="49"/>
      <c r="D159" s="50"/>
      <c r="E159" s="46"/>
      <c r="F159" s="25"/>
      <c r="G159" s="189"/>
      <c r="H159" s="36" t="s">
        <v>129</v>
      </c>
      <c r="I159" s="210">
        <v>55725</v>
      </c>
      <c r="J159" s="56" t="s">
        <v>120</v>
      </c>
      <c r="K159" s="238" t="s">
        <v>121</v>
      </c>
      <c r="L159" s="67"/>
      <c r="M159" s="65"/>
      <c r="N159" s="65"/>
      <c r="O159" s="67"/>
    </row>
    <row r="160" s="2" customFormat="1" ht="18" customHeight="1" spans="1:15">
      <c r="A160" s="48"/>
      <c r="B160" s="25">
        <f t="shared" ref="B160:B165" si="16">ROUND(G160/(1+E160),2)</f>
        <v>0</v>
      </c>
      <c r="C160" s="49"/>
      <c r="D160" s="50"/>
      <c r="E160" s="46"/>
      <c r="F160" s="25">
        <f t="shared" ref="F160:F165" si="17">ROUND(G160/(1+E160)*E160,2)</f>
        <v>0</v>
      </c>
      <c r="G160" s="189"/>
      <c r="H160" s="36" t="s">
        <v>129</v>
      </c>
      <c r="I160" s="188">
        <v>8500</v>
      </c>
      <c r="J160" s="63" t="s">
        <v>125</v>
      </c>
      <c r="K160" s="148" t="s">
        <v>126</v>
      </c>
      <c r="L160" s="67"/>
      <c r="M160" s="65"/>
      <c r="N160" s="65"/>
      <c r="O160" s="67"/>
    </row>
    <row r="161" s="2" customFormat="1" ht="18" customHeight="1" spans="1:15">
      <c r="A161" s="48"/>
      <c r="B161" s="25">
        <f t="shared" si="16"/>
        <v>0</v>
      </c>
      <c r="C161" s="49"/>
      <c r="D161" s="50"/>
      <c r="E161" s="46"/>
      <c r="F161" s="25">
        <f t="shared" si="17"/>
        <v>0</v>
      </c>
      <c r="G161" s="189"/>
      <c r="H161" s="36" t="s">
        <v>131</v>
      </c>
      <c r="I161" s="188">
        <v>8800</v>
      </c>
      <c r="J161" s="63" t="s">
        <v>125</v>
      </c>
      <c r="K161" s="148" t="s">
        <v>126</v>
      </c>
      <c r="L161" s="67"/>
      <c r="M161" s="65"/>
      <c r="N161" s="65"/>
      <c r="O161" s="67"/>
    </row>
    <row r="162" s="2" customFormat="1" ht="18" customHeight="1" spans="1:15">
      <c r="A162" s="48"/>
      <c r="B162" s="25">
        <f t="shared" si="16"/>
        <v>0</v>
      </c>
      <c r="C162" s="49"/>
      <c r="D162" s="50"/>
      <c r="E162" s="46"/>
      <c r="F162" s="25">
        <f t="shared" si="17"/>
        <v>0</v>
      </c>
      <c r="G162" s="189"/>
      <c r="H162" s="36" t="s">
        <v>131</v>
      </c>
      <c r="I162" s="188">
        <v>35200</v>
      </c>
      <c r="J162" s="63" t="s">
        <v>125</v>
      </c>
      <c r="K162" s="148" t="s">
        <v>126</v>
      </c>
      <c r="L162" s="67"/>
      <c r="M162" s="65"/>
      <c r="N162" s="65"/>
      <c r="O162" s="67"/>
    </row>
    <row r="163" s="2" customFormat="1" ht="18" customHeight="1" spans="1:15">
      <c r="A163" s="48"/>
      <c r="B163" s="25">
        <f t="shared" si="16"/>
        <v>0</v>
      </c>
      <c r="C163" s="49"/>
      <c r="D163" s="50"/>
      <c r="E163" s="46"/>
      <c r="F163" s="25">
        <f t="shared" si="17"/>
        <v>0</v>
      </c>
      <c r="G163" s="189"/>
      <c r="H163" s="36" t="s">
        <v>131</v>
      </c>
      <c r="I163" s="188">
        <f>B9*E180</f>
        <v>2400</v>
      </c>
      <c r="J163" s="63" t="s">
        <v>106</v>
      </c>
      <c r="K163" s="148" t="s">
        <v>132</v>
      </c>
      <c r="L163" s="67"/>
      <c r="M163" s="65"/>
      <c r="N163" s="65"/>
      <c r="O163" s="67"/>
    </row>
    <row r="164" s="1" customFormat="1" ht="18" customHeight="1" spans="1:15">
      <c r="A164" s="43"/>
      <c r="B164" s="25">
        <f t="shared" si="16"/>
        <v>0</v>
      </c>
      <c r="C164" s="44"/>
      <c r="D164" s="45"/>
      <c r="E164" s="46"/>
      <c r="F164" s="25">
        <f t="shared" si="17"/>
        <v>0</v>
      </c>
      <c r="G164" s="189"/>
      <c r="H164" s="31" t="s">
        <v>133</v>
      </c>
      <c r="I164" s="188">
        <v>41200</v>
      </c>
      <c r="J164" s="63" t="s">
        <v>125</v>
      </c>
      <c r="K164" s="148" t="s">
        <v>126</v>
      </c>
      <c r="L164" s="60"/>
      <c r="M164" s="61"/>
      <c r="N164" s="61"/>
      <c r="O164" s="60"/>
    </row>
    <row r="165" s="1" customFormat="1" ht="18" customHeight="1" spans="1:15">
      <c r="A165" s="43"/>
      <c r="B165" s="25">
        <f t="shared" si="16"/>
        <v>0</v>
      </c>
      <c r="C165" s="44"/>
      <c r="D165" s="45"/>
      <c r="E165" s="46"/>
      <c r="F165" s="25">
        <f t="shared" si="17"/>
        <v>0</v>
      </c>
      <c r="G165" s="189"/>
      <c r="H165" s="31" t="s">
        <v>133</v>
      </c>
      <c r="I165" s="188">
        <v>2248</v>
      </c>
      <c r="J165" s="63" t="s">
        <v>106</v>
      </c>
      <c r="K165" s="148" t="s">
        <v>160</v>
      </c>
      <c r="L165" s="60"/>
      <c r="M165" s="61"/>
      <c r="N165" s="61"/>
      <c r="O165" s="60"/>
    </row>
    <row r="166" s="1" customFormat="1" ht="18" customHeight="1" spans="1:15">
      <c r="A166" s="43"/>
      <c r="B166" s="25"/>
      <c r="C166" s="44"/>
      <c r="D166" s="45"/>
      <c r="E166" s="46"/>
      <c r="F166" s="25"/>
      <c r="G166" s="189"/>
      <c r="H166" s="36" t="s">
        <v>134</v>
      </c>
      <c r="I166" s="188">
        <v>2782</v>
      </c>
      <c r="J166" s="63" t="s">
        <v>106</v>
      </c>
      <c r="K166" s="148" t="s">
        <v>160</v>
      </c>
      <c r="L166" s="60"/>
      <c r="M166" s="61"/>
      <c r="N166" s="61"/>
      <c r="O166" s="60"/>
    </row>
    <row r="167" s="1" customFormat="1" ht="18" customHeight="1" spans="1:15">
      <c r="A167" s="43"/>
      <c r="B167" s="25">
        <f>ROUND(G167/(1+E167),2)</f>
        <v>0</v>
      </c>
      <c r="C167" s="44"/>
      <c r="D167" s="45"/>
      <c r="E167" s="46"/>
      <c r="F167" s="25">
        <f>ROUND(G167/(1+E167)*E167,2)</f>
        <v>0</v>
      </c>
      <c r="G167" s="189"/>
      <c r="H167" s="36" t="s">
        <v>134</v>
      </c>
      <c r="I167" s="188">
        <v>950</v>
      </c>
      <c r="J167" s="63" t="s">
        <v>106</v>
      </c>
      <c r="K167" s="148" t="s">
        <v>130</v>
      </c>
      <c r="L167" s="60"/>
      <c r="M167" s="61"/>
      <c r="N167" s="61"/>
      <c r="O167" s="60"/>
    </row>
    <row r="168" s="1" customFormat="1" ht="18" customHeight="1" spans="1:15">
      <c r="A168" s="43"/>
      <c r="B168" s="25">
        <f>ROUND(G168/(1+E168),2)</f>
        <v>132850</v>
      </c>
      <c r="C168" s="44"/>
      <c r="D168" s="45"/>
      <c r="E168" s="46"/>
      <c r="F168" s="25">
        <f>ROUND(G168/(1+E168)*E168,2)</f>
        <v>0</v>
      </c>
      <c r="G168" s="189">
        <f>46100+17600+4400+17000+4250+34800+8700</f>
        <v>132850</v>
      </c>
      <c r="H168" s="31"/>
      <c r="I168" s="32">
        <f>G168</f>
        <v>132850</v>
      </c>
      <c r="J168" s="63" t="s">
        <v>106</v>
      </c>
      <c r="K168" s="148" t="s">
        <v>161</v>
      </c>
      <c r="L168" s="60"/>
      <c r="M168" s="61"/>
      <c r="N168" s="61"/>
      <c r="O168" s="60"/>
    </row>
    <row r="169" s="1" customFormat="1" ht="18" customHeight="1" spans="1:15">
      <c r="A169" s="43"/>
      <c r="B169" s="25"/>
      <c r="C169" s="44"/>
      <c r="D169" s="45"/>
      <c r="E169" s="46"/>
      <c r="F169" s="25"/>
      <c r="G169" s="239"/>
      <c r="H169" s="31"/>
      <c r="I169" s="141">
        <v>-3000000</v>
      </c>
      <c r="J169" s="249"/>
      <c r="K169" s="250" t="s">
        <v>162</v>
      </c>
      <c r="L169" s="60"/>
      <c r="M169" s="61"/>
      <c r="N169" s="61"/>
      <c r="O169" s="60"/>
    </row>
    <row r="170" ht="18" customHeight="1" spans="1:15">
      <c r="A170" s="39" t="s">
        <v>22</v>
      </c>
      <c r="B170" s="38">
        <f t="shared" ref="B170:G170" si="18">SUM(B24:B168)</f>
        <v>32667859.4</v>
      </c>
      <c r="C170" s="39"/>
      <c r="D170" s="240"/>
      <c r="E170" s="240"/>
      <c r="F170" s="241">
        <f t="shared" si="18"/>
        <v>1901421.18</v>
      </c>
      <c r="G170" s="242">
        <f t="shared" si="18"/>
        <v>34569280.58</v>
      </c>
      <c r="H170" s="243"/>
      <c r="I170" s="190">
        <f>SUM(I24:I169)</f>
        <v>31737113.4885321</v>
      </c>
      <c r="J170" s="251"/>
      <c r="K170" s="252"/>
      <c r="L170" s="191"/>
      <c r="M170" s="40"/>
      <c r="N170" s="40"/>
      <c r="O170" s="191"/>
    </row>
    <row r="171" ht="18" customHeight="1" spans="1:14">
      <c r="A171" s="99"/>
      <c r="B171" s="100">
        <f>B21*0.92-B170</f>
        <v>-5982641.71859883</v>
      </c>
      <c r="C171" s="99"/>
      <c r="D171" s="244"/>
      <c r="E171" s="244"/>
      <c r="F171" s="100">
        <f>F21-F170</f>
        <v>252793.999316096</v>
      </c>
      <c r="G171" s="100"/>
      <c r="H171" s="30" t="s">
        <v>136</v>
      </c>
      <c r="I171" s="190">
        <f>I21-I170</f>
        <v>2886.51146788895</v>
      </c>
      <c r="J171" s="14"/>
      <c r="K171" s="253"/>
      <c r="M171" s="13"/>
      <c r="N171" s="13"/>
    </row>
    <row r="172" ht="18" customHeight="1" spans="1:3">
      <c r="A172" s="6" t="s">
        <v>137</v>
      </c>
      <c r="C172" s="6"/>
    </row>
    <row r="173" ht="18" customHeight="1" spans="1:17">
      <c r="A173" s="30" t="s">
        <v>138</v>
      </c>
      <c r="B173" s="28" t="s">
        <v>139</v>
      </c>
      <c r="C173" s="191"/>
      <c r="D173" s="30" t="s">
        <v>138</v>
      </c>
      <c r="E173" s="27" t="s">
        <v>15</v>
      </c>
      <c r="F173" s="28" t="s">
        <v>139</v>
      </c>
      <c r="G173" s="28" t="s">
        <v>140</v>
      </c>
      <c r="H173" s="28" t="s">
        <v>141</v>
      </c>
      <c r="I173" s="28" t="s">
        <v>142</v>
      </c>
      <c r="K173" s="28" t="s">
        <v>143</v>
      </c>
      <c r="L173" s="254"/>
      <c r="M173" s="28" t="s">
        <v>144</v>
      </c>
      <c r="N173" s="134" t="s">
        <v>144</v>
      </c>
      <c r="O173" s="255"/>
      <c r="P173" s="242" t="s">
        <v>145</v>
      </c>
      <c r="Q173" s="242" t="s">
        <v>163</v>
      </c>
    </row>
    <row r="174" ht="18" customHeight="1" spans="1:17">
      <c r="A174" s="191" t="s">
        <v>146</v>
      </c>
      <c r="B174" s="25">
        <f>(B21-B170)*0.25</f>
        <v>-915547.00179316</v>
      </c>
      <c r="C174" s="191"/>
      <c r="D174" s="18" t="s">
        <v>147</v>
      </c>
      <c r="E174" s="40" t="s">
        <v>148</v>
      </c>
      <c r="F174" s="245">
        <f>F21-F170</f>
        <v>252793.999316096</v>
      </c>
      <c r="G174" s="245">
        <f>F7-F24-F26-F29-F30-F33</f>
        <v>-333763.749090909</v>
      </c>
      <c r="H174" s="245">
        <f>F8-F38</f>
        <v>299461.603636364</v>
      </c>
      <c r="I174" s="245">
        <f>F9-F40-F41-F43-F48-F49-F50-F51-F53</f>
        <v>49772.4599999999</v>
      </c>
      <c r="K174" s="245">
        <f>F10-F74-F75-F76-F77-F78</f>
        <v>205457.659816514</v>
      </c>
      <c r="L174" s="254"/>
      <c r="M174" s="245">
        <f>F11-F79-F87-F88-F90</f>
        <v>390316.376330275</v>
      </c>
      <c r="N174" s="134">
        <v>-259385.7</v>
      </c>
      <c r="O174" s="255"/>
      <c r="P174" s="242"/>
      <c r="Q174" s="265"/>
    </row>
    <row r="175" ht="18" customHeight="1" spans="1:17">
      <c r="A175" s="191" t="s">
        <v>149</v>
      </c>
      <c r="B175" s="21" t="s">
        <v>150</v>
      </c>
      <c r="C175" s="191"/>
      <c r="D175" s="246" t="s">
        <v>151</v>
      </c>
      <c r="E175" s="22">
        <v>0.05</v>
      </c>
      <c r="F175" s="32">
        <f>F174*E175</f>
        <v>12639.6999658048</v>
      </c>
      <c r="G175" s="32">
        <v>0</v>
      </c>
      <c r="H175" s="32">
        <v>0</v>
      </c>
      <c r="I175" s="32">
        <v>0</v>
      </c>
      <c r="K175" s="32">
        <f>K174*E175</f>
        <v>10272.8829908257</v>
      </c>
      <c r="L175" s="254"/>
      <c r="M175" s="32">
        <f>M174*E175</f>
        <v>19515.8188165138</v>
      </c>
      <c r="N175" s="134">
        <f>N174*E175</f>
        <v>-12969.285</v>
      </c>
      <c r="O175" s="255"/>
      <c r="P175" s="242"/>
      <c r="Q175" s="265"/>
    </row>
    <row r="176" ht="18" customHeight="1" spans="1:17">
      <c r="A176" s="191" t="s">
        <v>123</v>
      </c>
      <c r="B176" s="247">
        <f>B21*0.0006</f>
        <v>17403.4028356964</v>
      </c>
      <c r="C176" s="191"/>
      <c r="D176" s="246" t="s">
        <v>152</v>
      </c>
      <c r="E176" s="22">
        <v>0.03</v>
      </c>
      <c r="F176" s="32">
        <f>F174*E176</f>
        <v>7583.81997948289</v>
      </c>
      <c r="G176" s="32">
        <v>0</v>
      </c>
      <c r="H176" s="32">
        <v>0</v>
      </c>
      <c r="I176" s="32">
        <v>0</v>
      </c>
      <c r="K176" s="32">
        <f>K174*E176</f>
        <v>6163.72979449541</v>
      </c>
      <c r="L176" s="254"/>
      <c r="M176" s="32">
        <f>M174*E176</f>
        <v>11709.4912899083</v>
      </c>
      <c r="N176" s="134">
        <f>N174*E176</f>
        <v>-7781.571</v>
      </c>
      <c r="O176" s="255"/>
      <c r="P176" s="242"/>
      <c r="Q176" s="265"/>
    </row>
    <row r="177" ht="18" customHeight="1" spans="1:17">
      <c r="A177" s="191"/>
      <c r="B177" s="32"/>
      <c r="C177" s="191"/>
      <c r="D177" s="246" t="s">
        <v>153</v>
      </c>
      <c r="E177" s="22">
        <v>0.02</v>
      </c>
      <c r="F177" s="32">
        <f>F174*E177</f>
        <v>5055.87998632193</v>
      </c>
      <c r="G177" s="32">
        <v>0</v>
      </c>
      <c r="H177" s="32">
        <v>0</v>
      </c>
      <c r="I177" s="32">
        <v>0</v>
      </c>
      <c r="K177" s="32">
        <f>K174*E177</f>
        <v>4109.15319633028</v>
      </c>
      <c r="L177" s="254"/>
      <c r="M177" s="32">
        <f>M174*E177</f>
        <v>7806.32752660551</v>
      </c>
      <c r="N177" s="134">
        <f>N174*E177</f>
        <v>-5187.714</v>
      </c>
      <c r="O177" s="255"/>
      <c r="P177" s="242"/>
      <c r="Q177" s="265"/>
    </row>
    <row r="178" ht="18" customHeight="1" spans="1:17">
      <c r="A178" s="37" t="s">
        <v>154</v>
      </c>
      <c r="B178" s="38">
        <f>SUM(B174:B177)</f>
        <v>-898143.598957464</v>
      </c>
      <c r="C178" s="191"/>
      <c r="D178" s="37" t="s">
        <v>154</v>
      </c>
      <c r="E178" s="37"/>
      <c r="F178" s="241">
        <f>SUM(F174:F177)</f>
        <v>278073.399247706</v>
      </c>
      <c r="G178" s="241">
        <v>0</v>
      </c>
      <c r="H178" s="241">
        <v>0</v>
      </c>
      <c r="I178" s="241">
        <v>0</v>
      </c>
      <c r="K178" s="241">
        <f t="shared" ref="K178:N178" si="19">SUM(K174:K177)</f>
        <v>226003.425798165</v>
      </c>
      <c r="L178" s="254"/>
      <c r="M178" s="241">
        <f t="shared" si="19"/>
        <v>429348.013963303</v>
      </c>
      <c r="N178" s="134">
        <f t="shared" si="19"/>
        <v>-285324.27</v>
      </c>
      <c r="O178" s="255"/>
      <c r="P178" s="242"/>
      <c r="Q178" s="265"/>
    </row>
    <row r="179" ht="18" customHeight="1" spans="3:17">
      <c r="C179" s="6"/>
      <c r="D179" s="20" t="s">
        <v>149</v>
      </c>
      <c r="E179" s="248">
        <v>0.0003</v>
      </c>
      <c r="F179" s="32">
        <v>0</v>
      </c>
      <c r="G179" s="32"/>
      <c r="H179" s="32"/>
      <c r="I179" s="32">
        <v>0</v>
      </c>
      <c r="K179" s="32"/>
      <c r="M179" s="32"/>
      <c r="N179" s="134"/>
      <c r="O179" s="255"/>
      <c r="P179" s="242"/>
      <c r="Q179" s="265"/>
    </row>
    <row r="180" ht="18" customHeight="1" spans="3:17">
      <c r="C180" s="6"/>
      <c r="D180" s="20" t="s">
        <v>123</v>
      </c>
      <c r="E180" s="248">
        <v>0.0006</v>
      </c>
      <c r="F180" s="32">
        <f>B21*E180</f>
        <v>17403.4028356964</v>
      </c>
      <c r="G180" s="32">
        <f>B7*E180</f>
        <v>2781.81818181818</v>
      </c>
      <c r="H180" s="32">
        <f>B8*E180</f>
        <v>2247.27272727273</v>
      </c>
      <c r="I180" s="32">
        <f>B9*E180</f>
        <v>2400</v>
      </c>
      <c r="K180" s="32">
        <f>B10*E180</f>
        <v>2339.4495412844</v>
      </c>
      <c r="L180" s="254"/>
      <c r="M180" s="32">
        <f>B11*E180</f>
        <v>4788.99082568807</v>
      </c>
      <c r="N180" s="134"/>
      <c r="O180" s="255"/>
      <c r="P180" s="242">
        <v>853.21</v>
      </c>
      <c r="Q180" s="265">
        <f>E180*B13</f>
        <v>1992.66055045872</v>
      </c>
    </row>
    <row r="181" ht="18" customHeight="1" spans="3:17">
      <c r="C181" s="6"/>
      <c r="D181" s="39" t="s">
        <v>22</v>
      </c>
      <c r="E181" s="39"/>
      <c r="F181" s="190">
        <f>F178+F179+F180</f>
        <v>295476.802083402</v>
      </c>
      <c r="G181" s="190"/>
      <c r="H181" s="190"/>
      <c r="I181" s="190"/>
      <c r="K181" s="190"/>
      <c r="M181" s="191">
        <f>M178+M180</f>
        <v>434137.004788991</v>
      </c>
      <c r="N181" s="134"/>
      <c r="O181" s="255"/>
      <c r="P181" s="242"/>
      <c r="Q181" s="265"/>
    </row>
    <row r="182" ht="18" customHeight="1" spans="3:17">
      <c r="C182" s="6"/>
      <c r="D182" s="20" t="s">
        <v>121</v>
      </c>
      <c r="E182" s="248">
        <v>0.02</v>
      </c>
      <c r="F182" s="32">
        <f>B21*E182</f>
        <v>580113.427856547</v>
      </c>
      <c r="G182" s="32"/>
      <c r="H182" s="32"/>
      <c r="I182" s="32"/>
      <c r="K182" s="190"/>
      <c r="M182" s="32">
        <f>(SUM(B7:B11))*E182</f>
        <v>485251.042535446</v>
      </c>
      <c r="N182" s="134"/>
      <c r="O182" s="255"/>
      <c r="P182" s="242">
        <f>B12*0.02</f>
        <v>28440.3669724771</v>
      </c>
      <c r="Q182" s="265">
        <f>G13*E182</f>
        <v>72400</v>
      </c>
    </row>
    <row r="183" ht="18" customHeight="1" spans="3:3">
      <c r="C183" s="6"/>
    </row>
    <row r="184" ht="18" customHeight="1" spans="3:3">
      <c r="C184" s="6"/>
    </row>
    <row r="185" ht="18" customHeight="1" spans="3:3">
      <c r="C185" s="6"/>
    </row>
    <row r="186" spans="3:3">
      <c r="C186" s="6"/>
    </row>
    <row r="187" spans="3:3">
      <c r="C187" s="6"/>
    </row>
    <row r="188" spans="3:3">
      <c r="C188" s="6"/>
    </row>
    <row r="189" spans="3:3">
      <c r="C189" s="6"/>
    </row>
    <row r="190" spans="3:3">
      <c r="C190" s="6"/>
    </row>
    <row r="191" spans="3:3">
      <c r="C191" s="6"/>
    </row>
    <row r="192" spans="3:3">
      <c r="C192" s="6"/>
    </row>
    <row r="193" spans="3:3">
      <c r="C193" s="6"/>
    </row>
    <row r="194" spans="3:3">
      <c r="C194" s="6"/>
    </row>
    <row r="195" spans="3:3">
      <c r="C195" s="6"/>
    </row>
    <row r="196" spans="3:3">
      <c r="C196" s="6"/>
    </row>
    <row r="197" spans="3:3">
      <c r="C197" s="6"/>
    </row>
    <row r="198" spans="3:3">
      <c r="C198" s="6"/>
    </row>
    <row r="199" spans="3:3">
      <c r="C199" s="6"/>
    </row>
    <row r="200" spans="3:3">
      <c r="C200" s="6"/>
    </row>
    <row r="201" spans="3:3">
      <c r="C201" s="6"/>
    </row>
  </sheetData>
  <autoFilter ref="A23:Q113">
    <extLst/>
  </autoFilter>
  <mergeCells count="18">
    <mergeCell ref="A1:J1"/>
    <mergeCell ref="H2:J2"/>
    <mergeCell ref="C5:D5"/>
    <mergeCell ref="E5:F5"/>
    <mergeCell ref="H5:J5"/>
    <mergeCell ref="N173:O173"/>
    <mergeCell ref="N174:O174"/>
    <mergeCell ref="N175:O175"/>
    <mergeCell ref="N176:O176"/>
    <mergeCell ref="N177:O177"/>
    <mergeCell ref="N178:O178"/>
    <mergeCell ref="N179:O179"/>
    <mergeCell ref="N180:O180"/>
    <mergeCell ref="N181:O181"/>
    <mergeCell ref="N182:O182"/>
    <mergeCell ref="A5:A6"/>
    <mergeCell ref="B5:B6"/>
    <mergeCell ref="G5:G6"/>
  </mergeCells>
  <pageMargins left="0.75" right="0.75" top="1" bottom="1" header="0.5" footer="0.5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1"/>
  <sheetViews>
    <sheetView topLeftCell="A100" workbookViewId="0">
      <selection activeCell="M111" sqref="M111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/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/>
      <c r="B14" s="32">
        <f t="shared" si="0"/>
        <v>0</v>
      </c>
      <c r="C14" s="33"/>
      <c r="D14" s="188">
        <f t="shared" si="1"/>
        <v>0</v>
      </c>
      <c r="E14" s="33"/>
      <c r="F14" s="32">
        <f t="shared" si="2"/>
        <v>0</v>
      </c>
      <c r="G14" s="189"/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>
        <f>G20/(1+C20+E20)</f>
        <v>0</v>
      </c>
      <c r="C20" s="33"/>
      <c r="D20" s="188">
        <f>G20/(1+E20+C20)*C20</f>
        <v>0</v>
      </c>
      <c r="E20" s="33"/>
      <c r="F20" s="32">
        <f>G20/(1+C20+E20)*E20</f>
        <v>0</v>
      </c>
      <c r="G20" s="189"/>
      <c r="H20" s="14"/>
      <c r="I20" s="14"/>
      <c r="J20" s="40"/>
    </row>
    <row r="21" ht="18" customHeight="1" spans="1:10">
      <c r="A21" s="37" t="s">
        <v>22</v>
      </c>
      <c r="B21" s="38">
        <f t="shared" ref="B21:G21" si="3">SUM(B7:B20)</f>
        <v>29005671.3928274</v>
      </c>
      <c r="C21" s="39"/>
      <c r="D21" s="190">
        <f t="shared" si="3"/>
        <v>580113.427856547</v>
      </c>
      <c r="E21" s="39"/>
      <c r="F21" s="190">
        <f t="shared" si="3"/>
        <v>2154215.1793161</v>
      </c>
      <c r="G21" s="190">
        <f t="shared" si="3"/>
        <v>31740000</v>
      </c>
      <c r="H21" s="191"/>
      <c r="I21" s="190">
        <f>SUM(I7:I19)</f>
        <v>31740000</v>
      </c>
      <c r="J21" s="191"/>
    </row>
    <row r="22" ht="18" customHeight="1" spans="1:12">
      <c r="A22" s="6" t="s">
        <v>23</v>
      </c>
      <c r="J22" s="8"/>
      <c r="K22" s="8"/>
      <c r="L22" s="186"/>
    </row>
    <row r="23" ht="18" customHeight="1" spans="1:15">
      <c r="A23" s="41" t="s">
        <v>24</v>
      </c>
      <c r="B23" s="28" t="s">
        <v>25</v>
      </c>
      <c r="C23" s="27" t="s">
        <v>26</v>
      </c>
      <c r="D23" s="27" t="s">
        <v>27</v>
      </c>
      <c r="E23" s="27" t="s">
        <v>15</v>
      </c>
      <c r="F23" s="28" t="s">
        <v>28</v>
      </c>
      <c r="G23" s="28" t="s">
        <v>13</v>
      </c>
      <c r="H23" s="27" t="s">
        <v>29</v>
      </c>
      <c r="I23" s="28" t="s">
        <v>30</v>
      </c>
      <c r="J23" s="27" t="s">
        <v>19</v>
      </c>
      <c r="K23" s="54" t="s">
        <v>31</v>
      </c>
      <c r="L23" s="30" t="s">
        <v>32</v>
      </c>
      <c r="M23" s="30" t="s">
        <v>33</v>
      </c>
      <c r="N23" s="30" t="s">
        <v>34</v>
      </c>
      <c r="O23" s="30" t="s">
        <v>35</v>
      </c>
    </row>
    <row r="24" s="1" customFormat="1" ht="18" customHeight="1" spans="1:15">
      <c r="A24" s="43">
        <v>43070</v>
      </c>
      <c r="B24" s="25">
        <f t="shared" ref="B24:B87" si="4">ROUND(G24/(1+E24),2)</f>
        <v>2830.19</v>
      </c>
      <c r="C24" s="44"/>
      <c r="D24" s="45" t="s">
        <v>36</v>
      </c>
      <c r="E24" s="46">
        <v>0.06</v>
      </c>
      <c r="F24" s="25">
        <f t="shared" ref="F24:F87" si="5">ROUND(G24/(1+E24)*E24,2)</f>
        <v>169.81</v>
      </c>
      <c r="G24" s="189">
        <v>3000</v>
      </c>
      <c r="H24" s="31"/>
      <c r="I24" s="32"/>
      <c r="J24" s="40"/>
      <c r="K24" s="147" t="s">
        <v>37</v>
      </c>
      <c r="L24" s="60" t="s">
        <v>38</v>
      </c>
      <c r="M24" s="61"/>
      <c r="N24" s="61"/>
      <c r="O24" s="60"/>
    </row>
    <row r="25" s="1" customFormat="1" ht="18" customHeight="1" spans="1:15">
      <c r="A25" s="43">
        <v>43071</v>
      </c>
      <c r="B25" s="25">
        <f t="shared" si="4"/>
        <v>3000</v>
      </c>
      <c r="C25" s="44"/>
      <c r="D25" s="45" t="s">
        <v>39</v>
      </c>
      <c r="E25" s="46"/>
      <c r="F25" s="25">
        <f t="shared" si="5"/>
        <v>0</v>
      </c>
      <c r="G25" s="189">
        <v>3000</v>
      </c>
      <c r="H25" s="31"/>
      <c r="I25" s="32"/>
      <c r="J25" s="40"/>
      <c r="K25" s="147"/>
      <c r="L25" s="60" t="s">
        <v>38</v>
      </c>
      <c r="M25" s="61"/>
      <c r="N25" s="61"/>
      <c r="O25" s="60"/>
    </row>
    <row r="26" s="1" customFormat="1" ht="18" customHeight="1" spans="1:15">
      <c r="A26" s="43">
        <v>43072</v>
      </c>
      <c r="B26" s="25">
        <f t="shared" si="4"/>
        <v>12824.53</v>
      </c>
      <c r="C26" s="44"/>
      <c r="D26" s="45" t="s">
        <v>36</v>
      </c>
      <c r="E26" s="46">
        <v>0.06</v>
      </c>
      <c r="F26" s="25">
        <f t="shared" si="5"/>
        <v>769.47</v>
      </c>
      <c r="G26" s="189">
        <v>13594</v>
      </c>
      <c r="H26" s="31"/>
      <c r="I26" s="32"/>
      <c r="J26" s="40"/>
      <c r="K26" s="147" t="s">
        <v>40</v>
      </c>
      <c r="L26" s="60" t="s">
        <v>41</v>
      </c>
      <c r="M26" s="61"/>
      <c r="N26" s="61"/>
      <c r="O26" s="60"/>
    </row>
    <row r="27" s="1" customFormat="1" ht="18" customHeight="1" spans="1:15">
      <c r="A27" s="43">
        <v>43073</v>
      </c>
      <c r="B27" s="25">
        <f t="shared" si="4"/>
        <v>1206</v>
      </c>
      <c r="C27" s="44"/>
      <c r="D27" s="45" t="s">
        <v>39</v>
      </c>
      <c r="E27" s="46"/>
      <c r="F27" s="25">
        <f t="shared" si="5"/>
        <v>0</v>
      </c>
      <c r="G27" s="189">
        <v>1206</v>
      </c>
      <c r="H27" s="31"/>
      <c r="I27" s="32"/>
      <c r="J27" s="40"/>
      <c r="K27" s="147"/>
      <c r="L27" s="60" t="s">
        <v>42</v>
      </c>
      <c r="M27" s="61"/>
      <c r="N27" s="61"/>
      <c r="O27" s="60"/>
    </row>
    <row r="28" s="1" customFormat="1" ht="18" customHeight="1" spans="1:15">
      <c r="A28" s="43">
        <v>43074</v>
      </c>
      <c r="B28" s="25">
        <f t="shared" si="4"/>
        <v>13191.34</v>
      </c>
      <c r="C28" s="44"/>
      <c r="D28" s="45" t="s">
        <v>39</v>
      </c>
      <c r="E28" s="46"/>
      <c r="F28" s="25">
        <f t="shared" si="5"/>
        <v>0</v>
      </c>
      <c r="G28" s="189">
        <v>13191.34</v>
      </c>
      <c r="H28" s="31"/>
      <c r="I28" s="32"/>
      <c r="J28" s="40"/>
      <c r="K28" s="147"/>
      <c r="L28" s="60" t="s">
        <v>43</v>
      </c>
      <c r="M28" s="61"/>
      <c r="N28" s="61"/>
      <c r="O28" s="60"/>
    </row>
    <row r="29" s="1" customFormat="1" ht="18" customHeight="1" spans="1:15">
      <c r="A29" s="43">
        <v>43149</v>
      </c>
      <c r="B29" s="25">
        <f t="shared" si="4"/>
        <v>1924.53</v>
      </c>
      <c r="C29" s="44"/>
      <c r="D29" s="45" t="s">
        <v>36</v>
      </c>
      <c r="E29" s="46">
        <v>0.06</v>
      </c>
      <c r="F29" s="25">
        <f t="shared" si="5"/>
        <v>115.47</v>
      </c>
      <c r="G29" s="189">
        <v>2040</v>
      </c>
      <c r="H29" s="31"/>
      <c r="I29" s="32"/>
      <c r="J29" s="40"/>
      <c r="K29" s="147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43177</v>
      </c>
      <c r="B30" s="25">
        <f t="shared" si="4"/>
        <v>2830.19</v>
      </c>
      <c r="C30" s="44"/>
      <c r="D30" s="45" t="s">
        <v>36</v>
      </c>
      <c r="E30" s="46">
        <v>0.06</v>
      </c>
      <c r="F30" s="25">
        <f t="shared" si="5"/>
        <v>169.81</v>
      </c>
      <c r="G30" s="189">
        <v>3000</v>
      </c>
      <c r="H30" s="31"/>
      <c r="I30" s="32"/>
      <c r="J30" s="40"/>
      <c r="K30" s="147" t="s">
        <v>44</v>
      </c>
      <c r="L30" s="60" t="s">
        <v>45</v>
      </c>
      <c r="M30" s="61"/>
      <c r="N30" s="61"/>
      <c r="O30" s="60"/>
    </row>
    <row r="31" s="1" customFormat="1" ht="18" customHeight="1" spans="1:15">
      <c r="A31" s="43">
        <v>43178</v>
      </c>
      <c r="B31" s="25">
        <f t="shared" si="4"/>
        <v>12529.12</v>
      </c>
      <c r="C31" s="44"/>
      <c r="D31" s="45" t="s">
        <v>39</v>
      </c>
      <c r="E31" s="46"/>
      <c r="F31" s="25">
        <f t="shared" si="5"/>
        <v>0</v>
      </c>
      <c r="G31" s="189">
        <v>12529.12</v>
      </c>
      <c r="H31" s="31"/>
      <c r="I31" s="32"/>
      <c r="J31" s="40"/>
      <c r="K31" s="147"/>
      <c r="L31" s="60" t="s">
        <v>46</v>
      </c>
      <c r="M31" s="61"/>
      <c r="N31" s="61"/>
      <c r="O31" s="60"/>
    </row>
    <row r="32" s="1" customFormat="1" ht="18" customHeight="1" spans="1:15">
      <c r="A32" s="43">
        <v>43177</v>
      </c>
      <c r="B32" s="25">
        <f t="shared" si="4"/>
        <v>7575</v>
      </c>
      <c r="C32" s="44"/>
      <c r="D32" s="45" t="s">
        <v>39</v>
      </c>
      <c r="E32" s="46"/>
      <c r="F32" s="25">
        <f t="shared" si="5"/>
        <v>0</v>
      </c>
      <c r="G32" s="189">
        <v>7575</v>
      </c>
      <c r="H32" s="31"/>
      <c r="I32" s="32"/>
      <c r="J32" s="40"/>
      <c r="K32" s="147"/>
      <c r="L32" s="60" t="s">
        <v>46</v>
      </c>
      <c r="M32" s="61"/>
      <c r="N32" s="61"/>
      <c r="O32" s="60"/>
    </row>
    <row r="33" s="1" customFormat="1" ht="18" customHeight="1" spans="1:15">
      <c r="A33" s="43">
        <v>43238</v>
      </c>
      <c r="B33" s="25">
        <f t="shared" si="4"/>
        <v>4396551.72</v>
      </c>
      <c r="C33" s="44"/>
      <c r="D33" s="45" t="s">
        <v>36</v>
      </c>
      <c r="E33" s="46">
        <v>0.16</v>
      </c>
      <c r="F33" s="25">
        <f t="shared" si="5"/>
        <v>703448.28</v>
      </c>
      <c r="G33" s="189">
        <v>5100000</v>
      </c>
      <c r="H33" s="31">
        <v>43251</v>
      </c>
      <c r="I33" s="32">
        <v>2500000</v>
      </c>
      <c r="J33" s="40" t="s">
        <v>20</v>
      </c>
      <c r="K33" s="147" t="s">
        <v>47</v>
      </c>
      <c r="L33" s="60" t="s">
        <v>48</v>
      </c>
      <c r="M33" s="61"/>
      <c r="N33" s="61"/>
      <c r="O33" s="60"/>
    </row>
    <row r="34" s="1" customFormat="1" ht="18" customHeight="1" spans="1:15">
      <c r="A34" s="43"/>
      <c r="B34" s="25">
        <f t="shared" si="4"/>
        <v>0</v>
      </c>
      <c r="C34" s="44"/>
      <c r="D34" s="45"/>
      <c r="E34" s="46"/>
      <c r="F34" s="25">
        <f t="shared" si="5"/>
        <v>0</v>
      </c>
      <c r="G34" s="189"/>
      <c r="H34" s="31" t="s">
        <v>49</v>
      </c>
      <c r="I34" s="32">
        <v>2530768</v>
      </c>
      <c r="J34" s="40" t="s">
        <v>20</v>
      </c>
      <c r="K34" s="147" t="s">
        <v>47</v>
      </c>
      <c r="L34" s="60"/>
      <c r="M34" s="61"/>
      <c r="N34" s="61"/>
      <c r="O34" s="60"/>
    </row>
    <row r="35" s="1" customFormat="1" ht="18" customHeight="1" spans="1:15">
      <c r="A35" s="43"/>
      <c r="B35" s="25">
        <f t="shared" si="4"/>
        <v>0</v>
      </c>
      <c r="C35" s="44"/>
      <c r="D35" s="45"/>
      <c r="E35" s="46"/>
      <c r="F35" s="25">
        <f t="shared" si="5"/>
        <v>0</v>
      </c>
      <c r="G35" s="189"/>
      <c r="H35" s="31" t="s">
        <v>49</v>
      </c>
      <c r="I35" s="32">
        <v>69232</v>
      </c>
      <c r="J35" s="40" t="s">
        <v>20</v>
      </c>
      <c r="K35" s="147" t="s">
        <v>47</v>
      </c>
      <c r="L35" s="60"/>
      <c r="M35" s="61"/>
      <c r="N35" s="61"/>
      <c r="O35" s="60"/>
    </row>
    <row r="36" s="1" customFormat="1" ht="18" customHeight="1" spans="1:15">
      <c r="A36" s="43"/>
      <c r="B36" s="25">
        <f t="shared" si="4"/>
        <v>0</v>
      </c>
      <c r="C36" s="44"/>
      <c r="D36" s="45"/>
      <c r="E36" s="46"/>
      <c r="F36" s="25">
        <f t="shared" si="5"/>
        <v>0</v>
      </c>
      <c r="G36" s="189"/>
      <c r="H36" s="31">
        <v>43252</v>
      </c>
      <c r="I36" s="32">
        <v>-29323</v>
      </c>
      <c r="J36" s="40" t="s">
        <v>21</v>
      </c>
      <c r="K36" s="147" t="s">
        <v>50</v>
      </c>
      <c r="L36" s="60"/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>
        <v>43255</v>
      </c>
      <c r="I37" s="32">
        <v>-39909</v>
      </c>
      <c r="J37" s="40" t="s">
        <v>21</v>
      </c>
      <c r="K37" s="147" t="s">
        <v>50</v>
      </c>
      <c r="L37" s="60"/>
      <c r="M37" s="61"/>
      <c r="N37" s="61"/>
      <c r="O37" s="60"/>
    </row>
    <row r="38" s="1" customFormat="1" ht="18" customHeight="1" spans="1:15">
      <c r="A38" s="43">
        <v>43269</v>
      </c>
      <c r="B38" s="25">
        <f t="shared" si="4"/>
        <v>5825.24</v>
      </c>
      <c r="C38" s="44"/>
      <c r="D38" s="45" t="s">
        <v>36</v>
      </c>
      <c r="E38" s="46">
        <v>0.03</v>
      </c>
      <c r="F38" s="25">
        <f t="shared" si="5"/>
        <v>174.76</v>
      </c>
      <c r="G38" s="189">
        <v>6000</v>
      </c>
      <c r="H38" s="31">
        <v>43264</v>
      </c>
      <c r="I38" s="32">
        <v>6000</v>
      </c>
      <c r="J38" s="40" t="s">
        <v>20</v>
      </c>
      <c r="K38" s="147" t="s">
        <v>51</v>
      </c>
      <c r="L38" s="60" t="s">
        <v>52</v>
      </c>
      <c r="M38" s="61"/>
      <c r="N38" s="61"/>
      <c r="O38" s="60"/>
    </row>
    <row r="39" s="1" customFormat="1" ht="18" customHeight="1" spans="1:15">
      <c r="A39" s="43"/>
      <c r="B39" s="25">
        <f t="shared" si="4"/>
        <v>0</v>
      </c>
      <c r="C39" s="44"/>
      <c r="D39" s="45"/>
      <c r="E39" s="46"/>
      <c r="F39" s="25">
        <f t="shared" si="5"/>
        <v>0</v>
      </c>
      <c r="G39" s="189"/>
      <c r="H39" s="31">
        <v>43263</v>
      </c>
      <c r="I39" s="32">
        <v>-6000</v>
      </c>
      <c r="J39" s="40" t="s">
        <v>21</v>
      </c>
      <c r="K39" s="147" t="s">
        <v>50</v>
      </c>
      <c r="L39" s="60"/>
      <c r="M39" s="61"/>
      <c r="N39" s="61"/>
      <c r="O39" s="60"/>
    </row>
    <row r="40" s="2" customFormat="1" ht="18" customHeight="1" spans="1:15">
      <c r="A40" s="48">
        <v>43335</v>
      </c>
      <c r="B40" s="25">
        <f t="shared" si="4"/>
        <v>4000000</v>
      </c>
      <c r="C40" s="49"/>
      <c r="D40" s="50" t="s">
        <v>36</v>
      </c>
      <c r="E40" s="46">
        <v>0.03</v>
      </c>
      <c r="F40" s="25">
        <f t="shared" si="5"/>
        <v>120000</v>
      </c>
      <c r="G40" s="189">
        <v>4120000</v>
      </c>
      <c r="H40" s="36">
        <v>43335</v>
      </c>
      <c r="I40" s="188">
        <v>2000000</v>
      </c>
      <c r="J40" s="63" t="s">
        <v>20</v>
      </c>
      <c r="K40" s="148" t="s">
        <v>53</v>
      </c>
      <c r="L40" s="67" t="s">
        <v>54</v>
      </c>
      <c r="M40" s="65"/>
      <c r="N40" s="65"/>
      <c r="O40" s="67"/>
    </row>
    <row r="41" s="2" customFormat="1" ht="18" customHeight="1" spans="1:15">
      <c r="A41" s="48"/>
      <c r="B41" s="25">
        <f t="shared" si="4"/>
        <v>1344.34</v>
      </c>
      <c r="C41" s="49">
        <v>3</v>
      </c>
      <c r="D41" s="50" t="s">
        <v>36</v>
      </c>
      <c r="E41" s="46">
        <v>0.06</v>
      </c>
      <c r="F41" s="25">
        <f t="shared" si="5"/>
        <v>80.66</v>
      </c>
      <c r="G41" s="189">
        <f>285+690+450</f>
        <v>1425</v>
      </c>
      <c r="H41" s="36"/>
      <c r="I41" s="188"/>
      <c r="J41" s="63"/>
      <c r="K41" s="148" t="s">
        <v>55</v>
      </c>
      <c r="L41" s="67" t="s">
        <v>41</v>
      </c>
      <c r="M41" s="65"/>
      <c r="N41" s="65"/>
      <c r="O41" s="68">
        <v>43335</v>
      </c>
    </row>
    <row r="42" s="2" customFormat="1" ht="18" customHeight="1" spans="1:15">
      <c r="A42" s="48"/>
      <c r="B42" s="25">
        <f t="shared" si="4"/>
        <v>6510</v>
      </c>
      <c r="C42" s="49"/>
      <c r="D42" s="50" t="s">
        <v>39</v>
      </c>
      <c r="E42" s="46"/>
      <c r="F42" s="25">
        <f t="shared" si="5"/>
        <v>0</v>
      </c>
      <c r="G42" s="189">
        <v>6510</v>
      </c>
      <c r="H42" s="36"/>
      <c r="I42" s="188"/>
      <c r="J42" s="63"/>
      <c r="K42" s="148" t="s">
        <v>56</v>
      </c>
      <c r="L42" s="67" t="s">
        <v>57</v>
      </c>
      <c r="M42" s="65"/>
      <c r="N42" s="65"/>
      <c r="O42" s="68">
        <v>43335</v>
      </c>
    </row>
    <row r="43" s="2" customFormat="1" ht="18" customHeight="1" spans="1:15">
      <c r="A43" s="48"/>
      <c r="B43" s="25">
        <f t="shared" si="4"/>
        <v>11436.89</v>
      </c>
      <c r="C43" s="49">
        <v>2</v>
      </c>
      <c r="D43" s="50" t="s">
        <v>36</v>
      </c>
      <c r="E43" s="46">
        <v>0.03</v>
      </c>
      <c r="F43" s="25">
        <f t="shared" si="5"/>
        <v>343.11</v>
      </c>
      <c r="G43" s="189">
        <f>7740+4040</f>
        <v>11780</v>
      </c>
      <c r="H43" s="36"/>
      <c r="I43" s="188"/>
      <c r="J43" s="63"/>
      <c r="K43" s="148" t="s">
        <v>58</v>
      </c>
      <c r="L43" s="67" t="s">
        <v>59</v>
      </c>
      <c r="M43" s="65"/>
      <c r="N43" s="65"/>
      <c r="O43" s="68">
        <v>43335</v>
      </c>
    </row>
    <row r="44" s="2" customFormat="1" ht="18" customHeight="1" spans="1:15">
      <c r="A44" s="48"/>
      <c r="B44" s="25">
        <f t="shared" si="4"/>
        <v>1800</v>
      </c>
      <c r="C44" s="49"/>
      <c r="D44" s="50" t="s">
        <v>39</v>
      </c>
      <c r="E44" s="46"/>
      <c r="F44" s="25">
        <f t="shared" si="5"/>
        <v>0</v>
      </c>
      <c r="G44" s="189">
        <v>1800</v>
      </c>
      <c r="H44" s="36"/>
      <c r="I44" s="188"/>
      <c r="J44" s="63"/>
      <c r="K44" s="148" t="s">
        <v>56</v>
      </c>
      <c r="L44" s="67" t="s">
        <v>60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26788.86</v>
      </c>
      <c r="C45" s="49"/>
      <c r="D45" s="50" t="s">
        <v>61</v>
      </c>
      <c r="E45" s="46"/>
      <c r="F45" s="25">
        <f t="shared" si="5"/>
        <v>0</v>
      </c>
      <c r="G45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5" s="36"/>
      <c r="I45" s="188"/>
      <c r="J45" s="63"/>
      <c r="K45" s="148" t="s">
        <v>62</v>
      </c>
      <c r="L45" s="67" t="s">
        <v>63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4"/>
        <v>4285.5</v>
      </c>
      <c r="C46" s="49"/>
      <c r="D46" s="50" t="s">
        <v>61</v>
      </c>
      <c r="E46" s="46"/>
      <c r="F46" s="25">
        <f t="shared" si="5"/>
        <v>0</v>
      </c>
      <c r="G46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6" s="36"/>
      <c r="I46" s="188"/>
      <c r="J46" s="63"/>
      <c r="K46" s="148" t="s">
        <v>62</v>
      </c>
      <c r="L46" s="67" t="s">
        <v>63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4"/>
        <v>9856.03</v>
      </c>
      <c r="C47" s="49"/>
      <c r="D47" s="50" t="s">
        <v>39</v>
      </c>
      <c r="E47" s="46"/>
      <c r="F47" s="25">
        <f t="shared" si="5"/>
        <v>0</v>
      </c>
      <c r="G47" s="189">
        <f>200.03+500+400+286+300+410+910+405+530+300+500+230+280+295+285+400+380+405+200+200+400+425+405+300+310+300+300</f>
        <v>9856.03</v>
      </c>
      <c r="H47" s="36"/>
      <c r="I47" s="188"/>
      <c r="J47" s="63"/>
      <c r="K47" s="148" t="s">
        <v>64</v>
      </c>
      <c r="L47" s="67" t="s">
        <v>43</v>
      </c>
      <c r="M47" s="65"/>
      <c r="N47" s="65"/>
      <c r="O47" s="68">
        <v>43335</v>
      </c>
    </row>
    <row r="48" s="2" customFormat="1" ht="18" customHeight="1" spans="1:15">
      <c r="A48" s="48">
        <v>43435</v>
      </c>
      <c r="B48" s="25">
        <f t="shared" si="4"/>
        <v>53286.79</v>
      </c>
      <c r="C48" s="49"/>
      <c r="D48" s="50" t="s">
        <v>36</v>
      </c>
      <c r="E48" s="46">
        <v>0.06</v>
      </c>
      <c r="F48" s="25">
        <f t="shared" si="5"/>
        <v>3197.21</v>
      </c>
      <c r="G48" s="189">
        <v>56484</v>
      </c>
      <c r="H48" s="36"/>
      <c r="I48" s="188"/>
      <c r="J48" s="63"/>
      <c r="K48" s="148" t="s">
        <v>65</v>
      </c>
      <c r="L48" s="67" t="s">
        <v>66</v>
      </c>
      <c r="M48" s="65"/>
      <c r="N48" s="65"/>
      <c r="O48" s="67"/>
    </row>
    <row r="49" s="2" customFormat="1" ht="18" customHeight="1" spans="1:15">
      <c r="A49" s="48">
        <v>43435</v>
      </c>
      <c r="B49" s="25">
        <f t="shared" si="4"/>
        <v>5825.24</v>
      </c>
      <c r="C49" s="49"/>
      <c r="D49" s="50" t="s">
        <v>36</v>
      </c>
      <c r="E49" s="46">
        <v>0.03</v>
      </c>
      <c r="F49" s="25">
        <f t="shared" si="5"/>
        <v>174.76</v>
      </c>
      <c r="G49" s="189">
        <v>6000</v>
      </c>
      <c r="H49" s="36">
        <v>43369</v>
      </c>
      <c r="I49" s="188">
        <v>6000</v>
      </c>
      <c r="J49" s="63" t="s">
        <v>20</v>
      </c>
      <c r="K49" s="148" t="s">
        <v>51</v>
      </c>
      <c r="L49" s="67" t="s">
        <v>52</v>
      </c>
      <c r="M49" s="65"/>
      <c r="N49" s="65"/>
      <c r="O49" s="67"/>
    </row>
    <row r="50" s="2" customFormat="1" ht="18" customHeight="1" spans="1:15">
      <c r="A50" s="48">
        <v>43313</v>
      </c>
      <c r="B50" s="25">
        <f t="shared" si="4"/>
        <v>4654.31</v>
      </c>
      <c r="C50" s="49"/>
      <c r="D50" s="50" t="s">
        <v>36</v>
      </c>
      <c r="E50" s="46">
        <v>0.16</v>
      </c>
      <c r="F50" s="25">
        <f t="shared" si="5"/>
        <v>744.69</v>
      </c>
      <c r="G50" s="189">
        <v>5399</v>
      </c>
      <c r="H50" s="36">
        <v>43369</v>
      </c>
      <c r="I50" s="188">
        <v>-6000</v>
      </c>
      <c r="J50" s="63" t="s">
        <v>21</v>
      </c>
      <c r="K50" s="148" t="s">
        <v>50</v>
      </c>
      <c r="L50" s="67"/>
      <c r="M50" s="65"/>
      <c r="N50" s="65"/>
      <c r="O50" s="67"/>
    </row>
    <row r="51" s="2" customFormat="1" ht="18" customHeight="1" spans="1:15">
      <c r="A51" s="48">
        <v>43435</v>
      </c>
      <c r="B51" s="25">
        <f t="shared" si="4"/>
        <v>933.96</v>
      </c>
      <c r="C51" s="49"/>
      <c r="D51" s="50" t="s">
        <v>36</v>
      </c>
      <c r="E51" s="46">
        <v>0.06</v>
      </c>
      <c r="F51" s="25">
        <f t="shared" si="5"/>
        <v>56.04</v>
      </c>
      <c r="G51" s="189">
        <f>90+45+855</f>
        <v>990</v>
      </c>
      <c r="H51" s="36"/>
      <c r="I51" s="188"/>
      <c r="J51" s="63"/>
      <c r="K51" s="148" t="s">
        <v>40</v>
      </c>
      <c r="L51" s="67" t="s">
        <v>41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4"/>
        <v>43031</v>
      </c>
      <c r="C52" s="49"/>
      <c r="D52" s="50"/>
      <c r="E52" s="46"/>
      <c r="F52" s="25">
        <f t="shared" si="5"/>
        <v>0</v>
      </c>
      <c r="G52" s="189">
        <v>43031</v>
      </c>
      <c r="H52" s="36"/>
      <c r="I52" s="188"/>
      <c r="J52" s="63"/>
      <c r="K52" s="148" t="s">
        <v>67</v>
      </c>
      <c r="L52" s="67" t="s">
        <v>68</v>
      </c>
      <c r="M52" s="65"/>
      <c r="N52" s="65"/>
      <c r="O52" s="67"/>
    </row>
    <row r="53" s="2" customFormat="1" ht="18" customHeight="1" spans="1:15">
      <c r="A53" s="48">
        <v>43466</v>
      </c>
      <c r="B53" s="25">
        <f t="shared" si="4"/>
        <v>4854368.93</v>
      </c>
      <c r="C53" s="49"/>
      <c r="D53" s="50" t="s">
        <v>36</v>
      </c>
      <c r="E53" s="46">
        <v>0.03</v>
      </c>
      <c r="F53" s="25">
        <f t="shared" si="5"/>
        <v>145631.07</v>
      </c>
      <c r="G53" s="189">
        <f>5*1000000</f>
        <v>5000000</v>
      </c>
      <c r="H53" s="36">
        <v>43339</v>
      </c>
      <c r="I53" s="188">
        <v>2095952</v>
      </c>
      <c r="J53" s="63" t="s">
        <v>20</v>
      </c>
      <c r="K53" s="148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4"/>
        <v>0</v>
      </c>
      <c r="C54" s="49"/>
      <c r="D54" s="50"/>
      <c r="E54" s="46"/>
      <c r="F54" s="25">
        <f t="shared" si="5"/>
        <v>0</v>
      </c>
      <c r="G54" s="189"/>
      <c r="H54" s="36">
        <v>43495</v>
      </c>
      <c r="I54" s="188">
        <v>3464800</v>
      </c>
      <c r="J54" s="63" t="s">
        <v>20</v>
      </c>
      <c r="K54" s="148" t="s">
        <v>53</v>
      </c>
      <c r="L54" s="67" t="s">
        <v>54</v>
      </c>
      <c r="M54" s="65"/>
      <c r="N54" s="65"/>
      <c r="O54" s="67"/>
    </row>
    <row r="55" s="2" customFormat="1" ht="18" customHeight="1" spans="1:15">
      <c r="A55" s="48"/>
      <c r="B55" s="25">
        <f t="shared" si="4"/>
        <v>0</v>
      </c>
      <c r="C55" s="49"/>
      <c r="D55" s="50"/>
      <c r="E55" s="46"/>
      <c r="F55" s="25">
        <f t="shared" si="5"/>
        <v>0</v>
      </c>
      <c r="G55" s="189"/>
      <c r="H55" s="36">
        <v>43497</v>
      </c>
      <c r="I55" s="188">
        <v>866800</v>
      </c>
      <c r="J55" s="63" t="s">
        <v>20</v>
      </c>
      <c r="K55" s="148" t="s">
        <v>53</v>
      </c>
      <c r="L55" s="67" t="s">
        <v>54</v>
      </c>
      <c r="M55" s="65"/>
      <c r="N55" s="65"/>
      <c r="O55" s="67"/>
    </row>
    <row r="56" s="2" customFormat="1" ht="18" customHeight="1" spans="1:15">
      <c r="A56" s="48"/>
      <c r="B56" s="25">
        <f t="shared" si="4"/>
        <v>0</v>
      </c>
      <c r="C56" s="49"/>
      <c r="D56" s="50"/>
      <c r="E56" s="46"/>
      <c r="F56" s="25">
        <f t="shared" si="5"/>
        <v>0</v>
      </c>
      <c r="G56" s="189"/>
      <c r="H56" s="36">
        <v>43629</v>
      </c>
      <c r="I56" s="188">
        <v>84810</v>
      </c>
      <c r="J56" s="63" t="s">
        <v>20</v>
      </c>
      <c r="K56" s="148" t="s">
        <v>69</v>
      </c>
      <c r="L56" s="67" t="s">
        <v>70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43629</v>
      </c>
      <c r="I57" s="188">
        <v>-84810</v>
      </c>
      <c r="J57" s="63" t="s">
        <v>21</v>
      </c>
      <c r="K57" s="148" t="s">
        <v>50</v>
      </c>
      <c r="L57" s="67"/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43657</v>
      </c>
      <c r="I58" s="188">
        <v>66753</v>
      </c>
      <c r="J58" s="63" t="s">
        <v>20</v>
      </c>
      <c r="K58" s="148" t="s">
        <v>69</v>
      </c>
      <c r="L58" s="67" t="s">
        <v>70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43657</v>
      </c>
      <c r="I59" s="188">
        <v>-66753</v>
      </c>
      <c r="J59" s="63" t="s">
        <v>21</v>
      </c>
      <c r="K59" s="148" t="s">
        <v>50</v>
      </c>
      <c r="L59" s="67"/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43676</v>
      </c>
      <c r="I60" s="188">
        <v>67731.14</v>
      </c>
      <c r="J60" s="63" t="s">
        <v>20</v>
      </c>
      <c r="K60" s="148" t="s">
        <v>69</v>
      </c>
      <c r="L60" s="67" t="s">
        <v>70</v>
      </c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43671</v>
      </c>
      <c r="I61" s="188">
        <v>-67731.14</v>
      </c>
      <c r="J61" s="63" t="s">
        <v>20</v>
      </c>
      <c r="K61" s="148" t="s">
        <v>71</v>
      </c>
      <c r="L61" s="67" t="s">
        <v>72</v>
      </c>
      <c r="M61" s="65"/>
      <c r="N61" s="65"/>
      <c r="O61" s="67"/>
    </row>
    <row r="62" s="2" customFormat="1" ht="18" customHeight="1" spans="1:15">
      <c r="A62" s="48">
        <v>43678</v>
      </c>
      <c r="B62" s="25">
        <f t="shared" si="4"/>
        <v>1000020</v>
      </c>
      <c r="C62" s="49"/>
      <c r="D62" s="50" t="s">
        <v>73</v>
      </c>
      <c r="E62" s="46"/>
      <c r="F62" s="25">
        <f t="shared" si="5"/>
        <v>0</v>
      </c>
      <c r="G62" s="189">
        <v>1000020</v>
      </c>
      <c r="H62" s="194">
        <v>43676</v>
      </c>
      <c r="I62" s="196">
        <v>500000</v>
      </c>
      <c r="J62" s="201" t="s">
        <v>21</v>
      </c>
      <c r="K62" s="202" t="s">
        <v>74</v>
      </c>
      <c r="L62" s="203" t="s">
        <v>75</v>
      </c>
      <c r="M62" s="201" t="s">
        <v>76</v>
      </c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194">
        <v>43682</v>
      </c>
      <c r="I63" s="196">
        <v>500000</v>
      </c>
      <c r="J63" s="201" t="s">
        <v>21</v>
      </c>
      <c r="K63" s="202" t="s">
        <v>74</v>
      </c>
      <c r="L63" s="204" t="s">
        <v>77</v>
      </c>
      <c r="M63" s="201" t="s">
        <v>76</v>
      </c>
      <c r="N63" s="65"/>
      <c r="O63" s="67"/>
    </row>
    <row r="64" s="2" customFormat="1" ht="18" customHeight="1" spans="1:15">
      <c r="A64" s="48">
        <v>43678</v>
      </c>
      <c r="B64" s="25">
        <f t="shared" si="4"/>
        <v>1000080</v>
      </c>
      <c r="C64" s="49"/>
      <c r="D64" s="50" t="s">
        <v>73</v>
      </c>
      <c r="E64" s="46"/>
      <c r="F64" s="25">
        <f t="shared" si="5"/>
        <v>0</v>
      </c>
      <c r="G64" s="189">
        <v>1000080</v>
      </c>
      <c r="H64" s="194">
        <v>43691</v>
      </c>
      <c r="I64" s="196">
        <v>1000000</v>
      </c>
      <c r="J64" s="201" t="s">
        <v>21</v>
      </c>
      <c r="K64" s="205" t="s">
        <v>78</v>
      </c>
      <c r="L64" s="206" t="s">
        <v>79</v>
      </c>
      <c r="M64" s="201" t="s">
        <v>76</v>
      </c>
      <c r="N64" s="65"/>
      <c r="O64" s="67"/>
    </row>
    <row r="65" s="2" customFormat="1" ht="18" customHeight="1" spans="1:15">
      <c r="A65" s="48"/>
      <c r="B65" s="25">
        <f t="shared" si="4"/>
        <v>0</v>
      </c>
      <c r="C65" s="49"/>
      <c r="D65" s="50"/>
      <c r="E65" s="46"/>
      <c r="F65" s="25">
        <f t="shared" si="5"/>
        <v>0</v>
      </c>
      <c r="G65" s="189"/>
      <c r="H65" s="36">
        <v>43692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36">
        <v>43692</v>
      </c>
      <c r="I66" s="188">
        <v>100000</v>
      </c>
      <c r="J66" s="63" t="s">
        <v>20</v>
      </c>
      <c r="K66" s="207" t="s">
        <v>80</v>
      </c>
      <c r="L66" s="208" t="s">
        <v>81</v>
      </c>
      <c r="M66" s="56"/>
      <c r="N66" s="65"/>
      <c r="O66" s="67"/>
    </row>
    <row r="67" s="2" customFormat="1" ht="18" customHeight="1" spans="1:15">
      <c r="A67" s="48"/>
      <c r="B67" s="25">
        <f t="shared" si="4"/>
        <v>0</v>
      </c>
      <c r="C67" s="49"/>
      <c r="D67" s="50"/>
      <c r="E67" s="46"/>
      <c r="F67" s="25">
        <f t="shared" si="5"/>
        <v>0</v>
      </c>
      <c r="G67" s="189"/>
      <c r="H67" s="36">
        <v>43703</v>
      </c>
      <c r="I67" s="188">
        <v>-100000</v>
      </c>
      <c r="J67" s="63" t="s">
        <v>21</v>
      </c>
      <c r="K67" s="207" t="s">
        <v>50</v>
      </c>
      <c r="L67" s="208"/>
      <c r="M67" s="56"/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43704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36">
        <v>43717</v>
      </c>
      <c r="I69" s="188">
        <v>-100000</v>
      </c>
      <c r="J69" s="63" t="s">
        <v>21</v>
      </c>
      <c r="K69" s="207" t="s">
        <v>50</v>
      </c>
      <c r="L69" s="67"/>
      <c r="M69" s="65"/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36">
        <v>43718</v>
      </c>
      <c r="I70" s="188">
        <v>100000</v>
      </c>
      <c r="J70" s="63" t="s">
        <v>20</v>
      </c>
      <c r="K70" s="207" t="s">
        <v>80</v>
      </c>
      <c r="L70" s="67"/>
      <c r="M70" s="65"/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194">
        <v>43734</v>
      </c>
      <c r="I71" s="196">
        <v>300000</v>
      </c>
      <c r="J71" s="201" t="s">
        <v>20</v>
      </c>
      <c r="K71" s="202" t="s">
        <v>80</v>
      </c>
      <c r="L71" s="209"/>
      <c r="M71" s="201" t="s">
        <v>76</v>
      </c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195">
        <v>43749</v>
      </c>
      <c r="I72" s="196">
        <v>500000</v>
      </c>
      <c r="J72" s="201" t="s">
        <v>20</v>
      </c>
      <c r="K72" s="202" t="s">
        <v>80</v>
      </c>
      <c r="L72" s="209"/>
      <c r="M72" s="201" t="s">
        <v>76</v>
      </c>
      <c r="N72" s="65"/>
      <c r="O72" s="67"/>
    </row>
    <row r="73" s="2" customFormat="1" ht="18" customHeight="1" spans="1:15">
      <c r="A73" s="48">
        <v>43709</v>
      </c>
      <c r="B73" s="25">
        <f t="shared" si="4"/>
        <v>12426.15</v>
      </c>
      <c r="C73" s="49"/>
      <c r="D73" s="50" t="s">
        <v>39</v>
      </c>
      <c r="E73" s="46"/>
      <c r="F73" s="25">
        <f t="shared" si="5"/>
        <v>0</v>
      </c>
      <c r="G73" s="189">
        <v>12426.15</v>
      </c>
      <c r="H73" s="36"/>
      <c r="I73" s="210"/>
      <c r="J73" s="56"/>
      <c r="K73" s="207" t="s">
        <v>68</v>
      </c>
      <c r="L73" s="82"/>
      <c r="M73" s="56"/>
      <c r="N73" s="65"/>
      <c r="O73" s="67"/>
    </row>
    <row r="74" s="2" customFormat="1" ht="18" customHeight="1" spans="1:15">
      <c r="A74" s="48">
        <v>43709</v>
      </c>
      <c r="B74" s="25">
        <f t="shared" si="4"/>
        <v>10316.04</v>
      </c>
      <c r="C74" s="49"/>
      <c r="D74" s="50" t="s">
        <v>36</v>
      </c>
      <c r="E74" s="70">
        <v>0.06</v>
      </c>
      <c r="F74" s="25">
        <f t="shared" si="5"/>
        <v>618.96</v>
      </c>
      <c r="G74" s="189">
        <v>10935</v>
      </c>
      <c r="H74" s="36"/>
      <c r="I74" s="210"/>
      <c r="J74" s="56"/>
      <c r="K74" s="207" t="s">
        <v>82</v>
      </c>
      <c r="L74" s="82" t="s">
        <v>41</v>
      </c>
      <c r="M74" s="56"/>
      <c r="N74" s="65"/>
      <c r="O74" s="67"/>
    </row>
    <row r="75" s="2" customFormat="1" ht="18" customHeight="1" spans="1:15">
      <c r="A75" s="48">
        <v>43709</v>
      </c>
      <c r="B75" s="25">
        <f t="shared" si="4"/>
        <v>10424.53</v>
      </c>
      <c r="C75" s="49"/>
      <c r="D75" s="50" t="s">
        <v>36</v>
      </c>
      <c r="E75" s="70">
        <v>0.06</v>
      </c>
      <c r="F75" s="25">
        <f t="shared" si="5"/>
        <v>625.47</v>
      </c>
      <c r="G75" s="189">
        <v>11050</v>
      </c>
      <c r="H75" s="36"/>
      <c r="I75" s="210"/>
      <c r="J75" s="56"/>
      <c r="K75" s="207" t="s">
        <v>82</v>
      </c>
      <c r="L75" s="82" t="s">
        <v>52</v>
      </c>
      <c r="M75" s="56"/>
      <c r="N75" s="65"/>
      <c r="O75" s="67"/>
    </row>
    <row r="76" s="2" customFormat="1" ht="18" customHeight="1" spans="1:15">
      <c r="A76" s="48">
        <v>43709</v>
      </c>
      <c r="B76" s="25">
        <f t="shared" si="4"/>
        <v>80009.43</v>
      </c>
      <c r="C76" s="49"/>
      <c r="D76" s="50" t="s">
        <v>36</v>
      </c>
      <c r="E76" s="70">
        <v>0.06</v>
      </c>
      <c r="F76" s="25">
        <f t="shared" si="5"/>
        <v>4800.57</v>
      </c>
      <c r="G76" s="189">
        <v>84810</v>
      </c>
      <c r="H76" s="36"/>
      <c r="I76" s="210"/>
      <c r="J76" s="56"/>
      <c r="K76" s="207" t="s">
        <v>69</v>
      </c>
      <c r="L76" s="82" t="s">
        <v>83</v>
      </c>
      <c r="M76" s="56"/>
      <c r="N76" s="65"/>
      <c r="O76" s="67"/>
    </row>
    <row r="77" s="2" customFormat="1" ht="18" customHeight="1" spans="1:15">
      <c r="A77" s="48">
        <v>43709</v>
      </c>
      <c r="B77" s="25">
        <f t="shared" si="4"/>
        <v>63897.3</v>
      </c>
      <c r="C77" s="49"/>
      <c r="D77" s="50" t="s">
        <v>36</v>
      </c>
      <c r="E77" s="70">
        <v>0.06</v>
      </c>
      <c r="F77" s="25">
        <f t="shared" si="5"/>
        <v>3833.84</v>
      </c>
      <c r="G77" s="189">
        <v>67731.14</v>
      </c>
      <c r="H77" s="36"/>
      <c r="I77" s="210"/>
      <c r="J77" s="56"/>
      <c r="K77" s="207" t="s">
        <v>69</v>
      </c>
      <c r="L77" s="82" t="s">
        <v>83</v>
      </c>
      <c r="M77" s="56"/>
      <c r="N77" s="65"/>
      <c r="O77" s="67"/>
    </row>
    <row r="78" s="2" customFormat="1" ht="18" customHeight="1" spans="1:15">
      <c r="A78" s="48">
        <v>43739</v>
      </c>
      <c r="B78" s="25">
        <f t="shared" si="4"/>
        <v>443071.38</v>
      </c>
      <c r="C78" s="49"/>
      <c r="D78" s="50" t="s">
        <v>36</v>
      </c>
      <c r="E78" s="70">
        <v>0.13</v>
      </c>
      <c r="F78" s="25">
        <f t="shared" si="5"/>
        <v>57599.28</v>
      </c>
      <c r="G78" s="189">
        <v>500670.66</v>
      </c>
      <c r="H78" s="36">
        <v>43769</v>
      </c>
      <c r="I78" s="188">
        <v>200000</v>
      </c>
      <c r="J78" s="63" t="s">
        <v>20</v>
      </c>
      <c r="K78" s="207" t="s">
        <v>80</v>
      </c>
      <c r="L78" s="82" t="s">
        <v>84</v>
      </c>
      <c r="M78" s="56"/>
      <c r="N78" s="65"/>
      <c r="O78" s="67"/>
    </row>
    <row r="79" s="2" customFormat="1" ht="18" customHeight="1" spans="1:15">
      <c r="A79" s="48">
        <v>43739</v>
      </c>
      <c r="B79" s="25">
        <f t="shared" si="4"/>
        <v>257787.35</v>
      </c>
      <c r="C79" s="49"/>
      <c r="D79" s="50" t="s">
        <v>36</v>
      </c>
      <c r="E79" s="70">
        <v>0.13</v>
      </c>
      <c r="F79" s="196">
        <f t="shared" si="5"/>
        <v>33512.35</v>
      </c>
      <c r="G79" s="189">
        <v>291299.7</v>
      </c>
      <c r="H79" s="36"/>
      <c r="I79" s="210"/>
      <c r="J79" s="63" t="s">
        <v>20</v>
      </c>
      <c r="K79" s="207" t="s">
        <v>80</v>
      </c>
      <c r="L79" s="82" t="s">
        <v>85</v>
      </c>
      <c r="M79" s="56"/>
      <c r="N79" s="65"/>
      <c r="O79" s="67"/>
    </row>
    <row r="80" s="2" customFormat="1" ht="18" customHeight="1" spans="1:15">
      <c r="A80" s="48"/>
      <c r="B80" s="25">
        <f t="shared" si="4"/>
        <v>0</v>
      </c>
      <c r="C80" s="49"/>
      <c r="D80" s="50"/>
      <c r="E80" s="70"/>
      <c r="F80" s="25">
        <f t="shared" si="5"/>
        <v>0</v>
      </c>
      <c r="G80" s="189"/>
      <c r="H80" s="36">
        <v>43769</v>
      </c>
      <c r="I80" s="188">
        <v>600000</v>
      </c>
      <c r="J80" s="63" t="s">
        <v>20</v>
      </c>
      <c r="K80" s="148" t="s">
        <v>53</v>
      </c>
      <c r="L80" s="67" t="s">
        <v>54</v>
      </c>
      <c r="M80" s="56"/>
      <c r="N80" s="65"/>
      <c r="O80" s="67"/>
    </row>
    <row r="81" s="2" customFormat="1" ht="18" customHeight="1" spans="1:15">
      <c r="A81" s="48">
        <v>43770</v>
      </c>
      <c r="B81" s="25">
        <f t="shared" si="4"/>
        <v>500010</v>
      </c>
      <c r="C81" s="49"/>
      <c r="D81" s="50" t="s">
        <v>73</v>
      </c>
      <c r="E81" s="70"/>
      <c r="F81" s="25">
        <f t="shared" si="5"/>
        <v>0</v>
      </c>
      <c r="G81" s="189">
        <v>500010</v>
      </c>
      <c r="H81" s="36">
        <v>43773</v>
      </c>
      <c r="I81" s="188">
        <v>500010</v>
      </c>
      <c r="J81" s="63" t="s">
        <v>21</v>
      </c>
      <c r="K81" s="207" t="s">
        <v>74</v>
      </c>
      <c r="L81" s="82" t="s">
        <v>86</v>
      </c>
      <c r="M81" s="56"/>
      <c r="N81" s="65"/>
      <c r="O81" s="67"/>
    </row>
    <row r="82" s="2" customFormat="1" ht="18" customHeight="1" spans="1:15">
      <c r="A82" s="48">
        <v>43770</v>
      </c>
      <c r="B82" s="25">
        <f t="shared" si="4"/>
        <v>300000</v>
      </c>
      <c r="C82" s="49"/>
      <c r="D82" s="50" t="s">
        <v>73</v>
      </c>
      <c r="E82" s="70"/>
      <c r="F82" s="25">
        <f t="shared" si="5"/>
        <v>0</v>
      </c>
      <c r="G82" s="189">
        <v>300000</v>
      </c>
      <c r="H82" s="36">
        <v>43773</v>
      </c>
      <c r="I82" s="188">
        <v>300000</v>
      </c>
      <c r="J82" s="63" t="s">
        <v>21</v>
      </c>
      <c r="K82" s="207" t="s">
        <v>87</v>
      </c>
      <c r="L82" s="82" t="s">
        <v>88</v>
      </c>
      <c r="M82" s="56"/>
      <c r="N82" s="65"/>
      <c r="O82" s="67"/>
    </row>
    <row r="83" s="2" customFormat="1" ht="18" customHeight="1" spans="1:15">
      <c r="A83" s="48">
        <v>43770</v>
      </c>
      <c r="B83" s="25">
        <f t="shared" si="4"/>
        <v>300000</v>
      </c>
      <c r="C83" s="49"/>
      <c r="D83" s="50" t="s">
        <v>73</v>
      </c>
      <c r="E83" s="70"/>
      <c r="F83" s="25">
        <f t="shared" si="5"/>
        <v>0</v>
      </c>
      <c r="G83" s="189">
        <v>300000</v>
      </c>
      <c r="H83" s="36">
        <v>43773</v>
      </c>
      <c r="I83" s="188">
        <v>300000</v>
      </c>
      <c r="J83" s="63" t="s">
        <v>21</v>
      </c>
      <c r="K83" s="207" t="s">
        <v>89</v>
      </c>
      <c r="L83" s="82" t="s">
        <v>88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4"/>
        <v>300060</v>
      </c>
      <c r="C84" s="49"/>
      <c r="D84" s="50" t="s">
        <v>73</v>
      </c>
      <c r="E84" s="70"/>
      <c r="F84" s="25">
        <f t="shared" si="5"/>
        <v>0</v>
      </c>
      <c r="G84" s="189">
        <v>300060</v>
      </c>
      <c r="H84" s="36">
        <v>43773</v>
      </c>
      <c r="I84" s="188">
        <v>300060</v>
      </c>
      <c r="J84" s="63" t="s">
        <v>21</v>
      </c>
      <c r="K84" s="207" t="s">
        <v>90</v>
      </c>
      <c r="L84" s="82" t="s">
        <v>91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0</v>
      </c>
      <c r="C85" s="49"/>
      <c r="D85" s="50"/>
      <c r="E85" s="70"/>
      <c r="F85" s="25">
        <f t="shared" si="5"/>
        <v>0</v>
      </c>
      <c r="G85" s="189"/>
      <c r="H85" s="36">
        <v>43773</v>
      </c>
      <c r="I85" s="188">
        <v>500000</v>
      </c>
      <c r="J85" s="63" t="s">
        <v>20</v>
      </c>
      <c r="K85" s="207" t="s">
        <v>92</v>
      </c>
      <c r="L85" s="82" t="s">
        <v>93</v>
      </c>
      <c r="M85" s="56"/>
      <c r="N85" s="65"/>
      <c r="O85" s="67"/>
    </row>
    <row r="86" s="2" customFormat="1" ht="18" customHeight="1" spans="1:15">
      <c r="A86" s="48"/>
      <c r="B86" s="25">
        <f t="shared" si="4"/>
        <v>0</v>
      </c>
      <c r="C86" s="49"/>
      <c r="D86" s="50"/>
      <c r="E86" s="70"/>
      <c r="F86" s="25">
        <f t="shared" si="5"/>
        <v>0</v>
      </c>
      <c r="G86" s="189"/>
      <c r="H86" s="36">
        <v>43775</v>
      </c>
      <c r="I86" s="188">
        <v>800000</v>
      </c>
      <c r="J86" s="63" t="s">
        <v>20</v>
      </c>
      <c r="K86" s="207" t="s">
        <v>94</v>
      </c>
      <c r="L86" s="82" t="s">
        <v>95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1165048.54</v>
      </c>
      <c r="C87" s="49"/>
      <c r="D87" s="50" t="s">
        <v>36</v>
      </c>
      <c r="E87" s="70">
        <v>0.03</v>
      </c>
      <c r="F87" s="197">
        <f t="shared" si="5"/>
        <v>34951.46</v>
      </c>
      <c r="G87" s="189">
        <f>96000*12+48000</f>
        <v>1200000</v>
      </c>
      <c r="H87" s="36">
        <v>43776</v>
      </c>
      <c r="I87" s="188">
        <v>400000</v>
      </c>
      <c r="J87" s="63" t="s">
        <v>20</v>
      </c>
      <c r="K87" s="207" t="s">
        <v>94</v>
      </c>
      <c r="L87" s="82" t="s">
        <v>95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ref="B88:B90" si="6">ROUND(G88/(1+E88),2)</f>
        <v>326256.05</v>
      </c>
      <c r="C88" s="49"/>
      <c r="D88" s="50" t="s">
        <v>36</v>
      </c>
      <c r="E88" s="70">
        <v>0.13</v>
      </c>
      <c r="F88" s="197">
        <f t="shared" ref="F88:F90" si="7">ROUND(G88/(1+E88)*E88,2)</f>
        <v>42413.29</v>
      </c>
      <c r="G88" s="189">
        <v>368669.34</v>
      </c>
      <c r="H88" s="36"/>
      <c r="I88" s="210"/>
      <c r="J88" s="56"/>
      <c r="K88" s="207" t="s">
        <v>80</v>
      </c>
      <c r="L88" s="82" t="s">
        <v>96</v>
      </c>
      <c r="M88" s="56"/>
      <c r="N88" s="65"/>
      <c r="O88" s="67"/>
    </row>
    <row r="89" s="2" customFormat="1" ht="18" customHeight="1" spans="1:15">
      <c r="A89" s="48">
        <v>43770</v>
      </c>
      <c r="B89" s="25">
        <f t="shared" si="6"/>
        <v>199980</v>
      </c>
      <c r="C89" s="49"/>
      <c r="D89" s="50" t="s">
        <v>73</v>
      </c>
      <c r="E89" s="70"/>
      <c r="F89" s="25">
        <f t="shared" si="7"/>
        <v>0</v>
      </c>
      <c r="G89" s="189">
        <v>199980</v>
      </c>
      <c r="H89" s="195">
        <v>43784</v>
      </c>
      <c r="I89" s="196">
        <v>199980</v>
      </c>
      <c r="J89" s="201" t="s">
        <v>21</v>
      </c>
      <c r="K89" s="202" t="s">
        <v>97</v>
      </c>
      <c r="L89" s="204" t="s">
        <v>98</v>
      </c>
      <c r="M89" s="56" t="s">
        <v>76</v>
      </c>
      <c r="N89" s="65"/>
      <c r="O89" s="67"/>
    </row>
    <row r="90" s="3" customFormat="1" ht="18" customHeight="1" spans="1:15">
      <c r="A90" s="74">
        <v>43770</v>
      </c>
      <c r="B90" s="25">
        <f t="shared" si="6"/>
        <v>442477.88</v>
      </c>
      <c r="C90" s="75"/>
      <c r="D90" s="76" t="s">
        <v>36</v>
      </c>
      <c r="E90" s="77">
        <v>0.13</v>
      </c>
      <c r="F90" s="197">
        <f t="shared" si="7"/>
        <v>57522.12</v>
      </c>
      <c r="G90" s="198">
        <v>500000</v>
      </c>
      <c r="H90" s="36"/>
      <c r="I90" s="188"/>
      <c r="J90" s="63"/>
      <c r="K90" s="207" t="s">
        <v>92</v>
      </c>
      <c r="L90" s="82" t="s">
        <v>99</v>
      </c>
      <c r="M90" s="63" t="s">
        <v>100</v>
      </c>
      <c r="N90" s="63"/>
      <c r="O90" s="82"/>
    </row>
    <row r="91" s="3" customFormat="1" ht="18" customHeight="1" spans="1:15">
      <c r="A91" s="74"/>
      <c r="B91" s="25"/>
      <c r="C91" s="75"/>
      <c r="D91" s="76"/>
      <c r="E91" s="77"/>
      <c r="F91" s="25"/>
      <c r="G91" s="198"/>
      <c r="H91" s="36">
        <v>43819</v>
      </c>
      <c r="I91" s="188">
        <v>92448</v>
      </c>
      <c r="J91" s="63" t="s">
        <v>20</v>
      </c>
      <c r="K91" s="148" t="s">
        <v>53</v>
      </c>
      <c r="L91" s="67" t="s">
        <v>54</v>
      </c>
      <c r="M91" s="63"/>
      <c r="N91" s="63"/>
      <c r="O91" s="82"/>
    </row>
    <row r="92" s="3" customFormat="1" ht="18" customHeight="1" spans="1:15">
      <c r="A92" s="74"/>
      <c r="B92" s="25">
        <f t="shared" ref="B92:B100" si="8">ROUND(G92/(1+E92),2)</f>
        <v>0</v>
      </c>
      <c r="C92" s="75"/>
      <c r="D92" s="76"/>
      <c r="E92" s="77"/>
      <c r="F92" s="25">
        <f t="shared" ref="F92:F100" si="9">ROUND(G92/(1+E92)*E92,2)</f>
        <v>0</v>
      </c>
      <c r="G92" s="198"/>
      <c r="H92" s="36">
        <v>43829</v>
      </c>
      <c r="I92" s="188">
        <v>800000</v>
      </c>
      <c r="J92" s="63" t="s">
        <v>20</v>
      </c>
      <c r="K92" s="207" t="s">
        <v>80</v>
      </c>
      <c r="L92" s="82" t="s">
        <v>81</v>
      </c>
      <c r="M92" s="63"/>
      <c r="N92" s="63"/>
      <c r="O92" s="82"/>
    </row>
    <row r="93" s="3" customFormat="1" ht="18" customHeight="1" spans="1:15">
      <c r="A93" s="74">
        <v>43800</v>
      </c>
      <c r="B93" s="25">
        <f t="shared" si="8"/>
        <v>650987.86</v>
      </c>
      <c r="C93" s="75"/>
      <c r="D93" s="76" t="s">
        <v>36</v>
      </c>
      <c r="E93" s="77">
        <v>0.13</v>
      </c>
      <c r="F93" s="25">
        <f t="shared" si="9"/>
        <v>84628.42</v>
      </c>
      <c r="G93" s="198">
        <v>735616.28</v>
      </c>
      <c r="H93" s="36"/>
      <c r="I93" s="188"/>
      <c r="J93" s="63"/>
      <c r="K93" s="207" t="s">
        <v>80</v>
      </c>
      <c r="L93" s="82" t="s">
        <v>101</v>
      </c>
      <c r="M93" s="63" t="s">
        <v>100</v>
      </c>
      <c r="N93" s="63"/>
      <c r="O93" s="82"/>
    </row>
    <row r="94" s="3" customFormat="1" ht="18" customHeight="1" spans="1:15">
      <c r="A94" s="74">
        <v>43800</v>
      </c>
      <c r="B94" s="25">
        <f t="shared" si="8"/>
        <v>5825242.72</v>
      </c>
      <c r="C94" s="75"/>
      <c r="D94" s="50" t="s">
        <v>36</v>
      </c>
      <c r="E94" s="70">
        <v>0.03</v>
      </c>
      <c r="F94" s="25">
        <f t="shared" si="9"/>
        <v>174757.28</v>
      </c>
      <c r="G94" s="198">
        <f>1000000*6</f>
        <v>6000000</v>
      </c>
      <c r="H94" s="36">
        <v>43843</v>
      </c>
      <c r="I94" s="188">
        <v>1000000</v>
      </c>
      <c r="J94" s="63" t="s">
        <v>20</v>
      </c>
      <c r="K94" s="207" t="s">
        <v>53</v>
      </c>
      <c r="L94" s="82" t="s">
        <v>54</v>
      </c>
      <c r="M94" s="63" t="s">
        <v>100</v>
      </c>
      <c r="N94" s="63"/>
      <c r="O94" s="82" t="s">
        <v>102</v>
      </c>
    </row>
    <row r="95" s="3" customFormat="1" ht="18" customHeight="1" spans="1:15">
      <c r="A95" s="74">
        <v>43831</v>
      </c>
      <c r="B95" s="25">
        <f t="shared" si="8"/>
        <v>3623633.45</v>
      </c>
      <c r="C95" s="75"/>
      <c r="D95" s="50" t="s">
        <v>36</v>
      </c>
      <c r="E95" s="77">
        <v>0.09</v>
      </c>
      <c r="F95" s="25">
        <f t="shared" si="9"/>
        <v>326127.01</v>
      </c>
      <c r="G95" s="198">
        <f>1000000*3+949760.46</f>
        <v>3949760.46</v>
      </c>
      <c r="H95" s="36">
        <v>43844</v>
      </c>
      <c r="I95" s="188">
        <v>500000</v>
      </c>
      <c r="J95" s="63" t="s">
        <v>20</v>
      </c>
      <c r="K95" s="207" t="s">
        <v>103</v>
      </c>
      <c r="L95" s="82" t="s">
        <v>54</v>
      </c>
      <c r="M95" s="63" t="s">
        <v>100</v>
      </c>
      <c r="N95" s="63"/>
      <c r="O95" s="82"/>
    </row>
    <row r="96" s="3" customFormat="1" ht="18" customHeight="1" spans="1:15">
      <c r="A96" s="74"/>
      <c r="B96" s="25">
        <f t="shared" si="8"/>
        <v>0</v>
      </c>
      <c r="C96" s="75"/>
      <c r="D96" s="76"/>
      <c r="E96" s="77"/>
      <c r="F96" s="25">
        <f t="shared" si="9"/>
        <v>0</v>
      </c>
      <c r="G96" s="198"/>
      <c r="H96" s="36">
        <v>43845</v>
      </c>
      <c r="I96" s="188">
        <v>2000000</v>
      </c>
      <c r="J96" s="63" t="s">
        <v>20</v>
      </c>
      <c r="K96" s="207" t="s">
        <v>103</v>
      </c>
      <c r="L96" s="82" t="s">
        <v>54</v>
      </c>
      <c r="M96" s="63"/>
      <c r="N96" s="63"/>
      <c r="O96" s="82"/>
    </row>
    <row r="97" s="3" customFormat="1" ht="18" customHeight="1" spans="1:15">
      <c r="A97" s="74"/>
      <c r="B97" s="25">
        <f t="shared" si="8"/>
        <v>0</v>
      </c>
      <c r="C97" s="75"/>
      <c r="D97" s="76"/>
      <c r="E97" s="77"/>
      <c r="F97" s="25">
        <f t="shared" si="9"/>
        <v>0</v>
      </c>
      <c r="G97" s="198"/>
      <c r="H97" s="36">
        <v>43849</v>
      </c>
      <c r="I97" s="188">
        <v>1449760.46</v>
      </c>
      <c r="J97" s="63" t="s">
        <v>20</v>
      </c>
      <c r="K97" s="207" t="s">
        <v>103</v>
      </c>
      <c r="L97" s="82" t="s">
        <v>54</v>
      </c>
      <c r="M97" s="63"/>
      <c r="N97" s="63"/>
      <c r="O97" s="82"/>
    </row>
    <row r="98" s="3" customFormat="1" ht="18" customHeight="1" spans="1:15">
      <c r="A98" s="74">
        <v>43831</v>
      </c>
      <c r="B98" s="25">
        <f t="shared" si="8"/>
        <v>600000</v>
      </c>
      <c r="C98" s="75"/>
      <c r="D98" s="50" t="s">
        <v>73</v>
      </c>
      <c r="E98" s="77"/>
      <c r="F98" s="25">
        <f t="shared" si="9"/>
        <v>0</v>
      </c>
      <c r="G98" s="188">
        <v>600000</v>
      </c>
      <c r="H98" s="36">
        <v>43850</v>
      </c>
      <c r="I98" s="188">
        <v>600000</v>
      </c>
      <c r="J98" s="63" t="s">
        <v>21</v>
      </c>
      <c r="K98" s="207" t="s">
        <v>89</v>
      </c>
      <c r="L98" s="82" t="s">
        <v>104</v>
      </c>
      <c r="M98" s="63"/>
      <c r="N98" s="63"/>
      <c r="O98" s="82"/>
    </row>
    <row r="99" s="3" customFormat="1" ht="18" customHeight="1" spans="1:15">
      <c r="A99" s="74">
        <v>43831</v>
      </c>
      <c r="B99" s="25">
        <f t="shared" si="8"/>
        <v>600000</v>
      </c>
      <c r="C99" s="75"/>
      <c r="D99" s="50" t="s">
        <v>73</v>
      </c>
      <c r="E99" s="77"/>
      <c r="F99" s="25">
        <f t="shared" si="9"/>
        <v>0</v>
      </c>
      <c r="G99" s="188">
        <v>600000</v>
      </c>
      <c r="H99" s="36">
        <v>43850</v>
      </c>
      <c r="I99" s="188">
        <v>600000</v>
      </c>
      <c r="J99" s="63" t="s">
        <v>21</v>
      </c>
      <c r="K99" s="207" t="s">
        <v>87</v>
      </c>
      <c r="L99" s="82" t="s">
        <v>104</v>
      </c>
      <c r="M99" s="63"/>
      <c r="N99" s="63"/>
      <c r="O99" s="82"/>
    </row>
    <row r="100" s="3" customFormat="1" ht="18" customHeight="1" spans="1:15">
      <c r="A100" s="74">
        <v>43891</v>
      </c>
      <c r="B100" s="25">
        <f t="shared" si="8"/>
        <v>530100</v>
      </c>
      <c r="C100" s="75"/>
      <c r="D100" s="50" t="s">
        <v>73</v>
      </c>
      <c r="E100" s="77"/>
      <c r="F100" s="25">
        <f t="shared" si="9"/>
        <v>0</v>
      </c>
      <c r="G100" s="188">
        <v>530100</v>
      </c>
      <c r="H100" s="36">
        <v>43903</v>
      </c>
      <c r="I100" s="188">
        <v>530000</v>
      </c>
      <c r="J100" s="63" t="s">
        <v>21</v>
      </c>
      <c r="K100" s="207" t="s">
        <v>105</v>
      </c>
      <c r="L100" s="82" t="s">
        <v>77</v>
      </c>
      <c r="M100" s="63"/>
      <c r="N100" s="63"/>
      <c r="O100" s="82"/>
    </row>
    <row r="101" s="3" customFormat="1" ht="18" customHeight="1" spans="1:15">
      <c r="A101" s="74">
        <v>43952</v>
      </c>
      <c r="B101" s="25">
        <f>298648.6+188837.04+318653.29</f>
        <v>806138.93</v>
      </c>
      <c r="C101" s="75">
        <v>3</v>
      </c>
      <c r="D101" s="50" t="s">
        <v>36</v>
      </c>
      <c r="E101" s="77">
        <v>0.13</v>
      </c>
      <c r="F101" s="25">
        <f>38824.32+24548.82+41424.93</f>
        <v>104798.07</v>
      </c>
      <c r="G101" s="198">
        <f>337472.92+213385.86+360078.22</f>
        <v>910937</v>
      </c>
      <c r="H101" s="36">
        <v>43903</v>
      </c>
      <c r="I101" s="188">
        <v>200000</v>
      </c>
      <c r="J101" s="63" t="s">
        <v>20</v>
      </c>
      <c r="K101" s="207" t="s">
        <v>80</v>
      </c>
      <c r="L101" s="82" t="s">
        <v>169</v>
      </c>
      <c r="M101" s="63" t="s">
        <v>100</v>
      </c>
      <c r="N101" s="63" t="s">
        <v>170</v>
      </c>
      <c r="O101" s="82"/>
    </row>
    <row r="102" s="3" customFormat="1" ht="18" customHeight="1" spans="1:15">
      <c r="A102" s="74"/>
      <c r="B102" s="25">
        <f t="shared" ref="B102:B104" si="10">ROUND(G102/(1+E102),2)</f>
        <v>0</v>
      </c>
      <c r="C102" s="75"/>
      <c r="D102" s="50"/>
      <c r="E102" s="77"/>
      <c r="F102" s="25">
        <f t="shared" ref="F102:F104" si="11">ROUND(G102/(1+E102)*E102,2)</f>
        <v>0</v>
      </c>
      <c r="G102" s="198"/>
      <c r="H102" s="36">
        <v>43950</v>
      </c>
      <c r="I102" s="188">
        <v>400000</v>
      </c>
      <c r="J102" s="63" t="s">
        <v>20</v>
      </c>
      <c r="K102" s="207" t="s">
        <v>155</v>
      </c>
      <c r="L102" s="82" t="s">
        <v>81</v>
      </c>
      <c r="M102" s="63"/>
      <c r="N102" s="63"/>
      <c r="O102" s="82"/>
    </row>
    <row r="103" s="3" customFormat="1" ht="18" customHeight="1" spans="1:15">
      <c r="A103" s="74"/>
      <c r="B103" s="25">
        <f t="shared" si="10"/>
        <v>0</v>
      </c>
      <c r="C103" s="75"/>
      <c r="D103" s="50"/>
      <c r="E103" s="77"/>
      <c r="F103" s="25">
        <f t="shared" si="11"/>
        <v>0</v>
      </c>
      <c r="G103" s="198"/>
      <c r="H103" s="36">
        <v>43951</v>
      </c>
      <c r="I103" s="188">
        <v>970000</v>
      </c>
      <c r="J103" s="63" t="s">
        <v>21</v>
      </c>
      <c r="K103" s="207" t="s">
        <v>105</v>
      </c>
      <c r="L103" s="82"/>
      <c r="M103" s="63"/>
      <c r="N103" s="63"/>
      <c r="O103" s="82"/>
    </row>
    <row r="104" s="3" customFormat="1" ht="18" customHeight="1" spans="1:15">
      <c r="A104" s="74"/>
      <c r="B104" s="25">
        <f t="shared" si="10"/>
        <v>0</v>
      </c>
      <c r="C104" s="75"/>
      <c r="D104" s="50"/>
      <c r="E104" s="77"/>
      <c r="F104" s="25">
        <f t="shared" si="11"/>
        <v>0</v>
      </c>
      <c r="G104" s="198"/>
      <c r="H104" s="36">
        <v>43966</v>
      </c>
      <c r="I104" s="188">
        <v>150000</v>
      </c>
      <c r="J104" s="63" t="s">
        <v>20</v>
      </c>
      <c r="K104" s="207" t="s">
        <v>155</v>
      </c>
      <c r="L104" s="82" t="s">
        <v>81</v>
      </c>
      <c r="M104" s="63"/>
      <c r="N104" s="63"/>
      <c r="O104" s="82"/>
    </row>
    <row r="105" s="3" customFormat="1" ht="17.1" customHeight="1" spans="1:15">
      <c r="A105" s="74">
        <v>43831</v>
      </c>
      <c r="B105" s="25">
        <v>2632.08</v>
      </c>
      <c r="C105" s="75">
        <v>1</v>
      </c>
      <c r="D105" s="50" t="s">
        <v>36</v>
      </c>
      <c r="E105" s="77">
        <v>0.06</v>
      </c>
      <c r="F105" s="25">
        <v>157.92</v>
      </c>
      <c r="G105" s="198">
        <v>2790</v>
      </c>
      <c r="H105" s="36"/>
      <c r="I105" s="188"/>
      <c r="J105" s="63"/>
      <c r="K105" s="238" t="s">
        <v>156</v>
      </c>
      <c r="L105" s="208" t="s">
        <v>52</v>
      </c>
      <c r="M105" s="56" t="s">
        <v>171</v>
      </c>
      <c r="N105" s="63"/>
      <c r="O105" s="82"/>
    </row>
    <row r="106" s="3" customFormat="1" ht="17.1" customHeight="1" spans="1:15">
      <c r="A106" s="74"/>
      <c r="B106" s="25"/>
      <c r="C106" s="75"/>
      <c r="D106" s="50"/>
      <c r="E106" s="77"/>
      <c r="F106" s="25"/>
      <c r="G106" s="198"/>
      <c r="H106" s="36">
        <v>43993</v>
      </c>
      <c r="I106" s="188">
        <v>100000</v>
      </c>
      <c r="J106" s="63"/>
      <c r="K106" s="207" t="s">
        <v>155</v>
      </c>
      <c r="L106" s="82"/>
      <c r="M106" s="63"/>
      <c r="N106" s="63"/>
      <c r="O106" s="82"/>
    </row>
    <row r="107" s="3" customFormat="1" ht="17.1" customHeight="1" spans="1:15">
      <c r="A107" s="74"/>
      <c r="B107" s="25"/>
      <c r="C107" s="75"/>
      <c r="D107" s="50"/>
      <c r="E107" s="77"/>
      <c r="F107" s="25"/>
      <c r="G107" s="198"/>
      <c r="H107" s="36">
        <v>43994</v>
      </c>
      <c r="I107" s="188">
        <v>1000000</v>
      </c>
      <c r="J107" s="63"/>
      <c r="K107" s="213" t="s">
        <v>165</v>
      </c>
      <c r="L107" s="82" t="s">
        <v>54</v>
      </c>
      <c r="M107" s="63"/>
      <c r="N107" s="63"/>
      <c r="O107" s="82"/>
    </row>
    <row r="108" s="3" customFormat="1" ht="17.1" customHeight="1" spans="1:15">
      <c r="A108" s="74"/>
      <c r="B108" s="25"/>
      <c r="C108" s="75"/>
      <c r="D108" s="50"/>
      <c r="E108" s="77"/>
      <c r="F108" s="25"/>
      <c r="G108" s="198"/>
      <c r="H108" s="36">
        <v>44000</v>
      </c>
      <c r="I108" s="214">
        <v>500000</v>
      </c>
      <c r="J108" s="63" t="s">
        <v>20</v>
      </c>
      <c r="K108" s="171" t="s">
        <v>166</v>
      </c>
      <c r="L108" s="82"/>
      <c r="M108" s="63"/>
      <c r="N108" s="63"/>
      <c r="O108" s="82"/>
    </row>
    <row r="109" s="3" customFormat="1" ht="17.1" customHeight="1" spans="1:15">
      <c r="A109" s="74"/>
      <c r="B109" s="25"/>
      <c r="C109" s="75"/>
      <c r="D109" s="50"/>
      <c r="E109" s="77"/>
      <c r="F109" s="25"/>
      <c r="G109" s="198"/>
      <c r="H109" s="36">
        <v>44000</v>
      </c>
      <c r="I109" s="214">
        <v>600040</v>
      </c>
      <c r="J109" s="63" t="s">
        <v>20</v>
      </c>
      <c r="K109" s="171" t="s">
        <v>167</v>
      </c>
      <c r="L109" s="82"/>
      <c r="M109" s="63"/>
      <c r="N109" s="63"/>
      <c r="O109" s="82"/>
    </row>
    <row r="110" s="3" customFormat="1" ht="17.1" customHeight="1" spans="1:15">
      <c r="A110" s="74"/>
      <c r="B110" s="25"/>
      <c r="C110" s="75"/>
      <c r="D110" s="50"/>
      <c r="E110" s="77"/>
      <c r="F110" s="25"/>
      <c r="G110" s="198"/>
      <c r="H110" s="36">
        <v>44000</v>
      </c>
      <c r="I110" s="214">
        <v>600120</v>
      </c>
      <c r="J110" s="63" t="s">
        <v>20</v>
      </c>
      <c r="K110" s="171" t="s">
        <v>168</v>
      </c>
      <c r="L110" s="82"/>
      <c r="M110" s="63"/>
      <c r="N110" s="63"/>
      <c r="O110" s="82"/>
    </row>
    <row r="111" s="3" customFormat="1" ht="17.1" customHeight="1" spans="1:15">
      <c r="A111" s="74"/>
      <c r="B111" s="25"/>
      <c r="C111" s="75"/>
      <c r="D111" s="50"/>
      <c r="E111" s="77"/>
      <c r="F111" s="25"/>
      <c r="G111" s="198"/>
      <c r="H111" s="36">
        <v>44000</v>
      </c>
      <c r="I111" s="214">
        <v>300000</v>
      </c>
      <c r="J111" s="63" t="s">
        <v>20</v>
      </c>
      <c r="K111" s="171" t="s">
        <v>89</v>
      </c>
      <c r="L111" s="82"/>
      <c r="M111" s="63"/>
      <c r="N111" s="63"/>
      <c r="O111" s="82"/>
    </row>
    <row r="112" s="3" customFormat="1" ht="17.1" customHeight="1" spans="1:15">
      <c r="A112" s="74"/>
      <c r="B112" s="25"/>
      <c r="C112" s="75"/>
      <c r="D112" s="50"/>
      <c r="E112" s="77"/>
      <c r="F112" s="25"/>
      <c r="G112" s="198"/>
      <c r="H112" s="36">
        <v>44001</v>
      </c>
      <c r="I112" s="214">
        <v>300000</v>
      </c>
      <c r="J112" s="63" t="s">
        <v>20</v>
      </c>
      <c r="K112" s="171" t="s">
        <v>87</v>
      </c>
      <c r="L112" s="82"/>
      <c r="M112" s="63"/>
      <c r="N112" s="63"/>
      <c r="O112" s="82"/>
    </row>
    <row r="113" s="3" customFormat="1" ht="18" customHeight="1" spans="1:15">
      <c r="A113" s="74"/>
      <c r="B113" s="25"/>
      <c r="C113" s="75"/>
      <c r="D113" s="50"/>
      <c r="E113" s="77"/>
      <c r="F113" s="25"/>
      <c r="G113" s="198"/>
      <c r="H113" s="199">
        <v>44005</v>
      </c>
      <c r="I113" s="215">
        <v>170000</v>
      </c>
      <c r="J113" s="216" t="s">
        <v>20</v>
      </c>
      <c r="K113" s="217" t="s">
        <v>155</v>
      </c>
      <c r="L113" s="82"/>
      <c r="M113" s="63"/>
      <c r="N113" s="63"/>
      <c r="O113" s="82"/>
    </row>
    <row r="114" s="3" customFormat="1" ht="18" customHeight="1" spans="1:15">
      <c r="A114" s="74"/>
      <c r="B114" s="25"/>
      <c r="C114" s="75"/>
      <c r="D114" s="50"/>
      <c r="E114" s="77"/>
      <c r="F114" s="25"/>
      <c r="G114" s="198"/>
      <c r="H114" s="195">
        <v>44012</v>
      </c>
      <c r="I114" s="262">
        <v>1000000</v>
      </c>
      <c r="J114" s="176" t="s">
        <v>164</v>
      </c>
      <c r="K114" s="205" t="s">
        <v>80</v>
      </c>
      <c r="L114" s="206" t="s">
        <v>81</v>
      </c>
      <c r="M114" s="227" t="s">
        <v>76</v>
      </c>
      <c r="N114" s="63"/>
      <c r="O114" s="82"/>
    </row>
    <row r="115" s="3" customFormat="1" ht="18" customHeight="1" spans="1:15">
      <c r="A115" s="74"/>
      <c r="B115" s="25"/>
      <c r="C115" s="75"/>
      <c r="D115" s="50"/>
      <c r="E115" s="77"/>
      <c r="F115" s="25"/>
      <c r="G115" s="198"/>
      <c r="H115" s="199"/>
      <c r="I115" s="215"/>
      <c r="J115" s="230"/>
      <c r="K115" s="225"/>
      <c r="L115" s="82"/>
      <c r="M115" s="63"/>
      <c r="N115" s="63"/>
      <c r="O115" s="82"/>
    </row>
    <row r="116" s="3" customFormat="1" ht="18" customHeight="1" spans="1:15">
      <c r="A116" s="74"/>
      <c r="B116" s="25"/>
      <c r="C116" s="75"/>
      <c r="D116" s="50"/>
      <c r="E116" s="77"/>
      <c r="F116" s="25"/>
      <c r="G116" s="198"/>
      <c r="H116" s="199"/>
      <c r="I116" s="215"/>
      <c r="J116" s="230"/>
      <c r="K116" s="225"/>
      <c r="L116" s="82"/>
      <c r="M116" s="63"/>
      <c r="N116" s="63"/>
      <c r="O116" s="82"/>
    </row>
    <row r="117" s="3" customFormat="1" ht="18" customHeight="1" spans="1:15">
      <c r="A117" s="74"/>
      <c r="B117" s="25"/>
      <c r="C117" s="75"/>
      <c r="D117" s="50"/>
      <c r="E117" s="77"/>
      <c r="F117" s="25"/>
      <c r="G117" s="198"/>
      <c r="H117" s="199"/>
      <c r="I117" s="215"/>
      <c r="J117" s="230"/>
      <c r="K117" s="225"/>
      <c r="L117" s="82"/>
      <c r="M117" s="63"/>
      <c r="N117" s="63"/>
      <c r="O117" s="82"/>
    </row>
    <row r="118" s="3" customFormat="1" ht="18" customHeight="1" spans="1:15">
      <c r="A118" s="74"/>
      <c r="B118" s="25"/>
      <c r="C118" s="75"/>
      <c r="D118" s="50"/>
      <c r="E118" s="77"/>
      <c r="F118" s="25"/>
      <c r="G118" s="198"/>
      <c r="H118" s="199"/>
      <c r="I118" s="215"/>
      <c r="J118" s="230"/>
      <c r="K118" s="225"/>
      <c r="L118" s="82"/>
      <c r="M118" s="63"/>
      <c r="N118" s="63"/>
      <c r="O118" s="82"/>
    </row>
    <row r="119" s="3" customFormat="1" ht="18" customHeight="1" spans="1:15">
      <c r="A119" s="74"/>
      <c r="B119" s="25"/>
      <c r="C119" s="75"/>
      <c r="D119" s="50"/>
      <c r="E119" s="77"/>
      <c r="F119" s="25"/>
      <c r="G119" s="198"/>
      <c r="H119" s="199"/>
      <c r="I119" s="215"/>
      <c r="J119" s="230"/>
      <c r="K119" s="225"/>
      <c r="L119" s="82"/>
      <c r="M119" s="63"/>
      <c r="N119" s="63"/>
      <c r="O119" s="82"/>
    </row>
    <row r="120" s="3" customFormat="1" ht="18" customHeight="1" spans="1:15">
      <c r="A120" s="74"/>
      <c r="B120" s="25"/>
      <c r="C120" s="75"/>
      <c r="D120" s="50"/>
      <c r="E120" s="77"/>
      <c r="F120" s="25"/>
      <c r="G120" s="198"/>
      <c r="H120" s="194">
        <v>44012</v>
      </c>
      <c r="I120" s="229">
        <v>-2000000</v>
      </c>
      <c r="J120" s="201"/>
      <c r="K120" s="204" t="s">
        <v>162</v>
      </c>
      <c r="L120" s="82"/>
      <c r="M120" s="63"/>
      <c r="N120" s="63"/>
      <c r="O120" s="82"/>
    </row>
    <row r="121" s="3" customFormat="1" ht="18" customHeight="1" spans="1:15">
      <c r="A121" s="74"/>
      <c r="B121" s="25"/>
      <c r="C121" s="75"/>
      <c r="D121" s="50"/>
      <c r="E121" s="77"/>
      <c r="F121" s="25"/>
      <c r="G121" s="198"/>
      <c r="H121" s="195">
        <v>44012</v>
      </c>
      <c r="I121" s="237">
        <v>100</v>
      </c>
      <c r="J121" s="227" t="s">
        <v>106</v>
      </c>
      <c r="K121" s="206" t="s">
        <v>110</v>
      </c>
      <c r="L121" s="82"/>
      <c r="M121" s="63"/>
      <c r="N121" s="63"/>
      <c r="O121" s="82"/>
    </row>
    <row r="122" s="3" customFormat="1" ht="17.1" customHeight="1" spans="1:15">
      <c r="A122" s="74"/>
      <c r="B122" s="25"/>
      <c r="C122" s="75"/>
      <c r="D122" s="50"/>
      <c r="E122" s="77"/>
      <c r="F122" s="25"/>
      <c r="G122" s="198"/>
      <c r="H122" s="199">
        <v>44005</v>
      </c>
      <c r="I122" s="233">
        <v>100</v>
      </c>
      <c r="J122" s="216" t="s">
        <v>106</v>
      </c>
      <c r="K122" s="234" t="s">
        <v>110</v>
      </c>
      <c r="L122" s="82"/>
      <c r="M122" s="63"/>
      <c r="N122" s="63"/>
      <c r="O122" s="82"/>
    </row>
    <row r="123" s="3" customFormat="1" ht="17.1" customHeight="1" spans="1:15">
      <c r="A123" s="74"/>
      <c r="B123" s="25"/>
      <c r="C123" s="75"/>
      <c r="D123" s="50"/>
      <c r="E123" s="77"/>
      <c r="F123" s="25"/>
      <c r="G123" s="198"/>
      <c r="H123" s="36">
        <v>44001</v>
      </c>
      <c r="I123" s="82">
        <v>100</v>
      </c>
      <c r="J123" s="63" t="s">
        <v>106</v>
      </c>
      <c r="K123" s="82" t="s">
        <v>110</v>
      </c>
      <c r="L123" s="82"/>
      <c r="M123" s="63"/>
      <c r="N123" s="63"/>
      <c r="O123" s="82"/>
    </row>
    <row r="124" s="3" customFormat="1" ht="17.1" customHeight="1" spans="1:15">
      <c r="A124" s="74"/>
      <c r="B124" s="25"/>
      <c r="C124" s="75"/>
      <c r="D124" s="50"/>
      <c r="E124" s="77"/>
      <c r="F124" s="25"/>
      <c r="G124" s="198"/>
      <c r="H124" s="36">
        <v>44000</v>
      </c>
      <c r="I124" s="82">
        <v>100</v>
      </c>
      <c r="J124" s="63" t="s">
        <v>106</v>
      </c>
      <c r="K124" s="82" t="s">
        <v>110</v>
      </c>
      <c r="L124" s="82"/>
      <c r="M124" s="63"/>
      <c r="N124" s="63"/>
      <c r="O124" s="82"/>
    </row>
    <row r="125" s="3" customFormat="1" ht="17.1" customHeight="1" spans="1:15">
      <c r="A125" s="74"/>
      <c r="B125" s="25"/>
      <c r="C125" s="75"/>
      <c r="D125" s="50"/>
      <c r="E125" s="77"/>
      <c r="F125" s="25"/>
      <c r="G125" s="198"/>
      <c r="H125" s="36">
        <v>44000</v>
      </c>
      <c r="I125" s="82">
        <v>300</v>
      </c>
      <c r="J125" s="65" t="s">
        <v>106</v>
      </c>
      <c r="K125" s="207" t="s">
        <v>110</v>
      </c>
      <c r="L125" s="82"/>
      <c r="M125" s="63"/>
      <c r="N125" s="63"/>
      <c r="O125" s="82"/>
    </row>
    <row r="126" s="3" customFormat="1" ht="17.1" customHeight="1" spans="1:15">
      <c r="A126" s="74"/>
      <c r="B126" s="25"/>
      <c r="C126" s="75"/>
      <c r="D126" s="50"/>
      <c r="E126" s="77"/>
      <c r="F126" s="25"/>
      <c r="G126" s="198"/>
      <c r="H126" s="36">
        <v>43994</v>
      </c>
      <c r="I126" s="235">
        <v>100</v>
      </c>
      <c r="J126" s="65" t="s">
        <v>106</v>
      </c>
      <c r="K126" s="207" t="s">
        <v>110</v>
      </c>
      <c r="L126" s="82"/>
      <c r="M126" s="63"/>
      <c r="N126" s="63"/>
      <c r="O126" s="82"/>
    </row>
    <row r="127" s="3" customFormat="1" ht="18" customHeight="1" spans="1:15">
      <c r="A127" s="74"/>
      <c r="B127" s="25"/>
      <c r="C127" s="75"/>
      <c r="D127" s="50"/>
      <c r="E127" s="77"/>
      <c r="F127" s="25"/>
      <c r="G127" s="198"/>
      <c r="H127" s="36">
        <v>43994</v>
      </c>
      <c r="I127" s="236">
        <v>72400</v>
      </c>
      <c r="J127" s="65" t="s">
        <v>106</v>
      </c>
      <c r="K127" s="207" t="s">
        <v>121</v>
      </c>
      <c r="L127" s="82"/>
      <c r="M127" s="63"/>
      <c r="N127" s="63"/>
      <c r="O127" s="82"/>
    </row>
    <row r="128" s="3" customFormat="1" ht="18" customHeight="1" spans="1:15">
      <c r="A128" s="74"/>
      <c r="B128" s="25"/>
      <c r="C128" s="75"/>
      <c r="D128" s="50"/>
      <c r="E128" s="77"/>
      <c r="F128" s="25"/>
      <c r="G128" s="198"/>
      <c r="H128" s="36">
        <v>43994</v>
      </c>
      <c r="I128" s="188">
        <v>1992.66055045872</v>
      </c>
      <c r="J128" s="65" t="s">
        <v>106</v>
      </c>
      <c r="K128" s="207" t="s">
        <v>123</v>
      </c>
      <c r="L128" s="82"/>
      <c r="M128" s="63"/>
      <c r="N128" s="63"/>
      <c r="O128" s="82"/>
    </row>
    <row r="129" s="3" customFormat="1" ht="18" customHeight="1" spans="1:15">
      <c r="A129" s="74"/>
      <c r="B129" s="25">
        <f t="shared" ref="B129:B135" si="12">ROUND(G129/(1+E129),2)</f>
        <v>0</v>
      </c>
      <c r="C129" s="75"/>
      <c r="D129" s="50"/>
      <c r="E129" s="77"/>
      <c r="F129" s="25">
        <f t="shared" ref="F129:F135" si="13">ROUND(G129/(1+E129)*E129,2)</f>
        <v>0</v>
      </c>
      <c r="G129" s="198"/>
      <c r="H129" s="36">
        <v>43994</v>
      </c>
      <c r="I129" s="188">
        <v>18100</v>
      </c>
      <c r="J129" s="65" t="s">
        <v>106</v>
      </c>
      <c r="K129" s="207" t="s">
        <v>157</v>
      </c>
      <c r="L129" s="82"/>
      <c r="M129" s="63"/>
      <c r="N129" s="63"/>
      <c r="O129" s="82"/>
    </row>
    <row r="130" s="3" customFormat="1" ht="18" customHeight="1" spans="1:15">
      <c r="A130" s="74"/>
      <c r="B130" s="25"/>
      <c r="C130" s="75"/>
      <c r="D130" s="50"/>
      <c r="E130" s="77"/>
      <c r="F130" s="25"/>
      <c r="G130" s="198"/>
      <c r="H130" s="36">
        <v>43993</v>
      </c>
      <c r="I130" s="188">
        <v>100</v>
      </c>
      <c r="J130" s="65" t="s">
        <v>106</v>
      </c>
      <c r="K130" s="207" t="s">
        <v>110</v>
      </c>
      <c r="L130" s="82"/>
      <c r="M130" s="63"/>
      <c r="N130" s="63"/>
      <c r="O130" s="82"/>
    </row>
    <row r="131" s="3" customFormat="1" ht="18" customHeight="1" spans="1:15">
      <c r="A131" s="74"/>
      <c r="B131" s="25">
        <f t="shared" si="12"/>
        <v>0</v>
      </c>
      <c r="C131" s="75"/>
      <c r="D131" s="50"/>
      <c r="E131" s="77"/>
      <c r="F131" s="25">
        <f t="shared" si="13"/>
        <v>0</v>
      </c>
      <c r="G131" s="198"/>
      <c r="H131" s="36">
        <v>43966</v>
      </c>
      <c r="I131" s="188">
        <v>100</v>
      </c>
      <c r="J131" s="65" t="s">
        <v>106</v>
      </c>
      <c r="K131" s="207" t="s">
        <v>110</v>
      </c>
      <c r="L131" s="82"/>
      <c r="M131" s="63"/>
      <c r="N131" s="63"/>
      <c r="O131" s="82"/>
    </row>
    <row r="132" s="3" customFormat="1" ht="18" customHeight="1" spans="1:15">
      <c r="A132" s="74"/>
      <c r="B132" s="25">
        <f t="shared" si="12"/>
        <v>0</v>
      </c>
      <c r="C132" s="75"/>
      <c r="D132" s="50"/>
      <c r="E132" s="77"/>
      <c r="F132" s="25">
        <f t="shared" si="13"/>
        <v>0</v>
      </c>
      <c r="G132" s="198"/>
      <c r="H132" s="76">
        <v>10.2</v>
      </c>
      <c r="I132" s="188">
        <v>100</v>
      </c>
      <c r="J132" s="65" t="s">
        <v>106</v>
      </c>
      <c r="K132" s="207" t="s">
        <v>110</v>
      </c>
      <c r="L132" s="82"/>
      <c r="M132" s="63"/>
      <c r="N132" s="63"/>
      <c r="O132" s="82"/>
    </row>
    <row r="133" s="3" customFormat="1" ht="18" customHeight="1" spans="1:15">
      <c r="A133" s="74"/>
      <c r="B133" s="25">
        <f t="shared" si="12"/>
        <v>0</v>
      </c>
      <c r="C133" s="75"/>
      <c r="D133" s="50"/>
      <c r="E133" s="77"/>
      <c r="F133" s="25">
        <f t="shared" si="13"/>
        <v>0</v>
      </c>
      <c r="G133" s="198"/>
      <c r="H133" s="76">
        <v>10.1</v>
      </c>
      <c r="I133" s="188">
        <v>100</v>
      </c>
      <c r="J133" s="65" t="s">
        <v>106</v>
      </c>
      <c r="K133" s="207" t="s">
        <v>110</v>
      </c>
      <c r="L133" s="82"/>
      <c r="M133" s="63"/>
      <c r="N133" s="63"/>
      <c r="O133" s="82"/>
    </row>
    <row r="134" s="3" customFormat="1" ht="18" customHeight="1" spans="1:15">
      <c r="A134" s="74"/>
      <c r="B134" s="25">
        <f t="shared" si="12"/>
        <v>0</v>
      </c>
      <c r="C134" s="75"/>
      <c r="D134" s="50"/>
      <c r="E134" s="77"/>
      <c r="F134" s="25">
        <f t="shared" si="13"/>
        <v>0</v>
      </c>
      <c r="G134" s="198"/>
      <c r="H134" s="76">
        <v>10.1</v>
      </c>
      <c r="I134" s="188">
        <f>B12*0.0006</f>
        <v>853.211009174312</v>
      </c>
      <c r="J134" s="65" t="s">
        <v>106</v>
      </c>
      <c r="K134" s="207" t="s">
        <v>107</v>
      </c>
      <c r="L134" s="82">
        <f>I134+I135+I138+I143+I146+I147+I148+I149+I156+I157+I163+I165+I166</f>
        <v>916149.577981651</v>
      </c>
      <c r="M134" s="63"/>
      <c r="N134" s="63"/>
      <c r="O134" s="82"/>
    </row>
    <row r="135" s="3" customFormat="1" ht="18" customHeight="1" spans="1:15">
      <c r="A135" s="74"/>
      <c r="B135" s="25">
        <f t="shared" si="12"/>
        <v>0</v>
      </c>
      <c r="C135" s="75"/>
      <c r="D135" s="50"/>
      <c r="E135" s="77"/>
      <c r="F135" s="25">
        <f t="shared" si="13"/>
        <v>0</v>
      </c>
      <c r="G135" s="198"/>
      <c r="H135" s="76">
        <v>10.1</v>
      </c>
      <c r="I135" s="188">
        <f>B12*0.02</f>
        <v>28440.3669724771</v>
      </c>
      <c r="J135" s="65" t="s">
        <v>106</v>
      </c>
      <c r="K135" s="207" t="s">
        <v>108</v>
      </c>
      <c r="L135" s="82"/>
      <c r="M135" s="63"/>
      <c r="N135" s="63"/>
      <c r="O135" s="82"/>
    </row>
    <row r="136" s="3" customFormat="1" ht="18" customHeight="1" spans="1:15">
      <c r="A136" s="74"/>
      <c r="B136" s="25"/>
      <c r="C136" s="75"/>
      <c r="D136" s="50"/>
      <c r="E136" s="77"/>
      <c r="F136" s="25"/>
      <c r="G136" s="198"/>
      <c r="H136" s="76">
        <v>10.1</v>
      </c>
      <c r="I136" s="188">
        <f>G12*0.005</f>
        <v>7750</v>
      </c>
      <c r="J136" s="65" t="s">
        <v>106</v>
      </c>
      <c r="K136" s="207" t="s">
        <v>157</v>
      </c>
      <c r="L136" s="82">
        <f>I136+I168</f>
        <v>140600</v>
      </c>
      <c r="M136" s="63"/>
      <c r="N136" s="63"/>
      <c r="O136" s="82"/>
    </row>
    <row r="137" s="3" customFormat="1" ht="18" customHeight="1" spans="1:15">
      <c r="A137" s="74"/>
      <c r="B137" s="25">
        <f t="shared" ref="B137:B158" si="14">ROUND(G137/(1+E137),2)</f>
        <v>0</v>
      </c>
      <c r="C137" s="75"/>
      <c r="D137" s="50"/>
      <c r="E137" s="77"/>
      <c r="F137" s="25">
        <f t="shared" ref="F137:F158" si="15">ROUND(G137/(1+E137)*E137,2)</f>
        <v>0</v>
      </c>
      <c r="G137" s="198"/>
      <c r="H137" s="36" t="s">
        <v>109</v>
      </c>
      <c r="I137" s="188">
        <v>200</v>
      </c>
      <c r="J137" s="65" t="s">
        <v>106</v>
      </c>
      <c r="K137" s="207" t="s">
        <v>110</v>
      </c>
      <c r="L137" s="82">
        <f>I137+I139+I140+I141+I142+I144+I151+I154+I158+I167+I133</f>
        <v>245132.79</v>
      </c>
      <c r="M137" s="63"/>
      <c r="N137" s="63"/>
      <c r="O137" s="82"/>
    </row>
    <row r="138" s="3" customFormat="1" ht="18" customHeight="1" spans="1:15">
      <c r="A138" s="74"/>
      <c r="B138" s="25">
        <f t="shared" si="14"/>
        <v>0</v>
      </c>
      <c r="C138" s="75"/>
      <c r="D138" s="50"/>
      <c r="E138" s="77"/>
      <c r="F138" s="25">
        <f t="shared" si="15"/>
        <v>0</v>
      </c>
      <c r="G138" s="198"/>
      <c r="H138" s="36" t="s">
        <v>111</v>
      </c>
      <c r="I138" s="188">
        <v>-285325</v>
      </c>
      <c r="J138" s="63" t="s">
        <v>112</v>
      </c>
      <c r="K138" s="207" t="s">
        <v>158</v>
      </c>
      <c r="L138" s="82"/>
      <c r="M138" s="63"/>
      <c r="N138" s="63"/>
      <c r="O138" s="82"/>
    </row>
    <row r="139" s="3" customFormat="1" ht="18" customHeight="1" spans="1:15">
      <c r="A139" s="74"/>
      <c r="B139" s="25">
        <f t="shared" si="14"/>
        <v>0</v>
      </c>
      <c r="C139" s="75"/>
      <c r="D139" s="76"/>
      <c r="E139" s="77"/>
      <c r="F139" s="25">
        <f t="shared" si="15"/>
        <v>0</v>
      </c>
      <c r="G139" s="198"/>
      <c r="H139" s="36" t="s">
        <v>111</v>
      </c>
      <c r="I139" s="188">
        <v>200</v>
      </c>
      <c r="J139" s="65" t="s">
        <v>106</v>
      </c>
      <c r="K139" s="207" t="s">
        <v>110</v>
      </c>
      <c r="L139" s="82"/>
      <c r="M139" s="63"/>
      <c r="N139" s="63"/>
      <c r="O139" s="82"/>
    </row>
    <row r="140" s="3" customFormat="1" ht="18" customHeight="1" spans="1:15">
      <c r="A140" s="74"/>
      <c r="B140" s="25">
        <f t="shared" si="14"/>
        <v>0</v>
      </c>
      <c r="C140" s="75"/>
      <c r="D140" s="76"/>
      <c r="E140" s="77"/>
      <c r="F140" s="25">
        <f t="shared" si="15"/>
        <v>0</v>
      </c>
      <c r="G140" s="198"/>
      <c r="H140" s="36" t="s">
        <v>113</v>
      </c>
      <c r="I140" s="188">
        <v>300</v>
      </c>
      <c r="J140" s="65" t="s">
        <v>106</v>
      </c>
      <c r="K140" s="207" t="s">
        <v>110</v>
      </c>
      <c r="L140" s="82"/>
      <c r="M140" s="63"/>
      <c r="N140" s="63"/>
      <c r="O140" s="82"/>
    </row>
    <row r="141" s="3" customFormat="1" ht="18" customHeight="1" spans="1:15">
      <c r="A141" s="74"/>
      <c r="B141" s="25">
        <f t="shared" si="14"/>
        <v>0</v>
      </c>
      <c r="C141" s="75"/>
      <c r="D141" s="76"/>
      <c r="E141" s="77"/>
      <c r="F141" s="25">
        <f t="shared" si="15"/>
        <v>0</v>
      </c>
      <c r="G141" s="198"/>
      <c r="H141" s="36" t="s">
        <v>114</v>
      </c>
      <c r="I141" s="188">
        <v>9600</v>
      </c>
      <c r="J141" s="65" t="s">
        <v>106</v>
      </c>
      <c r="K141" s="207" t="s">
        <v>115</v>
      </c>
      <c r="L141" s="82"/>
      <c r="M141" s="63"/>
      <c r="N141" s="63"/>
      <c r="O141" s="82"/>
    </row>
    <row r="142" s="3" customFormat="1" ht="18" customHeight="1" spans="1:15">
      <c r="A142" s="74"/>
      <c r="B142" s="25">
        <f t="shared" si="14"/>
        <v>0</v>
      </c>
      <c r="C142" s="75"/>
      <c r="D142" s="76"/>
      <c r="E142" s="77"/>
      <c r="F142" s="25">
        <f t="shared" si="15"/>
        <v>0</v>
      </c>
      <c r="G142" s="198"/>
      <c r="H142" s="36" t="s">
        <v>114</v>
      </c>
      <c r="I142" s="188">
        <v>200</v>
      </c>
      <c r="J142" s="65" t="s">
        <v>106</v>
      </c>
      <c r="K142" s="207" t="s">
        <v>110</v>
      </c>
      <c r="L142" s="82"/>
      <c r="M142" s="63"/>
      <c r="N142" s="63"/>
      <c r="O142" s="82"/>
    </row>
    <row r="143" s="3" customFormat="1" ht="18" customHeight="1" spans="1:15">
      <c r="A143" s="74"/>
      <c r="B143" s="25">
        <f t="shared" si="14"/>
        <v>0</v>
      </c>
      <c r="C143" s="75"/>
      <c r="D143" s="76"/>
      <c r="E143" s="77"/>
      <c r="F143" s="25">
        <f t="shared" si="15"/>
        <v>0</v>
      </c>
      <c r="G143" s="198"/>
      <c r="H143" s="36" t="s">
        <v>114</v>
      </c>
      <c r="I143" s="188">
        <v>-903045</v>
      </c>
      <c r="J143" s="63" t="s">
        <v>112</v>
      </c>
      <c r="K143" s="207" t="s">
        <v>116</v>
      </c>
      <c r="L143" s="82"/>
      <c r="M143" s="63"/>
      <c r="N143" s="63"/>
      <c r="O143" s="82"/>
    </row>
    <row r="144" s="3" customFormat="1" ht="18" customHeight="1" spans="1:15">
      <c r="A144" s="74"/>
      <c r="B144" s="25">
        <f t="shared" si="14"/>
        <v>0</v>
      </c>
      <c r="C144" s="75"/>
      <c r="D144" s="76"/>
      <c r="E144" s="77"/>
      <c r="F144" s="25">
        <f t="shared" si="15"/>
        <v>0</v>
      </c>
      <c r="G144" s="198"/>
      <c r="H144" s="36" t="s">
        <v>117</v>
      </c>
      <c r="I144" s="188">
        <v>232932.79</v>
      </c>
      <c r="J144" s="63" t="s">
        <v>106</v>
      </c>
      <c r="K144" s="207" t="s">
        <v>118</v>
      </c>
      <c r="L144" s="82"/>
      <c r="M144" s="63"/>
      <c r="N144" s="63"/>
      <c r="O144" s="82"/>
    </row>
    <row r="145" s="3" customFormat="1" ht="18" customHeight="1" spans="1:15">
      <c r="A145" s="74"/>
      <c r="B145" s="25">
        <f t="shared" si="14"/>
        <v>0</v>
      </c>
      <c r="C145" s="75"/>
      <c r="D145" s="76"/>
      <c r="E145" s="77"/>
      <c r="F145" s="25">
        <f t="shared" si="15"/>
        <v>0</v>
      </c>
      <c r="G145" s="198"/>
      <c r="H145" s="36" t="s">
        <v>117</v>
      </c>
      <c r="I145" s="188"/>
      <c r="J145" s="63" t="s">
        <v>106</v>
      </c>
      <c r="K145" s="207" t="s">
        <v>119</v>
      </c>
      <c r="L145" s="82"/>
      <c r="M145" s="63"/>
      <c r="N145" s="63"/>
      <c r="O145" s="82"/>
    </row>
    <row r="146" s="3" customFormat="1" ht="18" customHeight="1" spans="1:15">
      <c r="A146" s="74"/>
      <c r="B146" s="25">
        <f t="shared" si="14"/>
        <v>0</v>
      </c>
      <c r="C146" s="75"/>
      <c r="D146" s="76"/>
      <c r="E146" s="77"/>
      <c r="F146" s="25">
        <f t="shared" si="15"/>
        <v>0</v>
      </c>
      <c r="G146" s="198"/>
      <c r="H146" s="36" t="s">
        <v>117</v>
      </c>
      <c r="I146" s="188">
        <v>903045</v>
      </c>
      <c r="J146" s="63" t="s">
        <v>120</v>
      </c>
      <c r="K146" s="207" t="s">
        <v>121</v>
      </c>
      <c r="L146" s="82"/>
      <c r="M146" s="63"/>
      <c r="N146" s="63"/>
      <c r="O146" s="82"/>
    </row>
    <row r="147" s="3" customFormat="1" ht="18" customHeight="1" spans="1:15">
      <c r="A147" s="74"/>
      <c r="B147" s="25">
        <f t="shared" si="14"/>
        <v>0</v>
      </c>
      <c r="C147" s="75"/>
      <c r="D147" s="76"/>
      <c r="E147" s="77"/>
      <c r="F147" s="25">
        <f t="shared" si="15"/>
        <v>0</v>
      </c>
      <c r="G147" s="198"/>
      <c r="H147" s="36" t="s">
        <v>117</v>
      </c>
      <c r="I147" s="188">
        <v>485252</v>
      </c>
      <c r="J147" s="63" t="s">
        <v>106</v>
      </c>
      <c r="K147" s="207" t="s">
        <v>122</v>
      </c>
      <c r="L147" s="82"/>
      <c r="M147" s="63"/>
      <c r="N147" s="63"/>
      <c r="O147" s="82"/>
    </row>
    <row r="148" s="3" customFormat="1" ht="18" customHeight="1" spans="1:15">
      <c r="A148" s="74"/>
      <c r="B148" s="25">
        <f t="shared" si="14"/>
        <v>0</v>
      </c>
      <c r="C148" s="75"/>
      <c r="D148" s="76"/>
      <c r="E148" s="77"/>
      <c r="F148" s="25">
        <f t="shared" si="15"/>
        <v>0</v>
      </c>
      <c r="G148" s="198"/>
      <c r="H148" s="36" t="s">
        <v>117</v>
      </c>
      <c r="I148" s="188">
        <v>4789</v>
      </c>
      <c r="J148" s="63" t="s">
        <v>106</v>
      </c>
      <c r="K148" s="207" t="s">
        <v>123</v>
      </c>
      <c r="L148" s="82"/>
      <c r="M148" s="63"/>
      <c r="N148" s="63"/>
      <c r="O148" s="82"/>
    </row>
    <row r="149" s="3" customFormat="1" ht="18" customHeight="1" spans="1:15">
      <c r="A149" s="74"/>
      <c r="B149" s="25">
        <f t="shared" si="14"/>
        <v>0</v>
      </c>
      <c r="C149" s="75"/>
      <c r="D149" s="76"/>
      <c r="E149" s="77"/>
      <c r="F149" s="25">
        <f t="shared" si="15"/>
        <v>0</v>
      </c>
      <c r="G149" s="198"/>
      <c r="H149" s="36" t="s">
        <v>117</v>
      </c>
      <c r="I149" s="188">
        <v>429349</v>
      </c>
      <c r="J149" s="63" t="s">
        <v>106</v>
      </c>
      <c r="K149" s="207" t="s">
        <v>124</v>
      </c>
      <c r="L149" s="82"/>
      <c r="M149" s="63"/>
      <c r="N149" s="63"/>
      <c r="O149" s="82"/>
    </row>
    <row r="150" s="3" customFormat="1" ht="18" customHeight="1" spans="1:15">
      <c r="A150" s="74"/>
      <c r="B150" s="25">
        <f t="shared" si="14"/>
        <v>0</v>
      </c>
      <c r="C150" s="75"/>
      <c r="D150" s="76"/>
      <c r="E150" s="77"/>
      <c r="F150" s="25">
        <f t="shared" si="15"/>
        <v>0</v>
      </c>
      <c r="G150" s="198"/>
      <c r="H150" s="36" t="s">
        <v>117</v>
      </c>
      <c r="I150" s="188">
        <v>87000</v>
      </c>
      <c r="J150" s="63" t="s">
        <v>125</v>
      </c>
      <c r="K150" s="207" t="s">
        <v>126</v>
      </c>
      <c r="L150" s="82"/>
      <c r="M150" s="63"/>
      <c r="N150" s="63"/>
      <c r="O150" s="82"/>
    </row>
    <row r="151" s="2" customFormat="1" ht="18" customHeight="1" spans="1:15">
      <c r="A151" s="48"/>
      <c r="B151" s="25">
        <f t="shared" si="14"/>
        <v>0</v>
      </c>
      <c r="C151" s="49"/>
      <c r="D151" s="50"/>
      <c r="E151" s="70"/>
      <c r="F151" s="25">
        <f t="shared" si="15"/>
        <v>0</v>
      </c>
      <c r="G151" s="189"/>
      <c r="H151" s="36" t="s">
        <v>117</v>
      </c>
      <c r="I151" s="188">
        <v>100</v>
      </c>
      <c r="J151" s="65" t="s">
        <v>106</v>
      </c>
      <c r="K151" s="207" t="s">
        <v>110</v>
      </c>
      <c r="L151" s="82"/>
      <c r="M151" s="56"/>
      <c r="N151" s="65"/>
      <c r="O151" s="67"/>
    </row>
    <row r="152" s="2" customFormat="1" ht="18" customHeight="1" spans="1:15">
      <c r="A152" s="48"/>
      <c r="B152" s="25">
        <f t="shared" si="14"/>
        <v>0</v>
      </c>
      <c r="C152" s="49"/>
      <c r="D152" s="50"/>
      <c r="E152" s="70"/>
      <c r="F152" s="25">
        <f t="shared" si="15"/>
        <v>0</v>
      </c>
      <c r="G152" s="189"/>
      <c r="H152" s="36" t="s">
        <v>117</v>
      </c>
      <c r="I152" s="188"/>
      <c r="J152" s="63"/>
      <c r="K152" s="207"/>
      <c r="L152" s="82"/>
      <c r="M152" s="56"/>
      <c r="N152" s="65"/>
      <c r="O152" s="67"/>
    </row>
    <row r="153" s="2" customFormat="1" ht="18" customHeight="1" spans="1:15">
      <c r="A153" s="48"/>
      <c r="B153" s="25">
        <f t="shared" si="14"/>
        <v>0</v>
      </c>
      <c r="C153" s="49"/>
      <c r="D153" s="50"/>
      <c r="E153" s="70"/>
      <c r="F153" s="25">
        <f t="shared" si="15"/>
        <v>0</v>
      </c>
      <c r="G153" s="189"/>
      <c r="H153" s="36" t="s">
        <v>127</v>
      </c>
      <c r="I153" s="188">
        <v>-93700</v>
      </c>
      <c r="J153" s="63" t="s">
        <v>125</v>
      </c>
      <c r="K153" s="148" t="s">
        <v>126</v>
      </c>
      <c r="L153" s="82"/>
      <c r="M153" s="56"/>
      <c r="N153" s="65"/>
      <c r="O153" s="67"/>
    </row>
    <row r="154" s="2" customFormat="1" ht="18" customHeight="1" spans="1:16">
      <c r="A154" s="48"/>
      <c r="B154" s="25">
        <f t="shared" si="14"/>
        <v>0</v>
      </c>
      <c r="C154" s="49"/>
      <c r="D154" s="50"/>
      <c r="E154" s="70"/>
      <c r="F154" s="25">
        <f t="shared" si="15"/>
        <v>0</v>
      </c>
      <c r="G154" s="189"/>
      <c r="H154" s="36" t="s">
        <v>127</v>
      </c>
      <c r="I154" s="71">
        <v>50</v>
      </c>
      <c r="J154" s="65" t="s">
        <v>106</v>
      </c>
      <c r="K154" s="148" t="s">
        <v>110</v>
      </c>
      <c r="L154" s="82"/>
      <c r="M154" s="56"/>
      <c r="N154" s="65"/>
      <c r="O154" s="67"/>
      <c r="P154" s="2">
        <f>I156+I149+I138</f>
        <v>387045</v>
      </c>
    </row>
    <row r="155" s="2" customFormat="1" ht="18" customHeight="1" spans="1:15">
      <c r="A155" s="48"/>
      <c r="B155" s="25">
        <f t="shared" si="14"/>
        <v>0</v>
      </c>
      <c r="C155" s="49"/>
      <c r="D155" s="50"/>
      <c r="E155" s="70"/>
      <c r="F155" s="25">
        <f t="shared" si="15"/>
        <v>0</v>
      </c>
      <c r="G155" s="189"/>
      <c r="H155" s="36" t="s">
        <v>127</v>
      </c>
      <c r="I155" s="210">
        <v>-21725</v>
      </c>
      <c r="J155" s="56" t="s">
        <v>112</v>
      </c>
      <c r="K155" s="238" t="s">
        <v>159</v>
      </c>
      <c r="L155" s="82"/>
      <c r="M155" s="56"/>
      <c r="N155" s="65"/>
      <c r="O155" s="67"/>
    </row>
    <row r="156" s="2" customFormat="1" ht="18" customHeight="1" spans="1:15">
      <c r="A156" s="48"/>
      <c r="B156" s="25">
        <f t="shared" si="14"/>
        <v>0</v>
      </c>
      <c r="C156" s="49"/>
      <c r="D156" s="50"/>
      <c r="E156" s="46"/>
      <c r="F156" s="25">
        <f t="shared" si="15"/>
        <v>0</v>
      </c>
      <c r="G156" s="189"/>
      <c r="H156" s="36" t="s">
        <v>129</v>
      </c>
      <c r="I156" s="188">
        <v>243021</v>
      </c>
      <c r="J156" s="63" t="s">
        <v>106</v>
      </c>
      <c r="K156" s="207" t="s">
        <v>124</v>
      </c>
      <c r="L156" s="67"/>
      <c r="M156" s="65"/>
      <c r="N156" s="65"/>
      <c r="O156" s="67"/>
    </row>
    <row r="157" s="2" customFormat="1" ht="18" customHeight="1" spans="1:15">
      <c r="A157" s="48"/>
      <c r="B157" s="25">
        <f t="shared" si="14"/>
        <v>0</v>
      </c>
      <c r="C157" s="49"/>
      <c r="D157" s="50"/>
      <c r="E157" s="46"/>
      <c r="F157" s="25">
        <f t="shared" si="15"/>
        <v>0</v>
      </c>
      <c r="G157" s="189"/>
      <c r="H157" s="36" t="s">
        <v>129</v>
      </c>
      <c r="I157" s="188">
        <v>2340</v>
      </c>
      <c r="J157" s="63" t="s">
        <v>106</v>
      </c>
      <c r="K157" s="207" t="s">
        <v>123</v>
      </c>
      <c r="L157" s="67"/>
      <c r="M157" s="65"/>
      <c r="N157" s="65"/>
      <c r="O157" s="67"/>
    </row>
    <row r="158" s="2" customFormat="1" ht="18" customHeight="1" spans="1:15">
      <c r="A158" s="48"/>
      <c r="B158" s="25">
        <f t="shared" si="14"/>
        <v>0</v>
      </c>
      <c r="C158" s="49"/>
      <c r="D158" s="50"/>
      <c r="E158" s="46"/>
      <c r="F158" s="25">
        <f t="shared" si="15"/>
        <v>0</v>
      </c>
      <c r="G158" s="189"/>
      <c r="H158" s="36" t="s">
        <v>129</v>
      </c>
      <c r="I158" s="188">
        <v>500</v>
      </c>
      <c r="J158" s="63" t="s">
        <v>106</v>
      </c>
      <c r="K158" s="148" t="s">
        <v>130</v>
      </c>
      <c r="L158" s="67"/>
      <c r="M158" s="65"/>
      <c r="N158" s="65"/>
      <c r="O158" s="67"/>
    </row>
    <row r="159" s="2" customFormat="1" ht="18" customHeight="1" spans="1:15">
      <c r="A159" s="48"/>
      <c r="B159" s="25"/>
      <c r="C159" s="49"/>
      <c r="D159" s="50"/>
      <c r="E159" s="46"/>
      <c r="F159" s="25"/>
      <c r="G159" s="189"/>
      <c r="H159" s="36" t="s">
        <v>129</v>
      </c>
      <c r="I159" s="210">
        <v>55725</v>
      </c>
      <c r="J159" s="56" t="s">
        <v>120</v>
      </c>
      <c r="K159" s="238" t="s">
        <v>121</v>
      </c>
      <c r="L159" s="67"/>
      <c r="M159" s="65"/>
      <c r="N159" s="65"/>
      <c r="O159" s="67"/>
    </row>
    <row r="160" s="2" customFormat="1" ht="18" customHeight="1" spans="1:15">
      <c r="A160" s="48"/>
      <c r="B160" s="25">
        <f t="shared" ref="B160:B165" si="16">ROUND(G160/(1+E160),2)</f>
        <v>0</v>
      </c>
      <c r="C160" s="49"/>
      <c r="D160" s="50"/>
      <c r="E160" s="46"/>
      <c r="F160" s="25">
        <f t="shared" ref="F160:F165" si="17">ROUND(G160/(1+E160)*E160,2)</f>
        <v>0</v>
      </c>
      <c r="G160" s="189"/>
      <c r="H160" s="36" t="s">
        <v>129</v>
      </c>
      <c r="I160" s="188">
        <v>8500</v>
      </c>
      <c r="J160" s="63" t="s">
        <v>125</v>
      </c>
      <c r="K160" s="148" t="s">
        <v>126</v>
      </c>
      <c r="L160" s="67"/>
      <c r="M160" s="65"/>
      <c r="N160" s="65"/>
      <c r="O160" s="67"/>
    </row>
    <row r="161" s="2" customFormat="1" ht="18" customHeight="1" spans="1:15">
      <c r="A161" s="48"/>
      <c r="B161" s="25">
        <f t="shared" si="16"/>
        <v>0</v>
      </c>
      <c r="C161" s="49"/>
      <c r="D161" s="50"/>
      <c r="E161" s="46"/>
      <c r="F161" s="25">
        <f t="shared" si="17"/>
        <v>0</v>
      </c>
      <c r="G161" s="189"/>
      <c r="H161" s="36" t="s">
        <v>131</v>
      </c>
      <c r="I161" s="188">
        <v>8800</v>
      </c>
      <c r="J161" s="63" t="s">
        <v>125</v>
      </c>
      <c r="K161" s="148" t="s">
        <v>126</v>
      </c>
      <c r="L161" s="67"/>
      <c r="M161" s="65"/>
      <c r="N161" s="65"/>
      <c r="O161" s="67"/>
    </row>
    <row r="162" s="2" customFormat="1" ht="18" customHeight="1" spans="1:15">
      <c r="A162" s="48"/>
      <c r="B162" s="25">
        <f t="shared" si="16"/>
        <v>0</v>
      </c>
      <c r="C162" s="49"/>
      <c r="D162" s="50"/>
      <c r="E162" s="46"/>
      <c r="F162" s="25">
        <f t="shared" si="17"/>
        <v>0</v>
      </c>
      <c r="G162" s="189"/>
      <c r="H162" s="36" t="s">
        <v>131</v>
      </c>
      <c r="I162" s="188">
        <v>35200</v>
      </c>
      <c r="J162" s="63" t="s">
        <v>125</v>
      </c>
      <c r="K162" s="148" t="s">
        <v>126</v>
      </c>
      <c r="L162" s="67"/>
      <c r="M162" s="65"/>
      <c r="N162" s="65"/>
      <c r="O162" s="67"/>
    </row>
    <row r="163" s="2" customFormat="1" ht="18" customHeight="1" spans="1:15">
      <c r="A163" s="48"/>
      <c r="B163" s="25">
        <f t="shared" si="16"/>
        <v>0</v>
      </c>
      <c r="C163" s="49"/>
      <c r="D163" s="50"/>
      <c r="E163" s="46"/>
      <c r="F163" s="25">
        <f t="shared" si="17"/>
        <v>0</v>
      </c>
      <c r="G163" s="189"/>
      <c r="H163" s="36" t="s">
        <v>131</v>
      </c>
      <c r="I163" s="188">
        <f>B9*E180</f>
        <v>2400</v>
      </c>
      <c r="J163" s="63" t="s">
        <v>106</v>
      </c>
      <c r="K163" s="148" t="s">
        <v>132</v>
      </c>
      <c r="L163" s="67"/>
      <c r="M163" s="65"/>
      <c r="N163" s="65"/>
      <c r="O163" s="67"/>
    </row>
    <row r="164" s="1" customFormat="1" ht="18" customHeight="1" spans="1:15">
      <c r="A164" s="43"/>
      <c r="B164" s="25">
        <f t="shared" si="16"/>
        <v>0</v>
      </c>
      <c r="C164" s="44"/>
      <c r="D164" s="45"/>
      <c r="E164" s="46"/>
      <c r="F164" s="25">
        <f t="shared" si="17"/>
        <v>0</v>
      </c>
      <c r="G164" s="189"/>
      <c r="H164" s="31" t="s">
        <v>133</v>
      </c>
      <c r="I164" s="188">
        <v>41200</v>
      </c>
      <c r="J164" s="63" t="s">
        <v>125</v>
      </c>
      <c r="K164" s="148" t="s">
        <v>126</v>
      </c>
      <c r="L164" s="60"/>
      <c r="M164" s="61"/>
      <c r="N164" s="61"/>
      <c r="O164" s="60"/>
    </row>
    <row r="165" s="1" customFormat="1" ht="18" customHeight="1" spans="1:15">
      <c r="A165" s="43"/>
      <c r="B165" s="25">
        <f t="shared" si="16"/>
        <v>0</v>
      </c>
      <c r="C165" s="44"/>
      <c r="D165" s="45"/>
      <c r="E165" s="46"/>
      <c r="F165" s="25">
        <f t="shared" si="17"/>
        <v>0</v>
      </c>
      <c r="G165" s="189"/>
      <c r="H165" s="31" t="s">
        <v>133</v>
      </c>
      <c r="I165" s="188">
        <v>2248</v>
      </c>
      <c r="J165" s="63" t="s">
        <v>106</v>
      </c>
      <c r="K165" s="148" t="s">
        <v>160</v>
      </c>
      <c r="L165" s="60"/>
      <c r="M165" s="61"/>
      <c r="N165" s="61"/>
      <c r="O165" s="60"/>
    </row>
    <row r="166" s="1" customFormat="1" ht="18" customHeight="1" spans="1:15">
      <c r="A166" s="43"/>
      <c r="B166" s="25"/>
      <c r="C166" s="44"/>
      <c r="D166" s="45"/>
      <c r="E166" s="46"/>
      <c r="F166" s="25"/>
      <c r="G166" s="189"/>
      <c r="H166" s="36" t="s">
        <v>134</v>
      </c>
      <c r="I166" s="188">
        <v>2782</v>
      </c>
      <c r="J166" s="63" t="s">
        <v>106</v>
      </c>
      <c r="K166" s="148" t="s">
        <v>160</v>
      </c>
      <c r="L166" s="60"/>
      <c r="M166" s="61"/>
      <c r="N166" s="61"/>
      <c r="O166" s="60"/>
    </row>
    <row r="167" s="1" customFormat="1" ht="18" customHeight="1" spans="1:15">
      <c r="A167" s="43"/>
      <c r="B167" s="25">
        <f>ROUND(G167/(1+E167),2)</f>
        <v>0</v>
      </c>
      <c r="C167" s="44"/>
      <c r="D167" s="45"/>
      <c r="E167" s="46"/>
      <c r="F167" s="25">
        <f>ROUND(G167/(1+E167)*E167,2)</f>
        <v>0</v>
      </c>
      <c r="G167" s="189"/>
      <c r="H167" s="36" t="s">
        <v>134</v>
      </c>
      <c r="I167" s="188">
        <v>950</v>
      </c>
      <c r="J167" s="63" t="s">
        <v>106</v>
      </c>
      <c r="K167" s="148" t="s">
        <v>130</v>
      </c>
      <c r="L167" s="60"/>
      <c r="M167" s="61"/>
      <c r="N167" s="61"/>
      <c r="O167" s="60"/>
    </row>
    <row r="168" s="1" customFormat="1" ht="18" customHeight="1" spans="1:15">
      <c r="A168" s="43"/>
      <c r="B168" s="25">
        <f>ROUND(G168/(1+E168),2)</f>
        <v>132850</v>
      </c>
      <c r="C168" s="44"/>
      <c r="D168" s="45"/>
      <c r="E168" s="46"/>
      <c r="F168" s="25">
        <f>ROUND(G168/(1+E168)*E168,2)</f>
        <v>0</v>
      </c>
      <c r="G168" s="189">
        <f>46100+17600+4400+17000+4250+34800+8700</f>
        <v>132850</v>
      </c>
      <c r="H168" s="31"/>
      <c r="I168" s="32">
        <f>G168</f>
        <v>132850</v>
      </c>
      <c r="J168" s="63" t="s">
        <v>106</v>
      </c>
      <c r="K168" s="148" t="s">
        <v>161</v>
      </c>
      <c r="L168" s="60"/>
      <c r="M168" s="61"/>
      <c r="N168" s="61"/>
      <c r="O168" s="60"/>
    </row>
    <row r="169" s="1" customFormat="1" ht="18" customHeight="1" spans="1:15">
      <c r="A169" s="43"/>
      <c r="B169" s="25"/>
      <c r="C169" s="44"/>
      <c r="D169" s="45"/>
      <c r="E169" s="46"/>
      <c r="F169" s="25"/>
      <c r="G169" s="239"/>
      <c r="H169" s="31"/>
      <c r="I169" s="141">
        <v>-3000000</v>
      </c>
      <c r="J169" s="249"/>
      <c r="K169" s="250" t="s">
        <v>162</v>
      </c>
      <c r="L169" s="60"/>
      <c r="M169" s="61"/>
      <c r="N169" s="61"/>
      <c r="O169" s="60"/>
    </row>
    <row r="170" ht="18" customHeight="1" spans="1:15">
      <c r="A170" s="39" t="s">
        <v>22</v>
      </c>
      <c r="B170" s="38">
        <f t="shared" ref="B170:G170" si="18">SUM(B24:B168)</f>
        <v>32667859.4</v>
      </c>
      <c r="C170" s="39"/>
      <c r="D170" s="240"/>
      <c r="E170" s="240"/>
      <c r="F170" s="241">
        <f t="shared" si="18"/>
        <v>1901421.18</v>
      </c>
      <c r="G170" s="242">
        <f t="shared" si="18"/>
        <v>34569280.58</v>
      </c>
      <c r="H170" s="243"/>
      <c r="I170" s="190">
        <f>SUM(I24:I169)</f>
        <v>30737213.4885321</v>
      </c>
      <c r="J170" s="251"/>
      <c r="K170" s="252"/>
      <c r="L170" s="191"/>
      <c r="M170" s="40"/>
      <c r="N170" s="40"/>
      <c r="O170" s="191"/>
    </row>
    <row r="171" ht="18" customHeight="1" spans="1:14">
      <c r="A171" s="99"/>
      <c r="B171" s="100">
        <f>B21*0.92-B170</f>
        <v>-5982641.71859883</v>
      </c>
      <c r="C171" s="99"/>
      <c r="D171" s="244"/>
      <c r="E171" s="244"/>
      <c r="F171" s="100">
        <f>F21-F170</f>
        <v>252793.999316096</v>
      </c>
      <c r="G171" s="100"/>
      <c r="H171" s="30" t="s">
        <v>136</v>
      </c>
      <c r="I171" s="190">
        <f>I21-I170</f>
        <v>1002786.51146789</v>
      </c>
      <c r="J171" s="14"/>
      <c r="K171" s="253"/>
      <c r="M171" s="13"/>
      <c r="N171" s="13"/>
    </row>
    <row r="172" ht="18" customHeight="1" spans="1:3">
      <c r="A172" s="6" t="s">
        <v>137</v>
      </c>
      <c r="C172" s="6"/>
    </row>
    <row r="173" ht="18" customHeight="1" spans="1:17">
      <c r="A173" s="30" t="s">
        <v>138</v>
      </c>
      <c r="B173" s="28" t="s">
        <v>139</v>
      </c>
      <c r="C173" s="191"/>
      <c r="D173" s="30" t="s">
        <v>138</v>
      </c>
      <c r="E173" s="27" t="s">
        <v>15</v>
      </c>
      <c r="F173" s="28" t="s">
        <v>139</v>
      </c>
      <c r="G173" s="28" t="s">
        <v>140</v>
      </c>
      <c r="H173" s="28" t="s">
        <v>141</v>
      </c>
      <c r="I173" s="28" t="s">
        <v>142</v>
      </c>
      <c r="K173" s="28" t="s">
        <v>143</v>
      </c>
      <c r="L173" s="254"/>
      <c r="M173" s="28" t="s">
        <v>144</v>
      </c>
      <c r="N173" s="134" t="s">
        <v>144</v>
      </c>
      <c r="O173" s="255"/>
      <c r="P173" s="242" t="s">
        <v>145</v>
      </c>
      <c r="Q173" s="242" t="s">
        <v>163</v>
      </c>
    </row>
    <row r="174" ht="18" customHeight="1" spans="1:17">
      <c r="A174" s="191" t="s">
        <v>146</v>
      </c>
      <c r="B174" s="25">
        <f>(B21-B170)*0.25</f>
        <v>-915547.00179316</v>
      </c>
      <c r="C174" s="191"/>
      <c r="D174" s="18" t="s">
        <v>147</v>
      </c>
      <c r="E174" s="40" t="s">
        <v>148</v>
      </c>
      <c r="F174" s="245">
        <f>F21-F170</f>
        <v>252793.999316096</v>
      </c>
      <c r="G174" s="245">
        <f>F7-F24-F26-F29-F30-F33</f>
        <v>-333763.749090909</v>
      </c>
      <c r="H174" s="245">
        <f>F8-F38</f>
        <v>299461.603636364</v>
      </c>
      <c r="I174" s="245">
        <f>F9-F40-F41-F43-F48-F49-F50-F51-F53</f>
        <v>49772.4599999999</v>
      </c>
      <c r="K174" s="245">
        <f>F10-F74-F75-F76-F77-F78</f>
        <v>205457.659816514</v>
      </c>
      <c r="L174" s="254"/>
      <c r="M174" s="245">
        <f>F11-F79-F87-F88-F90</f>
        <v>390316.376330275</v>
      </c>
      <c r="N174" s="134">
        <v>-259385.7</v>
      </c>
      <c r="O174" s="255"/>
      <c r="P174" s="242"/>
      <c r="Q174" s="265"/>
    </row>
    <row r="175" ht="18" customHeight="1" spans="1:17">
      <c r="A175" s="191" t="s">
        <v>149</v>
      </c>
      <c r="B175" s="21" t="s">
        <v>150</v>
      </c>
      <c r="C175" s="191"/>
      <c r="D175" s="246" t="s">
        <v>151</v>
      </c>
      <c r="E175" s="22">
        <v>0.05</v>
      </c>
      <c r="F175" s="32">
        <f>F174*E175</f>
        <v>12639.6999658048</v>
      </c>
      <c r="G175" s="32">
        <v>0</v>
      </c>
      <c r="H175" s="32">
        <v>0</v>
      </c>
      <c r="I175" s="32">
        <v>0</v>
      </c>
      <c r="K175" s="32">
        <f>K174*E175</f>
        <v>10272.8829908257</v>
      </c>
      <c r="L175" s="254"/>
      <c r="M175" s="32">
        <f>M174*E175</f>
        <v>19515.8188165138</v>
      </c>
      <c r="N175" s="134">
        <f>N174*E175</f>
        <v>-12969.285</v>
      </c>
      <c r="O175" s="255"/>
      <c r="P175" s="242"/>
      <c r="Q175" s="265"/>
    </row>
    <row r="176" ht="18" customHeight="1" spans="1:17">
      <c r="A176" s="191" t="s">
        <v>123</v>
      </c>
      <c r="B176" s="247">
        <f>B21*0.0006</f>
        <v>17403.4028356964</v>
      </c>
      <c r="C176" s="191"/>
      <c r="D176" s="246" t="s">
        <v>152</v>
      </c>
      <c r="E176" s="22">
        <v>0.03</v>
      </c>
      <c r="F176" s="32">
        <f>F174*E176</f>
        <v>7583.81997948289</v>
      </c>
      <c r="G176" s="32">
        <v>0</v>
      </c>
      <c r="H176" s="32">
        <v>0</v>
      </c>
      <c r="I176" s="32">
        <v>0</v>
      </c>
      <c r="K176" s="32">
        <f>K174*E176</f>
        <v>6163.72979449541</v>
      </c>
      <c r="L176" s="254"/>
      <c r="M176" s="32">
        <f>M174*E176</f>
        <v>11709.4912899083</v>
      </c>
      <c r="N176" s="134">
        <f>N174*E176</f>
        <v>-7781.571</v>
      </c>
      <c r="O176" s="255"/>
      <c r="P176" s="242"/>
      <c r="Q176" s="265"/>
    </row>
    <row r="177" ht="18" customHeight="1" spans="1:17">
      <c r="A177" s="191"/>
      <c r="B177" s="32"/>
      <c r="C177" s="191"/>
      <c r="D177" s="246" t="s">
        <v>153</v>
      </c>
      <c r="E177" s="22">
        <v>0.02</v>
      </c>
      <c r="F177" s="32">
        <f>F174*E177</f>
        <v>5055.87998632193</v>
      </c>
      <c r="G177" s="32">
        <v>0</v>
      </c>
      <c r="H177" s="32">
        <v>0</v>
      </c>
      <c r="I177" s="32">
        <v>0</v>
      </c>
      <c r="K177" s="32">
        <f>K174*E177</f>
        <v>4109.15319633028</v>
      </c>
      <c r="L177" s="254"/>
      <c r="M177" s="32">
        <f>M174*E177</f>
        <v>7806.32752660551</v>
      </c>
      <c r="N177" s="134">
        <f>N174*E177</f>
        <v>-5187.714</v>
      </c>
      <c r="O177" s="255"/>
      <c r="P177" s="242"/>
      <c r="Q177" s="265"/>
    </row>
    <row r="178" ht="18" customHeight="1" spans="1:17">
      <c r="A178" s="37" t="s">
        <v>154</v>
      </c>
      <c r="B178" s="38">
        <f>SUM(B174:B177)</f>
        <v>-898143.598957464</v>
      </c>
      <c r="C178" s="191"/>
      <c r="D178" s="37" t="s">
        <v>154</v>
      </c>
      <c r="E178" s="37"/>
      <c r="F178" s="241">
        <f>SUM(F174:F177)</f>
        <v>278073.399247706</v>
      </c>
      <c r="G178" s="241">
        <v>0</v>
      </c>
      <c r="H178" s="241">
        <v>0</v>
      </c>
      <c r="I178" s="241">
        <v>0</v>
      </c>
      <c r="K178" s="241">
        <f t="shared" ref="K178:N178" si="19">SUM(K174:K177)</f>
        <v>226003.425798165</v>
      </c>
      <c r="L178" s="254"/>
      <c r="M178" s="241">
        <f t="shared" si="19"/>
        <v>429348.013963303</v>
      </c>
      <c r="N178" s="134">
        <f t="shared" si="19"/>
        <v>-285324.27</v>
      </c>
      <c r="O178" s="255"/>
      <c r="P178" s="242"/>
      <c r="Q178" s="265"/>
    </row>
    <row r="179" ht="18" customHeight="1" spans="3:17">
      <c r="C179" s="6"/>
      <c r="D179" s="20" t="s">
        <v>149</v>
      </c>
      <c r="E179" s="248">
        <v>0.0003</v>
      </c>
      <c r="F179" s="32">
        <v>0</v>
      </c>
      <c r="G179" s="32"/>
      <c r="H179" s="32"/>
      <c r="I179" s="32">
        <v>0</v>
      </c>
      <c r="K179" s="32"/>
      <c r="M179" s="32"/>
      <c r="N179" s="134"/>
      <c r="O179" s="255"/>
      <c r="P179" s="242"/>
      <c r="Q179" s="265"/>
    </row>
    <row r="180" ht="18" customHeight="1" spans="3:17">
      <c r="C180" s="6"/>
      <c r="D180" s="20" t="s">
        <v>123</v>
      </c>
      <c r="E180" s="248">
        <v>0.0006</v>
      </c>
      <c r="F180" s="32">
        <f>B21*E180</f>
        <v>17403.4028356964</v>
      </c>
      <c r="G180" s="32">
        <f>B7*E180</f>
        <v>2781.81818181818</v>
      </c>
      <c r="H180" s="32">
        <f>B8*E180</f>
        <v>2247.27272727273</v>
      </c>
      <c r="I180" s="32">
        <f>B9*E180</f>
        <v>2400</v>
      </c>
      <c r="K180" s="32">
        <f>B10*E180</f>
        <v>2339.4495412844</v>
      </c>
      <c r="L180" s="254"/>
      <c r="M180" s="32">
        <f>B11*E180</f>
        <v>4788.99082568807</v>
      </c>
      <c r="N180" s="134"/>
      <c r="O180" s="255"/>
      <c r="P180" s="242">
        <v>853.21</v>
      </c>
      <c r="Q180" s="265">
        <f>E180*B13</f>
        <v>1992.66055045872</v>
      </c>
    </row>
    <row r="181" ht="18" customHeight="1" spans="3:17">
      <c r="C181" s="6"/>
      <c r="D181" s="39" t="s">
        <v>22</v>
      </c>
      <c r="E181" s="39"/>
      <c r="F181" s="190">
        <f>F178+F179+F180</f>
        <v>295476.802083402</v>
      </c>
      <c r="G181" s="190"/>
      <c r="H181" s="190"/>
      <c r="I181" s="190"/>
      <c r="K181" s="190"/>
      <c r="M181" s="191">
        <f>M178+M180</f>
        <v>434137.004788991</v>
      </c>
      <c r="N181" s="134"/>
      <c r="O181" s="255"/>
      <c r="P181" s="242"/>
      <c r="Q181" s="265"/>
    </row>
    <row r="182" ht="18" customHeight="1" spans="3:17">
      <c r="C182" s="6"/>
      <c r="D182" s="20" t="s">
        <v>121</v>
      </c>
      <c r="E182" s="248">
        <v>0.02</v>
      </c>
      <c r="F182" s="32">
        <f>B21*E182</f>
        <v>580113.427856547</v>
      </c>
      <c r="G182" s="32"/>
      <c r="H182" s="32"/>
      <c r="I182" s="32"/>
      <c r="K182" s="190"/>
      <c r="M182" s="32">
        <f>(SUM(B7:B11))*E182</f>
        <v>485251.042535446</v>
      </c>
      <c r="N182" s="134"/>
      <c r="O182" s="255"/>
      <c r="P182" s="242">
        <f>B12*0.02</f>
        <v>28440.3669724771</v>
      </c>
      <c r="Q182" s="265">
        <f>G13*E182</f>
        <v>72400</v>
      </c>
    </row>
    <row r="183" ht="18" customHeight="1" spans="3:3">
      <c r="C183" s="6"/>
    </row>
    <row r="184" ht="18" customHeight="1" spans="3:3">
      <c r="C184" s="6"/>
    </row>
    <row r="185" ht="18" customHeight="1" spans="3:3">
      <c r="C185" s="6"/>
    </row>
    <row r="186" spans="3:3">
      <c r="C186" s="6"/>
    </row>
    <row r="187" spans="3:3">
      <c r="C187" s="6"/>
    </row>
    <row r="188" spans="3:3">
      <c r="C188" s="6"/>
    </row>
    <row r="189" spans="3:3">
      <c r="C189" s="6"/>
    </row>
    <row r="190" spans="3:3">
      <c r="C190" s="6"/>
    </row>
    <row r="191" spans="3:3">
      <c r="C191" s="6"/>
    </row>
    <row r="192" spans="3:3">
      <c r="C192" s="6"/>
    </row>
    <row r="193" spans="3:3">
      <c r="C193" s="6"/>
    </row>
    <row r="194" spans="3:3">
      <c r="C194" s="6"/>
    </row>
    <row r="195" spans="3:3">
      <c r="C195" s="6"/>
    </row>
    <row r="196" spans="3:3">
      <c r="C196" s="6"/>
    </row>
    <row r="197" spans="3:3">
      <c r="C197" s="6"/>
    </row>
    <row r="198" spans="3:3">
      <c r="C198" s="6"/>
    </row>
    <row r="199" spans="3:3">
      <c r="C199" s="6"/>
    </row>
    <row r="200" spans="3:3">
      <c r="C200" s="6"/>
    </row>
    <row r="201" spans="3:3">
      <c r="C201" s="6"/>
    </row>
  </sheetData>
  <autoFilter ref="A23:Q114">
    <extLst/>
  </autoFilter>
  <mergeCells count="18">
    <mergeCell ref="A1:J1"/>
    <mergeCell ref="H2:J2"/>
    <mergeCell ref="C5:D5"/>
    <mergeCell ref="E5:F5"/>
    <mergeCell ref="H5:J5"/>
    <mergeCell ref="N173:O173"/>
    <mergeCell ref="N174:O174"/>
    <mergeCell ref="N175:O175"/>
    <mergeCell ref="N176:O176"/>
    <mergeCell ref="N177:O177"/>
    <mergeCell ref="N178:O178"/>
    <mergeCell ref="N179:O179"/>
    <mergeCell ref="N180:O180"/>
    <mergeCell ref="N181:O181"/>
    <mergeCell ref="N182:O182"/>
    <mergeCell ref="A5:A6"/>
    <mergeCell ref="B5:B6"/>
    <mergeCell ref="G5:G6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Sheet1</vt:lpstr>
      <vt:lpstr>10</vt:lpstr>
      <vt:lpstr>11</vt:lpstr>
      <vt:lpstr>11.2</vt:lpstr>
      <vt:lpstr>11.1</vt:lpstr>
      <vt:lpstr>11.2 (2)</vt:lpstr>
      <vt:lpstr>11.3</vt:lpstr>
      <vt:lpstr>11.4</vt:lpstr>
      <vt:lpstr>11.5</vt:lpstr>
      <vt:lpstr>12.2</vt:lpstr>
      <vt:lpstr>7-10</vt:lpstr>
      <vt:lpstr>8-7</vt:lpstr>
      <vt:lpstr>8-7 (2)</vt:lpstr>
      <vt:lpstr>9-3</vt:lpstr>
      <vt:lpstr>9-7</vt:lpstr>
      <vt:lpstr>9-8</vt:lpstr>
      <vt:lpstr>14次</vt:lpstr>
      <vt:lpstr>14.1</vt:lpstr>
      <vt:lpstr>16次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若脂含梅</cp:lastModifiedBy>
  <dcterms:created xsi:type="dcterms:W3CDTF">2016-07-12T06:03:00Z</dcterms:created>
  <cp:lastPrinted>2016-11-23T10:22:00Z</cp:lastPrinted>
  <dcterms:modified xsi:type="dcterms:W3CDTF">2021-06-16T06:17:09Z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