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新!$A$22:$O$80</definedName>
    <definedName name="_xlnm._FilterDatabase" localSheetId="1" hidden="1">旧!$A$19:$O$74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<sst xmlns="http://schemas.openxmlformats.org/spreadsheetml/2006/main" count="343" uniqueCount="89">
  <si>
    <t>C6647  阜南县曹集镇十三五农村道路畅通工程第三批（老村级道路加宽改造工程）</t>
  </si>
  <si>
    <t>中标日期</t>
  </si>
  <si>
    <t>中标价</t>
  </si>
  <si>
    <t>负责人</t>
  </si>
  <si>
    <t>齐彦军</t>
  </si>
  <si>
    <t>建设单位</t>
  </si>
  <si>
    <t>阜南县曹集镇人民政府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</si>
  <si>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</si>
  <si>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</si>
  <si>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</si>
  <si>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</si>
  <si>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</si>
  <si>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</si>
  <si>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</si>
  <si>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</si>
  <si>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</si>
  <si>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</si>
  <si>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</si>
  <si>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</si>
  <si>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</si>
  <si>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</si>
  <si>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</si>
  <si>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</si>
  <si>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</si>
  <si>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</si>
  <si>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</si>
  <si>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</si>
  <si>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</si>
  <si>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</si>
  <si>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</si>
  <si>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</si>
  <si>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</si>
  <si>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</si>
  <si>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</si>
  <si>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</si>
  <si>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</si>
  <si>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还有200万借款</t>
  </si>
  <si>
    <t>普</t>
  </si>
  <si>
    <t>齐丽丽</t>
  </si>
  <si>
    <t>黄沙</t>
  </si>
  <si>
    <t>水泥</t>
  </si>
  <si>
    <t>专</t>
  </si>
  <si>
    <t>阜南县大毛建材有限公司</t>
  </si>
  <si>
    <t>借款</t>
  </si>
  <si>
    <t>齐彦军  借款</t>
  </si>
  <si>
    <t xml:space="preserve"> 沙子/石子</t>
  </si>
  <si>
    <t>徽行</t>
  </si>
  <si>
    <t>材料款</t>
  </si>
  <si>
    <t>射灯</t>
  </si>
  <si>
    <t>欠款226581</t>
  </si>
  <si>
    <t>安徽万晟建设工程有限公司</t>
  </si>
  <si>
    <t>劳务费</t>
  </si>
  <si>
    <t>普代</t>
  </si>
  <si>
    <t>齐彦军、郑衡</t>
  </si>
  <si>
    <t>沙石</t>
  </si>
  <si>
    <t>徐鹏起</t>
  </si>
  <si>
    <t>退回</t>
  </si>
  <si>
    <t>立皖产品费用</t>
  </si>
  <si>
    <t>扣</t>
  </si>
  <si>
    <t>200万利息</t>
  </si>
  <si>
    <t>暂扣</t>
  </si>
  <si>
    <t>焦玉平案案件费用</t>
  </si>
  <si>
    <t>1%预留准备金</t>
  </si>
  <si>
    <t>增值税及附加（17-18.1月开票）</t>
  </si>
  <si>
    <t>70万利息（18.6.15-18.9.28）</t>
  </si>
  <si>
    <t>还本金70万</t>
  </si>
  <si>
    <t>利息</t>
  </si>
  <si>
    <t>代办费</t>
  </si>
  <si>
    <t>管理费</t>
  </si>
  <si>
    <t>可支付金额</t>
  </si>
  <si>
    <t>公司代缴税金：</t>
  </si>
  <si>
    <t>税种</t>
  </si>
  <si>
    <t>税额</t>
  </si>
  <si>
    <t>17-18.1月开票扣税</t>
  </si>
  <si>
    <t>18.5月扣税</t>
  </si>
  <si>
    <t>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</si>
  <si>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</si>
  <si>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</si>
  <si>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</si>
  <si>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</si>
  <si>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</si>
  <si>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</si>
  <si>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</si>
  <si>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</si>
  <si>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</si>
  <si>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</si>
  <si>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  </t>
  </si>
  <si>
    <t>阜南县曹集镇十三五农村道路畅通工程第三批（老村级道路加宽改造工程）</t>
  </si>
  <si>
    <t>增值税及附加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</si>
</sst>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C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9" fontId="5" fillId="0" borderId="2" xfId="1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4" fillId="4" borderId="2" xfId="0" applyNumberFormat="1" applyFont="1" applyFill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4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178" fontId="4" fillId="7" borderId="2" xfId="0" applyNumberFormat="1" applyFont="1" applyFill="1" applyBorder="1" applyAlignment="1">
      <alignment vertical="center"/>
    </xf>
    <xf numFmtId="178" fontId="4" fillId="6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tabSelected="1" topLeftCell="A58" workbookViewId="0">
      <selection activeCell="K82" sqref="K8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17910850.16</v>
      </c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1">
        <f t="shared" ref="B7:B16" si="0">G7/(1+C7+E7)</f>
        <v>1738738.73873874</v>
      </c>
      <c r="C7" s="22">
        <v>0.02</v>
      </c>
      <c r="D7" s="78">
        <f t="shared" ref="D7:D16" si="1">G7/(1+E7+C7)*C7</f>
        <v>34774.7747747748</v>
      </c>
      <c r="E7" s="22">
        <v>0.09</v>
      </c>
      <c r="F7" s="11">
        <f t="shared" ref="F7:F16" si="2">G7/(1+C7+E7)*E7</f>
        <v>156486.486486486</v>
      </c>
      <c r="G7" s="79">
        <v>1930000</v>
      </c>
      <c r="H7" s="21">
        <v>43096</v>
      </c>
      <c r="I7" s="11">
        <v>2000000</v>
      </c>
      <c r="J7" s="48" t="s">
        <v>21</v>
      </c>
    </row>
    <row r="8" ht="18" customHeight="1" spans="1:10">
      <c r="A8" s="21">
        <v>43117</v>
      </c>
      <c r="B8" s="11">
        <f t="shared" si="0"/>
        <v>1675675.67567568</v>
      </c>
      <c r="C8" s="22">
        <v>0.02</v>
      </c>
      <c r="D8" s="78">
        <f t="shared" si="1"/>
        <v>33513.5135135135</v>
      </c>
      <c r="E8" s="22">
        <v>0.09</v>
      </c>
      <c r="F8" s="11">
        <f t="shared" si="2"/>
        <v>150810.810810811</v>
      </c>
      <c r="G8" s="79">
        <v>1860000</v>
      </c>
      <c r="H8" s="21">
        <v>43149</v>
      </c>
      <c r="I8" s="11">
        <v>860000</v>
      </c>
      <c r="J8" s="48" t="s">
        <v>21</v>
      </c>
    </row>
    <row r="9" ht="18" customHeight="1" spans="1:10">
      <c r="A9" s="21">
        <v>43193</v>
      </c>
      <c r="B9" s="11">
        <f t="shared" si="0"/>
        <v>2279279.27927928</v>
      </c>
      <c r="C9" s="22">
        <v>0.02</v>
      </c>
      <c r="D9" s="78">
        <f t="shared" si="1"/>
        <v>45585.5855855856</v>
      </c>
      <c r="E9" s="22">
        <v>0.09</v>
      </c>
      <c r="F9" s="11">
        <f t="shared" si="2"/>
        <v>205135.135135135</v>
      </c>
      <c r="G9" s="79">
        <v>2530000</v>
      </c>
      <c r="H9" s="21">
        <v>43143</v>
      </c>
      <c r="I9" s="11">
        <v>1480000</v>
      </c>
      <c r="J9" s="48" t="s">
        <v>21</v>
      </c>
    </row>
    <row r="10" ht="18" customHeight="1" spans="1:10">
      <c r="A10" s="21">
        <v>43224</v>
      </c>
      <c r="B10" s="11">
        <f t="shared" si="0"/>
        <v>1131818.18181818</v>
      </c>
      <c r="C10" s="22">
        <v>0.02</v>
      </c>
      <c r="D10" s="78">
        <f t="shared" si="1"/>
        <v>22636.3636363636</v>
      </c>
      <c r="E10" s="22">
        <v>0.08</v>
      </c>
      <c r="F10" s="11">
        <f t="shared" si="2"/>
        <v>90545.4545454545</v>
      </c>
      <c r="G10" s="79">
        <v>1245000</v>
      </c>
      <c r="H10" s="21">
        <v>43198</v>
      </c>
      <c r="I10" s="11">
        <v>380000</v>
      </c>
      <c r="J10" s="48" t="s">
        <v>21</v>
      </c>
    </row>
    <row r="11" ht="18" customHeight="1" spans="1:10">
      <c r="A11" s="21">
        <v>43266</v>
      </c>
      <c r="B11" s="11">
        <f t="shared" si="0"/>
        <v>695454.545454545</v>
      </c>
      <c r="C11" s="22">
        <v>0.02</v>
      </c>
      <c r="D11" s="78">
        <f t="shared" si="1"/>
        <v>13909.0909090909</v>
      </c>
      <c r="E11" s="22">
        <v>0.08</v>
      </c>
      <c r="F11" s="11">
        <f t="shared" si="2"/>
        <v>55636.3636363636</v>
      </c>
      <c r="G11" s="79">
        <v>765000</v>
      </c>
      <c r="H11" s="21">
        <v>43199</v>
      </c>
      <c r="I11" s="11">
        <v>2530000</v>
      </c>
      <c r="J11" s="48" t="s">
        <v>21</v>
      </c>
    </row>
    <row r="12" ht="18" customHeight="1" spans="1:10">
      <c r="A12" s="21">
        <v>43299</v>
      </c>
      <c r="B12" s="11">
        <f t="shared" si="0"/>
        <v>992727.272727273</v>
      </c>
      <c r="C12" s="22">
        <v>0.02</v>
      </c>
      <c r="D12" s="78">
        <f t="shared" si="1"/>
        <v>19854.5454545455</v>
      </c>
      <c r="E12" s="22">
        <v>0.08</v>
      </c>
      <c r="F12" s="11">
        <f t="shared" si="2"/>
        <v>79418.1818181818</v>
      </c>
      <c r="G12" s="79">
        <v>1092000</v>
      </c>
      <c r="H12" s="21">
        <v>43238</v>
      </c>
      <c r="I12" s="11">
        <v>1245000</v>
      </c>
      <c r="J12" s="48" t="s">
        <v>21</v>
      </c>
    </row>
    <row r="13" ht="18" customHeight="1" spans="1:10">
      <c r="A13" s="21">
        <v>43360</v>
      </c>
      <c r="B13" s="11">
        <f t="shared" si="0"/>
        <v>1960909.09090909</v>
      </c>
      <c r="C13" s="22">
        <v>0.02</v>
      </c>
      <c r="D13" s="78">
        <f t="shared" si="1"/>
        <v>39218.1818181818</v>
      </c>
      <c r="E13" s="22">
        <v>0.08</v>
      </c>
      <c r="F13" s="11">
        <f t="shared" si="2"/>
        <v>156872.727272727</v>
      </c>
      <c r="G13" s="79">
        <v>2157000</v>
      </c>
      <c r="H13" s="21">
        <v>43278</v>
      </c>
      <c r="I13" s="11">
        <v>765000</v>
      </c>
      <c r="J13" s="48" t="s">
        <v>21</v>
      </c>
    </row>
    <row r="14" ht="18" customHeight="1" spans="1:11">
      <c r="A14" s="21">
        <v>43488</v>
      </c>
      <c r="B14" s="11">
        <f t="shared" si="0"/>
        <v>2018181.81818182</v>
      </c>
      <c r="C14" s="22">
        <v>0.02</v>
      </c>
      <c r="D14" s="78">
        <f t="shared" si="1"/>
        <v>40363.6363636364</v>
      </c>
      <c r="E14" s="22">
        <v>0.08</v>
      </c>
      <c r="F14" s="11">
        <f t="shared" si="2"/>
        <v>161454.545454545</v>
      </c>
      <c r="G14" s="79">
        <v>2220000</v>
      </c>
      <c r="H14" s="21">
        <v>43308</v>
      </c>
      <c r="I14" s="11">
        <v>1092000</v>
      </c>
      <c r="J14" s="48" t="s">
        <v>21</v>
      </c>
      <c r="K14" s="3"/>
    </row>
    <row r="15" ht="18" customHeight="1" spans="1:10">
      <c r="A15" s="21"/>
      <c r="B15" s="11">
        <f t="shared" si="0"/>
        <v>0</v>
      </c>
      <c r="C15" s="22">
        <v>0.02</v>
      </c>
      <c r="D15" s="78">
        <f t="shared" si="1"/>
        <v>0</v>
      </c>
      <c r="E15" s="22">
        <v>0.08</v>
      </c>
      <c r="F15" s="11">
        <f t="shared" si="2"/>
        <v>0</v>
      </c>
      <c r="G15" s="80"/>
      <c r="H15" s="21">
        <v>43371</v>
      </c>
      <c r="I15" s="11">
        <v>2157000</v>
      </c>
      <c r="J15" s="48" t="s">
        <v>21</v>
      </c>
    </row>
    <row r="16" ht="18" customHeight="1" spans="1:10">
      <c r="A16" s="21"/>
      <c r="B16" s="81"/>
      <c r="C16" s="26"/>
      <c r="D16" s="82"/>
      <c r="E16" s="26"/>
      <c r="F16" s="81"/>
      <c r="G16" s="80"/>
      <c r="H16" s="21">
        <v>43497</v>
      </c>
      <c r="I16" s="11">
        <v>2220000</v>
      </c>
      <c r="J16" s="48" t="s">
        <v>21</v>
      </c>
    </row>
    <row r="17" ht="18" customHeight="1" spans="1:10">
      <c r="A17" s="21"/>
      <c r="B17" s="81"/>
      <c r="C17" s="26"/>
      <c r="D17" s="82"/>
      <c r="E17" s="26"/>
      <c r="F17" s="81"/>
      <c r="G17" s="80"/>
      <c r="H17" s="21"/>
      <c r="I17" s="11"/>
      <c r="J17" s="48"/>
    </row>
    <row r="18" ht="18" customHeight="1" spans="1:10">
      <c r="A18" s="21"/>
      <c r="B18" s="81"/>
      <c r="C18" s="26"/>
      <c r="D18" s="82"/>
      <c r="E18" s="26"/>
      <c r="F18" s="81"/>
      <c r="G18" s="80"/>
      <c r="H18" s="21"/>
      <c r="I18" s="11"/>
      <c r="J18" s="48"/>
    </row>
    <row r="19" ht="18" customHeight="1" spans="1:11">
      <c r="A19" s="21"/>
      <c r="B19" s="11">
        <f>G19/(1+C19+E19)</f>
        <v>0</v>
      </c>
      <c r="C19" s="22">
        <v>0.02</v>
      </c>
      <c r="D19" s="78">
        <f>G19/(1+E19+C19)*C19</f>
        <v>0</v>
      </c>
      <c r="E19" s="83">
        <v>0.07</v>
      </c>
      <c r="F19" s="11">
        <f>G19/(1+C19+E19)*E19</f>
        <v>0</v>
      </c>
      <c r="G19" s="79"/>
      <c r="H19" s="21"/>
      <c r="I19" s="11"/>
      <c r="J19" s="48"/>
      <c r="K19" s="3"/>
    </row>
    <row r="20" ht="18" customHeight="1" spans="1:10">
      <c r="A20" s="29" t="s">
        <v>22</v>
      </c>
      <c r="B20" s="84">
        <f>SUM(B7:B19)</f>
        <v>12492784.6027846</v>
      </c>
      <c r="C20" s="31"/>
      <c r="D20" s="31">
        <f>SUM(D7:D19)</f>
        <v>249855.692055692</v>
      </c>
      <c r="E20" s="31"/>
      <c r="F20" s="75">
        <f>SUM(F7:F19)</f>
        <v>1056359.70515971</v>
      </c>
      <c r="G20" s="31">
        <f>SUM(G7:G19)</f>
        <v>13799000</v>
      </c>
      <c r="H20" s="34"/>
      <c r="I20" s="31">
        <f>SUM(I7:I19)</f>
        <v>14729000</v>
      </c>
      <c r="J20" s="34"/>
    </row>
    <row r="21" ht="18" customHeight="1" spans="1:12">
      <c r="A21" s="2" t="s">
        <v>23</v>
      </c>
      <c r="F21" s="3">
        <f>(F9+F10+F11+F12+F13+F14)-F26-F31-F32-F39-F40</f>
        <v>-147435.592137593</v>
      </c>
      <c r="G21" s="4">
        <f>D3-G20</f>
        <v>4111850.16</v>
      </c>
      <c r="J21" s="4"/>
      <c r="K21" s="4"/>
      <c r="L21" s="5"/>
    </row>
    <row r="22" ht="18" customHeight="1" spans="1:16">
      <c r="A22" s="35" t="s">
        <v>24</v>
      </c>
      <c r="B22" s="19" t="s">
        <v>25</v>
      </c>
      <c r="C22" s="18" t="s">
        <v>26</v>
      </c>
      <c r="D22" s="18" t="s">
        <v>27</v>
      </c>
      <c r="E22" s="18" t="s">
        <v>16</v>
      </c>
      <c r="F22" s="19" t="s">
        <v>28</v>
      </c>
      <c r="G22" s="19" t="s">
        <v>14</v>
      </c>
      <c r="H22" s="18" t="s">
        <v>29</v>
      </c>
      <c r="I22" s="19" t="s">
        <v>30</v>
      </c>
      <c r="J22" s="18" t="s">
        <v>20</v>
      </c>
      <c r="K22" s="49" t="s">
        <v>31</v>
      </c>
      <c r="L22" s="20" t="s">
        <v>32</v>
      </c>
      <c r="M22" s="20" t="s">
        <v>33</v>
      </c>
      <c r="N22" s="20" t="s">
        <v>34</v>
      </c>
      <c r="O22" s="20" t="s">
        <v>35</v>
      </c>
      <c r="P22" s="86" t="s">
        <v>36</v>
      </c>
    </row>
    <row r="23" s="1" customFormat="1" ht="18" customHeight="1" spans="1:15">
      <c r="A23" s="36">
        <v>43070</v>
      </c>
      <c r="B23" s="85">
        <f t="shared" ref="B23:B26" si="3">ROUND(G23/(1+E23),2)</f>
        <v>500000</v>
      </c>
      <c r="C23" s="37"/>
      <c r="D23" s="38" t="s">
        <v>37</v>
      </c>
      <c r="E23" s="39"/>
      <c r="F23" s="85">
        <f t="shared" ref="F23:F26" si="4">ROUND(G23/(1+E23)*E23,2)</f>
        <v>0</v>
      </c>
      <c r="G23" s="79">
        <v>500000</v>
      </c>
      <c r="H23" s="21"/>
      <c r="I23" s="11"/>
      <c r="J23" s="48"/>
      <c r="K23" s="50" t="s">
        <v>38</v>
      </c>
      <c r="L23" s="51" t="s">
        <v>39</v>
      </c>
      <c r="M23" s="52"/>
      <c r="N23" s="52"/>
      <c r="O23" s="51"/>
    </row>
    <row r="24" s="1" customFormat="1" ht="18" customHeight="1" spans="1:15">
      <c r="A24" s="36">
        <v>43070</v>
      </c>
      <c r="B24" s="85">
        <f t="shared" si="3"/>
        <v>798000</v>
      </c>
      <c r="C24" s="37"/>
      <c r="D24" s="38" t="s">
        <v>37</v>
      </c>
      <c r="E24" s="39"/>
      <c r="F24" s="85">
        <f t="shared" si="4"/>
        <v>0</v>
      </c>
      <c r="G24" s="79">
        <v>798000</v>
      </c>
      <c r="H24" s="21"/>
      <c r="I24" s="11"/>
      <c r="J24" s="48"/>
      <c r="K24" s="50" t="s">
        <v>4</v>
      </c>
      <c r="L24" s="51" t="s">
        <v>40</v>
      </c>
      <c r="M24" s="52"/>
      <c r="N24" s="52"/>
      <c r="O24" s="51"/>
    </row>
    <row r="25" s="1" customFormat="1" ht="18" customHeight="1" spans="1:15">
      <c r="A25" s="36">
        <v>43070</v>
      </c>
      <c r="B25" s="85">
        <f t="shared" si="3"/>
        <v>450000</v>
      </c>
      <c r="C25" s="37"/>
      <c r="D25" s="38" t="s">
        <v>37</v>
      </c>
      <c r="E25" s="39"/>
      <c r="F25" s="85">
        <f t="shared" si="4"/>
        <v>0</v>
      </c>
      <c r="G25" s="79">
        <v>450000</v>
      </c>
      <c r="H25" s="21"/>
      <c r="I25" s="11"/>
      <c r="J25" s="48"/>
      <c r="K25" s="50" t="s">
        <v>4</v>
      </c>
      <c r="L25" s="51"/>
      <c r="M25" s="52"/>
      <c r="N25" s="52"/>
      <c r="O25" s="51"/>
    </row>
    <row r="26" s="1" customFormat="1" ht="18" customHeight="1" spans="1:15">
      <c r="A26" s="36">
        <v>43177</v>
      </c>
      <c r="B26" s="85">
        <f t="shared" si="3"/>
        <v>2076846.15</v>
      </c>
      <c r="C26" s="37">
        <v>21</v>
      </c>
      <c r="D26" s="38" t="s">
        <v>41</v>
      </c>
      <c r="E26" s="39">
        <v>0.17</v>
      </c>
      <c r="F26" s="85">
        <f t="shared" si="4"/>
        <v>353063.85</v>
      </c>
      <c r="G26" s="79">
        <v>2429910</v>
      </c>
      <c r="H26" s="40">
        <v>43181</v>
      </c>
      <c r="I26" s="87">
        <v>1000000</v>
      </c>
      <c r="J26" s="54" t="s">
        <v>21</v>
      </c>
      <c r="K26" s="55" t="s">
        <v>42</v>
      </c>
      <c r="L26" s="56" t="s">
        <v>40</v>
      </c>
      <c r="M26" s="57" t="s">
        <v>43</v>
      </c>
      <c r="N26" s="52"/>
      <c r="O26" s="51"/>
    </row>
    <row r="27" s="1" customFormat="1" ht="18" customHeight="1" spans="1:15">
      <c r="A27" s="36"/>
      <c r="B27" s="85"/>
      <c r="C27" s="37"/>
      <c r="D27" s="38"/>
      <c r="E27" s="39"/>
      <c r="F27" s="85"/>
      <c r="G27" s="79"/>
      <c r="H27" s="40"/>
      <c r="I27" s="88">
        <v>-1000000</v>
      </c>
      <c r="J27" s="54"/>
      <c r="K27" s="55" t="s">
        <v>44</v>
      </c>
      <c r="L27" s="56"/>
      <c r="M27" s="57"/>
      <c r="N27" s="52"/>
      <c r="O27" s="51"/>
    </row>
    <row r="28" s="1" customFormat="1" ht="18" customHeight="1" spans="1:15">
      <c r="A28" s="36"/>
      <c r="B28" s="85"/>
      <c r="C28" s="37"/>
      <c r="D28" s="38"/>
      <c r="E28" s="39"/>
      <c r="F28" s="85"/>
      <c r="G28" s="79"/>
      <c r="H28" s="21">
        <v>43199</v>
      </c>
      <c r="I28" s="89">
        <v>1429910</v>
      </c>
      <c r="J28" s="48" t="s">
        <v>21</v>
      </c>
      <c r="K28" s="50" t="s">
        <v>42</v>
      </c>
      <c r="L28" s="51"/>
      <c r="M28" s="52"/>
      <c r="N28" s="52"/>
      <c r="O28" s="51"/>
    </row>
    <row r="29" s="1" customFormat="1" ht="18" customHeight="1" spans="1:15">
      <c r="A29" s="36">
        <v>43208</v>
      </c>
      <c r="B29" s="85">
        <f t="shared" ref="B29:B32" si="5">ROUND(G29/(1+E29),2)</f>
        <v>1593000</v>
      </c>
      <c r="C29" s="37"/>
      <c r="D29" s="38" t="s">
        <v>37</v>
      </c>
      <c r="E29" s="39"/>
      <c r="F29" s="85">
        <f t="shared" ref="F29:F32" si="6">ROUND(G29/(1+E29)*E29,2)</f>
        <v>0</v>
      </c>
      <c r="G29" s="79">
        <v>1593000</v>
      </c>
      <c r="H29" s="21"/>
      <c r="I29" s="89"/>
      <c r="J29" s="48"/>
      <c r="K29" s="50"/>
      <c r="L29" s="51" t="s">
        <v>45</v>
      </c>
      <c r="M29" s="52"/>
      <c r="N29" s="52"/>
      <c r="O29" s="51"/>
    </row>
    <row r="30" s="1" customFormat="1" ht="18" customHeight="1" spans="1:15">
      <c r="A30" s="36"/>
      <c r="B30" s="85"/>
      <c r="C30" s="37"/>
      <c r="D30" s="38"/>
      <c r="E30" s="39"/>
      <c r="F30" s="85"/>
      <c r="G30" s="79"/>
      <c r="H30" s="21">
        <v>43199</v>
      </c>
      <c r="I30" s="89">
        <v>1171890</v>
      </c>
      <c r="J30" s="48" t="s">
        <v>46</v>
      </c>
      <c r="K30" s="50" t="s">
        <v>4</v>
      </c>
      <c r="L30" s="51" t="s">
        <v>47</v>
      </c>
      <c r="M30" s="52"/>
      <c r="N30" s="52"/>
      <c r="O30" s="51"/>
    </row>
    <row r="31" s="1" customFormat="1" ht="18" customHeight="1" spans="1:15">
      <c r="A31" s="36">
        <v>43238</v>
      </c>
      <c r="B31" s="85">
        <f t="shared" si="5"/>
        <v>1293094.83</v>
      </c>
      <c r="C31" s="37">
        <v>13</v>
      </c>
      <c r="D31" s="38" t="s">
        <v>41</v>
      </c>
      <c r="E31" s="39">
        <v>0.16</v>
      </c>
      <c r="F31" s="85">
        <f t="shared" si="6"/>
        <v>206895.17</v>
      </c>
      <c r="G31" s="79">
        <v>1499990</v>
      </c>
      <c r="H31" s="21">
        <v>43227</v>
      </c>
      <c r="I31" s="89">
        <v>250000</v>
      </c>
      <c r="J31" s="48" t="s">
        <v>21</v>
      </c>
      <c r="K31" s="50" t="s">
        <v>42</v>
      </c>
      <c r="L31" s="51" t="s">
        <v>40</v>
      </c>
      <c r="M31" s="52"/>
      <c r="N31" s="52"/>
      <c r="O31" s="51"/>
    </row>
    <row r="32" s="1" customFormat="1" ht="18" customHeight="1" spans="1:15">
      <c r="A32" s="36">
        <v>43269</v>
      </c>
      <c r="B32" s="85">
        <f t="shared" si="5"/>
        <v>1399275.86</v>
      </c>
      <c r="C32" s="37">
        <v>14</v>
      </c>
      <c r="D32" s="38" t="s">
        <v>41</v>
      </c>
      <c r="E32" s="39">
        <v>0.16</v>
      </c>
      <c r="F32" s="85">
        <f t="shared" si="6"/>
        <v>223884.14</v>
      </c>
      <c r="G32" s="79">
        <v>1623160</v>
      </c>
      <c r="H32" s="21">
        <v>43241</v>
      </c>
      <c r="I32" s="89">
        <v>1019869</v>
      </c>
      <c r="J32" s="48" t="s">
        <v>21</v>
      </c>
      <c r="K32" s="50" t="s">
        <v>42</v>
      </c>
      <c r="L32" s="51" t="s">
        <v>40</v>
      </c>
      <c r="M32" s="52"/>
      <c r="N32" s="52"/>
      <c r="O32" s="51"/>
    </row>
    <row r="33" s="1" customFormat="1" ht="18" customHeight="1" spans="1:15">
      <c r="A33" s="36"/>
      <c r="B33" s="85"/>
      <c r="C33" s="37"/>
      <c r="D33" s="38"/>
      <c r="E33" s="39"/>
      <c r="F33" s="85"/>
      <c r="G33" s="79"/>
      <c r="H33" s="21">
        <v>43259</v>
      </c>
      <c r="I33" s="89">
        <v>200000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/>
      <c r="B34" s="85"/>
      <c r="C34" s="37"/>
      <c r="D34" s="38"/>
      <c r="E34" s="39"/>
      <c r="F34" s="85"/>
      <c r="G34" s="79"/>
      <c r="H34" s="40">
        <v>43266</v>
      </c>
      <c r="I34" s="88">
        <v>700000</v>
      </c>
      <c r="J34" s="54" t="s">
        <v>21</v>
      </c>
      <c r="K34" s="55" t="s">
        <v>42</v>
      </c>
      <c r="L34" s="56"/>
      <c r="M34" s="52"/>
      <c r="N34" s="52"/>
      <c r="O34" s="51"/>
    </row>
    <row r="35" s="1" customFormat="1" ht="18" customHeight="1" spans="1:15">
      <c r="A35" s="36"/>
      <c r="B35" s="85"/>
      <c r="C35" s="37"/>
      <c r="D35" s="38"/>
      <c r="E35" s="39"/>
      <c r="F35" s="85"/>
      <c r="G35" s="79"/>
      <c r="H35" s="40">
        <v>43266</v>
      </c>
      <c r="I35" s="88">
        <v>-700000</v>
      </c>
      <c r="J35" s="54"/>
      <c r="K35" s="55" t="s">
        <v>44</v>
      </c>
      <c r="L35" s="56"/>
      <c r="M35" s="52"/>
      <c r="N35" s="52"/>
      <c r="O35" s="51"/>
    </row>
    <row r="36" s="1" customFormat="1" ht="18" customHeight="1" spans="1:15">
      <c r="A36" s="36"/>
      <c r="B36" s="85"/>
      <c r="C36" s="37"/>
      <c r="D36" s="38"/>
      <c r="E36" s="39"/>
      <c r="F36" s="85"/>
      <c r="G36" s="79"/>
      <c r="H36" s="21">
        <v>43279</v>
      </c>
      <c r="I36" s="89">
        <v>726700</v>
      </c>
      <c r="J36" s="48" t="s">
        <v>21</v>
      </c>
      <c r="K36" s="50" t="s">
        <v>42</v>
      </c>
      <c r="L36" s="51"/>
      <c r="M36" s="52"/>
      <c r="N36" s="52"/>
      <c r="O36" s="51"/>
    </row>
    <row r="37" s="1" customFormat="1" ht="18" customHeight="1" spans="1:15">
      <c r="A37" s="36">
        <v>43299</v>
      </c>
      <c r="B37" s="85">
        <f t="shared" ref="B37:B46" si="7">ROUND(G37/(1+E37),2)</f>
        <v>1200000</v>
      </c>
      <c r="C37" s="37"/>
      <c r="D37" s="38" t="s">
        <v>37</v>
      </c>
      <c r="E37" s="39"/>
      <c r="F37" s="85">
        <f t="shared" ref="F37:F46" si="8">ROUND(G37/(1+E37)*E37,2)</f>
        <v>0</v>
      </c>
      <c r="G37" s="79">
        <v>1200000</v>
      </c>
      <c r="H37" s="21"/>
      <c r="I37" s="89"/>
      <c r="J37" s="48"/>
      <c r="K37" s="50" t="s">
        <v>4</v>
      </c>
      <c r="L37" s="51" t="s">
        <v>48</v>
      </c>
      <c r="M37" s="52"/>
      <c r="N37" s="52"/>
      <c r="O37" s="51"/>
    </row>
    <row r="38" s="1" customFormat="1" ht="18" customHeight="1" spans="1:15">
      <c r="A38" s="36"/>
      <c r="B38" s="85"/>
      <c r="C38" s="37"/>
      <c r="D38" s="38"/>
      <c r="E38" s="39"/>
      <c r="F38" s="85"/>
      <c r="G38" s="79"/>
      <c r="H38" s="21">
        <v>43308</v>
      </c>
      <c r="I38" s="89">
        <v>1088160</v>
      </c>
      <c r="J38" s="48" t="s">
        <v>46</v>
      </c>
      <c r="K38" s="50" t="s">
        <v>4</v>
      </c>
      <c r="L38" s="51" t="s">
        <v>47</v>
      </c>
      <c r="M38" s="52"/>
      <c r="N38" s="52"/>
      <c r="O38" s="51"/>
    </row>
    <row r="39" s="1" customFormat="1" ht="18" customHeight="1" spans="1:15">
      <c r="A39" s="36">
        <v>43344</v>
      </c>
      <c r="B39" s="85">
        <f t="shared" si="7"/>
        <v>431034.48</v>
      </c>
      <c r="C39" s="37"/>
      <c r="D39" s="38" t="s">
        <v>41</v>
      </c>
      <c r="E39" s="39">
        <v>0.16</v>
      </c>
      <c r="F39" s="85">
        <f t="shared" si="8"/>
        <v>68965.52</v>
      </c>
      <c r="G39" s="79">
        <v>500000</v>
      </c>
      <c r="H39" s="21">
        <v>43372</v>
      </c>
      <c r="I39" s="89">
        <v>500000</v>
      </c>
      <c r="J39" s="48" t="s">
        <v>21</v>
      </c>
      <c r="K39" s="60" t="s">
        <v>42</v>
      </c>
      <c r="L39" s="34" t="s">
        <v>49</v>
      </c>
      <c r="M39" s="48"/>
      <c r="N39" s="52"/>
      <c r="O39" s="51"/>
    </row>
    <row r="40" s="1" customFormat="1" ht="18" customHeight="1" spans="1:15">
      <c r="A40" s="36">
        <v>43374</v>
      </c>
      <c r="B40" s="85">
        <f t="shared" si="7"/>
        <v>1456310.68</v>
      </c>
      <c r="C40" s="37"/>
      <c r="D40" s="38" t="s">
        <v>41</v>
      </c>
      <c r="E40" s="39">
        <v>0.03</v>
      </c>
      <c r="F40" s="85">
        <f t="shared" si="8"/>
        <v>43689.32</v>
      </c>
      <c r="G40" s="79">
        <v>1500000</v>
      </c>
      <c r="H40" s="21">
        <v>43385</v>
      </c>
      <c r="I40" s="89">
        <v>783498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>
        <v>43466</v>
      </c>
      <c r="B41" s="85">
        <f t="shared" si="7"/>
        <v>1300000</v>
      </c>
      <c r="C41" s="37"/>
      <c r="D41" s="38" t="s">
        <v>52</v>
      </c>
      <c r="E41" s="39"/>
      <c r="F41" s="85">
        <f t="shared" si="8"/>
        <v>0</v>
      </c>
      <c r="G41" s="79">
        <f>650000*2</f>
        <v>1300000</v>
      </c>
      <c r="H41" s="21"/>
      <c r="I41" s="89"/>
      <c r="J41" s="48"/>
      <c r="K41" s="50" t="s">
        <v>53</v>
      </c>
      <c r="L41" s="51" t="s">
        <v>54</v>
      </c>
      <c r="M41" s="52"/>
      <c r="N41" s="52"/>
      <c r="O41" s="51"/>
    </row>
    <row r="42" s="1" customFormat="1" ht="18" customHeight="1" spans="1:15">
      <c r="A42" s="36"/>
      <c r="B42" s="85">
        <f t="shared" si="7"/>
        <v>0</v>
      </c>
      <c r="C42" s="37"/>
      <c r="D42" s="38"/>
      <c r="E42" s="39"/>
      <c r="F42" s="85">
        <f t="shared" si="8"/>
        <v>0</v>
      </c>
      <c r="G42" s="79"/>
      <c r="H42" s="21">
        <v>43767</v>
      </c>
      <c r="I42" s="89">
        <v>39435</v>
      </c>
      <c r="J42" s="48" t="s">
        <v>21</v>
      </c>
      <c r="K42" s="50" t="s">
        <v>50</v>
      </c>
      <c r="L42" s="51" t="s">
        <v>51</v>
      </c>
      <c r="M42" s="52"/>
      <c r="N42" s="52"/>
      <c r="O42" s="51"/>
    </row>
    <row r="43" s="1" customFormat="1" ht="18" customHeight="1" spans="1:15">
      <c r="A43" s="36"/>
      <c r="B43" s="85">
        <f t="shared" si="7"/>
        <v>0</v>
      </c>
      <c r="C43" s="37"/>
      <c r="D43" s="38"/>
      <c r="E43" s="39"/>
      <c r="F43" s="85">
        <f t="shared" si="8"/>
        <v>0</v>
      </c>
      <c r="G43" s="79"/>
      <c r="H43" s="21">
        <v>43498</v>
      </c>
      <c r="I43" s="89">
        <v>677067</v>
      </c>
      <c r="J43" s="48" t="s">
        <v>21</v>
      </c>
      <c r="K43" s="50" t="s">
        <v>50</v>
      </c>
      <c r="L43" s="51" t="s">
        <v>51</v>
      </c>
      <c r="M43" s="52"/>
      <c r="N43" s="52"/>
      <c r="O43" s="51"/>
    </row>
    <row r="44" s="1" customFormat="1" ht="18" customHeight="1" spans="1:15">
      <c r="A44" s="36"/>
      <c r="B44" s="85">
        <f t="shared" si="7"/>
        <v>0</v>
      </c>
      <c r="C44" s="37"/>
      <c r="D44" s="38"/>
      <c r="E44" s="39"/>
      <c r="F44" s="85">
        <f t="shared" si="8"/>
        <v>0</v>
      </c>
      <c r="G44" s="79"/>
      <c r="H44" s="21">
        <v>43498</v>
      </c>
      <c r="I44" s="89">
        <f>777085.33+226581</f>
        <v>1003666.33</v>
      </c>
      <c r="J44" s="48" t="s">
        <v>46</v>
      </c>
      <c r="K44" s="50" t="s">
        <v>4</v>
      </c>
      <c r="L44" s="51"/>
      <c r="M44" s="52"/>
      <c r="N44" s="52"/>
      <c r="O44" s="51"/>
    </row>
    <row r="45" s="1" customFormat="1" ht="18" customHeight="1" spans="1:15">
      <c r="A45" s="36"/>
      <c r="B45" s="85"/>
      <c r="C45" s="37"/>
      <c r="D45" s="38"/>
      <c r="E45" s="39"/>
      <c r="F45" s="85"/>
      <c r="G45" s="79"/>
      <c r="H45" s="21">
        <v>43096</v>
      </c>
      <c r="I45" s="87">
        <v>500000</v>
      </c>
      <c r="J45" s="61"/>
      <c r="K45" s="62" t="s">
        <v>38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85"/>
      <c r="C46" s="37"/>
      <c r="D46" s="38"/>
      <c r="E46" s="39"/>
      <c r="F46" s="85"/>
      <c r="G46" s="79"/>
      <c r="H46" s="21">
        <v>43096</v>
      </c>
      <c r="I46" s="87">
        <v>500000</v>
      </c>
      <c r="J46" s="61"/>
      <c r="K46" s="62" t="s">
        <v>55</v>
      </c>
      <c r="L46" s="63" t="s">
        <v>43</v>
      </c>
      <c r="M46" s="52"/>
      <c r="N46" s="52"/>
      <c r="O46" s="51"/>
    </row>
    <row r="47" s="1" customFormat="1" ht="18" customHeight="1" spans="1:15">
      <c r="A47" s="36"/>
      <c r="B47" s="85"/>
      <c r="C47" s="37"/>
      <c r="D47" s="38"/>
      <c r="E47" s="39"/>
      <c r="F47" s="85"/>
      <c r="G47" s="79"/>
      <c r="H47" s="21">
        <v>43096</v>
      </c>
      <c r="I47" s="88">
        <v>-1000000</v>
      </c>
      <c r="J47" s="54"/>
      <c r="K47" s="55" t="s">
        <v>44</v>
      </c>
      <c r="L47" s="51"/>
      <c r="M47" s="52"/>
      <c r="N47" s="52"/>
      <c r="O47" s="51"/>
    </row>
    <row r="48" s="1" customFormat="1" ht="18" customHeight="1" spans="1:15">
      <c r="A48" s="36"/>
      <c r="B48" s="85">
        <f>ROUND(G48/(1+E48),2)</f>
        <v>0</v>
      </c>
      <c r="C48" s="37"/>
      <c r="D48" s="38"/>
      <c r="E48" s="39"/>
      <c r="F48" s="85">
        <f>ROUND(G48/(1+E48)*E48,2)</f>
        <v>0</v>
      </c>
      <c r="G48" s="79"/>
      <c r="H48" s="21">
        <v>43144</v>
      </c>
      <c r="I48" s="11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85">
        <f>ROUND(G49/(1+E49),2)</f>
        <v>0</v>
      </c>
      <c r="C49" s="37"/>
      <c r="D49" s="38"/>
      <c r="E49" s="39"/>
      <c r="F49" s="85">
        <f>ROUND(G49/(1+E49)*E49,2)</f>
        <v>0</v>
      </c>
      <c r="G49" s="79"/>
      <c r="H49" s="21">
        <v>43143</v>
      </c>
      <c r="I49" s="11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85">
        <f>ROUND(G50/(1+E50),2)</f>
        <v>0</v>
      </c>
      <c r="C50" s="37"/>
      <c r="D50" s="38"/>
      <c r="E50" s="39"/>
      <c r="F50" s="85">
        <f>ROUND(G50/(1+E50)*E50,2)</f>
        <v>0</v>
      </c>
      <c r="G50" s="79"/>
      <c r="H50" s="41">
        <v>43096</v>
      </c>
      <c r="I50" s="8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85">
        <f>ROUND(G51/(1+E51),2)</f>
        <v>0</v>
      </c>
      <c r="C51" s="37"/>
      <c r="D51" s="38"/>
      <c r="E51" s="39"/>
      <c r="F51" s="85">
        <f>ROUND(G51/(1+E51)*E51,2)</f>
        <v>0</v>
      </c>
      <c r="G51" s="79"/>
      <c r="H51" s="41">
        <v>43124</v>
      </c>
      <c r="I51" s="8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85"/>
      <c r="C52" s="37"/>
      <c r="D52" s="38"/>
      <c r="E52" s="39"/>
      <c r="F52" s="85"/>
      <c r="G52" s="79"/>
      <c r="H52" s="41"/>
      <c r="I52" s="89"/>
      <c r="J52" s="64"/>
      <c r="K52" s="65"/>
      <c r="L52" s="51"/>
      <c r="M52" s="52"/>
      <c r="N52" s="52"/>
      <c r="O52" s="51"/>
    </row>
    <row r="53" s="1" customFormat="1" ht="18" customHeight="1" spans="1:15">
      <c r="A53" s="36"/>
      <c r="B53" s="85"/>
      <c r="C53" s="37"/>
      <c r="D53" s="38"/>
      <c r="E53" s="39"/>
      <c r="F53" s="85"/>
      <c r="G53" s="79"/>
      <c r="H53" s="41"/>
      <c r="I53" s="89"/>
      <c r="J53" s="64"/>
      <c r="K53" s="65"/>
      <c r="L53" s="51"/>
      <c r="M53" s="52"/>
      <c r="N53" s="52"/>
      <c r="O53" s="51"/>
    </row>
    <row r="54" s="1" customFormat="1" ht="18" customHeight="1" spans="1:15">
      <c r="A54" s="36"/>
      <c r="B54" s="85"/>
      <c r="C54" s="37"/>
      <c r="D54" s="38"/>
      <c r="E54" s="39"/>
      <c r="F54" s="85"/>
      <c r="G54" s="79"/>
      <c r="H54" s="41"/>
      <c r="I54" s="89"/>
      <c r="J54" s="64"/>
      <c r="K54" s="65"/>
      <c r="L54" s="51"/>
      <c r="M54" s="52"/>
      <c r="N54" s="52"/>
      <c r="O54" s="51"/>
    </row>
    <row r="55" s="1" customFormat="1" ht="18" customHeight="1" spans="1:15">
      <c r="A55" s="36"/>
      <c r="B55" s="85"/>
      <c r="C55" s="37"/>
      <c r="D55" s="38"/>
      <c r="E55" s="39"/>
      <c r="F55" s="85"/>
      <c r="G55" s="79"/>
      <c r="H55" s="41"/>
      <c r="I55" s="89"/>
      <c r="J55" s="64"/>
      <c r="K55" s="65"/>
      <c r="L55" s="51"/>
      <c r="M55" s="52"/>
      <c r="N55" s="52"/>
      <c r="O55" s="51"/>
    </row>
    <row r="56" s="1" customFormat="1" ht="18" customHeight="1" spans="1:15">
      <c r="A56" s="36"/>
      <c r="B56" s="85"/>
      <c r="C56" s="37"/>
      <c r="D56" s="38"/>
      <c r="E56" s="39"/>
      <c r="F56" s="85"/>
      <c r="G56" s="79"/>
      <c r="H56" s="41"/>
      <c r="I56" s="89"/>
      <c r="J56" s="64"/>
      <c r="K56" s="65"/>
      <c r="L56" s="51"/>
      <c r="M56" s="52"/>
      <c r="N56" s="52"/>
      <c r="O56" s="51"/>
    </row>
    <row r="57" s="1" customFormat="1" ht="18" customHeight="1" spans="1:15">
      <c r="A57" s="36"/>
      <c r="B57" s="85"/>
      <c r="C57" s="37"/>
      <c r="D57" s="38"/>
      <c r="E57" s="39"/>
      <c r="F57" s="85"/>
      <c r="G57" s="79"/>
      <c r="H57" s="41"/>
      <c r="I57" s="89"/>
      <c r="J57" s="64"/>
      <c r="K57" s="65"/>
      <c r="L57" s="51"/>
      <c r="M57" s="52"/>
      <c r="N57" s="52"/>
      <c r="O57" s="51"/>
    </row>
    <row r="58" s="1" customFormat="1" ht="18" customHeight="1" spans="1:15">
      <c r="A58" s="36"/>
      <c r="B58" s="85">
        <f t="shared" ref="B58:B69" si="9">ROUND(G58/(1+E58),2)</f>
        <v>0</v>
      </c>
      <c r="C58" s="37"/>
      <c r="D58" s="38"/>
      <c r="E58" s="39"/>
      <c r="F58" s="85">
        <f t="shared" ref="F58:F69" si="10">ROUND(G58/(1+E58)*E58,2)</f>
        <v>0</v>
      </c>
      <c r="G58" s="79"/>
      <c r="H58" s="21"/>
      <c r="I58" s="11"/>
      <c r="J58" s="48"/>
      <c r="K58" s="50"/>
      <c r="L58" s="51"/>
      <c r="M58" s="52"/>
      <c r="N58" s="52"/>
      <c r="O58" s="51"/>
    </row>
    <row r="59" s="1" customFormat="1" ht="18" customHeight="1" spans="1:15">
      <c r="A59" s="36"/>
      <c r="B59" s="85">
        <f t="shared" si="9"/>
        <v>0</v>
      </c>
      <c r="C59" s="37"/>
      <c r="D59" s="38"/>
      <c r="E59" s="39"/>
      <c r="F59" s="85">
        <f t="shared" si="10"/>
        <v>0</v>
      </c>
      <c r="G59" s="79"/>
      <c r="H59" s="21"/>
      <c r="I59" s="11">
        <v>-39435</v>
      </c>
      <c r="J59" s="48" t="s">
        <v>56</v>
      </c>
      <c r="K59" s="50" t="s">
        <v>57</v>
      </c>
      <c r="L59" s="51"/>
      <c r="M59" s="52"/>
      <c r="N59" s="52"/>
      <c r="O59" s="51"/>
    </row>
    <row r="60" s="1" customFormat="1" ht="18" customHeight="1" spans="1:15">
      <c r="A60" s="36"/>
      <c r="B60" s="85">
        <f t="shared" si="9"/>
        <v>0</v>
      </c>
      <c r="C60" s="37"/>
      <c r="D60" s="38"/>
      <c r="E60" s="39"/>
      <c r="F60" s="85">
        <f t="shared" si="10"/>
        <v>0</v>
      </c>
      <c r="G60" s="79"/>
      <c r="H60" s="21"/>
      <c r="I60" s="89">
        <v>472666.67</v>
      </c>
      <c r="J60" s="48" t="s">
        <v>58</v>
      </c>
      <c r="K60" s="50" t="s">
        <v>59</v>
      </c>
      <c r="L60" s="51"/>
      <c r="M60" s="52"/>
      <c r="N60" s="52"/>
      <c r="O60" s="51"/>
    </row>
    <row r="61" s="1" customFormat="1" ht="18" customHeight="1" spans="1:15">
      <c r="A61" s="36"/>
      <c r="B61" s="85">
        <f t="shared" si="9"/>
        <v>0</v>
      </c>
      <c r="C61" s="37"/>
      <c r="D61" s="38"/>
      <c r="E61" s="39"/>
      <c r="F61" s="85">
        <f t="shared" si="10"/>
        <v>0</v>
      </c>
      <c r="G61" s="79"/>
      <c r="H61" s="21"/>
      <c r="I61" s="89">
        <v>60725</v>
      </c>
      <c r="J61" s="48" t="s">
        <v>58</v>
      </c>
      <c r="K61" s="50" t="s">
        <v>57</v>
      </c>
      <c r="L61" s="51"/>
      <c r="M61" s="52"/>
      <c r="N61" s="52"/>
      <c r="O61" s="51"/>
    </row>
    <row r="62" s="1" customFormat="1" ht="18" customHeight="1" spans="1:15">
      <c r="A62" s="36"/>
      <c r="B62" s="85">
        <f t="shared" si="9"/>
        <v>0</v>
      </c>
      <c r="C62" s="37"/>
      <c r="D62" s="38"/>
      <c r="E62" s="39"/>
      <c r="F62" s="85">
        <f t="shared" si="10"/>
        <v>0</v>
      </c>
      <c r="G62" s="79"/>
      <c r="H62" s="21"/>
      <c r="I62" s="89">
        <v>5000</v>
      </c>
      <c r="J62" s="48" t="s">
        <v>60</v>
      </c>
      <c r="K62" s="50" t="s">
        <v>61</v>
      </c>
      <c r="L62" s="51"/>
      <c r="M62" s="52"/>
      <c r="N62" s="52"/>
      <c r="O62" s="51"/>
    </row>
    <row r="63" s="1" customFormat="1" ht="18" customHeight="1" spans="1:15">
      <c r="A63" s="36"/>
      <c r="B63" s="85">
        <f t="shared" si="9"/>
        <v>0</v>
      </c>
      <c r="C63" s="37"/>
      <c r="D63" s="38"/>
      <c r="E63" s="39"/>
      <c r="F63" s="85">
        <f t="shared" si="10"/>
        <v>0</v>
      </c>
      <c r="G63" s="79"/>
      <c r="H63" s="21"/>
      <c r="I63" s="89">
        <f>21570+22200</f>
        <v>43770</v>
      </c>
      <c r="J63" s="48" t="s">
        <v>60</v>
      </c>
      <c r="K63" s="50" t="s">
        <v>62</v>
      </c>
      <c r="L63" s="51"/>
      <c r="M63" s="52"/>
      <c r="N63" s="52"/>
      <c r="O63" s="51"/>
    </row>
    <row r="64" s="1" customFormat="1" ht="18" customHeight="1" spans="1:15">
      <c r="A64" s="36"/>
      <c r="B64" s="85">
        <f t="shared" si="9"/>
        <v>0</v>
      </c>
      <c r="C64" s="37"/>
      <c r="D64" s="38"/>
      <c r="E64" s="39"/>
      <c r="F64" s="85">
        <f t="shared" si="10"/>
        <v>0</v>
      </c>
      <c r="G64" s="79"/>
      <c r="H64" s="21"/>
      <c r="I64" s="89">
        <v>338259</v>
      </c>
      <c r="J64" s="48" t="s">
        <v>58</v>
      </c>
      <c r="K64" s="50" t="s">
        <v>63</v>
      </c>
      <c r="L64" s="51"/>
      <c r="M64" s="52"/>
      <c r="N64" s="52"/>
      <c r="O64" s="51"/>
    </row>
    <row r="65" s="1" customFormat="1" ht="18" customHeight="1" spans="1:15">
      <c r="A65" s="36"/>
      <c r="B65" s="85">
        <f t="shared" si="9"/>
        <v>0</v>
      </c>
      <c r="C65" s="37"/>
      <c r="D65" s="38"/>
      <c r="E65" s="39"/>
      <c r="F65" s="85">
        <f t="shared" si="10"/>
        <v>0</v>
      </c>
      <c r="G65" s="79"/>
      <c r="H65" s="21"/>
      <c r="I65" s="89">
        <v>48067</v>
      </c>
      <c r="J65" s="48" t="s">
        <v>58</v>
      </c>
      <c r="K65" s="50" t="s">
        <v>64</v>
      </c>
      <c r="L65" s="51"/>
      <c r="M65" s="52"/>
      <c r="N65" s="52"/>
      <c r="O65" s="51"/>
    </row>
    <row r="66" s="1" customFormat="1" ht="18" customHeight="1" spans="1:15">
      <c r="A66" s="36"/>
      <c r="B66" s="85">
        <f t="shared" si="9"/>
        <v>0</v>
      </c>
      <c r="C66" s="37"/>
      <c r="D66" s="38"/>
      <c r="E66" s="39"/>
      <c r="F66" s="85">
        <f t="shared" si="10"/>
        <v>0</v>
      </c>
      <c r="G66" s="79"/>
      <c r="H66" s="21"/>
      <c r="I66" s="88">
        <v>700000</v>
      </c>
      <c r="J66" s="54" t="s">
        <v>58</v>
      </c>
      <c r="K66" s="55" t="s">
        <v>65</v>
      </c>
      <c r="L66" s="51"/>
      <c r="M66" s="52"/>
      <c r="N66" s="52"/>
      <c r="O66" s="51"/>
    </row>
    <row r="67" s="1" customFormat="1" ht="18" customHeight="1" spans="1:15">
      <c r="A67" s="36"/>
      <c r="B67" s="85">
        <f t="shared" si="9"/>
        <v>0</v>
      </c>
      <c r="C67" s="37"/>
      <c r="D67" s="38"/>
      <c r="E67" s="39"/>
      <c r="F67" s="85">
        <f t="shared" si="10"/>
        <v>0</v>
      </c>
      <c r="G67" s="79"/>
      <c r="H67" s="21"/>
      <c r="I67" s="89">
        <v>8887</v>
      </c>
      <c r="J67" s="48" t="s">
        <v>58</v>
      </c>
      <c r="K67" s="50" t="s">
        <v>66</v>
      </c>
      <c r="L67" s="51"/>
      <c r="M67" s="52"/>
      <c r="N67" s="52"/>
      <c r="O67" s="51"/>
    </row>
    <row r="68" s="1" customFormat="1" ht="18" customHeight="1" spans="1:15">
      <c r="A68" s="36"/>
      <c r="B68" s="85">
        <f t="shared" si="9"/>
        <v>0</v>
      </c>
      <c r="C68" s="37"/>
      <c r="D68" s="38"/>
      <c r="E68" s="39"/>
      <c r="F68" s="85">
        <f t="shared" si="10"/>
        <v>0</v>
      </c>
      <c r="G68" s="79"/>
      <c r="H68" s="21"/>
      <c r="I68" s="89">
        <v>800</v>
      </c>
      <c r="J68" s="48" t="s">
        <v>58</v>
      </c>
      <c r="K68" s="50" t="s">
        <v>67</v>
      </c>
      <c r="L68" s="51"/>
      <c r="M68" s="52"/>
      <c r="N68" s="52"/>
      <c r="O68" s="51"/>
    </row>
    <row r="69" s="1" customFormat="1" ht="18" customHeight="1" spans="1:15">
      <c r="A69" s="36"/>
      <c r="B69" s="85">
        <f t="shared" si="9"/>
        <v>294580</v>
      </c>
      <c r="C69" s="37"/>
      <c r="D69" s="38"/>
      <c r="E69" s="39"/>
      <c r="F69" s="85">
        <f t="shared" si="10"/>
        <v>0</v>
      </c>
      <c r="G69" s="79">
        <f>207040+43140+44400</f>
        <v>294580</v>
      </c>
      <c r="H69" s="21"/>
      <c r="I69" s="11">
        <f>G69</f>
        <v>294580</v>
      </c>
      <c r="J69" s="48" t="s">
        <v>58</v>
      </c>
      <c r="K69" s="50" t="s">
        <v>68</v>
      </c>
      <c r="L69" s="51"/>
      <c r="M69" s="52"/>
      <c r="N69" s="52"/>
      <c r="O69" s="51"/>
    </row>
    <row r="70" ht="18" customHeight="1" spans="1:15">
      <c r="A70" s="31" t="s">
        <v>22</v>
      </c>
      <c r="B70" s="84">
        <f>SUM(B23:B69)</f>
        <v>12792142</v>
      </c>
      <c r="C70" s="31"/>
      <c r="D70" s="42"/>
      <c r="E70" s="42"/>
      <c r="F70" s="75">
        <f>SUM(F23:F69)</f>
        <v>896498</v>
      </c>
      <c r="G70" s="90">
        <f>SUM(G23:G69)</f>
        <v>13688640</v>
      </c>
      <c r="H70" s="44"/>
      <c r="I70" s="31">
        <f>SUM(I23:I69)</f>
        <v>14729000</v>
      </c>
      <c r="J70" s="67"/>
      <c r="K70" s="42"/>
      <c r="L70" s="34"/>
      <c r="M70" s="48"/>
      <c r="N70" s="48"/>
      <c r="O70" s="34"/>
    </row>
    <row r="71" ht="18" customHeight="1" spans="1:14">
      <c r="A71" s="68"/>
      <c r="B71" s="68">
        <f>B20-B70</f>
        <v>-299357.3972154</v>
      </c>
      <c r="C71" s="68"/>
      <c r="D71" s="70"/>
      <c r="E71" s="70"/>
      <c r="F71" s="69"/>
      <c r="G71" s="68">
        <f>G20-G70</f>
        <v>110360</v>
      </c>
      <c r="H71" s="20" t="s">
        <v>69</v>
      </c>
      <c r="I71" s="31">
        <f>I20-I70</f>
        <v>0</v>
      </c>
      <c r="J71" s="6"/>
      <c r="K71" s="76"/>
      <c r="M71" s="77"/>
      <c r="N71" s="77"/>
    </row>
    <row r="72" ht="18" customHeight="1" spans="1:3">
      <c r="A72" s="2" t="s">
        <v>70</v>
      </c>
      <c r="C72" s="2"/>
    </row>
    <row r="73" ht="18" customHeight="1" spans="1:9">
      <c r="A73" s="20" t="s">
        <v>71</v>
      </c>
      <c r="B73" s="19" t="s">
        <v>72</v>
      </c>
      <c r="C73" s="34"/>
      <c r="D73" s="20" t="s">
        <v>71</v>
      </c>
      <c r="E73" s="18" t="s">
        <v>16</v>
      </c>
      <c r="F73" s="19" t="s">
        <v>72</v>
      </c>
      <c r="G73" s="19" t="s">
        <v>73</v>
      </c>
      <c r="H73" s="18" t="s">
        <v>74</v>
      </c>
      <c r="I73" s="18" t="s">
        <v>75</v>
      </c>
    </row>
    <row r="74" ht="18" customHeight="1" spans="1:9">
      <c r="A74" s="34" t="s">
        <v>76</v>
      </c>
      <c r="B74" s="16">
        <f>(B20-B70)*0.25</f>
        <v>-74839.34930385</v>
      </c>
      <c r="C74" s="34"/>
      <c r="D74" s="71" t="s">
        <v>77</v>
      </c>
      <c r="E74" s="72" t="s">
        <v>78</v>
      </c>
      <c r="F74" s="75">
        <f>F20-F70</f>
        <v>159861.70515971</v>
      </c>
      <c r="G74" s="91">
        <f>F7+F8</f>
        <v>307297.297297297</v>
      </c>
      <c r="H74" s="91"/>
      <c r="I74" s="91">
        <v>0</v>
      </c>
    </row>
    <row r="75" ht="18" customHeight="1" spans="1:9">
      <c r="A75" s="34" t="s">
        <v>79</v>
      </c>
      <c r="B75" s="73" t="s">
        <v>80</v>
      </c>
      <c r="C75" s="34"/>
      <c r="D75" s="74" t="s">
        <v>81</v>
      </c>
      <c r="E75" s="12">
        <v>0.07</v>
      </c>
      <c r="F75" s="11">
        <f>F74*E75</f>
        <v>11190.3193611797</v>
      </c>
      <c r="G75" s="11">
        <f>G74*0.05</f>
        <v>15364.8648648649</v>
      </c>
      <c r="H75" s="11"/>
      <c r="I75" s="11">
        <v>0</v>
      </c>
    </row>
    <row r="76" ht="18" customHeight="1" spans="1:9">
      <c r="A76" s="34" t="s">
        <v>82</v>
      </c>
      <c r="B76" s="73" t="s">
        <v>80</v>
      </c>
      <c r="C76" s="34"/>
      <c r="D76" s="74" t="s">
        <v>83</v>
      </c>
      <c r="E76" s="12">
        <v>0.03</v>
      </c>
      <c r="F76" s="11">
        <f>F74*E76</f>
        <v>4795.8511547913</v>
      </c>
      <c r="G76" s="11">
        <f>G74*E76</f>
        <v>9218.91891891892</v>
      </c>
      <c r="H76" s="11"/>
      <c r="I76" s="11">
        <v>0</v>
      </c>
    </row>
    <row r="77" ht="18" customHeight="1" spans="1:9">
      <c r="A77" s="34"/>
      <c r="B77" s="13"/>
      <c r="C77" s="34"/>
      <c r="D77" s="74" t="s">
        <v>84</v>
      </c>
      <c r="E77" s="12">
        <v>0.02</v>
      </c>
      <c r="F77" s="11">
        <f>F74*E77</f>
        <v>3197.2341031942</v>
      </c>
      <c r="G77" s="11">
        <f>G74*E77</f>
        <v>6145.94594594595</v>
      </c>
      <c r="H77" s="11"/>
      <c r="I77" s="11">
        <v>0</v>
      </c>
    </row>
    <row r="78" ht="18" customHeight="1" spans="1:9">
      <c r="A78" s="29" t="s">
        <v>85</v>
      </c>
      <c r="B78" s="30">
        <f t="shared" ref="B78:H78" si="11">SUM(B74:B77)</f>
        <v>-74839.34930385</v>
      </c>
      <c r="C78" s="34"/>
      <c r="D78" s="71" t="s">
        <v>85</v>
      </c>
      <c r="E78" s="71"/>
      <c r="F78" s="75">
        <f t="shared" si="11"/>
        <v>179045.109778875</v>
      </c>
      <c r="G78" s="75">
        <f t="shared" si="11"/>
        <v>338027.027027027</v>
      </c>
      <c r="H78" s="75">
        <f t="shared" si="11"/>
        <v>0</v>
      </c>
      <c r="I78" s="75">
        <v>0</v>
      </c>
    </row>
    <row r="79" ht="18" customHeight="1" spans="3:9">
      <c r="C79" s="2"/>
      <c r="D79" s="92" t="s">
        <v>22</v>
      </c>
      <c r="E79" s="92"/>
      <c r="F79" s="92">
        <f>F78</f>
        <v>179045.109778875</v>
      </c>
      <c r="G79" s="92">
        <f>G78</f>
        <v>338027.027027027</v>
      </c>
      <c r="H79" s="92">
        <v>231</v>
      </c>
      <c r="I79" s="92">
        <v>0</v>
      </c>
    </row>
    <row r="80" ht="18" customHeight="1" spans="3:9">
      <c r="C80" s="2"/>
      <c r="F80" s="4"/>
      <c r="G80" s="4"/>
      <c r="H80" s="4">
        <f>G79+H79</f>
        <v>338258.027027027</v>
      </c>
      <c r="I80" s="4"/>
    </row>
    <row r="81" ht="18" customHeight="1" spans="3:3">
      <c r="C81" s="2"/>
    </row>
    <row r="82" ht="18" customHeight="1" spans="3:3">
      <c r="C82" s="2"/>
    </row>
    <row r="83" ht="18" customHeight="1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11">
      <c r="C90" s="2"/>
      <c r="K90" s="6" t="s">
        <v>86</v>
      </c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</sheetData>
  <autoFilter ref="A22:O8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opLeftCell="A46" workbookViewId="0">
      <selection activeCell="K71" sqref="K7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6.25" style="3" customWidth="1"/>
    <col min="8" max="8" width="11.5" style="4" customWidth="1"/>
    <col min="9" max="9" width="13.875" style="3" customWidth="1"/>
    <col min="10" max="10" width="6.125" style="5" customWidth="1"/>
    <col min="11" max="11" width="27.12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87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42809</v>
      </c>
      <c r="C2" s="11" t="s">
        <v>2</v>
      </c>
      <c r="D2" s="11">
        <v>18784677.53</v>
      </c>
      <c r="E2" s="12" t="s">
        <v>3</v>
      </c>
      <c r="F2" s="13" t="s">
        <v>4</v>
      </c>
      <c r="G2" s="14" t="s">
        <v>5</v>
      </c>
      <c r="H2" s="15" t="s">
        <v>6</v>
      </c>
      <c r="I2" s="45"/>
      <c r="J2" s="46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7"/>
      <c r="J3" s="17"/>
      <c r="K3" s="17"/>
      <c r="L3" s="17"/>
    </row>
    <row r="4" ht="18" customHeight="1" spans="1:12">
      <c r="A4" s="2" t="s">
        <v>9</v>
      </c>
      <c r="H4" s="17"/>
      <c r="I4" s="47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43070</v>
      </c>
      <c r="B7" s="13">
        <f>G7/(1+C7+E7)</f>
        <v>1738738.73873874</v>
      </c>
      <c r="C7" s="22">
        <v>0.02</v>
      </c>
      <c r="D7" s="23">
        <f>G7/(1+E7+C7)*C7</f>
        <v>34774.7747747748</v>
      </c>
      <c r="E7" s="22">
        <v>0.09</v>
      </c>
      <c r="F7" s="13">
        <f>G7/(1+C7+E7)*E7</f>
        <v>156486.486486486</v>
      </c>
      <c r="G7" s="24">
        <v>1930000</v>
      </c>
      <c r="H7" s="21">
        <v>43096</v>
      </c>
      <c r="I7" s="25">
        <v>2000000</v>
      </c>
      <c r="J7" s="48" t="s">
        <v>21</v>
      </c>
    </row>
    <row r="8" ht="18" customHeight="1" spans="1:10">
      <c r="A8" s="21">
        <v>43117</v>
      </c>
      <c r="B8" s="13">
        <f t="shared" ref="B8:B9" si="0">G8/(1+C8+E8)</f>
        <v>1675675.67567568</v>
      </c>
      <c r="C8" s="22">
        <v>0.02</v>
      </c>
      <c r="D8" s="23">
        <f t="shared" ref="D8:D9" si="1">G8/(1+E8+C8)*C8</f>
        <v>33513.5135135135</v>
      </c>
      <c r="E8" s="22">
        <v>0.09</v>
      </c>
      <c r="F8" s="13">
        <f t="shared" ref="F8:F9" si="2">G8/(1+C8+E8)*E8</f>
        <v>150810.810810811</v>
      </c>
      <c r="G8" s="24">
        <v>1860000</v>
      </c>
      <c r="H8" s="21">
        <v>43149</v>
      </c>
      <c r="I8" s="25">
        <v>860000</v>
      </c>
      <c r="J8" s="48" t="s">
        <v>21</v>
      </c>
    </row>
    <row r="9" ht="18" customHeight="1" spans="1:10">
      <c r="A9" s="21">
        <v>43193</v>
      </c>
      <c r="B9" s="13">
        <f t="shared" si="0"/>
        <v>2279279.27927928</v>
      </c>
      <c r="C9" s="22">
        <v>0.02</v>
      </c>
      <c r="D9" s="23">
        <f t="shared" si="1"/>
        <v>45585.5855855856</v>
      </c>
      <c r="E9" s="22">
        <v>0.09</v>
      </c>
      <c r="F9" s="13">
        <f t="shared" si="2"/>
        <v>205135.135135135</v>
      </c>
      <c r="G9" s="24">
        <v>2530000</v>
      </c>
      <c r="H9" s="21">
        <v>43143</v>
      </c>
      <c r="I9" s="25">
        <v>1480000</v>
      </c>
      <c r="J9" s="48" t="s">
        <v>21</v>
      </c>
    </row>
    <row r="10" ht="18" customHeight="1" spans="1:10">
      <c r="A10" s="21">
        <v>43224</v>
      </c>
      <c r="B10" s="13">
        <f t="shared" ref="B10:B16" si="3">G10/(1+C10+E10)</f>
        <v>1131818.18181818</v>
      </c>
      <c r="C10" s="22">
        <v>0.02</v>
      </c>
      <c r="D10" s="23">
        <f t="shared" ref="D10:D16" si="4">G10/(1+E10+C10)*C10</f>
        <v>22636.3636363636</v>
      </c>
      <c r="E10" s="22">
        <v>0.08</v>
      </c>
      <c r="F10" s="13">
        <f t="shared" ref="F10:F16" si="5">G10/(1+C10+E10)*E10</f>
        <v>90545.4545454545</v>
      </c>
      <c r="G10" s="24">
        <v>1245000</v>
      </c>
      <c r="H10" s="21">
        <v>43198</v>
      </c>
      <c r="I10" s="13">
        <v>380000</v>
      </c>
      <c r="J10" s="48" t="s">
        <v>21</v>
      </c>
    </row>
    <row r="11" ht="18" customHeight="1" spans="1:10">
      <c r="A11" s="21">
        <v>43266</v>
      </c>
      <c r="B11" s="13">
        <f t="shared" si="3"/>
        <v>695454.545454545</v>
      </c>
      <c r="C11" s="22">
        <v>0.02</v>
      </c>
      <c r="D11" s="23">
        <f t="shared" si="4"/>
        <v>13909.0909090909</v>
      </c>
      <c r="E11" s="22">
        <v>0.08</v>
      </c>
      <c r="F11" s="13">
        <f t="shared" si="5"/>
        <v>55636.3636363636</v>
      </c>
      <c r="G11" s="24">
        <v>765000</v>
      </c>
      <c r="H11" s="21">
        <v>43199</v>
      </c>
      <c r="I11" s="13">
        <v>2530000</v>
      </c>
      <c r="J11" s="48" t="s">
        <v>21</v>
      </c>
    </row>
    <row r="12" ht="18" customHeight="1" spans="1:10">
      <c r="A12" s="21">
        <v>43299</v>
      </c>
      <c r="B12" s="13">
        <f t="shared" si="3"/>
        <v>992727.272727273</v>
      </c>
      <c r="C12" s="22">
        <v>0.02</v>
      </c>
      <c r="D12" s="23">
        <f t="shared" si="4"/>
        <v>19854.5454545455</v>
      </c>
      <c r="E12" s="22">
        <v>0.08</v>
      </c>
      <c r="F12" s="13">
        <f t="shared" si="5"/>
        <v>79418.1818181818</v>
      </c>
      <c r="G12" s="24">
        <v>1092000</v>
      </c>
      <c r="H12" s="21">
        <v>43238</v>
      </c>
      <c r="I12" s="13">
        <v>1245000</v>
      </c>
      <c r="J12" s="48" t="s">
        <v>21</v>
      </c>
    </row>
    <row r="13" ht="18" customHeight="1" spans="1:10">
      <c r="A13" s="21">
        <v>43360</v>
      </c>
      <c r="B13" s="13">
        <f t="shared" si="3"/>
        <v>1960909.09090909</v>
      </c>
      <c r="C13" s="22">
        <v>0.02</v>
      </c>
      <c r="D13" s="23">
        <f t="shared" si="4"/>
        <v>39218.1818181818</v>
      </c>
      <c r="E13" s="22">
        <v>0.08</v>
      </c>
      <c r="F13" s="13">
        <f t="shared" si="5"/>
        <v>156872.727272727</v>
      </c>
      <c r="G13" s="24">
        <v>2157000</v>
      </c>
      <c r="H13" s="21">
        <v>43278</v>
      </c>
      <c r="I13" s="13">
        <v>765000</v>
      </c>
      <c r="J13" s="48" t="s">
        <v>21</v>
      </c>
    </row>
    <row r="14" ht="18" customHeight="1" spans="1:11">
      <c r="A14" s="21">
        <v>43488</v>
      </c>
      <c r="B14" s="13">
        <f t="shared" si="3"/>
        <v>2018181.81818182</v>
      </c>
      <c r="C14" s="22">
        <v>0.02</v>
      </c>
      <c r="D14" s="23">
        <f t="shared" si="4"/>
        <v>40363.6363636364</v>
      </c>
      <c r="E14" s="22">
        <v>0.08</v>
      </c>
      <c r="F14" s="13">
        <f t="shared" si="5"/>
        <v>161454.545454545</v>
      </c>
      <c r="G14" s="24">
        <v>2220000</v>
      </c>
      <c r="H14" s="21">
        <v>43308</v>
      </c>
      <c r="I14" s="13">
        <v>1092000</v>
      </c>
      <c r="J14" s="48" t="s">
        <v>21</v>
      </c>
      <c r="K14" s="3"/>
    </row>
    <row r="15" ht="18" customHeight="1" spans="1:10">
      <c r="A15" s="21"/>
      <c r="B15" s="25">
        <f t="shared" si="3"/>
        <v>845454.545454545</v>
      </c>
      <c r="C15" s="26">
        <v>0.02</v>
      </c>
      <c r="D15" s="27">
        <f t="shared" si="4"/>
        <v>16909.0909090909</v>
      </c>
      <c r="E15" s="26">
        <v>0.08</v>
      </c>
      <c r="F15" s="25">
        <f t="shared" si="5"/>
        <v>67636.3636363636</v>
      </c>
      <c r="G15" s="28">
        <v>930000</v>
      </c>
      <c r="H15" s="21">
        <v>43371</v>
      </c>
      <c r="I15" s="13">
        <v>2157000</v>
      </c>
      <c r="J15" s="48" t="s">
        <v>21</v>
      </c>
    </row>
    <row r="16" ht="18" customHeight="1" spans="1:11">
      <c r="A16" s="21"/>
      <c r="B16" s="13">
        <f t="shared" si="3"/>
        <v>0</v>
      </c>
      <c r="C16" s="22">
        <v>0.02</v>
      </c>
      <c r="D16" s="23">
        <f t="shared" si="4"/>
        <v>0</v>
      </c>
      <c r="E16" s="22">
        <v>0.08</v>
      </c>
      <c r="F16" s="13">
        <f t="shared" si="5"/>
        <v>0</v>
      </c>
      <c r="G16" s="24"/>
      <c r="H16" s="21">
        <v>43497</v>
      </c>
      <c r="I16" s="13">
        <v>2220000</v>
      </c>
      <c r="J16" s="48" t="s">
        <v>21</v>
      </c>
      <c r="K16" s="3">
        <f>I17-G17</f>
        <v>0</v>
      </c>
    </row>
    <row r="17" ht="18" customHeight="1" spans="1:10">
      <c r="A17" s="29" t="s">
        <v>22</v>
      </c>
      <c r="B17" s="30">
        <f>SUM(B7:B16)</f>
        <v>13338239.1482391</v>
      </c>
      <c r="C17" s="31"/>
      <c r="D17" s="32">
        <f t="shared" ref="D17:G17" si="6">SUM(D7:D16)</f>
        <v>266764.782964783</v>
      </c>
      <c r="E17" s="31"/>
      <c r="F17" s="33">
        <f t="shared" si="6"/>
        <v>1123996.06879607</v>
      </c>
      <c r="G17" s="32">
        <f t="shared" si="6"/>
        <v>14729000</v>
      </c>
      <c r="H17" s="34"/>
      <c r="I17" s="32">
        <f>SUM(I7:I16)</f>
        <v>14729000</v>
      </c>
      <c r="J17" s="34"/>
    </row>
    <row r="18" ht="18" customHeight="1" spans="1:12">
      <c r="A18" s="2" t="s">
        <v>23</v>
      </c>
      <c r="J18" s="4"/>
      <c r="K18" s="4"/>
      <c r="L18" s="5"/>
    </row>
    <row r="19" ht="18" customHeight="1" spans="1:15">
      <c r="A19" s="35" t="s">
        <v>24</v>
      </c>
      <c r="B19" s="19" t="s">
        <v>25</v>
      </c>
      <c r="C19" s="18" t="s">
        <v>26</v>
      </c>
      <c r="D19" s="18" t="s">
        <v>27</v>
      </c>
      <c r="E19" s="18" t="s">
        <v>16</v>
      </c>
      <c r="F19" s="19" t="s">
        <v>28</v>
      </c>
      <c r="G19" s="19" t="s">
        <v>14</v>
      </c>
      <c r="H19" s="18" t="s">
        <v>29</v>
      </c>
      <c r="I19" s="19" t="s">
        <v>30</v>
      </c>
      <c r="J19" s="18" t="s">
        <v>20</v>
      </c>
      <c r="K19" s="49" t="s">
        <v>31</v>
      </c>
      <c r="L19" s="20" t="s">
        <v>32</v>
      </c>
      <c r="M19" s="20" t="s">
        <v>33</v>
      </c>
      <c r="N19" s="20" t="s">
        <v>34</v>
      </c>
      <c r="O19" s="20" t="s">
        <v>35</v>
      </c>
    </row>
    <row r="20" s="1" customFormat="1" ht="18" customHeight="1" spans="1:15">
      <c r="A20" s="36">
        <v>43070</v>
      </c>
      <c r="B20" s="16">
        <f>ROUND(G20/(1+E20),2)</f>
        <v>500000</v>
      </c>
      <c r="C20" s="37"/>
      <c r="D20" s="38" t="s">
        <v>37</v>
      </c>
      <c r="E20" s="39"/>
      <c r="F20" s="16">
        <f>ROUND(G20/(1+E20)*E20,2)</f>
        <v>0</v>
      </c>
      <c r="G20" s="24">
        <v>500000</v>
      </c>
      <c r="H20" s="21"/>
      <c r="I20" s="13"/>
      <c r="J20" s="48"/>
      <c r="K20" s="50" t="s">
        <v>38</v>
      </c>
      <c r="L20" s="51" t="s">
        <v>39</v>
      </c>
      <c r="M20" s="52"/>
      <c r="N20" s="52"/>
      <c r="O20" s="51"/>
    </row>
    <row r="21" s="1" customFormat="1" ht="18" customHeight="1" spans="1:15">
      <c r="A21" s="36">
        <v>43070</v>
      </c>
      <c r="B21" s="16">
        <f>ROUND(G21/(1+E21),2)</f>
        <v>798000</v>
      </c>
      <c r="C21" s="37"/>
      <c r="D21" s="38" t="s">
        <v>37</v>
      </c>
      <c r="E21" s="39"/>
      <c r="F21" s="16">
        <f>ROUND(G21/(1+E21)*E21,2)</f>
        <v>0</v>
      </c>
      <c r="G21" s="24">
        <v>798000</v>
      </c>
      <c r="H21" s="21"/>
      <c r="I21" s="13"/>
      <c r="J21" s="48"/>
      <c r="K21" s="50" t="s">
        <v>4</v>
      </c>
      <c r="L21" s="51" t="s">
        <v>40</v>
      </c>
      <c r="M21" s="52"/>
      <c r="N21" s="52"/>
      <c r="O21" s="51"/>
    </row>
    <row r="22" s="1" customFormat="1" ht="18" customHeight="1" spans="1:15">
      <c r="A22" s="36">
        <v>43070</v>
      </c>
      <c r="B22" s="16">
        <f>ROUND(G22/(1+E22),2)</f>
        <v>450000</v>
      </c>
      <c r="C22" s="37"/>
      <c r="D22" s="38" t="s">
        <v>37</v>
      </c>
      <c r="E22" s="39"/>
      <c r="F22" s="16">
        <f>ROUND(G22/(1+E22)*E22,2)</f>
        <v>0</v>
      </c>
      <c r="G22" s="24">
        <v>450000</v>
      </c>
      <c r="H22" s="21"/>
      <c r="I22" s="13"/>
      <c r="J22" s="48"/>
      <c r="K22" s="50" t="s">
        <v>4</v>
      </c>
      <c r="L22" s="51"/>
      <c r="M22" s="52"/>
      <c r="N22" s="52"/>
      <c r="O22" s="51"/>
    </row>
    <row r="23" s="1" customFormat="1" ht="18" customHeight="1" spans="1:15">
      <c r="A23" s="36">
        <v>43177</v>
      </c>
      <c r="B23" s="16">
        <f>ROUND(G23/(1+E23),2)</f>
        <v>2076846.15</v>
      </c>
      <c r="C23" s="37">
        <v>21</v>
      </c>
      <c r="D23" s="38" t="s">
        <v>41</v>
      </c>
      <c r="E23" s="39">
        <v>0.17</v>
      </c>
      <c r="F23" s="16">
        <f>ROUND(G23/(1+E23)*E23,2)</f>
        <v>353063.85</v>
      </c>
      <c r="G23" s="24">
        <v>2429910</v>
      </c>
      <c r="H23" s="40">
        <v>43181</v>
      </c>
      <c r="I23" s="53">
        <v>1000000</v>
      </c>
      <c r="J23" s="54" t="s">
        <v>21</v>
      </c>
      <c r="K23" s="55" t="s">
        <v>42</v>
      </c>
      <c r="L23" s="56" t="s">
        <v>40</v>
      </c>
      <c r="M23" s="57" t="s">
        <v>43</v>
      </c>
      <c r="N23" s="52"/>
      <c r="O23" s="51"/>
    </row>
    <row r="24" s="1" customFormat="1" ht="18" customHeight="1" spans="1:15">
      <c r="A24" s="36"/>
      <c r="B24" s="16"/>
      <c r="C24" s="37"/>
      <c r="D24" s="38"/>
      <c r="E24" s="39"/>
      <c r="F24" s="16"/>
      <c r="G24" s="24"/>
      <c r="H24" s="40"/>
      <c r="I24" s="58">
        <v>-1000000</v>
      </c>
      <c r="J24" s="54"/>
      <c r="K24" s="55" t="s">
        <v>44</v>
      </c>
      <c r="L24" s="56"/>
      <c r="M24" s="57"/>
      <c r="N24" s="52"/>
      <c r="O24" s="51"/>
    </row>
    <row r="25" s="1" customFormat="1" ht="18" customHeight="1" spans="1:15">
      <c r="A25" s="36"/>
      <c r="B25" s="16"/>
      <c r="C25" s="37"/>
      <c r="D25" s="38"/>
      <c r="E25" s="39"/>
      <c r="F25" s="16"/>
      <c r="G25" s="24"/>
      <c r="H25" s="21">
        <v>43199</v>
      </c>
      <c r="I25" s="59">
        <v>1429910</v>
      </c>
      <c r="J25" s="48" t="s">
        <v>21</v>
      </c>
      <c r="K25" s="50" t="s">
        <v>42</v>
      </c>
      <c r="L25" s="51"/>
      <c r="M25" s="52"/>
      <c r="N25" s="52"/>
      <c r="O25" s="51"/>
    </row>
    <row r="26" s="1" customFormat="1" ht="18" customHeight="1" spans="1:15">
      <c r="A26" s="36">
        <v>43208</v>
      </c>
      <c r="B26" s="16">
        <f t="shared" ref="B25:B59" si="7">ROUND(G26/(1+E26),2)</f>
        <v>1593000</v>
      </c>
      <c r="C26" s="37"/>
      <c r="D26" s="38" t="s">
        <v>37</v>
      </c>
      <c r="E26" s="39"/>
      <c r="F26" s="16">
        <f t="shared" ref="F25:F59" si="8">ROUND(G26/(1+E26)*E26,2)</f>
        <v>0</v>
      </c>
      <c r="G26" s="24">
        <v>1593000</v>
      </c>
      <c r="H26" s="21"/>
      <c r="I26" s="59"/>
      <c r="J26" s="48"/>
      <c r="K26" s="50"/>
      <c r="L26" s="51" t="s">
        <v>45</v>
      </c>
      <c r="M26" s="52"/>
      <c r="N26" s="52"/>
      <c r="O26" s="51"/>
    </row>
    <row r="27" s="1" customFormat="1" ht="18" customHeight="1" spans="1:15">
      <c r="A27" s="36"/>
      <c r="B27" s="16"/>
      <c r="C27" s="37"/>
      <c r="D27" s="38"/>
      <c r="E27" s="39"/>
      <c r="F27" s="16"/>
      <c r="G27" s="24"/>
      <c r="H27" s="21">
        <v>43199</v>
      </c>
      <c r="I27" s="59">
        <v>1171890</v>
      </c>
      <c r="J27" s="48" t="s">
        <v>46</v>
      </c>
      <c r="K27" s="50" t="s">
        <v>4</v>
      </c>
      <c r="L27" s="51" t="s">
        <v>47</v>
      </c>
      <c r="M27" s="52"/>
      <c r="N27" s="52"/>
      <c r="O27" s="51"/>
    </row>
    <row r="28" s="1" customFormat="1" ht="18" customHeight="1" spans="1:15">
      <c r="A28" s="36">
        <v>43238</v>
      </c>
      <c r="B28" s="16">
        <f t="shared" si="7"/>
        <v>1293094.83</v>
      </c>
      <c r="C28" s="37">
        <v>13</v>
      </c>
      <c r="D28" s="38" t="s">
        <v>41</v>
      </c>
      <c r="E28" s="39">
        <v>0.16</v>
      </c>
      <c r="F28" s="16">
        <f t="shared" si="8"/>
        <v>206895.17</v>
      </c>
      <c r="G28" s="24">
        <v>1499990</v>
      </c>
      <c r="H28" s="21">
        <v>43227</v>
      </c>
      <c r="I28" s="59">
        <v>250000</v>
      </c>
      <c r="J28" s="48" t="s">
        <v>21</v>
      </c>
      <c r="K28" s="50" t="s">
        <v>42</v>
      </c>
      <c r="L28" s="51" t="s">
        <v>40</v>
      </c>
      <c r="M28" s="52"/>
      <c r="N28" s="52"/>
      <c r="O28" s="51"/>
    </row>
    <row r="29" s="1" customFormat="1" ht="18" customHeight="1" spans="1:15">
      <c r="A29" s="36">
        <v>43269</v>
      </c>
      <c r="B29" s="16">
        <f t="shared" si="7"/>
        <v>1399275.86</v>
      </c>
      <c r="C29" s="37">
        <v>14</v>
      </c>
      <c r="D29" s="38" t="s">
        <v>41</v>
      </c>
      <c r="E29" s="39">
        <v>0.16</v>
      </c>
      <c r="F29" s="16">
        <f t="shared" si="8"/>
        <v>223884.14</v>
      </c>
      <c r="G29" s="24">
        <v>1623160</v>
      </c>
      <c r="H29" s="21">
        <v>43241</v>
      </c>
      <c r="I29" s="59">
        <v>1019869</v>
      </c>
      <c r="J29" s="48" t="s">
        <v>21</v>
      </c>
      <c r="K29" s="50" t="s">
        <v>42</v>
      </c>
      <c r="L29" s="51" t="s">
        <v>40</v>
      </c>
      <c r="M29" s="52"/>
      <c r="N29" s="52"/>
      <c r="O29" s="51"/>
    </row>
    <row r="30" s="1" customFormat="1" ht="18" customHeight="1" spans="1:15">
      <c r="A30" s="36"/>
      <c r="B30" s="16"/>
      <c r="C30" s="37"/>
      <c r="D30" s="38"/>
      <c r="E30" s="39"/>
      <c r="F30" s="16"/>
      <c r="G30" s="24"/>
      <c r="H30" s="21">
        <v>43259</v>
      </c>
      <c r="I30" s="59">
        <v>200000</v>
      </c>
      <c r="J30" s="48" t="s">
        <v>21</v>
      </c>
      <c r="K30" s="50" t="s">
        <v>42</v>
      </c>
      <c r="L30" s="51"/>
      <c r="M30" s="52"/>
      <c r="N30" s="52"/>
      <c r="O30" s="51"/>
    </row>
    <row r="31" s="1" customFormat="1" ht="18" customHeight="1" spans="1:15">
      <c r="A31" s="36"/>
      <c r="B31" s="16"/>
      <c r="C31" s="37"/>
      <c r="D31" s="38"/>
      <c r="E31" s="39"/>
      <c r="F31" s="16"/>
      <c r="G31" s="24"/>
      <c r="H31" s="40">
        <v>43266</v>
      </c>
      <c r="I31" s="58">
        <v>700000</v>
      </c>
      <c r="J31" s="54" t="s">
        <v>21</v>
      </c>
      <c r="K31" s="55" t="s">
        <v>42</v>
      </c>
      <c r="L31" s="56"/>
      <c r="M31" s="52"/>
      <c r="N31" s="52"/>
      <c r="O31" s="51"/>
    </row>
    <row r="32" s="1" customFormat="1" ht="18" customHeight="1" spans="1:15">
      <c r="A32" s="36"/>
      <c r="B32" s="16"/>
      <c r="C32" s="37"/>
      <c r="D32" s="38"/>
      <c r="E32" s="39"/>
      <c r="F32" s="16"/>
      <c r="G32" s="24"/>
      <c r="H32" s="40">
        <v>43266</v>
      </c>
      <c r="I32" s="58">
        <v>-700000</v>
      </c>
      <c r="J32" s="54"/>
      <c r="K32" s="55" t="s">
        <v>44</v>
      </c>
      <c r="L32" s="56"/>
      <c r="M32" s="52"/>
      <c r="N32" s="52"/>
      <c r="O32" s="51"/>
    </row>
    <row r="33" s="1" customFormat="1" ht="18" customHeight="1" spans="1:15">
      <c r="A33" s="36"/>
      <c r="B33" s="16"/>
      <c r="C33" s="37"/>
      <c r="D33" s="38"/>
      <c r="E33" s="39"/>
      <c r="F33" s="16"/>
      <c r="G33" s="24"/>
      <c r="H33" s="21">
        <v>43279</v>
      </c>
      <c r="I33" s="59">
        <v>726700</v>
      </c>
      <c r="J33" s="48" t="s">
        <v>21</v>
      </c>
      <c r="K33" s="50" t="s">
        <v>42</v>
      </c>
      <c r="L33" s="51"/>
      <c r="M33" s="52"/>
      <c r="N33" s="52"/>
      <c r="O33" s="51"/>
    </row>
    <row r="34" s="1" customFormat="1" ht="18" customHeight="1" spans="1:15">
      <c r="A34" s="36">
        <v>43299</v>
      </c>
      <c r="B34" s="16">
        <f t="shared" si="7"/>
        <v>1200000</v>
      </c>
      <c r="C34" s="37"/>
      <c r="D34" s="38" t="s">
        <v>37</v>
      </c>
      <c r="E34" s="39"/>
      <c r="F34" s="16">
        <f t="shared" si="8"/>
        <v>0</v>
      </c>
      <c r="G34" s="24">
        <v>1200000</v>
      </c>
      <c r="H34" s="21"/>
      <c r="I34" s="59"/>
      <c r="J34" s="48"/>
      <c r="K34" s="50" t="s">
        <v>4</v>
      </c>
      <c r="L34" s="51" t="s">
        <v>48</v>
      </c>
      <c r="M34" s="52"/>
      <c r="N34" s="52"/>
      <c r="O34" s="51"/>
    </row>
    <row r="35" s="1" customFormat="1" ht="18" customHeight="1" spans="1:15">
      <c r="A35" s="36"/>
      <c r="B35" s="16"/>
      <c r="C35" s="37"/>
      <c r="D35" s="38"/>
      <c r="E35" s="39"/>
      <c r="F35" s="16"/>
      <c r="G35" s="24"/>
      <c r="H35" s="21">
        <v>43308</v>
      </c>
      <c r="I35" s="59">
        <v>1088160</v>
      </c>
      <c r="J35" s="48" t="s">
        <v>46</v>
      </c>
      <c r="K35" s="50" t="s">
        <v>4</v>
      </c>
      <c r="L35" s="51" t="s">
        <v>47</v>
      </c>
      <c r="M35" s="52"/>
      <c r="N35" s="52"/>
      <c r="O35" s="51"/>
    </row>
    <row r="36" s="1" customFormat="1" ht="18" customHeight="1" spans="1:15">
      <c r="A36" s="36">
        <v>43344</v>
      </c>
      <c r="B36" s="16">
        <f t="shared" si="7"/>
        <v>431034.48</v>
      </c>
      <c r="C36" s="37"/>
      <c r="D36" s="38" t="s">
        <v>41</v>
      </c>
      <c r="E36" s="39">
        <v>0.16</v>
      </c>
      <c r="F36" s="16">
        <f t="shared" si="8"/>
        <v>68965.52</v>
      </c>
      <c r="G36" s="24">
        <v>500000</v>
      </c>
      <c r="H36" s="21">
        <v>43372</v>
      </c>
      <c r="I36" s="59">
        <v>500000</v>
      </c>
      <c r="J36" s="48" t="s">
        <v>21</v>
      </c>
      <c r="K36" s="60" t="s">
        <v>42</v>
      </c>
      <c r="L36" s="34" t="s">
        <v>49</v>
      </c>
      <c r="M36" s="48"/>
      <c r="N36" s="52"/>
      <c r="O36" s="51"/>
    </row>
    <row r="37" s="1" customFormat="1" ht="18" customHeight="1" spans="1:15">
      <c r="A37" s="36">
        <v>43374</v>
      </c>
      <c r="B37" s="16">
        <f t="shared" si="7"/>
        <v>1456310.68</v>
      </c>
      <c r="C37" s="37"/>
      <c r="D37" s="38" t="s">
        <v>41</v>
      </c>
      <c r="E37" s="39">
        <v>0.03</v>
      </c>
      <c r="F37" s="16">
        <f t="shared" si="8"/>
        <v>43689.32</v>
      </c>
      <c r="G37" s="24">
        <v>1500000</v>
      </c>
      <c r="H37" s="21">
        <v>43385</v>
      </c>
      <c r="I37" s="59">
        <v>783498</v>
      </c>
      <c r="J37" s="48" t="s">
        <v>21</v>
      </c>
      <c r="K37" s="50" t="s">
        <v>50</v>
      </c>
      <c r="L37" s="51" t="s">
        <v>51</v>
      </c>
      <c r="M37" s="52"/>
      <c r="N37" s="52"/>
      <c r="O37" s="51"/>
    </row>
    <row r="38" s="1" customFormat="1" ht="18" customHeight="1" spans="1:15">
      <c r="A38" s="36">
        <v>43466</v>
      </c>
      <c r="B38" s="16">
        <f t="shared" si="7"/>
        <v>1300000</v>
      </c>
      <c r="C38" s="37"/>
      <c r="D38" s="38" t="s">
        <v>52</v>
      </c>
      <c r="E38" s="39"/>
      <c r="F38" s="16">
        <f t="shared" si="8"/>
        <v>0</v>
      </c>
      <c r="G38" s="24">
        <f>650000*2</f>
        <v>1300000</v>
      </c>
      <c r="H38" s="21"/>
      <c r="I38" s="59"/>
      <c r="J38" s="48"/>
      <c r="K38" s="50" t="s">
        <v>53</v>
      </c>
      <c r="L38" s="51" t="s">
        <v>54</v>
      </c>
      <c r="M38" s="52"/>
      <c r="N38" s="52"/>
      <c r="O38" s="51"/>
    </row>
    <row r="39" s="1" customFormat="1" ht="18" customHeight="1" spans="1:15">
      <c r="A39" s="36"/>
      <c r="B39" s="16">
        <f t="shared" si="7"/>
        <v>0</v>
      </c>
      <c r="C39" s="37"/>
      <c r="D39" s="38"/>
      <c r="E39" s="39"/>
      <c r="F39" s="16">
        <f t="shared" si="8"/>
        <v>0</v>
      </c>
      <c r="G39" s="24"/>
      <c r="H39" s="21">
        <v>43767</v>
      </c>
      <c r="I39" s="59">
        <v>39435</v>
      </c>
      <c r="J39" s="48" t="s">
        <v>21</v>
      </c>
      <c r="K39" s="50" t="s">
        <v>50</v>
      </c>
      <c r="L39" s="51" t="s">
        <v>51</v>
      </c>
      <c r="M39" s="52"/>
      <c r="N39" s="52"/>
      <c r="O39" s="51"/>
    </row>
    <row r="40" s="1" customFormat="1" ht="18" customHeight="1" spans="1:15">
      <c r="A40" s="36"/>
      <c r="B40" s="16">
        <f t="shared" si="7"/>
        <v>0</v>
      </c>
      <c r="C40" s="37"/>
      <c r="D40" s="38"/>
      <c r="E40" s="39"/>
      <c r="F40" s="16">
        <f t="shared" si="8"/>
        <v>0</v>
      </c>
      <c r="G40" s="24"/>
      <c r="H40" s="21">
        <v>43498</v>
      </c>
      <c r="I40" s="59">
        <v>677067</v>
      </c>
      <c r="J40" s="48" t="s">
        <v>21</v>
      </c>
      <c r="K40" s="50" t="s">
        <v>50</v>
      </c>
      <c r="L40" s="51" t="s">
        <v>51</v>
      </c>
      <c r="M40" s="52"/>
      <c r="N40" s="52"/>
      <c r="O40" s="51"/>
    </row>
    <row r="41" s="1" customFormat="1" ht="18" customHeight="1" spans="1:15">
      <c r="A41" s="36"/>
      <c r="B41" s="16">
        <f t="shared" si="7"/>
        <v>0</v>
      </c>
      <c r="C41" s="37"/>
      <c r="D41" s="38"/>
      <c r="E41" s="39"/>
      <c r="F41" s="16">
        <f t="shared" si="8"/>
        <v>0</v>
      </c>
      <c r="G41" s="24"/>
      <c r="H41" s="21">
        <v>43498</v>
      </c>
      <c r="I41" s="59">
        <f>777085.33+226581</f>
        <v>1003666.33</v>
      </c>
      <c r="J41" s="48" t="s">
        <v>46</v>
      </c>
      <c r="K41" s="50" t="s">
        <v>4</v>
      </c>
      <c r="L41" s="51"/>
      <c r="M41" s="52"/>
      <c r="N41" s="52"/>
      <c r="O41" s="51"/>
    </row>
    <row r="42" s="1" customFormat="1" ht="18" customHeight="1" spans="1:15">
      <c r="A42" s="36"/>
      <c r="B42" s="16">
        <f t="shared" si="7"/>
        <v>0</v>
      </c>
      <c r="C42" s="37"/>
      <c r="D42" s="38"/>
      <c r="E42" s="39"/>
      <c r="F42" s="16">
        <f t="shared" si="8"/>
        <v>0</v>
      </c>
      <c r="G42" s="24"/>
      <c r="H42" s="21"/>
      <c r="I42" s="13"/>
      <c r="J42" s="48"/>
      <c r="K42" s="50"/>
      <c r="L42" s="51"/>
      <c r="M42" s="52"/>
      <c r="N42" s="52"/>
      <c r="O42" s="51"/>
    </row>
    <row r="43" s="1" customFormat="1" ht="18" customHeight="1" spans="1:15">
      <c r="A43" s="36"/>
      <c r="B43" s="16">
        <f t="shared" si="7"/>
        <v>0</v>
      </c>
      <c r="C43" s="37"/>
      <c r="D43" s="38"/>
      <c r="E43" s="39"/>
      <c r="F43" s="16">
        <f t="shared" si="8"/>
        <v>0</v>
      </c>
      <c r="G43" s="24"/>
      <c r="H43" s="21"/>
      <c r="I43" s="13"/>
      <c r="J43" s="48"/>
      <c r="K43" s="50"/>
      <c r="L43" s="51"/>
      <c r="M43" s="52"/>
      <c r="N43" s="52"/>
      <c r="O43" s="51"/>
    </row>
    <row r="44" s="1" customFormat="1" ht="18" customHeight="1" spans="1:15">
      <c r="A44" s="36"/>
      <c r="B44" s="16"/>
      <c r="C44" s="37"/>
      <c r="D44" s="38"/>
      <c r="E44" s="39"/>
      <c r="F44" s="16"/>
      <c r="G44" s="24"/>
      <c r="H44" s="21">
        <v>43096</v>
      </c>
      <c r="I44" s="53">
        <v>500000</v>
      </c>
      <c r="J44" s="61"/>
      <c r="K44" s="62" t="s">
        <v>38</v>
      </c>
      <c r="L44" s="63" t="s">
        <v>43</v>
      </c>
      <c r="M44" s="52"/>
      <c r="N44" s="52"/>
      <c r="O44" s="51"/>
    </row>
    <row r="45" s="1" customFormat="1" ht="18" customHeight="1" spans="1:15">
      <c r="A45" s="36"/>
      <c r="B45" s="16"/>
      <c r="C45" s="37"/>
      <c r="D45" s="38"/>
      <c r="E45" s="39"/>
      <c r="F45" s="16"/>
      <c r="G45" s="24"/>
      <c r="H45" s="21">
        <v>43096</v>
      </c>
      <c r="I45" s="53">
        <v>500000</v>
      </c>
      <c r="J45" s="61"/>
      <c r="K45" s="62" t="s">
        <v>55</v>
      </c>
      <c r="L45" s="63" t="s">
        <v>43</v>
      </c>
      <c r="M45" s="52"/>
      <c r="N45" s="52"/>
      <c r="O45" s="51"/>
    </row>
    <row r="46" s="1" customFormat="1" ht="18" customHeight="1" spans="1:15">
      <c r="A46" s="36"/>
      <c r="B46" s="16"/>
      <c r="C46" s="37"/>
      <c r="D46" s="38"/>
      <c r="E46" s="39"/>
      <c r="F46" s="16"/>
      <c r="G46" s="24"/>
      <c r="H46" s="21">
        <v>43096</v>
      </c>
      <c r="I46" s="58">
        <v>-1000000</v>
      </c>
      <c r="J46" s="54"/>
      <c r="K46" s="55" t="s">
        <v>44</v>
      </c>
      <c r="L46" s="51"/>
      <c r="M46" s="52"/>
      <c r="N46" s="52"/>
      <c r="O46" s="51"/>
    </row>
    <row r="47" s="1" customFormat="1" ht="18" customHeight="1" spans="1:15">
      <c r="A47" s="36"/>
      <c r="B47" s="16"/>
      <c r="C47" s="37"/>
      <c r="D47" s="38"/>
      <c r="E47" s="39"/>
      <c r="F47" s="16"/>
      <c r="G47" s="24"/>
      <c r="H47" s="21"/>
      <c r="I47" s="59"/>
      <c r="J47" s="64"/>
      <c r="K47" s="65"/>
      <c r="L47" s="51"/>
      <c r="M47" s="52"/>
      <c r="N47" s="52"/>
      <c r="O47" s="51"/>
    </row>
    <row r="48" s="1" customFormat="1" ht="18" customHeight="1" spans="1:15">
      <c r="A48" s="36"/>
      <c r="B48" s="16">
        <f t="shared" ref="B48:B63" si="9">ROUND(G48/(1+E48),2)</f>
        <v>0</v>
      </c>
      <c r="C48" s="37"/>
      <c r="D48" s="38"/>
      <c r="E48" s="39"/>
      <c r="F48" s="16">
        <f t="shared" ref="F48:F63" si="10">ROUND(G48/(1+E48)*E48,2)</f>
        <v>0</v>
      </c>
      <c r="G48" s="24"/>
      <c r="H48" s="21">
        <v>43144</v>
      </c>
      <c r="I48" s="13">
        <v>105485</v>
      </c>
      <c r="J48" s="48" t="s">
        <v>46</v>
      </c>
      <c r="K48" s="50" t="s">
        <v>4</v>
      </c>
      <c r="L48" s="51"/>
      <c r="M48" s="52"/>
      <c r="N48" s="52"/>
      <c r="O48" s="51"/>
    </row>
    <row r="49" s="1" customFormat="1" ht="18" customHeight="1" spans="1:15">
      <c r="A49" s="36"/>
      <c r="B49" s="16">
        <f t="shared" si="9"/>
        <v>0</v>
      </c>
      <c r="C49" s="37"/>
      <c r="D49" s="38"/>
      <c r="E49" s="39"/>
      <c r="F49" s="16">
        <f t="shared" si="10"/>
        <v>0</v>
      </c>
      <c r="G49" s="24"/>
      <c r="H49" s="21">
        <v>43143</v>
      </c>
      <c r="I49" s="13">
        <v>2000000</v>
      </c>
      <c r="J49" s="48" t="s">
        <v>46</v>
      </c>
      <c r="K49" s="50" t="s">
        <v>4</v>
      </c>
      <c r="L49" s="51"/>
      <c r="M49" s="52"/>
      <c r="N49" s="52"/>
      <c r="O49" s="51"/>
    </row>
    <row r="50" s="1" customFormat="1" ht="18" customHeight="1" spans="1:15">
      <c r="A50" s="36"/>
      <c r="B50" s="16">
        <f t="shared" si="9"/>
        <v>0</v>
      </c>
      <c r="C50" s="37"/>
      <c r="D50" s="38"/>
      <c r="E50" s="39"/>
      <c r="F50" s="16">
        <f t="shared" si="10"/>
        <v>0</v>
      </c>
      <c r="G50" s="24"/>
      <c r="H50" s="41">
        <v>43096</v>
      </c>
      <c r="I50" s="59">
        <v>1500000</v>
      </c>
      <c r="J50" s="64" t="s">
        <v>46</v>
      </c>
      <c r="K50" s="65" t="s">
        <v>4</v>
      </c>
      <c r="L50" s="51"/>
      <c r="M50" s="52"/>
      <c r="N50" s="52"/>
      <c r="O50" s="51"/>
    </row>
    <row r="51" s="1" customFormat="1" ht="18" customHeight="1" spans="1:15">
      <c r="A51" s="36"/>
      <c r="B51" s="16">
        <f t="shared" si="9"/>
        <v>0</v>
      </c>
      <c r="C51" s="37"/>
      <c r="D51" s="38"/>
      <c r="E51" s="39"/>
      <c r="F51" s="16">
        <f t="shared" si="10"/>
        <v>0</v>
      </c>
      <c r="G51" s="24"/>
      <c r="H51" s="41">
        <v>43124</v>
      </c>
      <c r="I51" s="59">
        <v>300000</v>
      </c>
      <c r="J51" s="64" t="s">
        <v>46</v>
      </c>
      <c r="K51" s="65" t="s">
        <v>4</v>
      </c>
      <c r="L51" s="51"/>
      <c r="M51" s="52"/>
      <c r="N51" s="52"/>
      <c r="O51" s="51"/>
    </row>
    <row r="52" s="1" customFormat="1" ht="18" customHeight="1" spans="1:15">
      <c r="A52" s="36"/>
      <c r="B52" s="16">
        <f t="shared" si="9"/>
        <v>0</v>
      </c>
      <c r="C52" s="37"/>
      <c r="D52" s="38"/>
      <c r="E52" s="39"/>
      <c r="F52" s="16">
        <f t="shared" si="10"/>
        <v>0</v>
      </c>
      <c r="G52" s="24"/>
      <c r="H52" s="21"/>
      <c r="I52" s="13"/>
      <c r="J52" s="48"/>
      <c r="K52" s="50"/>
      <c r="L52" s="51"/>
      <c r="M52" s="52"/>
      <c r="N52" s="52"/>
      <c r="O52" s="51"/>
    </row>
    <row r="53" s="1" customFormat="1" ht="18" customHeight="1" spans="1:15">
      <c r="A53" s="36"/>
      <c r="B53" s="16">
        <f t="shared" si="9"/>
        <v>0</v>
      </c>
      <c r="C53" s="37"/>
      <c r="D53" s="38"/>
      <c r="E53" s="39"/>
      <c r="F53" s="16">
        <f t="shared" si="10"/>
        <v>0</v>
      </c>
      <c r="G53" s="24"/>
      <c r="H53" s="21"/>
      <c r="I53" s="13">
        <v>-39435</v>
      </c>
      <c r="J53" s="48" t="s">
        <v>56</v>
      </c>
      <c r="K53" s="50" t="s">
        <v>57</v>
      </c>
      <c r="L53" s="51"/>
      <c r="M53" s="52"/>
      <c r="N53" s="52"/>
      <c r="O53" s="51"/>
    </row>
    <row r="54" s="1" customFormat="1" ht="18" customHeight="1" spans="1:15">
      <c r="A54" s="36"/>
      <c r="B54" s="16">
        <f t="shared" si="9"/>
        <v>0</v>
      </c>
      <c r="C54" s="37"/>
      <c r="D54" s="38"/>
      <c r="E54" s="39"/>
      <c r="F54" s="16">
        <f t="shared" si="10"/>
        <v>0</v>
      </c>
      <c r="G54" s="24"/>
      <c r="H54" s="21"/>
      <c r="I54" s="59">
        <v>472666.67</v>
      </c>
      <c r="J54" s="48" t="s">
        <v>58</v>
      </c>
      <c r="K54" s="50" t="s">
        <v>59</v>
      </c>
      <c r="L54" s="51"/>
      <c r="M54" s="52"/>
      <c r="N54" s="52"/>
      <c r="O54" s="51"/>
    </row>
    <row r="55" s="1" customFormat="1" ht="18" customHeight="1" spans="1:15">
      <c r="A55" s="36"/>
      <c r="B55" s="16">
        <f t="shared" si="9"/>
        <v>0</v>
      </c>
      <c r="C55" s="37"/>
      <c r="D55" s="38"/>
      <c r="E55" s="39"/>
      <c r="F55" s="16">
        <f t="shared" si="10"/>
        <v>0</v>
      </c>
      <c r="G55" s="24"/>
      <c r="H55" s="21"/>
      <c r="I55" s="66">
        <v>60725</v>
      </c>
      <c r="J55" s="48" t="s">
        <v>58</v>
      </c>
      <c r="K55" s="50" t="s">
        <v>57</v>
      </c>
      <c r="L55" s="51"/>
      <c r="M55" s="52"/>
      <c r="N55" s="52"/>
      <c r="O55" s="51"/>
    </row>
    <row r="56" s="1" customFormat="1" ht="18" customHeight="1" spans="1:15">
      <c r="A56" s="36"/>
      <c r="B56" s="16">
        <f t="shared" si="9"/>
        <v>0</v>
      </c>
      <c r="C56" s="37"/>
      <c r="D56" s="38"/>
      <c r="E56" s="39"/>
      <c r="F56" s="16">
        <f t="shared" si="10"/>
        <v>0</v>
      </c>
      <c r="G56" s="24"/>
      <c r="H56" s="21"/>
      <c r="I56" s="59">
        <v>5000</v>
      </c>
      <c r="J56" s="48" t="s">
        <v>60</v>
      </c>
      <c r="K56" s="50" t="s">
        <v>61</v>
      </c>
      <c r="L56" s="51"/>
      <c r="M56" s="52"/>
      <c r="N56" s="52"/>
      <c r="O56" s="51"/>
    </row>
    <row r="57" s="1" customFormat="1" ht="18" customHeight="1" spans="1:15">
      <c r="A57" s="36"/>
      <c r="B57" s="16">
        <f t="shared" si="9"/>
        <v>0</v>
      </c>
      <c r="C57" s="37"/>
      <c r="D57" s="38"/>
      <c r="E57" s="39"/>
      <c r="F57" s="16">
        <f t="shared" si="10"/>
        <v>0</v>
      </c>
      <c r="G57" s="24"/>
      <c r="H57" s="21"/>
      <c r="I57" s="59">
        <f>21570+22200</f>
        <v>43770</v>
      </c>
      <c r="J57" s="48" t="s">
        <v>60</v>
      </c>
      <c r="K57" s="50" t="s">
        <v>62</v>
      </c>
      <c r="L57" s="51"/>
      <c r="M57" s="52"/>
      <c r="N57" s="52"/>
      <c r="O57" s="51"/>
    </row>
    <row r="58" s="1" customFormat="1" ht="18" customHeight="1" spans="1:15">
      <c r="A58" s="36"/>
      <c r="B58" s="16">
        <f t="shared" si="9"/>
        <v>0</v>
      </c>
      <c r="C58" s="37"/>
      <c r="D58" s="38"/>
      <c r="E58" s="39"/>
      <c r="F58" s="16">
        <f t="shared" si="10"/>
        <v>0</v>
      </c>
      <c r="G58" s="24"/>
      <c r="H58" s="21"/>
      <c r="I58" s="59">
        <v>338259</v>
      </c>
      <c r="J58" s="48" t="s">
        <v>58</v>
      </c>
      <c r="K58" s="50" t="s">
        <v>88</v>
      </c>
      <c r="L58" s="51"/>
      <c r="M58" s="52"/>
      <c r="N58" s="52"/>
      <c r="O58" s="51"/>
    </row>
    <row r="59" s="1" customFormat="1" ht="18" customHeight="1" spans="1:15">
      <c r="A59" s="36"/>
      <c r="B59" s="16">
        <f t="shared" si="9"/>
        <v>0</v>
      </c>
      <c r="C59" s="37"/>
      <c r="D59" s="38"/>
      <c r="E59" s="39"/>
      <c r="F59" s="16">
        <f t="shared" si="10"/>
        <v>0</v>
      </c>
      <c r="G59" s="24"/>
      <c r="H59" s="21"/>
      <c r="I59" s="59">
        <v>48067</v>
      </c>
      <c r="J59" s="48" t="s">
        <v>58</v>
      </c>
      <c r="K59" s="50" t="s">
        <v>64</v>
      </c>
      <c r="L59" s="51"/>
      <c r="M59" s="52"/>
      <c r="N59" s="52"/>
      <c r="O59" s="51"/>
    </row>
    <row r="60" s="1" customFormat="1" ht="18" customHeight="1" spans="1:15">
      <c r="A60" s="36"/>
      <c r="B60" s="16">
        <f t="shared" si="9"/>
        <v>0</v>
      </c>
      <c r="C60" s="37"/>
      <c r="D60" s="38"/>
      <c r="E60" s="39"/>
      <c r="F60" s="16">
        <f t="shared" si="10"/>
        <v>0</v>
      </c>
      <c r="G60" s="24"/>
      <c r="H60" s="21"/>
      <c r="I60" s="58">
        <v>700000</v>
      </c>
      <c r="J60" s="54" t="s">
        <v>58</v>
      </c>
      <c r="K60" s="55" t="s">
        <v>65</v>
      </c>
      <c r="L60" s="51"/>
      <c r="M60" s="52"/>
      <c r="N60" s="52"/>
      <c r="O60" s="51"/>
    </row>
    <row r="61" s="1" customFormat="1" ht="18" customHeight="1" spans="1:15">
      <c r="A61" s="36"/>
      <c r="B61" s="16">
        <f t="shared" si="9"/>
        <v>0</v>
      </c>
      <c r="C61" s="37"/>
      <c r="D61" s="38"/>
      <c r="E61" s="39"/>
      <c r="F61" s="16">
        <f t="shared" si="10"/>
        <v>0</v>
      </c>
      <c r="G61" s="24"/>
      <c r="H61" s="21"/>
      <c r="I61" s="59">
        <v>8887</v>
      </c>
      <c r="J61" s="48" t="s">
        <v>58</v>
      </c>
      <c r="K61" s="50" t="s">
        <v>66</v>
      </c>
      <c r="L61" s="51"/>
      <c r="M61" s="52"/>
      <c r="N61" s="52"/>
      <c r="O61" s="51"/>
    </row>
    <row r="62" s="1" customFormat="1" ht="18" customHeight="1" spans="1:15">
      <c r="A62" s="36"/>
      <c r="B62" s="16">
        <f t="shared" si="9"/>
        <v>0</v>
      </c>
      <c r="C62" s="37"/>
      <c r="D62" s="38"/>
      <c r="E62" s="39"/>
      <c r="F62" s="16">
        <f t="shared" si="10"/>
        <v>0</v>
      </c>
      <c r="G62" s="24"/>
      <c r="H62" s="21"/>
      <c r="I62" s="59">
        <v>800</v>
      </c>
      <c r="J62" s="48" t="s">
        <v>58</v>
      </c>
      <c r="K62" s="50" t="s">
        <v>67</v>
      </c>
      <c r="L62" s="51"/>
      <c r="M62" s="52"/>
      <c r="N62" s="52"/>
      <c r="O62" s="51"/>
    </row>
    <row r="63" s="1" customFormat="1" ht="18" customHeight="1" spans="1:15">
      <c r="A63" s="36"/>
      <c r="B63" s="16">
        <f t="shared" si="9"/>
        <v>294580</v>
      </c>
      <c r="C63" s="37"/>
      <c r="D63" s="38"/>
      <c r="E63" s="39"/>
      <c r="F63" s="16">
        <f t="shared" si="10"/>
        <v>0</v>
      </c>
      <c r="G63" s="24">
        <f>207040+43140+44400</f>
        <v>294580</v>
      </c>
      <c r="H63" s="21"/>
      <c r="I63" s="13">
        <f>G63</f>
        <v>294580</v>
      </c>
      <c r="J63" s="48" t="s">
        <v>58</v>
      </c>
      <c r="K63" s="50" t="s">
        <v>68</v>
      </c>
      <c r="L63" s="51"/>
      <c r="M63" s="52"/>
      <c r="N63" s="52"/>
      <c r="O63" s="51"/>
    </row>
    <row r="64" ht="18" customHeight="1" spans="1:15">
      <c r="A64" s="31" t="s">
        <v>22</v>
      </c>
      <c r="B64" s="30">
        <f>SUM(B20:B63)</f>
        <v>12792142</v>
      </c>
      <c r="C64" s="31"/>
      <c r="D64" s="42"/>
      <c r="E64" s="42"/>
      <c r="F64" s="33">
        <f>SUM(F20:F63)</f>
        <v>896498</v>
      </c>
      <c r="G64" s="43">
        <f>SUM(G20:G63)</f>
        <v>13688640</v>
      </c>
      <c r="H64" s="44"/>
      <c r="I64" s="32">
        <f>SUM(I20:I63)</f>
        <v>14729000</v>
      </c>
      <c r="J64" s="67"/>
      <c r="K64" s="42"/>
      <c r="L64" s="34"/>
      <c r="M64" s="48"/>
      <c r="N64" s="48"/>
      <c r="O64" s="34"/>
    </row>
    <row r="65" ht="18" customHeight="1" spans="1:14">
      <c r="A65" s="68"/>
      <c r="B65" s="69">
        <f>B17-B64</f>
        <v>546097.148239147</v>
      </c>
      <c r="C65" s="68"/>
      <c r="D65" s="70"/>
      <c r="E65" s="70"/>
      <c r="F65" s="69"/>
      <c r="G65" s="69">
        <f>G17-G64</f>
        <v>1040360</v>
      </c>
      <c r="H65" s="20" t="s">
        <v>69</v>
      </c>
      <c r="I65" s="32">
        <f>I17-I64</f>
        <v>0</v>
      </c>
      <c r="J65" s="6"/>
      <c r="K65" s="76"/>
      <c r="M65" s="77"/>
      <c r="N65" s="77"/>
    </row>
    <row r="66" ht="18" customHeight="1" spans="1:3">
      <c r="A66" s="2" t="s">
        <v>70</v>
      </c>
      <c r="C66" s="2"/>
    </row>
    <row r="67" ht="18" customHeight="1" spans="1:9">
      <c r="A67" s="20" t="s">
        <v>71</v>
      </c>
      <c r="B67" s="19" t="s">
        <v>72</v>
      </c>
      <c r="C67" s="34"/>
      <c r="D67" s="20" t="s">
        <v>71</v>
      </c>
      <c r="E67" s="18" t="s">
        <v>16</v>
      </c>
      <c r="F67" s="19" t="s">
        <v>72</v>
      </c>
      <c r="G67" s="19" t="s">
        <v>73</v>
      </c>
      <c r="H67" s="18" t="s">
        <v>74</v>
      </c>
      <c r="I67" s="18" t="s">
        <v>75</v>
      </c>
    </row>
    <row r="68" ht="18" customHeight="1" spans="1:9">
      <c r="A68" s="34" t="s">
        <v>76</v>
      </c>
      <c r="B68" s="16">
        <f>(B17-B64)*0.25</f>
        <v>136524.287059787</v>
      </c>
      <c r="C68" s="34"/>
      <c r="D68" s="71" t="s">
        <v>77</v>
      </c>
      <c r="E68" s="72" t="s">
        <v>78</v>
      </c>
      <c r="F68" s="33">
        <f>F17-F64</f>
        <v>227498.068796069</v>
      </c>
      <c r="G68" s="13">
        <f>F7+F8</f>
        <v>307297.297297297</v>
      </c>
      <c r="H68" s="11"/>
      <c r="I68" s="11">
        <v>0</v>
      </c>
    </row>
    <row r="69" ht="18" customHeight="1" spans="1:9">
      <c r="A69" s="34" t="s">
        <v>79</v>
      </c>
      <c r="B69" s="73" t="s">
        <v>80</v>
      </c>
      <c r="C69" s="34"/>
      <c r="D69" s="74" t="s">
        <v>81</v>
      </c>
      <c r="E69" s="12">
        <v>0.05</v>
      </c>
      <c r="F69" s="13">
        <f>F68*E69</f>
        <v>11374.9034398034</v>
      </c>
      <c r="G69" s="13">
        <f>G68*E69</f>
        <v>15364.8648648649</v>
      </c>
      <c r="H69" s="11"/>
      <c r="I69" s="11">
        <v>0</v>
      </c>
    </row>
    <row r="70" ht="18" customHeight="1" spans="1:9">
      <c r="A70" s="34" t="s">
        <v>82</v>
      </c>
      <c r="B70" s="73" t="s">
        <v>80</v>
      </c>
      <c r="C70" s="34"/>
      <c r="D70" s="74" t="s">
        <v>83</v>
      </c>
      <c r="E70" s="12">
        <v>0.03</v>
      </c>
      <c r="F70" s="13">
        <f>F68*E70</f>
        <v>6824.94206388206</v>
      </c>
      <c r="G70" s="13">
        <f>G68*E70</f>
        <v>9218.91891891892</v>
      </c>
      <c r="H70" s="11"/>
      <c r="I70" s="11">
        <v>0</v>
      </c>
    </row>
    <row r="71" ht="18" customHeight="1" spans="1:9">
      <c r="A71" s="34"/>
      <c r="B71" s="13"/>
      <c r="C71" s="34"/>
      <c r="D71" s="74" t="s">
        <v>84</v>
      </c>
      <c r="E71" s="12">
        <v>0.02</v>
      </c>
      <c r="F71" s="13">
        <f>F68*E71</f>
        <v>4549.96137592137</v>
      </c>
      <c r="G71" s="13">
        <f>G68*E71</f>
        <v>6145.94594594595</v>
      </c>
      <c r="H71" s="11"/>
      <c r="I71" s="11">
        <v>0</v>
      </c>
    </row>
    <row r="72" ht="18" customHeight="1" spans="1:9">
      <c r="A72" s="29" t="s">
        <v>85</v>
      </c>
      <c r="B72" s="30">
        <f>SUM(B68:B71)</f>
        <v>136524.287059787</v>
      </c>
      <c r="C72" s="34"/>
      <c r="D72" s="71" t="s">
        <v>85</v>
      </c>
      <c r="E72" s="71"/>
      <c r="F72" s="33">
        <f>SUM(F68:F71)</f>
        <v>250247.875675676</v>
      </c>
      <c r="G72" s="33">
        <f>SUM(G68:G71)</f>
        <v>338027.027027027</v>
      </c>
      <c r="H72" s="33">
        <f>SUM(H68:H71)</f>
        <v>0</v>
      </c>
      <c r="I72" s="33">
        <v>0</v>
      </c>
    </row>
    <row r="73" ht="18" customHeight="1" spans="3:9">
      <c r="C73" s="2"/>
      <c r="D73" s="75" t="s">
        <v>22</v>
      </c>
      <c r="E73" s="75"/>
      <c r="F73" s="33">
        <f>F72</f>
        <v>250247.875675676</v>
      </c>
      <c r="G73" s="33">
        <f>G72</f>
        <v>338027.027027027</v>
      </c>
      <c r="H73" s="75">
        <v>231</v>
      </c>
      <c r="I73" s="75">
        <v>0</v>
      </c>
    </row>
    <row r="74" ht="18" customHeight="1" spans="3:9">
      <c r="C74" s="2"/>
      <c r="I74" s="3">
        <f>B65*0.25</f>
        <v>136524.287059787</v>
      </c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11">
      <c r="C84" s="2"/>
      <c r="K84" s="6" t="s">
        <v>86</v>
      </c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</sheetData>
  <autoFilter ref="A19:O7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2021-11-17T05:46:51Z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C9C57F5188984098AB908C9205EB94BB</vt:lpwstr>
  </property>
</Properties>
</file>