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5" r:id="rId1"/>
    <sheet name="旧" sheetId="4" r:id="rId2"/>
  </sheets>
  <definedNames>
    <definedName name="_xlnm._FilterDatabase" localSheetId="0" hidden="1">新!$A$18:$O$89</definedName>
    <definedName name="_xlnm._FilterDatabase" localSheetId="1" hidden="1">旧!$A$16:$O$73</definedName>
  </definedNames>
  <calcPr calcId="144525"/>
</workbook>
</file>

<file path=xl/comments1.xml><?xml version="1.0" encoding="utf-8"?>
<comments xmlns="http://schemas.openxmlformats.org/spreadsheetml/2006/main">
  <authors>
    <author>cw05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7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7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6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7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<sst xmlns="http://schemas.openxmlformats.org/spreadsheetml/2006/main" count="422" uniqueCount="126">
  <si>
    <t>C6374  阜南县张寨镇十三五村级道路畅通工程（第三批）建设项目</t>
  </si>
  <si>
    <t>中标日期</t>
  </si>
  <si>
    <t>中标价</t>
  </si>
  <si>
    <t>负责人</t>
  </si>
  <si>
    <t>张永彪</t>
  </si>
  <si>
    <t>建设单位</t>
  </si>
  <si>
    <t>阜南县张寨镇人民政府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</si>
  <si>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</si>
  <si>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</si>
  <si>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</si>
  <si>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</si>
  <si>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</si>
  <si>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</si>
  <si>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</si>
  <si>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</si>
  <si>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</si>
  <si>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</si>
  <si>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</si>
  <si>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</si>
  <si>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</si>
  <si>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</si>
  <si>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剩余</t>
  </si>
  <si>
    <t>中行</t>
  </si>
  <si>
    <t>水泥80万，石子100万，钢筋10万，190万人工，100万机械</t>
  </si>
  <si>
    <t>少缴533.78元的异地增值税</t>
  </si>
  <si>
    <t>已扣除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</si>
  <si>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</si>
  <si>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</si>
  <si>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</si>
  <si>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</si>
  <si>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</si>
  <si>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</si>
  <si>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</si>
  <si>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</si>
  <si>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</si>
  <si>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</si>
  <si>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</si>
  <si>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</si>
  <si>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</si>
  <si>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</si>
  <si>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</si>
  <si>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唐智</t>
  </si>
  <si>
    <t>电脑</t>
  </si>
  <si>
    <t>保费</t>
  </si>
  <si>
    <t>工资</t>
  </si>
  <si>
    <t>普代</t>
  </si>
  <si>
    <t>黄沙</t>
  </si>
  <si>
    <t>徽行</t>
  </si>
  <si>
    <t>项目借款</t>
  </si>
  <si>
    <t>2017-12-</t>
  </si>
  <si>
    <t>凤台县华乐商贸有限公司</t>
  </si>
  <si>
    <t>应付材料款    水泥</t>
  </si>
  <si>
    <t>18-4-</t>
  </si>
  <si>
    <t>李晓辉</t>
  </si>
  <si>
    <t>收代付材料款</t>
  </si>
  <si>
    <t>18-5-</t>
  </si>
  <si>
    <t>淮南市禹山水泥有限公司</t>
  </si>
  <si>
    <t>付材料款</t>
  </si>
  <si>
    <t>18-6-</t>
  </si>
  <si>
    <t>凤台县翔联商贸有限公司</t>
  </si>
  <si>
    <t>工程用材料    水泥</t>
  </si>
  <si>
    <t>冯磊、李晓辉</t>
  </si>
  <si>
    <t>黄沙、石子</t>
  </si>
  <si>
    <t>已办理结清证明</t>
  </si>
  <si>
    <t>18-7-</t>
  </si>
  <si>
    <t>占路路</t>
  </si>
  <si>
    <t>材料</t>
  </si>
  <si>
    <t>非此项目成本</t>
  </si>
  <si>
    <t>18-8-</t>
  </si>
  <si>
    <t>戎泽影、庞士俊</t>
  </si>
  <si>
    <t>石子、黄沙</t>
  </si>
  <si>
    <t>石子大四号5000吨黄沙5720吨</t>
  </si>
  <si>
    <t>专</t>
  </si>
  <si>
    <t>阜南县众益劳务有限公司</t>
  </si>
  <si>
    <t>机械租赁</t>
  </si>
  <si>
    <t>机打</t>
  </si>
  <si>
    <t>加油卷票</t>
  </si>
  <si>
    <t>水泥1702.13吨*415.88</t>
  </si>
  <si>
    <t>劳务</t>
  </si>
  <si>
    <t>2017-9-</t>
  </si>
  <si>
    <t>项目周转金</t>
  </si>
  <si>
    <t>2017-11-</t>
  </si>
  <si>
    <t>2021-9-</t>
  </si>
  <si>
    <t>退</t>
  </si>
  <si>
    <t>损失准备金、风险保证金</t>
  </si>
  <si>
    <t>扣</t>
  </si>
  <si>
    <t>转账手续费</t>
  </si>
  <si>
    <t>管理费</t>
  </si>
  <si>
    <t>税金跨月滞纳金</t>
  </si>
  <si>
    <t>补扣</t>
  </si>
  <si>
    <t>增值税及附加（总算）</t>
  </si>
  <si>
    <t>2021年7月开票税金</t>
  </si>
  <si>
    <t>预留</t>
  </si>
  <si>
    <t>风险保证金</t>
  </si>
  <si>
    <t>2019-4-</t>
  </si>
  <si>
    <t>增值税及附加</t>
  </si>
  <si>
    <t>损失准备金1%</t>
  </si>
  <si>
    <t>损失准备金</t>
  </si>
  <si>
    <t>立皖公司交安产品货款</t>
  </si>
  <si>
    <t>100万借款及利息</t>
  </si>
  <si>
    <t>50万借款及利息</t>
  </si>
  <si>
    <t>其他费用</t>
  </si>
  <si>
    <t>2017年8-11开票增值税及附加（2次）</t>
  </si>
  <si>
    <t>尚需提供成本</t>
  </si>
  <si>
    <t>可支付金额</t>
  </si>
  <si>
    <t>公司代缴税金：</t>
  </si>
  <si>
    <t>税种</t>
  </si>
  <si>
    <t>税额</t>
  </si>
  <si>
    <t>17年9月扣税</t>
  </si>
  <si>
    <t>17年11月份开票扣税</t>
  </si>
  <si>
    <t>18年6-11开票扣税</t>
  </si>
  <si>
    <t>19年4月开票扣税</t>
  </si>
  <si>
    <t>企业所得税</t>
  </si>
  <si>
    <t>增值税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</si>
  <si>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</si>
  <si>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</si>
  <si>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</si>
  <si>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</si>
  <si>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</si>
  <si>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</si>
  <si>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</si>
  <si>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</si>
  <si>
    <t>总算</t>
  </si>
  <si>
    <t>补差额</t>
  </si>
  <si>
    <t>阜南县张寨镇十三五村级道路畅通工程（第三批）建设项目</t>
  </si>
  <si>
    <t>税金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</si>
</sst>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6" formatCode="yy/m/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.00_ "/>
    <numFmt numFmtId="178" formatCode="#,##0.00_ "/>
    <numFmt numFmtId="179" formatCode="yyyy&quot;年&quot;m&quot;月&quot;;@"/>
    <numFmt numFmtId="180" formatCode="#,##0_ "/>
  </numFmts>
  <fonts count="30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b/>
      <sz val="9"/>
      <color theme="1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b/>
      <sz val="9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10" fillId="6" borderId="7" applyNumberFormat="0" applyAlignment="0" applyProtection="0">
      <alignment vertical="center"/>
    </xf>
    <xf numFmtId="0" fontId="27" fillId="34" borderId="13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</cellStyleXfs>
  <cellXfs count="92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vertical="center"/>
    </xf>
    <xf numFmtId="10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vertical="center"/>
    </xf>
    <xf numFmtId="14" fontId="5" fillId="0" borderId="0" xfId="0" applyNumberFormat="1" applyFont="1"/>
    <xf numFmtId="178" fontId="3" fillId="0" borderId="2" xfId="0" applyNumberFormat="1" applyFont="1" applyBorder="1" applyAlignment="1">
      <alignment vertical="center"/>
    </xf>
    <xf numFmtId="0" fontId="5" fillId="0" borderId="0" xfId="0" applyFont="1"/>
    <xf numFmtId="178" fontId="3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vertical="center"/>
    </xf>
    <xf numFmtId="9" fontId="3" fillId="0" borderId="2" xfId="11" applyFont="1" applyBorder="1" applyAlignment="1">
      <alignment horizontal="center" vertical="center"/>
    </xf>
    <xf numFmtId="177" fontId="3" fillId="0" borderId="2" xfId="0" applyNumberFormat="1" applyFont="1" applyFill="1" applyBorder="1" applyAlignment="1">
      <alignment vertical="center"/>
    </xf>
    <xf numFmtId="177" fontId="1" fillId="2" borderId="2" xfId="0" applyNumberFormat="1" applyFont="1" applyFill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7" fontId="6" fillId="3" borderId="2" xfId="0" applyNumberFormat="1" applyFont="1" applyFill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7" fontId="6" fillId="4" borderId="2" xfId="0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176" fontId="6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77" fontId="1" fillId="2" borderId="3" xfId="0" applyNumberFormat="1" applyFont="1" applyFill="1" applyBorder="1" applyAlignment="1">
      <alignment vertical="center"/>
    </xf>
    <xf numFmtId="179" fontId="2" fillId="0" borderId="2" xfId="0" applyNumberFormat="1" applyFont="1" applyBorder="1" applyAlignment="1">
      <alignment horizontal="center" vertical="center"/>
    </xf>
    <xf numFmtId="18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9" fontId="2" fillId="5" borderId="2" xfId="11" applyFont="1" applyFill="1" applyBorder="1" applyAlignment="1">
      <alignment horizontal="center" vertical="center"/>
    </xf>
    <xf numFmtId="177" fontId="2" fillId="2" borderId="3" xfId="0" applyNumberFormat="1" applyFont="1" applyFill="1" applyBorder="1" applyAlignment="1">
      <alignment vertical="center"/>
    </xf>
    <xf numFmtId="176" fontId="2" fillId="0" borderId="2" xfId="0" applyNumberFormat="1" applyFont="1" applyBorder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/>
    </xf>
    <xf numFmtId="180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9" fontId="3" fillId="5" borderId="2" xfId="11" applyFont="1" applyFill="1" applyBorder="1" applyAlignment="1">
      <alignment horizontal="center" vertical="center"/>
    </xf>
    <xf numFmtId="177" fontId="3" fillId="2" borderId="3" xfId="0" applyNumberFormat="1" applyFont="1" applyFill="1" applyBorder="1" applyAlignment="1">
      <alignment vertical="center"/>
    </xf>
    <xf numFmtId="0" fontId="6" fillId="0" borderId="2" xfId="0" applyNumberFormat="1" applyFont="1" applyBorder="1" applyAlignment="1">
      <alignment vertical="center"/>
    </xf>
    <xf numFmtId="177" fontId="6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3" fillId="0" borderId="4" xfId="0" applyNumberFormat="1" applyFont="1" applyBorder="1" applyAlignment="1">
      <alignment horizontal="left" vertical="center"/>
    </xf>
    <xf numFmtId="176" fontId="3" fillId="0" borderId="5" xfId="0" applyNumberFormat="1" applyFont="1" applyBorder="1" applyAlignment="1">
      <alignment horizontal="left" vertical="center"/>
    </xf>
    <xf numFmtId="177" fontId="4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0" fontId="6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177" fontId="3" fillId="4" borderId="2" xfId="0" applyNumberFormat="1" applyFont="1" applyFill="1" applyBorder="1" applyAlignment="1">
      <alignment vertical="center"/>
    </xf>
    <xf numFmtId="177" fontId="3" fillId="0" borderId="2" xfId="0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10" fontId="6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78" fontId="5" fillId="0" borderId="0" xfId="0" applyNumberFormat="1" applyFont="1"/>
    <xf numFmtId="178" fontId="3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9" fontId="3" fillId="0" borderId="2" xfId="11" applyNumberFormat="1" applyFont="1" applyBorder="1" applyAlignment="1">
      <alignment horizontal="center" vertical="center"/>
    </xf>
    <xf numFmtId="178" fontId="6" fillId="3" borderId="2" xfId="0" applyNumberFormat="1" applyFont="1" applyFill="1" applyBorder="1" applyAlignment="1">
      <alignment vertical="center"/>
    </xf>
    <xf numFmtId="178" fontId="6" fillId="4" borderId="2" xfId="0" applyNumberFormat="1" applyFont="1" applyFill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178" fontId="1" fillId="2" borderId="3" xfId="0" applyNumberFormat="1" applyFont="1" applyFill="1" applyBorder="1" applyAlignment="1">
      <alignment vertical="center"/>
    </xf>
    <xf numFmtId="178" fontId="2" fillId="2" borderId="3" xfId="0" applyNumberFormat="1" applyFont="1" applyFill="1" applyBorder="1" applyAlignment="1">
      <alignment vertical="center"/>
    </xf>
    <xf numFmtId="178" fontId="3" fillId="2" borderId="3" xfId="0" applyNumberFormat="1" applyFont="1" applyFill="1" applyBorder="1" applyAlignment="1">
      <alignment vertical="center"/>
    </xf>
    <xf numFmtId="178" fontId="7" fillId="0" borderId="0" xfId="0" applyNumberFormat="1" applyFont="1" applyBorder="1" applyAlignment="1">
      <alignment vertical="center"/>
    </xf>
    <xf numFmtId="178" fontId="6" fillId="0" borderId="3" xfId="0" applyNumberFormat="1" applyFont="1" applyBorder="1" applyAlignment="1">
      <alignment vertical="center"/>
    </xf>
    <xf numFmtId="178" fontId="8" fillId="4" borderId="2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2"/>
  <sheetViews>
    <sheetView tabSelected="1" workbookViewId="0">
      <selection activeCell="I87" sqref="I87"/>
    </sheetView>
  </sheetViews>
  <sheetFormatPr defaultColWidth="9" defaultRowHeight="11.25"/>
  <cols>
    <col min="1" max="1" width="10.75" style="3" customWidth="1"/>
    <col min="2" max="2" width="13.125" style="4" customWidth="1"/>
    <col min="3" max="3" width="6" style="5" customWidth="1"/>
    <col min="4" max="4" width="13.375" style="5" customWidth="1"/>
    <col min="5" max="5" width="6" style="5" customWidth="1"/>
    <col min="6" max="6" width="13.125" style="4" customWidth="1"/>
    <col min="7" max="7" width="14.75" style="4" customWidth="1"/>
    <col min="8" max="8" width="11.5" style="5" customWidth="1"/>
    <col min="9" max="9" width="13.875" style="4" customWidth="1"/>
    <col min="10" max="10" width="9.75" style="6" customWidth="1"/>
    <col min="11" max="11" width="31.5" style="7" customWidth="1"/>
    <col min="12" max="12" width="17" style="7" customWidth="1"/>
    <col min="13" max="13" width="24.75" style="7" customWidth="1"/>
    <col min="14" max="14" width="13.125" style="7" customWidth="1"/>
    <col min="15" max="15" width="19.75" style="7" customWidth="1"/>
    <col min="16" max="16384" width="9" style="7"/>
  </cols>
  <sheetData>
    <row r="1" ht="21.95" customHeight="1" spans="1:12">
      <c r="A1" s="8" t="s">
        <v>0</v>
      </c>
      <c r="B1" s="8"/>
      <c r="C1" s="8"/>
      <c r="D1" s="8"/>
      <c r="E1" s="8"/>
      <c r="F1" s="9"/>
      <c r="G1" s="9"/>
      <c r="H1" s="8"/>
      <c r="I1" s="9"/>
      <c r="J1" s="8"/>
      <c r="K1" s="18"/>
      <c r="L1" s="18"/>
    </row>
    <row r="2" ht="18" customHeight="1" spans="1:12">
      <c r="A2" s="10" t="s">
        <v>1</v>
      </c>
      <c r="B2" s="11">
        <v>42757</v>
      </c>
      <c r="C2" s="12" t="s">
        <v>2</v>
      </c>
      <c r="D2" s="78">
        <v>13755827.45</v>
      </c>
      <c r="E2" s="14" t="s">
        <v>3</v>
      </c>
      <c r="F2" s="12" t="s">
        <v>4</v>
      </c>
      <c r="G2" s="15" t="s">
        <v>5</v>
      </c>
      <c r="H2" s="16" t="s">
        <v>6</v>
      </c>
      <c r="I2" s="54"/>
      <c r="J2" s="55"/>
      <c r="K2" s="18"/>
      <c r="L2" s="18"/>
    </row>
    <row r="3" ht="18" customHeight="1" spans="1:12">
      <c r="A3" s="10" t="s">
        <v>7</v>
      </c>
      <c r="B3" s="17"/>
      <c r="C3" s="12" t="s">
        <v>8</v>
      </c>
      <c r="D3" s="12">
        <v>13135701.15</v>
      </c>
      <c r="H3" s="18"/>
      <c r="I3" s="56"/>
      <c r="J3" s="18"/>
      <c r="K3" s="18"/>
      <c r="L3" s="18"/>
    </row>
    <row r="4" ht="18" customHeight="1" spans="1:12">
      <c r="A4" s="3" t="s">
        <v>9</v>
      </c>
      <c r="H4" s="18"/>
      <c r="I4" s="56"/>
      <c r="J4" s="18"/>
      <c r="K4" s="18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1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  <c r="K6" s="2" t="s">
        <v>21</v>
      </c>
    </row>
    <row r="7" ht="18" customHeight="1" spans="1:11">
      <c r="A7" s="22">
        <v>42972</v>
      </c>
      <c r="B7" s="12">
        <f t="shared" ref="B7:B15" si="0">G7/(1+C7+E7)</f>
        <v>1846846.84684685</v>
      </c>
      <c r="C7" s="24">
        <v>0.02</v>
      </c>
      <c r="D7" s="79">
        <f t="shared" ref="D7:D10" si="1">G7/(1+E7+C7)*C7</f>
        <v>36936.9369369369</v>
      </c>
      <c r="E7" s="24">
        <v>0.09</v>
      </c>
      <c r="F7" s="12">
        <f t="shared" ref="F7:F10" si="2">G7/(1+C7+E7)*E7</f>
        <v>166216.216216216</v>
      </c>
      <c r="G7" s="80">
        <v>2050000</v>
      </c>
      <c r="H7" s="22">
        <v>42986</v>
      </c>
      <c r="I7" s="12">
        <v>2342000</v>
      </c>
      <c r="J7" s="57" t="s">
        <v>22</v>
      </c>
      <c r="K7" s="2" t="s">
        <v>23</v>
      </c>
    </row>
    <row r="8" ht="18" customHeight="1" spans="1:10">
      <c r="A8" s="22">
        <v>43041</v>
      </c>
      <c r="B8" s="12">
        <f t="shared" si="0"/>
        <v>1817117.11711712</v>
      </c>
      <c r="C8" s="24">
        <v>0.02</v>
      </c>
      <c r="D8" s="79">
        <f t="shared" si="1"/>
        <v>36342.3423423423</v>
      </c>
      <c r="E8" s="24">
        <v>0.09</v>
      </c>
      <c r="F8" s="12">
        <f t="shared" si="2"/>
        <v>163540.540540541</v>
      </c>
      <c r="G8" s="80">
        <v>2017000</v>
      </c>
      <c r="H8" s="22">
        <v>43047</v>
      </c>
      <c r="I8" s="12">
        <v>1725000</v>
      </c>
      <c r="J8" s="57" t="s">
        <v>22</v>
      </c>
    </row>
    <row r="9" ht="18" customHeight="1" spans="1:10">
      <c r="A9" s="22">
        <v>43266</v>
      </c>
      <c r="B9" s="12">
        <f t="shared" si="0"/>
        <v>2225454.54545455</v>
      </c>
      <c r="C9" s="24">
        <v>0.02</v>
      </c>
      <c r="D9" s="79">
        <f t="shared" si="1"/>
        <v>44509.0909090909</v>
      </c>
      <c r="E9" s="24">
        <v>0.08</v>
      </c>
      <c r="F9" s="12">
        <f t="shared" si="2"/>
        <v>178036.363636364</v>
      </c>
      <c r="G9" s="80">
        <v>2448000</v>
      </c>
      <c r="H9" s="22">
        <v>43278</v>
      </c>
      <c r="I9" s="12">
        <v>2448000</v>
      </c>
      <c r="J9" s="57" t="s">
        <v>22</v>
      </c>
    </row>
    <row r="10" ht="18" customHeight="1" spans="1:10">
      <c r="A10" s="22">
        <v>43302</v>
      </c>
      <c r="B10" s="12">
        <f t="shared" si="0"/>
        <v>1495454.54545455</v>
      </c>
      <c r="C10" s="24">
        <v>0.02</v>
      </c>
      <c r="D10" s="79">
        <f t="shared" si="1"/>
        <v>29909.0909090909</v>
      </c>
      <c r="E10" s="24">
        <v>0.08</v>
      </c>
      <c r="F10" s="12">
        <f t="shared" si="2"/>
        <v>119636.363636364</v>
      </c>
      <c r="G10" s="80">
        <v>1645000</v>
      </c>
      <c r="H10" s="22">
        <v>43308</v>
      </c>
      <c r="I10" s="12">
        <v>1645000</v>
      </c>
      <c r="J10" s="57" t="s">
        <v>22</v>
      </c>
    </row>
    <row r="11" ht="18" customHeight="1" spans="1:15">
      <c r="A11" s="22">
        <v>43420</v>
      </c>
      <c r="B11" s="12">
        <v>1000000</v>
      </c>
      <c r="C11" s="24">
        <v>0.02</v>
      </c>
      <c r="D11" s="79">
        <v>20000</v>
      </c>
      <c r="E11" s="24">
        <v>0.08</v>
      </c>
      <c r="F11" s="12">
        <v>80000</v>
      </c>
      <c r="G11" s="80">
        <v>1100000</v>
      </c>
      <c r="H11" s="22">
        <v>43430</v>
      </c>
      <c r="I11" s="12">
        <v>1100000</v>
      </c>
      <c r="J11" s="57" t="s">
        <v>22</v>
      </c>
      <c r="K11" s="4">
        <f>D11+F11</f>
        <v>100000</v>
      </c>
      <c r="L11" s="58" t="s">
        <v>24</v>
      </c>
      <c r="M11" s="58"/>
      <c r="O11" s="58" t="s">
        <v>25</v>
      </c>
    </row>
    <row r="12" ht="18" customHeight="1" spans="1:15">
      <c r="A12" s="22">
        <v>43556</v>
      </c>
      <c r="B12" s="12">
        <f t="shared" si="0"/>
        <v>2935779.81651376</v>
      </c>
      <c r="C12" s="24">
        <v>0.02</v>
      </c>
      <c r="D12" s="79">
        <f>G12/(1+E12+C12)*C12</f>
        <v>58715.5963302752</v>
      </c>
      <c r="E12" s="81">
        <v>0.07</v>
      </c>
      <c r="F12" s="12">
        <f>G12/(1+C12+E12)*E12</f>
        <v>205504.587155963</v>
      </c>
      <c r="G12" s="80">
        <v>3200000</v>
      </c>
      <c r="H12" s="22">
        <v>43559</v>
      </c>
      <c r="I12" s="12">
        <v>3200000</v>
      </c>
      <c r="J12" s="57" t="s">
        <v>22</v>
      </c>
      <c r="K12" s="4"/>
      <c r="L12" s="58"/>
      <c r="M12" s="58"/>
      <c r="O12" s="58"/>
    </row>
    <row r="13" ht="18" customHeight="1" spans="1:15">
      <c r="A13" s="22">
        <v>44392</v>
      </c>
      <c r="B13" s="12">
        <f t="shared" si="0"/>
        <v>184077.981651376</v>
      </c>
      <c r="C13" s="81">
        <v>0.02</v>
      </c>
      <c r="D13" s="79">
        <f>G13/(1+E13+C13)*C13</f>
        <v>3681.55963302752</v>
      </c>
      <c r="E13" s="81">
        <v>0.07</v>
      </c>
      <c r="F13" s="12">
        <f>G13/(1+C13+E13)*E13</f>
        <v>12885.4587155963</v>
      </c>
      <c r="G13" s="80">
        <v>200645</v>
      </c>
      <c r="H13" s="22">
        <v>44446</v>
      </c>
      <c r="I13" s="12">
        <v>200644.9</v>
      </c>
      <c r="J13" s="57" t="s">
        <v>26</v>
      </c>
      <c r="K13" s="4"/>
      <c r="L13" s="58"/>
      <c r="M13" s="58"/>
      <c r="O13" s="58"/>
    </row>
    <row r="14" ht="18" customHeight="1" spans="1:15">
      <c r="A14" s="22"/>
      <c r="B14" s="12">
        <f t="shared" si="0"/>
        <v>0</v>
      </c>
      <c r="C14" s="24"/>
      <c r="D14" s="79">
        <f>G14/(1+E14+C14)*C14</f>
        <v>0</v>
      </c>
      <c r="E14" s="81"/>
      <c r="F14" s="12">
        <f>G14/(1+C14+E14)*E14</f>
        <v>0</v>
      </c>
      <c r="G14" s="80"/>
      <c r="H14" s="22"/>
      <c r="I14" s="12"/>
      <c r="J14" s="57"/>
      <c r="K14" s="4"/>
      <c r="L14" s="89"/>
      <c r="M14" s="58"/>
      <c r="O14" s="58"/>
    </row>
    <row r="15" ht="18" customHeight="1" spans="1:10">
      <c r="A15" s="22"/>
      <c r="B15" s="12">
        <f t="shared" si="0"/>
        <v>0</v>
      </c>
      <c r="C15" s="24"/>
      <c r="D15" s="79">
        <f>G15/(1+E15+C15)*C15</f>
        <v>0</v>
      </c>
      <c r="E15" s="81"/>
      <c r="F15" s="12">
        <f>G15/(1+C15+E15)*E15</f>
        <v>0</v>
      </c>
      <c r="G15" s="80"/>
      <c r="H15" s="22"/>
      <c r="I15" s="12"/>
      <c r="J15" s="57"/>
    </row>
    <row r="16" ht="18" customHeight="1" spans="1:10">
      <c r="A16" s="27" t="s">
        <v>27</v>
      </c>
      <c r="B16" s="82">
        <f>SUM(B7:B15)</f>
        <v>11504730.8530382</v>
      </c>
      <c r="C16" s="29"/>
      <c r="D16" s="29">
        <f>SUM(D7:D15)</f>
        <v>230094.617060764</v>
      </c>
      <c r="E16" s="29"/>
      <c r="F16" s="83">
        <f>SUM(F7:F15)</f>
        <v>925819.529901044</v>
      </c>
      <c r="G16" s="29">
        <f>SUM(G7:G15)</f>
        <v>12660645</v>
      </c>
      <c r="H16" s="32"/>
      <c r="I16" s="29">
        <f>SUM(I7:I15)</f>
        <v>12660644.9</v>
      </c>
      <c r="J16" s="32"/>
    </row>
    <row r="17" ht="18" customHeight="1" spans="1:12">
      <c r="A17" s="3" t="s">
        <v>28</v>
      </c>
      <c r="D17" s="5">
        <f>D13-3681.56</f>
        <v>-0.000366972476967931</v>
      </c>
      <c r="J17" s="5"/>
      <c r="K17" s="5"/>
      <c r="L17" s="6"/>
    </row>
    <row r="18" ht="18" customHeight="1" spans="1:15">
      <c r="A18" s="33" t="s">
        <v>29</v>
      </c>
      <c r="B18" s="20" t="s">
        <v>30</v>
      </c>
      <c r="C18" s="19" t="s">
        <v>31</v>
      </c>
      <c r="D18" s="19" t="s">
        <v>32</v>
      </c>
      <c r="E18" s="19" t="s">
        <v>16</v>
      </c>
      <c r="F18" s="20" t="s">
        <v>33</v>
      </c>
      <c r="G18" s="20" t="s">
        <v>14</v>
      </c>
      <c r="H18" s="19" t="s">
        <v>34</v>
      </c>
      <c r="I18" s="20" t="s">
        <v>35</v>
      </c>
      <c r="J18" s="19" t="s">
        <v>20</v>
      </c>
      <c r="K18" s="59" t="s">
        <v>36</v>
      </c>
      <c r="L18" s="21" t="s">
        <v>37</v>
      </c>
      <c r="M18" s="21" t="s">
        <v>38</v>
      </c>
      <c r="N18" s="21" t="s">
        <v>39</v>
      </c>
      <c r="O18" s="21" t="s">
        <v>40</v>
      </c>
    </row>
    <row r="19" s="1" customFormat="1" ht="18" customHeight="1" spans="1:15">
      <c r="A19" s="34">
        <v>42767</v>
      </c>
      <c r="B19" s="84">
        <f t="shared" ref="B19:B25" si="3">ROUND(G19/(1+E19),2)</f>
        <v>19436.89</v>
      </c>
      <c r="C19" s="35"/>
      <c r="D19" s="36"/>
      <c r="E19" s="37">
        <v>0.03</v>
      </c>
      <c r="F19" s="85">
        <f t="shared" ref="F19:F25" si="4">ROUND(G19/(1+E19)*E19,2)</f>
        <v>583.11</v>
      </c>
      <c r="G19" s="80">
        <v>20020</v>
      </c>
      <c r="H19" s="22"/>
      <c r="I19" s="12"/>
      <c r="J19" s="57"/>
      <c r="K19" s="60" t="s">
        <v>41</v>
      </c>
      <c r="L19" s="61" t="s">
        <v>42</v>
      </c>
      <c r="M19" s="62"/>
      <c r="N19" s="62"/>
      <c r="O19" s="61"/>
    </row>
    <row r="20" s="1" customFormat="1" ht="18" customHeight="1" spans="1:15">
      <c r="A20" s="34">
        <v>42826</v>
      </c>
      <c r="B20" s="84">
        <f t="shared" si="3"/>
        <v>42824.72</v>
      </c>
      <c r="C20" s="35"/>
      <c r="D20" s="36"/>
      <c r="E20" s="37">
        <v>0.06</v>
      </c>
      <c r="F20" s="85">
        <f t="shared" si="4"/>
        <v>2569.48</v>
      </c>
      <c r="G20" s="80">
        <v>45394.2</v>
      </c>
      <c r="H20" s="22"/>
      <c r="I20" s="12"/>
      <c r="J20" s="57"/>
      <c r="K20" s="60" t="s">
        <v>41</v>
      </c>
      <c r="L20" s="61" t="s">
        <v>43</v>
      </c>
      <c r="M20" s="62"/>
      <c r="N20" s="62"/>
      <c r="O20" s="61"/>
    </row>
    <row r="21" s="1" customFormat="1" ht="18" customHeight="1" spans="1:15">
      <c r="A21" s="34">
        <v>42917</v>
      </c>
      <c r="B21" s="84">
        <f t="shared" si="3"/>
        <v>221420</v>
      </c>
      <c r="C21" s="35"/>
      <c r="D21" s="36"/>
      <c r="E21" s="37"/>
      <c r="F21" s="84">
        <f t="shared" si="4"/>
        <v>0</v>
      </c>
      <c r="G21" s="80">
        <v>221420</v>
      </c>
      <c r="H21" s="22"/>
      <c r="I21" s="12"/>
      <c r="J21" s="57"/>
      <c r="K21" s="60" t="s">
        <v>41</v>
      </c>
      <c r="L21" s="61" t="s">
        <v>44</v>
      </c>
      <c r="M21" s="62"/>
      <c r="N21" s="62"/>
      <c r="O21" s="61"/>
    </row>
    <row r="22" s="1" customFormat="1" ht="18" customHeight="1" spans="1:15">
      <c r="A22" s="34">
        <v>42948</v>
      </c>
      <c r="B22" s="84">
        <f t="shared" si="3"/>
        <v>83130</v>
      </c>
      <c r="C22" s="35"/>
      <c r="D22" s="36"/>
      <c r="E22" s="37"/>
      <c r="F22" s="84">
        <f t="shared" si="4"/>
        <v>0</v>
      </c>
      <c r="G22" s="80">
        <v>83130</v>
      </c>
      <c r="H22" s="22"/>
      <c r="I22" s="12"/>
      <c r="J22" s="57"/>
      <c r="K22" s="60" t="s">
        <v>41</v>
      </c>
      <c r="L22" s="61" t="s">
        <v>44</v>
      </c>
      <c r="M22" s="62"/>
      <c r="N22" s="62"/>
      <c r="O22" s="61"/>
    </row>
    <row r="23" s="1" customFormat="1" ht="18" customHeight="1" spans="1:15">
      <c r="A23" s="34">
        <v>42979</v>
      </c>
      <c r="B23" s="84">
        <f t="shared" si="3"/>
        <v>442040</v>
      </c>
      <c r="C23" s="35"/>
      <c r="D23" s="36"/>
      <c r="E23" s="37"/>
      <c r="F23" s="84">
        <f t="shared" si="4"/>
        <v>0</v>
      </c>
      <c r="G23" s="80">
        <v>442040</v>
      </c>
      <c r="H23" s="22"/>
      <c r="I23" s="14"/>
      <c r="J23" s="57"/>
      <c r="K23" s="60" t="s">
        <v>41</v>
      </c>
      <c r="L23" s="61" t="s">
        <v>44</v>
      </c>
      <c r="M23" s="62"/>
      <c r="N23" s="62"/>
      <c r="O23" s="61"/>
    </row>
    <row r="24" s="1" customFormat="1" ht="18" customHeight="1" spans="1:15">
      <c r="A24" s="34">
        <v>42979</v>
      </c>
      <c r="B24" s="84">
        <f t="shared" si="3"/>
        <v>221420</v>
      </c>
      <c r="C24" s="35"/>
      <c r="D24" s="36"/>
      <c r="E24" s="37"/>
      <c r="F24" s="84">
        <f t="shared" si="4"/>
        <v>0</v>
      </c>
      <c r="G24" s="80">
        <v>221420</v>
      </c>
      <c r="H24" s="22"/>
      <c r="I24" s="12"/>
      <c r="J24" s="57"/>
      <c r="K24" s="60" t="s">
        <v>41</v>
      </c>
      <c r="L24" s="61" t="s">
        <v>44</v>
      </c>
      <c r="M24" s="62"/>
      <c r="N24" s="62"/>
      <c r="O24" s="61"/>
    </row>
    <row r="25" s="1" customFormat="1" ht="18" customHeight="1" spans="1:15">
      <c r="A25" s="34">
        <v>43040</v>
      </c>
      <c r="B25" s="84">
        <f t="shared" si="3"/>
        <v>101150</v>
      </c>
      <c r="C25" s="35"/>
      <c r="D25" s="36" t="s">
        <v>45</v>
      </c>
      <c r="E25" s="37"/>
      <c r="F25" s="84">
        <f t="shared" si="4"/>
        <v>0</v>
      </c>
      <c r="G25" s="80">
        <v>101150</v>
      </c>
      <c r="H25" s="22"/>
      <c r="I25" s="12"/>
      <c r="J25" s="57"/>
      <c r="K25" s="60" t="s">
        <v>41</v>
      </c>
      <c r="L25" s="61" t="s">
        <v>46</v>
      </c>
      <c r="M25" s="62"/>
      <c r="N25" s="62"/>
      <c r="O25" s="61"/>
    </row>
    <row r="26" s="1" customFormat="1" ht="18" customHeight="1" spans="1:15">
      <c r="A26" s="34"/>
      <c r="B26" s="84"/>
      <c r="C26" s="35"/>
      <c r="D26" s="36"/>
      <c r="E26" s="37"/>
      <c r="F26" s="84"/>
      <c r="G26" s="80"/>
      <c r="H26" s="22">
        <v>42907</v>
      </c>
      <c r="I26" s="12">
        <v>1000000</v>
      </c>
      <c r="J26" s="57" t="s">
        <v>47</v>
      </c>
      <c r="K26" s="60" t="s">
        <v>41</v>
      </c>
      <c r="L26" s="61" t="s">
        <v>48</v>
      </c>
      <c r="M26" s="62"/>
      <c r="N26" s="62"/>
      <c r="O26" s="61"/>
    </row>
    <row r="27" s="1" customFormat="1" ht="18" customHeight="1" spans="1:15">
      <c r="A27" s="34"/>
      <c r="B27" s="84"/>
      <c r="C27" s="35"/>
      <c r="D27" s="36"/>
      <c r="E27" s="37"/>
      <c r="F27" s="84"/>
      <c r="G27" s="80"/>
      <c r="H27" s="22">
        <v>42907</v>
      </c>
      <c r="I27" s="12">
        <v>-1000000</v>
      </c>
      <c r="J27" s="57" t="s">
        <v>47</v>
      </c>
      <c r="K27" s="60" t="s">
        <v>41</v>
      </c>
      <c r="L27" s="60" t="s">
        <v>48</v>
      </c>
      <c r="M27" s="62"/>
      <c r="N27" s="62"/>
      <c r="O27" s="61"/>
    </row>
    <row r="28" s="1" customFormat="1" ht="18" customHeight="1" spans="1:15">
      <c r="A28" s="34">
        <v>43118</v>
      </c>
      <c r="B28" s="84">
        <f t="shared" ref="B28:B65" si="5">ROUND(G28/(1+E28),2)</f>
        <v>427350.43</v>
      </c>
      <c r="C28" s="35"/>
      <c r="D28" s="36"/>
      <c r="E28" s="37">
        <v>0.17</v>
      </c>
      <c r="F28" s="84">
        <f t="shared" ref="F28:F65" si="6">ROUND(G28/(1+E28)*E28,2)</f>
        <v>72649.57</v>
      </c>
      <c r="G28" s="80">
        <v>500000</v>
      </c>
      <c r="H28" s="22" t="s">
        <v>49</v>
      </c>
      <c r="I28" s="12">
        <v>100000</v>
      </c>
      <c r="J28" s="57" t="s">
        <v>22</v>
      </c>
      <c r="K28" s="61" t="s">
        <v>50</v>
      </c>
      <c r="L28" s="61" t="s">
        <v>51</v>
      </c>
      <c r="M28" s="62"/>
      <c r="N28" s="62"/>
      <c r="O28" s="61"/>
    </row>
    <row r="29" s="1" customFormat="1" ht="18" customHeight="1" spans="1:15">
      <c r="A29" s="34">
        <v>43269</v>
      </c>
      <c r="B29" s="84">
        <f t="shared" si="5"/>
        <v>689655.17</v>
      </c>
      <c r="C29" s="35"/>
      <c r="D29" s="36"/>
      <c r="E29" s="37">
        <v>0.16</v>
      </c>
      <c r="F29" s="84">
        <f t="shared" si="6"/>
        <v>110344.83</v>
      </c>
      <c r="G29" s="80">
        <v>800000</v>
      </c>
      <c r="H29" s="22" t="s">
        <v>49</v>
      </c>
      <c r="I29" s="12">
        <v>200000</v>
      </c>
      <c r="J29" s="57" t="s">
        <v>22</v>
      </c>
      <c r="K29" s="61" t="s">
        <v>50</v>
      </c>
      <c r="L29" s="61" t="s">
        <v>51</v>
      </c>
      <c r="M29" s="62"/>
      <c r="N29" s="62"/>
      <c r="O29" s="61"/>
    </row>
    <row r="30" s="1" customFormat="1" ht="18" customHeight="1" spans="1:15">
      <c r="A30" s="34"/>
      <c r="B30" s="84">
        <f t="shared" si="5"/>
        <v>0</v>
      </c>
      <c r="C30" s="35"/>
      <c r="D30" s="36"/>
      <c r="E30" s="37"/>
      <c r="F30" s="84">
        <f t="shared" si="6"/>
        <v>0</v>
      </c>
      <c r="G30" s="80"/>
      <c r="H30" s="22" t="s">
        <v>49</v>
      </c>
      <c r="I30" s="12">
        <v>200000</v>
      </c>
      <c r="J30" s="57" t="s">
        <v>22</v>
      </c>
      <c r="K30" s="61" t="s">
        <v>50</v>
      </c>
      <c r="L30" s="61" t="s">
        <v>51</v>
      </c>
      <c r="M30" s="62"/>
      <c r="N30" s="62"/>
      <c r="O30" s="61"/>
    </row>
    <row r="31" s="1" customFormat="1" ht="18" customHeight="1" spans="1:15">
      <c r="A31" s="34"/>
      <c r="B31" s="84">
        <f t="shared" si="5"/>
        <v>0</v>
      </c>
      <c r="C31" s="35"/>
      <c r="D31" s="36"/>
      <c r="E31" s="37"/>
      <c r="F31" s="84">
        <f t="shared" si="6"/>
        <v>0</v>
      </c>
      <c r="G31" s="80"/>
      <c r="H31" s="22" t="s">
        <v>52</v>
      </c>
      <c r="I31" s="12">
        <v>400000</v>
      </c>
      <c r="J31" s="57" t="s">
        <v>22</v>
      </c>
      <c r="K31" s="61" t="s">
        <v>50</v>
      </c>
      <c r="L31" s="61"/>
      <c r="M31" s="62"/>
      <c r="N31" s="62"/>
      <c r="O31" s="61"/>
    </row>
    <row r="32" s="1" customFormat="1" ht="18" customHeight="1" spans="1:15">
      <c r="A32" s="34"/>
      <c r="B32" s="84">
        <f t="shared" si="5"/>
        <v>0</v>
      </c>
      <c r="C32" s="35"/>
      <c r="D32" s="36"/>
      <c r="E32" s="37"/>
      <c r="F32" s="84">
        <f t="shared" si="6"/>
        <v>0</v>
      </c>
      <c r="G32" s="80"/>
      <c r="H32" s="22" t="s">
        <v>52</v>
      </c>
      <c r="I32" s="12">
        <v>-400000</v>
      </c>
      <c r="J32" s="57" t="s">
        <v>47</v>
      </c>
      <c r="K32" s="60" t="s">
        <v>53</v>
      </c>
      <c r="L32" s="61" t="s">
        <v>54</v>
      </c>
      <c r="M32" s="62"/>
      <c r="N32" s="62"/>
      <c r="O32" s="61"/>
    </row>
    <row r="33" s="1" customFormat="1" ht="18" customHeight="1" spans="1:15">
      <c r="A33" s="34"/>
      <c r="B33" s="84">
        <f t="shared" si="5"/>
        <v>0</v>
      </c>
      <c r="C33" s="35"/>
      <c r="D33" s="36"/>
      <c r="E33" s="37"/>
      <c r="F33" s="84">
        <f t="shared" si="6"/>
        <v>0</v>
      </c>
      <c r="G33" s="80"/>
      <c r="H33" s="22" t="s">
        <v>55</v>
      </c>
      <c r="I33" s="12">
        <v>-500000</v>
      </c>
      <c r="J33" s="57" t="s">
        <v>47</v>
      </c>
      <c r="K33" s="60" t="s">
        <v>41</v>
      </c>
      <c r="L33" s="60" t="s">
        <v>48</v>
      </c>
      <c r="M33" s="62"/>
      <c r="N33" s="62"/>
      <c r="O33" s="61"/>
    </row>
    <row r="34" s="1" customFormat="1" ht="18" customHeight="1" spans="1:15">
      <c r="A34" s="34">
        <v>43269</v>
      </c>
      <c r="B34" s="84">
        <f t="shared" si="5"/>
        <v>431034.48</v>
      </c>
      <c r="C34" s="35"/>
      <c r="D34" s="36"/>
      <c r="E34" s="37">
        <v>0.16</v>
      </c>
      <c r="F34" s="84">
        <f t="shared" si="6"/>
        <v>68965.52</v>
      </c>
      <c r="G34" s="80">
        <v>500000</v>
      </c>
      <c r="H34" s="22" t="s">
        <v>55</v>
      </c>
      <c r="I34" s="12">
        <v>500000</v>
      </c>
      <c r="J34" s="57" t="s">
        <v>22</v>
      </c>
      <c r="K34" s="60" t="s">
        <v>56</v>
      </c>
      <c r="L34" s="61" t="s">
        <v>57</v>
      </c>
      <c r="M34" s="62"/>
      <c r="N34" s="62"/>
      <c r="O34" s="61"/>
    </row>
    <row r="35" s="1" customFormat="1" ht="18" customHeight="1" spans="1:15">
      <c r="A35" s="34"/>
      <c r="B35" s="84">
        <f t="shared" si="5"/>
        <v>0</v>
      </c>
      <c r="C35" s="35"/>
      <c r="D35" s="36"/>
      <c r="E35" s="37"/>
      <c r="F35" s="84">
        <f t="shared" si="6"/>
        <v>0</v>
      </c>
      <c r="G35" s="86"/>
      <c r="H35" s="22" t="s">
        <v>58</v>
      </c>
      <c r="I35" s="12">
        <v>400000</v>
      </c>
      <c r="J35" s="57" t="s">
        <v>22</v>
      </c>
      <c r="K35" s="61" t="s">
        <v>50</v>
      </c>
      <c r="L35" s="61"/>
      <c r="M35" s="62"/>
      <c r="N35" s="62"/>
      <c r="O35" s="61"/>
    </row>
    <row r="36" s="1" customFormat="1" ht="18" customHeight="1" spans="1:15">
      <c r="A36" s="34">
        <v>43269</v>
      </c>
      <c r="B36" s="84">
        <f t="shared" si="5"/>
        <v>862068.97</v>
      </c>
      <c r="C36" s="35"/>
      <c r="D36" s="36"/>
      <c r="E36" s="37">
        <v>0.16</v>
      </c>
      <c r="F36" s="84">
        <f t="shared" si="6"/>
        <v>137931.03</v>
      </c>
      <c r="G36" s="86">
        <v>1000000</v>
      </c>
      <c r="H36" s="22" t="s">
        <v>58</v>
      </c>
      <c r="I36" s="12">
        <v>500000</v>
      </c>
      <c r="J36" s="57" t="s">
        <v>22</v>
      </c>
      <c r="K36" s="60" t="s">
        <v>59</v>
      </c>
      <c r="L36" s="61" t="s">
        <v>60</v>
      </c>
      <c r="M36" s="62"/>
      <c r="N36" s="62"/>
      <c r="O36" s="61"/>
    </row>
    <row r="37" s="1" customFormat="1" ht="18" customHeight="1" spans="1:15">
      <c r="A37" s="34"/>
      <c r="B37" s="84">
        <f t="shared" si="5"/>
        <v>0</v>
      </c>
      <c r="C37" s="35"/>
      <c r="D37" s="36"/>
      <c r="E37" s="37"/>
      <c r="F37" s="84">
        <f t="shared" si="6"/>
        <v>0</v>
      </c>
      <c r="G37" s="86"/>
      <c r="H37" s="22" t="s">
        <v>58</v>
      </c>
      <c r="I37" s="12">
        <v>500000</v>
      </c>
      <c r="J37" s="57" t="s">
        <v>22</v>
      </c>
      <c r="K37" s="60" t="s">
        <v>59</v>
      </c>
      <c r="L37" s="61"/>
      <c r="M37" s="62"/>
      <c r="N37" s="62"/>
      <c r="O37" s="61"/>
    </row>
    <row r="38" s="1" customFormat="1" ht="18" customHeight="1" spans="1:15">
      <c r="A38" s="34">
        <v>43299</v>
      </c>
      <c r="B38" s="84">
        <f t="shared" si="5"/>
        <v>1600000</v>
      </c>
      <c r="C38" s="35"/>
      <c r="D38" s="36" t="s">
        <v>45</v>
      </c>
      <c r="E38" s="37"/>
      <c r="F38" s="84">
        <f t="shared" si="6"/>
        <v>0</v>
      </c>
      <c r="G38" s="86">
        <v>1600000</v>
      </c>
      <c r="H38" s="22"/>
      <c r="I38" s="12"/>
      <c r="J38" s="63"/>
      <c r="K38" s="60" t="s">
        <v>61</v>
      </c>
      <c r="L38" s="61" t="s">
        <v>62</v>
      </c>
      <c r="M38" s="62"/>
      <c r="N38" s="62"/>
      <c r="O38" s="61" t="s">
        <v>63</v>
      </c>
    </row>
    <row r="39" s="1" customFormat="1" ht="18" customHeight="1" spans="1:15">
      <c r="A39" s="34"/>
      <c r="B39" s="84">
        <f t="shared" si="5"/>
        <v>0</v>
      </c>
      <c r="C39" s="35"/>
      <c r="D39" s="36"/>
      <c r="E39" s="37"/>
      <c r="F39" s="84">
        <f t="shared" si="6"/>
        <v>0</v>
      </c>
      <c r="G39" s="86"/>
      <c r="H39" s="22" t="s">
        <v>64</v>
      </c>
      <c r="I39" s="12">
        <v>300000</v>
      </c>
      <c r="J39" s="63" t="s">
        <v>47</v>
      </c>
      <c r="K39" s="60" t="s">
        <v>41</v>
      </c>
      <c r="L39" s="61"/>
      <c r="M39" s="62"/>
      <c r="N39" s="62"/>
      <c r="O39" s="61"/>
    </row>
    <row r="40" s="2" customFormat="1" ht="18" customHeight="1" spans="1:15">
      <c r="A40" s="40">
        <v>43313</v>
      </c>
      <c r="B40" s="85">
        <f t="shared" si="5"/>
        <v>46000</v>
      </c>
      <c r="C40" s="41"/>
      <c r="D40" s="42" t="s">
        <v>45</v>
      </c>
      <c r="E40" s="43"/>
      <c r="F40" s="85">
        <f t="shared" si="6"/>
        <v>0</v>
      </c>
      <c r="G40" s="87">
        <v>46000</v>
      </c>
      <c r="H40" s="45"/>
      <c r="I40" s="85"/>
      <c r="J40" s="64"/>
      <c r="K40" s="65" t="s">
        <v>65</v>
      </c>
      <c r="L40" s="66" t="s">
        <v>66</v>
      </c>
      <c r="M40" s="67"/>
      <c r="N40" s="67"/>
      <c r="O40" s="66" t="s">
        <v>67</v>
      </c>
    </row>
    <row r="41" s="1" customFormat="1" ht="18" customHeight="1" spans="1:15">
      <c r="A41" s="34">
        <v>43313</v>
      </c>
      <c r="B41" s="84">
        <f t="shared" si="5"/>
        <v>2200000</v>
      </c>
      <c r="C41" s="35"/>
      <c r="D41" s="36" t="s">
        <v>45</v>
      </c>
      <c r="E41" s="37"/>
      <c r="F41" s="84">
        <f t="shared" si="6"/>
        <v>0</v>
      </c>
      <c r="G41" s="86">
        <v>2200000</v>
      </c>
      <c r="H41" s="22"/>
      <c r="I41" s="12"/>
      <c r="J41" s="63"/>
      <c r="K41" s="60" t="s">
        <v>53</v>
      </c>
      <c r="L41" s="61" t="s">
        <v>62</v>
      </c>
      <c r="M41" s="62"/>
      <c r="N41" s="62"/>
      <c r="O41" s="61"/>
    </row>
    <row r="42" s="1" customFormat="1" ht="18" customHeight="1" spans="1:15">
      <c r="A42" s="34"/>
      <c r="B42" s="84">
        <f t="shared" si="5"/>
        <v>0</v>
      </c>
      <c r="C42" s="35"/>
      <c r="D42" s="36"/>
      <c r="E42" s="37"/>
      <c r="F42" s="84">
        <f t="shared" si="6"/>
        <v>0</v>
      </c>
      <c r="G42" s="86"/>
      <c r="H42" s="22" t="s">
        <v>68</v>
      </c>
      <c r="I42" s="12">
        <v>817390</v>
      </c>
      <c r="J42" s="63" t="s">
        <v>47</v>
      </c>
      <c r="K42" s="60" t="s">
        <v>41</v>
      </c>
      <c r="L42" s="61"/>
      <c r="M42" s="62"/>
      <c r="N42" s="62"/>
      <c r="O42" s="61"/>
    </row>
    <row r="43" s="1" customFormat="1" ht="18" customHeight="1" spans="1:15">
      <c r="A43" s="34">
        <v>43405</v>
      </c>
      <c r="B43" s="84">
        <f t="shared" si="5"/>
        <v>1100400</v>
      </c>
      <c r="C43" s="35">
        <v>1</v>
      </c>
      <c r="D43" s="36" t="s">
        <v>45</v>
      </c>
      <c r="E43" s="37"/>
      <c r="F43" s="84">
        <f t="shared" si="6"/>
        <v>0</v>
      </c>
      <c r="G43" s="86">
        <f>700000+400400</f>
        <v>1100400</v>
      </c>
      <c r="H43" s="22"/>
      <c r="I43" s="12"/>
      <c r="J43" s="63"/>
      <c r="K43" s="60" t="s">
        <v>69</v>
      </c>
      <c r="L43" s="61" t="s">
        <v>70</v>
      </c>
      <c r="M43" s="62"/>
      <c r="N43" s="62"/>
      <c r="O43" s="61" t="s">
        <v>71</v>
      </c>
    </row>
    <row r="44" s="1" customFormat="1" ht="18" customHeight="1" spans="1:15">
      <c r="A44" s="34"/>
      <c r="B44" s="84">
        <f t="shared" si="5"/>
        <v>0</v>
      </c>
      <c r="C44" s="35"/>
      <c r="D44" s="36"/>
      <c r="E44" s="37"/>
      <c r="F44" s="84">
        <f t="shared" si="6"/>
        <v>0</v>
      </c>
      <c r="G44" s="86"/>
      <c r="H44" s="22">
        <v>43432</v>
      </c>
      <c r="I44" s="12">
        <v>1027565</v>
      </c>
      <c r="J44" s="63" t="s">
        <v>47</v>
      </c>
      <c r="K44" s="60" t="s">
        <v>41</v>
      </c>
      <c r="L44" s="61"/>
      <c r="M44" s="62"/>
      <c r="N44" s="62"/>
      <c r="O44" s="61"/>
    </row>
    <row r="45" ht="18" customHeight="1" spans="1:15">
      <c r="A45" s="46">
        <v>43556</v>
      </c>
      <c r="B45" s="12">
        <f t="shared" si="5"/>
        <v>485436.89</v>
      </c>
      <c r="C45" s="47"/>
      <c r="D45" s="48" t="s">
        <v>72</v>
      </c>
      <c r="E45" s="49">
        <v>0.03</v>
      </c>
      <c r="F45" s="12">
        <f t="shared" si="6"/>
        <v>14563.11</v>
      </c>
      <c r="G45" s="88">
        <v>500000</v>
      </c>
      <c r="H45" s="22">
        <v>43564</v>
      </c>
      <c r="I45" s="12">
        <v>500000</v>
      </c>
      <c r="J45" s="57" t="s">
        <v>22</v>
      </c>
      <c r="K45" s="68" t="s">
        <v>73</v>
      </c>
      <c r="L45" s="32" t="s">
        <v>74</v>
      </c>
      <c r="M45" s="57"/>
      <c r="N45" s="57"/>
      <c r="O45" s="32"/>
    </row>
    <row r="46" ht="18" customHeight="1" spans="1:15">
      <c r="A46" s="46">
        <v>43556</v>
      </c>
      <c r="B46" s="12">
        <f t="shared" si="5"/>
        <v>8852</v>
      </c>
      <c r="C46" s="47"/>
      <c r="D46" s="48" t="s">
        <v>75</v>
      </c>
      <c r="E46" s="49"/>
      <c r="F46" s="12">
        <f t="shared" si="6"/>
        <v>0</v>
      </c>
      <c r="G46" s="88">
        <v>8852</v>
      </c>
      <c r="H46" s="22"/>
      <c r="I46" s="12"/>
      <c r="J46" s="63"/>
      <c r="K46" s="68" t="s">
        <v>76</v>
      </c>
      <c r="L46" s="32"/>
      <c r="M46" s="57"/>
      <c r="N46" s="57"/>
      <c r="O46" s="32"/>
    </row>
    <row r="47" s="1" customFormat="1" ht="18" customHeight="1" spans="1:15">
      <c r="A47" s="46">
        <v>43556</v>
      </c>
      <c r="B47" s="84">
        <f t="shared" si="5"/>
        <v>707964.6</v>
      </c>
      <c r="C47" s="35"/>
      <c r="D47" s="36"/>
      <c r="E47" s="37">
        <v>0.13</v>
      </c>
      <c r="F47" s="84">
        <f t="shared" si="6"/>
        <v>92035.4</v>
      </c>
      <c r="G47" s="86">
        <v>800000</v>
      </c>
      <c r="H47" s="22">
        <v>43574</v>
      </c>
      <c r="I47" s="12">
        <v>800000</v>
      </c>
      <c r="J47" s="63" t="s">
        <v>47</v>
      </c>
      <c r="K47" s="60" t="s">
        <v>50</v>
      </c>
      <c r="L47" s="61" t="s">
        <v>77</v>
      </c>
      <c r="M47" s="62"/>
      <c r="N47" s="62"/>
      <c r="O47" s="61"/>
    </row>
    <row r="48" s="1" customFormat="1" ht="18" customHeight="1" spans="1:15">
      <c r="A48" s="46">
        <v>43556</v>
      </c>
      <c r="B48" s="84">
        <f t="shared" si="5"/>
        <v>1844660.19</v>
      </c>
      <c r="C48" s="35"/>
      <c r="D48" s="36"/>
      <c r="E48" s="37">
        <v>0.03</v>
      </c>
      <c r="F48" s="84">
        <f t="shared" si="6"/>
        <v>55339.81</v>
      </c>
      <c r="G48" s="86">
        <f>19*100000</f>
        <v>1900000</v>
      </c>
      <c r="H48" s="22">
        <v>43573</v>
      </c>
      <c r="I48" s="12">
        <v>1680930</v>
      </c>
      <c r="J48" s="57" t="s">
        <v>22</v>
      </c>
      <c r="K48" s="60" t="s">
        <v>73</v>
      </c>
      <c r="L48" s="61" t="s">
        <v>78</v>
      </c>
      <c r="M48" s="62"/>
      <c r="N48" s="62"/>
      <c r="O48" s="61"/>
    </row>
    <row r="49" s="1" customFormat="1" ht="18" customHeight="1" spans="1:15">
      <c r="A49" s="46"/>
      <c r="B49" s="84">
        <f t="shared" si="5"/>
        <v>0</v>
      </c>
      <c r="C49" s="35"/>
      <c r="D49" s="36"/>
      <c r="E49" s="37"/>
      <c r="F49" s="84">
        <f t="shared" si="6"/>
        <v>0</v>
      </c>
      <c r="G49" s="86"/>
      <c r="H49" s="22"/>
      <c r="I49" s="12"/>
      <c r="J49" s="63"/>
      <c r="K49" s="60"/>
      <c r="L49" s="61"/>
      <c r="M49" s="62"/>
      <c r="N49" s="62"/>
      <c r="O49" s="61"/>
    </row>
    <row r="50" s="1" customFormat="1" ht="18" customHeight="1" spans="1:15">
      <c r="A50" s="46"/>
      <c r="B50" s="84">
        <f t="shared" si="5"/>
        <v>0</v>
      </c>
      <c r="C50" s="35"/>
      <c r="D50" s="36"/>
      <c r="E50" s="37"/>
      <c r="F50" s="84">
        <f t="shared" si="6"/>
        <v>0</v>
      </c>
      <c r="G50" s="86"/>
      <c r="H50" s="22"/>
      <c r="I50" s="12"/>
      <c r="J50" s="63"/>
      <c r="K50" s="60"/>
      <c r="L50" s="61"/>
      <c r="M50" s="62"/>
      <c r="N50" s="62"/>
      <c r="O50" s="61"/>
    </row>
    <row r="51" s="1" customFormat="1" ht="18" customHeight="1" spans="1:15">
      <c r="A51" s="34"/>
      <c r="B51" s="84">
        <f t="shared" si="5"/>
        <v>0</v>
      </c>
      <c r="C51" s="35"/>
      <c r="D51" s="36"/>
      <c r="E51" s="37"/>
      <c r="F51" s="84">
        <f t="shared" si="6"/>
        <v>0</v>
      </c>
      <c r="G51" s="86"/>
      <c r="H51" s="22" t="s">
        <v>79</v>
      </c>
      <c r="I51" s="12">
        <v>1772290.01</v>
      </c>
      <c r="J51" s="63" t="s">
        <v>47</v>
      </c>
      <c r="K51" s="60" t="s">
        <v>41</v>
      </c>
      <c r="L51" s="61" t="s">
        <v>80</v>
      </c>
      <c r="M51" s="62"/>
      <c r="N51" s="62"/>
      <c r="O51" s="61"/>
    </row>
    <row r="52" s="1" customFormat="1" ht="18" customHeight="1" spans="1:15">
      <c r="A52" s="34"/>
      <c r="B52" s="84">
        <f t="shared" si="5"/>
        <v>0</v>
      </c>
      <c r="C52" s="35"/>
      <c r="D52" s="36"/>
      <c r="E52" s="37"/>
      <c r="F52" s="84">
        <f t="shared" si="6"/>
        <v>0</v>
      </c>
      <c r="G52" s="86"/>
      <c r="H52" s="22" t="s">
        <v>81</v>
      </c>
      <c r="I52" s="12">
        <v>1000000</v>
      </c>
      <c r="J52" s="63" t="s">
        <v>47</v>
      </c>
      <c r="K52" s="60" t="s">
        <v>41</v>
      </c>
      <c r="L52" s="61" t="s">
        <v>80</v>
      </c>
      <c r="M52" s="62"/>
      <c r="N52" s="62"/>
      <c r="O52" s="61"/>
    </row>
    <row r="53" s="1" customFormat="1" ht="18" customHeight="1" spans="1:15">
      <c r="A53" s="34"/>
      <c r="B53" s="84">
        <f t="shared" si="5"/>
        <v>0</v>
      </c>
      <c r="C53" s="35"/>
      <c r="D53" s="36"/>
      <c r="E53" s="37"/>
      <c r="F53" s="84">
        <f t="shared" si="6"/>
        <v>0</v>
      </c>
      <c r="G53" s="86"/>
      <c r="H53" s="22"/>
      <c r="I53" s="12"/>
      <c r="J53" s="63"/>
      <c r="K53" s="60"/>
      <c r="L53" s="61"/>
      <c r="M53" s="62"/>
      <c r="N53" s="62"/>
      <c r="O53" s="61"/>
    </row>
    <row r="54" s="1" customFormat="1" ht="18" customHeight="1" spans="1:15">
      <c r="A54" s="34"/>
      <c r="B54" s="84"/>
      <c r="C54" s="35"/>
      <c r="D54" s="36"/>
      <c r="E54" s="37"/>
      <c r="F54" s="84"/>
      <c r="G54" s="86"/>
      <c r="H54" s="22"/>
      <c r="I54" s="12"/>
      <c r="J54" s="63"/>
      <c r="K54" s="60"/>
      <c r="L54" s="61"/>
      <c r="M54" s="62"/>
      <c r="N54" s="62"/>
      <c r="O54" s="61"/>
    </row>
    <row r="55" s="1" customFormat="1" ht="18" customHeight="1" spans="1:15">
      <c r="A55" s="34"/>
      <c r="B55" s="84"/>
      <c r="C55" s="35"/>
      <c r="D55" s="36"/>
      <c r="E55" s="37"/>
      <c r="F55" s="84"/>
      <c r="G55" s="86"/>
      <c r="H55" s="22"/>
      <c r="I55" s="12"/>
      <c r="J55" s="63"/>
      <c r="K55" s="60"/>
      <c r="L55" s="61"/>
      <c r="M55" s="62"/>
      <c r="N55" s="62"/>
      <c r="O55" s="61"/>
    </row>
    <row r="56" s="1" customFormat="1" ht="18" customHeight="1" spans="1:15">
      <c r="A56" s="34"/>
      <c r="B56" s="84"/>
      <c r="C56" s="35"/>
      <c r="D56" s="36"/>
      <c r="E56" s="37"/>
      <c r="F56" s="84"/>
      <c r="G56" s="86"/>
      <c r="H56" s="22"/>
      <c r="I56" s="12"/>
      <c r="J56" s="63"/>
      <c r="K56" s="60"/>
      <c r="L56" s="61"/>
      <c r="M56" s="62"/>
      <c r="N56" s="62"/>
      <c r="O56" s="61"/>
    </row>
    <row r="57" s="1" customFormat="1" ht="18" customHeight="1" spans="1:15">
      <c r="A57" s="34"/>
      <c r="B57" s="84">
        <f t="shared" ref="B57:B62" si="7">ROUND(G57/(1+E57),2)</f>
        <v>0</v>
      </c>
      <c r="C57" s="35"/>
      <c r="D57" s="36"/>
      <c r="E57" s="37"/>
      <c r="F57" s="84">
        <f>ROUND(G57/(1+E57)*E57,2)</f>
        <v>0</v>
      </c>
      <c r="G57" s="86"/>
      <c r="H57" s="22" t="s">
        <v>82</v>
      </c>
      <c r="I57" s="12">
        <v>-131000</v>
      </c>
      <c r="J57" s="63" t="s">
        <v>83</v>
      </c>
      <c r="K57" s="60" t="s">
        <v>84</v>
      </c>
      <c r="L57" s="61"/>
      <c r="M57" s="62"/>
      <c r="N57" s="62"/>
      <c r="O57" s="61"/>
    </row>
    <row r="58" s="1" customFormat="1" ht="18" customHeight="1" spans="1:15">
      <c r="A58" s="34"/>
      <c r="B58" s="84">
        <f t="shared" si="7"/>
        <v>0</v>
      </c>
      <c r="C58" s="35"/>
      <c r="D58" s="36"/>
      <c r="E58" s="37"/>
      <c r="F58" s="84">
        <f>ROUND(G58/(1+E58)*E58,2)</f>
        <v>0</v>
      </c>
      <c r="G58" s="86"/>
      <c r="H58" s="22" t="s">
        <v>82</v>
      </c>
      <c r="I58" s="12">
        <v>100</v>
      </c>
      <c r="J58" s="63" t="s">
        <v>85</v>
      </c>
      <c r="K58" s="60" t="s">
        <v>86</v>
      </c>
      <c r="L58" s="61"/>
      <c r="M58" s="62"/>
      <c r="N58" s="62"/>
      <c r="O58" s="61"/>
    </row>
    <row r="59" s="1" customFormat="1" ht="18" customHeight="1" spans="1:15">
      <c r="A59" s="34"/>
      <c r="B59" s="84">
        <f t="shared" si="7"/>
        <v>13514</v>
      </c>
      <c r="C59" s="35"/>
      <c r="D59" s="36"/>
      <c r="E59" s="37"/>
      <c r="F59" s="84">
        <f>ROUND(G59/(1+E59)*E59,2)</f>
        <v>0</v>
      </c>
      <c r="G59" s="86">
        <v>13514</v>
      </c>
      <c r="H59" s="22" t="s">
        <v>82</v>
      </c>
      <c r="I59" s="12">
        <v>13514</v>
      </c>
      <c r="J59" s="63" t="s">
        <v>85</v>
      </c>
      <c r="K59" s="60" t="s">
        <v>87</v>
      </c>
      <c r="L59" s="61"/>
      <c r="M59" s="62"/>
      <c r="N59" s="62"/>
      <c r="O59" s="61"/>
    </row>
    <row r="60" s="1" customFormat="1" ht="18" customHeight="1" spans="1:15">
      <c r="A60" s="34"/>
      <c r="B60" s="84">
        <f t="shared" si="7"/>
        <v>0</v>
      </c>
      <c r="C60" s="35"/>
      <c r="D60" s="36"/>
      <c r="E60" s="37"/>
      <c r="F60" s="84">
        <f>ROUND(G60/(1+E60)*E60,2)</f>
        <v>0</v>
      </c>
      <c r="G60" s="86"/>
      <c r="H60" s="22" t="s">
        <v>82</v>
      </c>
      <c r="I60" s="12">
        <v>432.95</v>
      </c>
      <c r="J60" s="63" t="s">
        <v>85</v>
      </c>
      <c r="K60" s="60" t="s">
        <v>88</v>
      </c>
      <c r="L60" s="61"/>
      <c r="M60" s="62"/>
      <c r="N60" s="62"/>
      <c r="O60" s="61"/>
    </row>
    <row r="61" s="1" customFormat="1" ht="18" customHeight="1" spans="1:15">
      <c r="A61" s="34"/>
      <c r="B61" s="84">
        <f t="shared" si="7"/>
        <v>0</v>
      </c>
      <c r="C61" s="35"/>
      <c r="D61" s="36"/>
      <c r="E61" s="37"/>
      <c r="F61" s="84">
        <f>ROUND(G61/(1+E61)*E61,2)</f>
        <v>0</v>
      </c>
      <c r="G61" s="86"/>
      <c r="H61" s="22" t="s">
        <v>82</v>
      </c>
      <c r="I61" s="12">
        <v>6571.49</v>
      </c>
      <c r="J61" s="63" t="s">
        <v>89</v>
      </c>
      <c r="K61" s="60" t="s">
        <v>90</v>
      </c>
      <c r="L61" s="61"/>
      <c r="M61" s="62"/>
      <c r="N61" s="62"/>
      <c r="O61" s="61"/>
    </row>
    <row r="62" s="1" customFormat="1" ht="18" customHeight="1" spans="1:15">
      <c r="A62" s="34"/>
      <c r="B62" s="84">
        <f t="shared" si="7"/>
        <v>0</v>
      </c>
      <c r="C62" s="35"/>
      <c r="D62" s="36"/>
      <c r="E62" s="37"/>
      <c r="F62" s="84">
        <f t="shared" ref="F61:F72" si="8">ROUND(G62/(1+E62)*E62,2)</f>
        <v>0</v>
      </c>
      <c r="G62" s="86"/>
      <c r="H62" s="22" t="s">
        <v>82</v>
      </c>
      <c r="I62" s="12">
        <v>14431.71</v>
      </c>
      <c r="J62" s="63" t="s">
        <v>85</v>
      </c>
      <c r="K62" s="60" t="s">
        <v>91</v>
      </c>
      <c r="L62" s="61"/>
      <c r="M62" s="62"/>
      <c r="N62" s="62"/>
      <c r="O62" s="61"/>
    </row>
    <row r="63" s="1" customFormat="1" ht="18" customHeight="1" spans="1:15">
      <c r="A63" s="34"/>
      <c r="B63" s="84">
        <f t="shared" ref="B61:B72" si="9">ROUND(G63/(1+E63),2)</f>
        <v>0</v>
      </c>
      <c r="C63" s="35"/>
      <c r="D63" s="36"/>
      <c r="E63" s="37"/>
      <c r="F63" s="84">
        <f t="shared" si="8"/>
        <v>0</v>
      </c>
      <c r="G63" s="86"/>
      <c r="H63" s="22"/>
      <c r="I63" s="12">
        <v>88000</v>
      </c>
      <c r="J63" s="63" t="s">
        <v>92</v>
      </c>
      <c r="K63" s="60" t="s">
        <v>93</v>
      </c>
      <c r="L63" s="61"/>
      <c r="M63" s="62"/>
      <c r="N63" s="62"/>
      <c r="O63" s="61"/>
    </row>
    <row r="64" s="1" customFormat="1" ht="18" customHeight="1" spans="1:15">
      <c r="A64" s="34"/>
      <c r="B64" s="84">
        <f t="shared" si="9"/>
        <v>0</v>
      </c>
      <c r="C64" s="35"/>
      <c r="D64" s="36"/>
      <c r="E64" s="37"/>
      <c r="F64" s="84">
        <f t="shared" si="8"/>
        <v>0</v>
      </c>
      <c r="G64" s="86"/>
      <c r="H64" s="22" t="s">
        <v>94</v>
      </c>
      <c r="I64" s="12">
        <v>35070</v>
      </c>
      <c r="J64" s="63" t="s">
        <v>85</v>
      </c>
      <c r="K64" s="60" t="s">
        <v>95</v>
      </c>
      <c r="L64" s="61"/>
      <c r="M64" s="62"/>
      <c r="N64" s="62"/>
      <c r="O64" s="61"/>
    </row>
    <row r="65" s="1" customFormat="1" ht="18" customHeight="1" spans="1:15">
      <c r="A65" s="34"/>
      <c r="B65" s="84">
        <f t="shared" si="9"/>
        <v>0</v>
      </c>
      <c r="C65" s="35"/>
      <c r="D65" s="36"/>
      <c r="E65" s="37"/>
      <c r="F65" s="84">
        <f t="shared" si="8"/>
        <v>0</v>
      </c>
      <c r="G65" s="86"/>
      <c r="H65" s="22"/>
      <c r="I65" s="12">
        <v>32000</v>
      </c>
      <c r="J65" s="63" t="s">
        <v>92</v>
      </c>
      <c r="K65" s="60" t="s">
        <v>96</v>
      </c>
      <c r="L65" s="61"/>
      <c r="M65" s="62"/>
      <c r="N65" s="62"/>
      <c r="O65" s="61"/>
    </row>
    <row r="66" s="1" customFormat="1" ht="18" customHeight="1" spans="1:15">
      <c r="A66" s="34"/>
      <c r="B66" s="84">
        <f t="shared" si="9"/>
        <v>0</v>
      </c>
      <c r="C66" s="35"/>
      <c r="D66" s="36"/>
      <c r="E66" s="37"/>
      <c r="F66" s="84">
        <f t="shared" si="8"/>
        <v>0</v>
      </c>
      <c r="G66" s="86"/>
      <c r="H66" s="22"/>
      <c r="I66" s="12">
        <v>11000</v>
      </c>
      <c r="J66" s="63" t="s">
        <v>92</v>
      </c>
      <c r="K66" s="60" t="s">
        <v>97</v>
      </c>
      <c r="L66" s="61"/>
      <c r="M66" s="62"/>
      <c r="N66" s="62"/>
      <c r="O66" s="61"/>
    </row>
    <row r="67" s="1" customFormat="1" ht="18" customHeight="1" spans="1:15">
      <c r="A67" s="34"/>
      <c r="B67" s="84">
        <f t="shared" si="9"/>
        <v>0</v>
      </c>
      <c r="C67" s="35"/>
      <c r="D67" s="36"/>
      <c r="E67" s="37"/>
      <c r="F67" s="84">
        <f t="shared" si="8"/>
        <v>0</v>
      </c>
      <c r="G67" s="86"/>
      <c r="H67" s="22"/>
      <c r="I67" s="12">
        <v>39435</v>
      </c>
      <c r="J67" s="63" t="s">
        <v>85</v>
      </c>
      <c r="K67" s="60" t="s">
        <v>98</v>
      </c>
      <c r="L67" s="61"/>
      <c r="M67" s="62"/>
      <c r="N67" s="62"/>
      <c r="O67" s="61"/>
    </row>
    <row r="68" s="1" customFormat="1" ht="18" customHeight="1" spans="1:15">
      <c r="A68" s="34"/>
      <c r="B68" s="84">
        <f t="shared" si="9"/>
        <v>0</v>
      </c>
      <c r="C68" s="35"/>
      <c r="D68" s="36"/>
      <c r="E68" s="37"/>
      <c r="F68" s="84">
        <f t="shared" si="8"/>
        <v>0</v>
      </c>
      <c r="G68" s="86"/>
      <c r="H68" s="22"/>
      <c r="I68" s="12">
        <v>1171667</v>
      </c>
      <c r="J68" s="63" t="s">
        <v>85</v>
      </c>
      <c r="K68" s="60" t="s">
        <v>99</v>
      </c>
      <c r="L68" s="61"/>
      <c r="M68" s="62"/>
      <c r="N68" s="62"/>
      <c r="O68" s="61"/>
    </row>
    <row r="69" s="1" customFormat="1" ht="18" customHeight="1" spans="1:15">
      <c r="A69" s="34"/>
      <c r="B69" s="84">
        <f t="shared" si="9"/>
        <v>0</v>
      </c>
      <c r="C69" s="35"/>
      <c r="D69" s="36"/>
      <c r="E69" s="37"/>
      <c r="F69" s="84">
        <f t="shared" si="8"/>
        <v>0</v>
      </c>
      <c r="G69" s="86"/>
      <c r="H69" s="22"/>
      <c r="I69" s="12">
        <v>672668</v>
      </c>
      <c r="J69" s="63" t="s">
        <v>85</v>
      </c>
      <c r="K69" s="60" t="s">
        <v>100</v>
      </c>
      <c r="L69" s="61"/>
      <c r="M69" s="62"/>
      <c r="N69" s="62"/>
      <c r="O69" s="61"/>
    </row>
    <row r="70" s="1" customFormat="1" ht="18" customHeight="1" spans="1:15">
      <c r="A70" s="34"/>
      <c r="B70" s="84">
        <f t="shared" si="9"/>
        <v>0</v>
      </c>
      <c r="C70" s="35"/>
      <c r="D70" s="36"/>
      <c r="E70" s="37"/>
      <c r="F70" s="84">
        <f t="shared" si="8"/>
        <v>0</v>
      </c>
      <c r="G70" s="86"/>
      <c r="H70" s="22"/>
      <c r="I70" s="12">
        <v>3520</v>
      </c>
      <c r="J70" s="63" t="s">
        <v>85</v>
      </c>
      <c r="K70" s="60" t="s">
        <v>101</v>
      </c>
      <c r="L70" s="61"/>
      <c r="M70" s="62"/>
      <c r="N70" s="62"/>
      <c r="O70" s="61"/>
    </row>
    <row r="71" s="1" customFormat="1" ht="18" customHeight="1" spans="1:15">
      <c r="A71" s="34"/>
      <c r="B71" s="84">
        <f t="shared" si="9"/>
        <v>0</v>
      </c>
      <c r="C71" s="35"/>
      <c r="D71" s="36"/>
      <c r="E71" s="37"/>
      <c r="F71" s="84">
        <f t="shared" si="8"/>
        <v>0</v>
      </c>
      <c r="G71" s="86"/>
      <c r="H71" s="22" t="s">
        <v>49</v>
      </c>
      <c r="I71" s="12">
        <v>359264.99</v>
      </c>
      <c r="J71" s="63" t="s">
        <v>85</v>
      </c>
      <c r="K71" s="60" t="s">
        <v>102</v>
      </c>
      <c r="L71" s="61"/>
      <c r="M71" s="62"/>
      <c r="N71" s="62"/>
      <c r="O71" s="61"/>
    </row>
    <row r="72" s="1" customFormat="1" ht="18" customHeight="1" spans="1:15">
      <c r="A72" s="34"/>
      <c r="B72" s="84">
        <f t="shared" si="9"/>
        <v>249200</v>
      </c>
      <c r="C72" s="35"/>
      <c r="D72" s="36"/>
      <c r="E72" s="37"/>
      <c r="F72" s="84">
        <f t="shared" si="8"/>
        <v>0</v>
      </c>
      <c r="G72" s="86">
        <f>163200+22000+64000</f>
        <v>249200</v>
      </c>
      <c r="H72" s="22"/>
      <c r="I72" s="12">
        <f>G72</f>
        <v>249200</v>
      </c>
      <c r="J72" s="63" t="s">
        <v>85</v>
      </c>
      <c r="K72" s="60" t="s">
        <v>87</v>
      </c>
      <c r="L72" s="61"/>
      <c r="M72" s="62"/>
      <c r="N72" s="62"/>
      <c r="O72" s="61"/>
    </row>
    <row r="73" ht="18" customHeight="1" spans="1:15">
      <c r="A73" s="29" t="s">
        <v>27</v>
      </c>
      <c r="B73" s="82">
        <f>SUM(B19:B72)</f>
        <v>11797558.34</v>
      </c>
      <c r="C73" s="29"/>
      <c r="D73" s="51"/>
      <c r="E73" s="51"/>
      <c r="F73" s="83">
        <f>SUM(F19:F72)</f>
        <v>554981.86</v>
      </c>
      <c r="G73" s="90">
        <f>SUM(G19:G72)</f>
        <v>12352540.2</v>
      </c>
      <c r="H73" s="53"/>
      <c r="I73" s="29">
        <f>SUM(I19:I72)</f>
        <v>12364050.15</v>
      </c>
      <c r="J73" s="69"/>
      <c r="K73" s="51"/>
      <c r="L73" s="32"/>
      <c r="M73" s="57"/>
      <c r="N73" s="57"/>
      <c r="O73" s="32"/>
    </row>
    <row r="74" ht="18" customHeight="1" spans="1:14">
      <c r="A74" s="70" t="s">
        <v>103</v>
      </c>
      <c r="B74" s="70">
        <f>B16-B73</f>
        <v>-292827.486961801</v>
      </c>
      <c r="C74" s="70"/>
      <c r="D74" s="72"/>
      <c r="E74" s="72"/>
      <c r="F74" s="71"/>
      <c r="G74" s="70">
        <f>G16-G73</f>
        <v>308104.800000001</v>
      </c>
      <c r="H74" s="21" t="s">
        <v>104</v>
      </c>
      <c r="I74" s="29">
        <f>I16-I73</f>
        <v>296594.75</v>
      </c>
      <c r="J74" s="7"/>
      <c r="K74" s="76"/>
      <c r="M74" s="77"/>
      <c r="N74" s="77"/>
    </row>
    <row r="75" ht="18" customHeight="1" spans="1:9">
      <c r="A75" s="3" t="s">
        <v>105</v>
      </c>
      <c r="C75" s="3"/>
      <c r="I75" s="4">
        <f>I74-219070</f>
        <v>77524.75</v>
      </c>
    </row>
    <row r="76" ht="18" customHeight="1" spans="1:12">
      <c r="A76" s="21" t="s">
        <v>106</v>
      </c>
      <c r="B76" s="20" t="s">
        <v>107</v>
      </c>
      <c r="C76" s="32"/>
      <c r="D76" s="21" t="s">
        <v>106</v>
      </c>
      <c r="E76" s="19" t="s">
        <v>16</v>
      </c>
      <c r="F76" s="20" t="s">
        <v>107</v>
      </c>
      <c r="G76" s="20" t="s">
        <v>108</v>
      </c>
      <c r="H76" s="20"/>
      <c r="I76" s="20" t="s">
        <v>109</v>
      </c>
      <c r="J76" s="20" t="s">
        <v>110</v>
      </c>
      <c r="K76" s="20" t="s">
        <v>111</v>
      </c>
      <c r="L76" s="12" t="s">
        <v>91</v>
      </c>
    </row>
    <row r="77" ht="18" customHeight="1" spans="1:12">
      <c r="A77" s="32" t="s">
        <v>112</v>
      </c>
      <c r="B77" s="17">
        <f>(B16-B73)*0.25</f>
        <v>-73206.8717404502</v>
      </c>
      <c r="C77" s="32"/>
      <c r="D77" s="10" t="s">
        <v>113</v>
      </c>
      <c r="E77" s="57" t="s">
        <v>114</v>
      </c>
      <c r="F77" s="83">
        <f>F16-F73</f>
        <v>370837.669901044</v>
      </c>
      <c r="G77" s="83">
        <v>163063.63</v>
      </c>
      <c r="H77" s="83"/>
      <c r="I77" s="83">
        <v>163540.54</v>
      </c>
      <c r="J77" s="83"/>
      <c r="K77" s="83">
        <v>31881.82</v>
      </c>
      <c r="L77" s="83">
        <f>F13</f>
        <v>12885.4587155963</v>
      </c>
    </row>
    <row r="78" ht="18" customHeight="1" spans="1:12">
      <c r="A78" s="32" t="s">
        <v>115</v>
      </c>
      <c r="B78" s="74" t="s">
        <v>116</v>
      </c>
      <c r="C78" s="32"/>
      <c r="D78" s="75" t="s">
        <v>117</v>
      </c>
      <c r="E78" s="14">
        <v>0.05</v>
      </c>
      <c r="F78" s="12">
        <f>F77*E78</f>
        <v>18541.8834950522</v>
      </c>
      <c r="G78" s="12">
        <f>G77*E78</f>
        <v>8153.1815</v>
      </c>
      <c r="H78" s="12"/>
      <c r="I78" s="12">
        <f>I77*E78</f>
        <v>8177.027</v>
      </c>
      <c r="J78" s="12"/>
      <c r="K78" s="12">
        <f>K77*E78</f>
        <v>1594.091</v>
      </c>
      <c r="L78" s="12">
        <f>L77*0.07</f>
        <v>901.982110091743</v>
      </c>
    </row>
    <row r="79" ht="18" customHeight="1" spans="1:12">
      <c r="A79" s="32" t="s">
        <v>118</v>
      </c>
      <c r="B79" s="74" t="s">
        <v>116</v>
      </c>
      <c r="C79" s="32"/>
      <c r="D79" s="75" t="s">
        <v>119</v>
      </c>
      <c r="E79" s="14">
        <v>0.03</v>
      </c>
      <c r="F79" s="12">
        <f>F77*E79</f>
        <v>11125.1300970313</v>
      </c>
      <c r="G79" s="12">
        <f>G77*E79</f>
        <v>4891.9089</v>
      </c>
      <c r="H79" s="12"/>
      <c r="I79" s="12">
        <f>I77*E79</f>
        <v>4906.2162</v>
      </c>
      <c r="J79" s="12"/>
      <c r="K79" s="12">
        <f>K77*E79</f>
        <v>956.4546</v>
      </c>
      <c r="L79" s="12">
        <f>L77*E79</f>
        <v>386.56376146789</v>
      </c>
    </row>
    <row r="80" ht="18" customHeight="1" spans="1:12">
      <c r="A80" s="32"/>
      <c r="B80" s="23"/>
      <c r="C80" s="32"/>
      <c r="D80" s="75" t="s">
        <v>120</v>
      </c>
      <c r="E80" s="14">
        <v>0.02</v>
      </c>
      <c r="F80" s="12">
        <f>F77*E80</f>
        <v>7416.75339802088</v>
      </c>
      <c r="G80" s="12">
        <f>G77*E80</f>
        <v>3261.2726</v>
      </c>
      <c r="H80" s="12"/>
      <c r="I80" s="12">
        <f>I77*E80</f>
        <v>3270.8108</v>
      </c>
      <c r="J80" s="12"/>
      <c r="K80" s="12">
        <f>K77*E80</f>
        <v>637.6364</v>
      </c>
      <c r="L80" s="12">
        <f>L77*E80</f>
        <v>257.709174311927</v>
      </c>
    </row>
    <row r="81" ht="18" customHeight="1" spans="1:12">
      <c r="A81" s="27" t="s">
        <v>121</v>
      </c>
      <c r="B81" s="28">
        <f t="shared" ref="B81:G81" si="10">SUM(B77:B80)</f>
        <v>-73206.8717404502</v>
      </c>
      <c r="C81" s="32"/>
      <c r="D81" s="27" t="s">
        <v>121</v>
      </c>
      <c r="E81" s="27"/>
      <c r="F81" s="83">
        <f t="shared" si="10"/>
        <v>407921.436891148</v>
      </c>
      <c r="G81" s="83">
        <f t="shared" si="10"/>
        <v>179369.993</v>
      </c>
      <c r="H81" s="83"/>
      <c r="I81" s="83">
        <f>SUM(I77:I80)</f>
        <v>179894.594</v>
      </c>
      <c r="J81" s="83">
        <v>0</v>
      </c>
      <c r="K81" s="83">
        <f>SUM(K77:K80)</f>
        <v>35070.002</v>
      </c>
      <c r="L81" s="83">
        <f>SUM(L77:L80)</f>
        <v>14431.7137614679</v>
      </c>
    </row>
    <row r="82" ht="18" customHeight="1" spans="3:12">
      <c r="C82" s="3"/>
      <c r="D82" s="29" t="s">
        <v>27</v>
      </c>
      <c r="E82" s="29"/>
      <c r="F82" s="29">
        <f t="shared" ref="F82:L82" si="11">F81</f>
        <v>407921.436891148</v>
      </c>
      <c r="G82" s="29">
        <v>179369.993</v>
      </c>
      <c r="H82" s="29"/>
      <c r="I82" s="29">
        <f t="shared" si="11"/>
        <v>179894.594</v>
      </c>
      <c r="J82" s="29">
        <v>0</v>
      </c>
      <c r="K82" s="29">
        <f t="shared" si="11"/>
        <v>35070.002</v>
      </c>
      <c r="L82" s="29">
        <f t="shared" si="11"/>
        <v>14431.7137614679</v>
      </c>
    </row>
    <row r="83" ht="18" customHeight="1" spans="3:13">
      <c r="C83" s="3"/>
      <c r="D83" s="19" t="s">
        <v>122</v>
      </c>
      <c r="E83" s="12"/>
      <c r="F83" s="91">
        <f>F16-F73</f>
        <v>370837.669901044</v>
      </c>
      <c r="L83" s="29">
        <f>L82*0.015*2</f>
        <v>432.951412844037</v>
      </c>
      <c r="M83" s="7" t="s">
        <v>88</v>
      </c>
    </row>
    <row r="84" ht="18" customHeight="1" spans="3:6">
      <c r="C84" s="3"/>
      <c r="D84" s="75" t="s">
        <v>117</v>
      </c>
      <c r="E84" s="14">
        <v>0.07</v>
      </c>
      <c r="F84" s="12">
        <f>F83*E84</f>
        <v>25958.6368930731</v>
      </c>
    </row>
    <row r="85" ht="18" customHeight="1" spans="3:6">
      <c r="C85" s="3"/>
      <c r="D85" s="75" t="s">
        <v>119</v>
      </c>
      <c r="E85" s="14">
        <v>0.03</v>
      </c>
      <c r="F85" s="12">
        <f>F83*E85</f>
        <v>11125.1300970313</v>
      </c>
    </row>
    <row r="86" ht="18" customHeight="1" spans="3:6">
      <c r="C86" s="3"/>
      <c r="D86" s="75" t="s">
        <v>120</v>
      </c>
      <c r="E86" s="14">
        <v>0.02</v>
      </c>
      <c r="F86" s="12">
        <f>F83*E86</f>
        <v>7416.75339802088</v>
      </c>
    </row>
    <row r="87" ht="18" customHeight="1" spans="3:6">
      <c r="C87" s="3"/>
      <c r="D87" s="29" t="s">
        <v>27</v>
      </c>
      <c r="E87" s="12"/>
      <c r="F87" s="29">
        <f>SUM(F83:F86)</f>
        <v>415338.190289169</v>
      </c>
    </row>
    <row r="88" ht="16" customHeight="1" spans="3:6">
      <c r="C88" s="3"/>
      <c r="D88" s="29" t="s">
        <v>123</v>
      </c>
      <c r="E88" s="29"/>
      <c r="F88" s="30">
        <f>F87-I71-I64-14431.71</f>
        <v>6571.49028916915</v>
      </c>
    </row>
    <row r="89" spans="3:3">
      <c r="C89" s="3"/>
    </row>
    <row r="90" spans="3:3">
      <c r="C90" s="3"/>
    </row>
    <row r="91" spans="3:3">
      <c r="C91" s="3"/>
    </row>
    <row r="92" spans="3:3">
      <c r="C92" s="3"/>
    </row>
    <row r="93" spans="3:3">
      <c r="C93" s="3"/>
    </row>
    <row r="94" spans="3:3">
      <c r="C94" s="3"/>
    </row>
    <row r="95" spans="3:3">
      <c r="C95" s="3"/>
    </row>
    <row r="96" spans="3:3">
      <c r="C96" s="3"/>
    </row>
    <row r="97" spans="3:3">
      <c r="C97" s="3"/>
    </row>
    <row r="98" spans="3:3">
      <c r="C98" s="3"/>
    </row>
    <row r="99" spans="3:3">
      <c r="C99" s="3"/>
    </row>
    <row r="100" spans="3:3">
      <c r="C100" s="3"/>
    </row>
    <row r="101" spans="3:3">
      <c r="C101" s="3"/>
    </row>
    <row r="102" spans="3:3">
      <c r="C102" s="3"/>
    </row>
  </sheetData>
  <autoFilter ref="A18:O89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3"/>
  <sheetViews>
    <sheetView topLeftCell="A70" workbookViewId="0">
      <selection activeCell="K52" sqref="K52"/>
    </sheetView>
  </sheetViews>
  <sheetFormatPr defaultColWidth="9" defaultRowHeight="11.25"/>
  <cols>
    <col min="1" max="1" width="10.75" style="3" customWidth="1"/>
    <col min="2" max="2" width="13.125" style="4" customWidth="1"/>
    <col min="3" max="3" width="6" style="5" customWidth="1"/>
    <col min="4" max="4" width="13.375" style="5" customWidth="1"/>
    <col min="5" max="5" width="6" style="5" customWidth="1"/>
    <col min="6" max="6" width="13.125" style="4" customWidth="1"/>
    <col min="7" max="7" width="12.25" style="4" customWidth="1"/>
    <col min="8" max="8" width="11.5" style="5" customWidth="1"/>
    <col min="9" max="9" width="13.875" style="4" customWidth="1"/>
    <col min="10" max="10" width="9.75" style="6" customWidth="1"/>
    <col min="11" max="11" width="31.5" style="7" customWidth="1"/>
    <col min="12" max="12" width="12.75" style="7" customWidth="1"/>
    <col min="13" max="13" width="6" style="7" customWidth="1"/>
    <col min="14" max="14" width="5.625" style="7" customWidth="1"/>
    <col min="15" max="16384" width="9" style="7"/>
  </cols>
  <sheetData>
    <row r="1" ht="21.95" customHeight="1" spans="1:12">
      <c r="A1" s="8" t="s">
        <v>124</v>
      </c>
      <c r="B1" s="8"/>
      <c r="C1" s="8"/>
      <c r="D1" s="8"/>
      <c r="E1" s="8"/>
      <c r="F1" s="9"/>
      <c r="G1" s="9"/>
      <c r="H1" s="8"/>
      <c r="I1" s="9"/>
      <c r="J1" s="8"/>
      <c r="K1" s="18"/>
      <c r="L1" s="18"/>
    </row>
    <row r="2" ht="18" customHeight="1" spans="1:12">
      <c r="A2" s="10" t="s">
        <v>1</v>
      </c>
      <c r="B2" s="11">
        <v>42757</v>
      </c>
      <c r="C2" s="12" t="s">
        <v>2</v>
      </c>
      <c r="D2" s="13">
        <v>13755827.45</v>
      </c>
      <c r="E2" s="14" t="s">
        <v>3</v>
      </c>
      <c r="F2" s="12" t="s">
        <v>4</v>
      </c>
      <c r="G2" s="15" t="s">
        <v>5</v>
      </c>
      <c r="H2" s="16" t="s">
        <v>6</v>
      </c>
      <c r="I2" s="54"/>
      <c r="J2" s="55"/>
      <c r="K2" s="18"/>
      <c r="L2" s="18"/>
    </row>
    <row r="3" ht="18" customHeight="1" spans="1:12">
      <c r="A3" s="10" t="s">
        <v>7</v>
      </c>
      <c r="B3" s="17"/>
      <c r="C3" s="12" t="s">
        <v>8</v>
      </c>
      <c r="D3" s="12"/>
      <c r="H3" s="18"/>
      <c r="I3" s="56"/>
      <c r="J3" s="18"/>
      <c r="K3" s="18"/>
      <c r="L3" s="18"/>
    </row>
    <row r="4" ht="18" customHeight="1" spans="1:12">
      <c r="A4" s="3" t="s">
        <v>9</v>
      </c>
      <c r="H4" s="18"/>
      <c r="I4" s="56"/>
      <c r="J4" s="18"/>
      <c r="K4" s="18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1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  <c r="K6" s="2" t="s">
        <v>21</v>
      </c>
    </row>
    <row r="7" ht="18" customHeight="1" spans="1:11">
      <c r="A7" s="22">
        <v>42972</v>
      </c>
      <c r="B7" s="23">
        <f>G7/(1+C7+E7)</f>
        <v>1846846.84684685</v>
      </c>
      <c r="C7" s="24">
        <v>0.02</v>
      </c>
      <c r="D7" s="25">
        <f>G7/(1+E7+C7)*C7</f>
        <v>36936.9369369369</v>
      </c>
      <c r="E7" s="24">
        <v>0.09</v>
      </c>
      <c r="F7" s="23">
        <f>G7/(1+C7+E7)*E7</f>
        <v>166216.216216216</v>
      </c>
      <c r="G7" s="26">
        <v>2050000</v>
      </c>
      <c r="H7" s="22">
        <v>42986</v>
      </c>
      <c r="I7" s="23">
        <v>2342000</v>
      </c>
      <c r="J7" s="57" t="s">
        <v>22</v>
      </c>
      <c r="K7" s="2" t="s">
        <v>23</v>
      </c>
    </row>
    <row r="8" ht="18" customHeight="1" spans="1:10">
      <c r="A8" s="22">
        <v>43041</v>
      </c>
      <c r="B8" s="23">
        <f t="shared" ref="B8:B13" si="0">G8/(1+C8+E8)</f>
        <v>1817117.11711712</v>
      </c>
      <c r="C8" s="24">
        <v>0.02</v>
      </c>
      <c r="D8" s="25">
        <f t="shared" ref="D8:D13" si="1">G8/(1+E8+C8)*C8</f>
        <v>36342.3423423423</v>
      </c>
      <c r="E8" s="24">
        <v>0.09</v>
      </c>
      <c r="F8" s="23">
        <f t="shared" ref="F8:F13" si="2">G8/(1+C8+E8)*E8</f>
        <v>163540.540540541</v>
      </c>
      <c r="G8" s="26">
        <v>2017000</v>
      </c>
      <c r="H8" s="22">
        <v>43047</v>
      </c>
      <c r="I8" s="23">
        <v>1725000</v>
      </c>
      <c r="J8" s="57" t="s">
        <v>22</v>
      </c>
    </row>
    <row r="9" ht="18" customHeight="1" spans="1:10">
      <c r="A9" s="22">
        <v>43266</v>
      </c>
      <c r="B9" s="23">
        <f t="shared" si="0"/>
        <v>2225454.54545455</v>
      </c>
      <c r="C9" s="24">
        <v>0.02</v>
      </c>
      <c r="D9" s="25">
        <f t="shared" si="1"/>
        <v>44509.0909090909</v>
      </c>
      <c r="E9" s="24">
        <v>0.08</v>
      </c>
      <c r="F9" s="23">
        <f t="shared" si="2"/>
        <v>178036.363636364</v>
      </c>
      <c r="G9" s="26">
        <v>2448000</v>
      </c>
      <c r="H9" s="22">
        <v>43278</v>
      </c>
      <c r="I9" s="23">
        <v>2448000</v>
      </c>
      <c r="J9" s="57" t="s">
        <v>22</v>
      </c>
    </row>
    <row r="10" ht="18" customHeight="1" spans="1:10">
      <c r="A10" s="22">
        <v>43302</v>
      </c>
      <c r="B10" s="23">
        <f t="shared" si="0"/>
        <v>1495454.54545455</v>
      </c>
      <c r="C10" s="24">
        <v>0.02</v>
      </c>
      <c r="D10" s="25">
        <f t="shared" si="1"/>
        <v>29909.0909090909</v>
      </c>
      <c r="E10" s="24">
        <v>0.08</v>
      </c>
      <c r="F10" s="23">
        <f t="shared" si="2"/>
        <v>119636.363636364</v>
      </c>
      <c r="G10" s="26">
        <v>1645000</v>
      </c>
      <c r="H10" s="22">
        <v>43308</v>
      </c>
      <c r="I10" s="23">
        <v>1645000</v>
      </c>
      <c r="J10" s="57" t="s">
        <v>22</v>
      </c>
    </row>
    <row r="11" ht="18" customHeight="1" spans="1:15">
      <c r="A11" s="22">
        <v>43556</v>
      </c>
      <c r="B11" s="23">
        <f t="shared" si="0"/>
        <v>2935779.81651376</v>
      </c>
      <c r="C11" s="24">
        <v>0.02</v>
      </c>
      <c r="D11" s="25">
        <f>G11/(1+E11+C11)*C11-533.78</f>
        <v>58181.8163302752</v>
      </c>
      <c r="E11" s="24">
        <v>0.07</v>
      </c>
      <c r="F11" s="23">
        <f>G11/(1+C11+E11)*E11+533.78</f>
        <v>206038.367155963</v>
      </c>
      <c r="G11" s="26">
        <v>3200000</v>
      </c>
      <c r="H11" s="22">
        <v>43430</v>
      </c>
      <c r="I11" s="23">
        <v>1100000</v>
      </c>
      <c r="J11" s="57" t="s">
        <v>22</v>
      </c>
      <c r="K11" s="4">
        <f>D11+F11</f>
        <v>264220.183486239</v>
      </c>
      <c r="L11" s="58" t="s">
        <v>24</v>
      </c>
      <c r="M11" s="58"/>
      <c r="O11" s="58" t="s">
        <v>25</v>
      </c>
    </row>
    <row r="12" ht="18" customHeight="1" spans="1:10">
      <c r="A12" s="22"/>
      <c r="B12" s="23">
        <f t="shared" si="0"/>
        <v>0</v>
      </c>
      <c r="C12" s="24">
        <v>0.02</v>
      </c>
      <c r="D12" s="25">
        <f t="shared" si="1"/>
        <v>0</v>
      </c>
      <c r="E12" s="24">
        <v>0.08</v>
      </c>
      <c r="F12" s="23">
        <f t="shared" si="2"/>
        <v>0</v>
      </c>
      <c r="G12" s="26"/>
      <c r="H12" s="22"/>
      <c r="I12" s="23"/>
      <c r="J12" s="57"/>
    </row>
    <row r="13" ht="18" customHeight="1" spans="1:10">
      <c r="A13" s="22">
        <v>43420</v>
      </c>
      <c r="B13" s="23">
        <f t="shared" si="0"/>
        <v>1000000</v>
      </c>
      <c r="C13" s="24">
        <v>0.02</v>
      </c>
      <c r="D13" s="25">
        <f t="shared" si="1"/>
        <v>20000</v>
      </c>
      <c r="E13" s="24">
        <v>0.08</v>
      </c>
      <c r="F13" s="23">
        <f t="shared" si="2"/>
        <v>80000</v>
      </c>
      <c r="G13" s="26">
        <v>1100000</v>
      </c>
      <c r="H13" s="22">
        <v>43559</v>
      </c>
      <c r="I13" s="23">
        <v>3200000</v>
      </c>
      <c r="J13" s="57" t="s">
        <v>22</v>
      </c>
    </row>
    <row r="14" ht="18" customHeight="1" spans="1:10">
      <c r="A14" s="27" t="s">
        <v>27</v>
      </c>
      <c r="B14" s="28">
        <f>SUM(B7:B13)</f>
        <v>11320652.8713868</v>
      </c>
      <c r="C14" s="29"/>
      <c r="D14" s="30">
        <f>SUM(D7:D13)</f>
        <v>225879.277427736</v>
      </c>
      <c r="E14" s="29"/>
      <c r="F14" s="31">
        <f>SUM(F7:F13)</f>
        <v>913467.851185447</v>
      </c>
      <c r="G14" s="30">
        <f>SUM(G7:G13)</f>
        <v>12460000</v>
      </c>
      <c r="H14" s="32"/>
      <c r="I14" s="30">
        <f>SUM(I7:I13)</f>
        <v>12460000</v>
      </c>
      <c r="J14" s="32"/>
    </row>
    <row r="15" ht="18" customHeight="1" spans="1:12">
      <c r="A15" s="3" t="s">
        <v>28</v>
      </c>
      <c r="J15" s="5"/>
      <c r="K15" s="5"/>
      <c r="L15" s="6"/>
    </row>
    <row r="16" ht="18" customHeight="1" spans="1:15">
      <c r="A16" s="33" t="s">
        <v>29</v>
      </c>
      <c r="B16" s="20" t="s">
        <v>30</v>
      </c>
      <c r="C16" s="19" t="s">
        <v>31</v>
      </c>
      <c r="D16" s="19" t="s">
        <v>32</v>
      </c>
      <c r="E16" s="19" t="s">
        <v>16</v>
      </c>
      <c r="F16" s="20" t="s">
        <v>33</v>
      </c>
      <c r="G16" s="20" t="s">
        <v>14</v>
      </c>
      <c r="H16" s="19" t="s">
        <v>34</v>
      </c>
      <c r="I16" s="20" t="s">
        <v>35</v>
      </c>
      <c r="J16" s="19" t="s">
        <v>20</v>
      </c>
      <c r="K16" s="59" t="s">
        <v>36</v>
      </c>
      <c r="L16" s="21" t="s">
        <v>37</v>
      </c>
      <c r="M16" s="21" t="s">
        <v>38</v>
      </c>
      <c r="N16" s="21" t="s">
        <v>39</v>
      </c>
      <c r="O16" s="21" t="s">
        <v>40</v>
      </c>
    </row>
    <row r="17" s="1" customFormat="1" ht="18" customHeight="1" spans="1:15">
      <c r="A17" s="34">
        <v>42767</v>
      </c>
      <c r="B17" s="17">
        <f>ROUND(G17/(1+E17),2)</f>
        <v>19436.89</v>
      </c>
      <c r="C17" s="35"/>
      <c r="D17" s="36"/>
      <c r="E17" s="37">
        <v>0.03</v>
      </c>
      <c r="F17" s="38">
        <f>ROUND(G17/(1+E17)*E17,2)</f>
        <v>583.11</v>
      </c>
      <c r="G17" s="26">
        <v>20020</v>
      </c>
      <c r="H17" s="22"/>
      <c r="I17" s="23"/>
      <c r="J17" s="57"/>
      <c r="K17" s="60" t="s">
        <v>41</v>
      </c>
      <c r="L17" s="61" t="s">
        <v>42</v>
      </c>
      <c r="M17" s="62"/>
      <c r="N17" s="62"/>
      <c r="O17" s="61"/>
    </row>
    <row r="18" s="1" customFormat="1" ht="18" customHeight="1" spans="1:15">
      <c r="A18" s="34">
        <v>42826</v>
      </c>
      <c r="B18" s="17">
        <f t="shared" ref="B18:B63" si="3">ROUND(G18/(1+E18),2)</f>
        <v>42824.72</v>
      </c>
      <c r="C18" s="35"/>
      <c r="D18" s="36"/>
      <c r="E18" s="37">
        <v>0.06</v>
      </c>
      <c r="F18" s="38">
        <f t="shared" ref="F18:F63" si="4">ROUND(G18/(1+E18)*E18,2)</f>
        <v>2569.48</v>
      </c>
      <c r="G18" s="26">
        <v>45394.2</v>
      </c>
      <c r="H18" s="22"/>
      <c r="I18" s="23"/>
      <c r="J18" s="57"/>
      <c r="K18" s="60" t="s">
        <v>41</v>
      </c>
      <c r="L18" s="61" t="s">
        <v>43</v>
      </c>
      <c r="M18" s="62"/>
      <c r="N18" s="62"/>
      <c r="O18" s="61"/>
    </row>
    <row r="19" s="1" customFormat="1" ht="18" customHeight="1" spans="1:15">
      <c r="A19" s="34">
        <v>42917</v>
      </c>
      <c r="B19" s="17">
        <f t="shared" si="3"/>
        <v>221420</v>
      </c>
      <c r="C19" s="35"/>
      <c r="D19" s="36"/>
      <c r="E19" s="37"/>
      <c r="F19" s="17">
        <f t="shared" si="4"/>
        <v>0</v>
      </c>
      <c r="G19" s="26">
        <v>221420</v>
      </c>
      <c r="H19" s="22"/>
      <c r="I19" s="23"/>
      <c r="J19" s="57"/>
      <c r="K19" s="60" t="s">
        <v>41</v>
      </c>
      <c r="L19" s="61" t="s">
        <v>44</v>
      </c>
      <c r="M19" s="62"/>
      <c r="N19" s="62"/>
      <c r="O19" s="61"/>
    </row>
    <row r="20" s="1" customFormat="1" ht="18" customHeight="1" spans="1:15">
      <c r="A20" s="34">
        <v>42948</v>
      </c>
      <c r="B20" s="17">
        <f t="shared" si="3"/>
        <v>83130</v>
      </c>
      <c r="C20" s="35"/>
      <c r="D20" s="36"/>
      <c r="E20" s="37"/>
      <c r="F20" s="17">
        <f t="shared" si="4"/>
        <v>0</v>
      </c>
      <c r="G20" s="26">
        <v>83130</v>
      </c>
      <c r="H20" s="22"/>
      <c r="I20" s="23"/>
      <c r="J20" s="57"/>
      <c r="K20" s="60" t="s">
        <v>41</v>
      </c>
      <c r="L20" s="61" t="s">
        <v>44</v>
      </c>
      <c r="M20" s="62"/>
      <c r="N20" s="62"/>
      <c r="O20" s="61"/>
    </row>
    <row r="21" s="1" customFormat="1" ht="18" customHeight="1" spans="1:15">
      <c r="A21" s="34">
        <v>42979</v>
      </c>
      <c r="B21" s="17">
        <f t="shared" si="3"/>
        <v>442040</v>
      </c>
      <c r="C21" s="35"/>
      <c r="D21" s="36"/>
      <c r="E21" s="37"/>
      <c r="F21" s="17">
        <f t="shared" si="4"/>
        <v>0</v>
      </c>
      <c r="G21" s="26">
        <v>442040</v>
      </c>
      <c r="H21" s="22"/>
      <c r="I21" s="22"/>
      <c r="J21" s="57"/>
      <c r="K21" s="60" t="s">
        <v>41</v>
      </c>
      <c r="L21" s="61" t="s">
        <v>44</v>
      </c>
      <c r="M21" s="62"/>
      <c r="N21" s="62"/>
      <c r="O21" s="61"/>
    </row>
    <row r="22" s="1" customFormat="1" ht="18" customHeight="1" spans="1:15">
      <c r="A22" s="34">
        <v>42979</v>
      </c>
      <c r="B22" s="17">
        <f t="shared" si="3"/>
        <v>221420</v>
      </c>
      <c r="C22" s="35"/>
      <c r="D22" s="36"/>
      <c r="E22" s="37"/>
      <c r="F22" s="17">
        <f t="shared" si="4"/>
        <v>0</v>
      </c>
      <c r="G22" s="26">
        <v>221420</v>
      </c>
      <c r="H22" s="22"/>
      <c r="I22" s="23"/>
      <c r="J22" s="57"/>
      <c r="K22" s="60" t="s">
        <v>41</v>
      </c>
      <c r="L22" s="61" t="s">
        <v>44</v>
      </c>
      <c r="M22" s="62"/>
      <c r="N22" s="62"/>
      <c r="O22" s="61"/>
    </row>
    <row r="23" s="1" customFormat="1" ht="18" customHeight="1" spans="1:15">
      <c r="A23" s="34">
        <v>43040</v>
      </c>
      <c r="B23" s="17">
        <f t="shared" si="3"/>
        <v>101150</v>
      </c>
      <c r="C23" s="35"/>
      <c r="D23" s="36" t="s">
        <v>45</v>
      </c>
      <c r="E23" s="37"/>
      <c r="F23" s="17">
        <f t="shared" si="4"/>
        <v>0</v>
      </c>
      <c r="G23" s="26">
        <v>101150</v>
      </c>
      <c r="H23" s="22"/>
      <c r="I23" s="23"/>
      <c r="J23" s="57"/>
      <c r="K23" s="60" t="s">
        <v>41</v>
      </c>
      <c r="L23" s="61" t="s">
        <v>46</v>
      </c>
      <c r="M23" s="62"/>
      <c r="N23" s="62"/>
      <c r="O23" s="61"/>
    </row>
    <row r="24" s="1" customFormat="1" ht="18" customHeight="1" spans="1:15">
      <c r="A24" s="34"/>
      <c r="B24" s="17"/>
      <c r="C24" s="35"/>
      <c r="D24" s="36"/>
      <c r="E24" s="37"/>
      <c r="F24" s="17"/>
      <c r="G24" s="26"/>
      <c r="H24" s="22">
        <v>42907</v>
      </c>
      <c r="I24" s="23">
        <v>1000000</v>
      </c>
      <c r="J24" s="57" t="s">
        <v>47</v>
      </c>
      <c r="K24" s="60" t="s">
        <v>41</v>
      </c>
      <c r="L24" s="61" t="s">
        <v>48</v>
      </c>
      <c r="M24" s="62"/>
      <c r="N24" s="62"/>
      <c r="O24" s="61"/>
    </row>
    <row r="25" s="1" customFormat="1" ht="18" customHeight="1" spans="1:15">
      <c r="A25" s="34"/>
      <c r="B25" s="17"/>
      <c r="C25" s="35"/>
      <c r="D25" s="36"/>
      <c r="E25" s="37"/>
      <c r="F25" s="17"/>
      <c r="G25" s="26"/>
      <c r="H25" s="22">
        <v>42907</v>
      </c>
      <c r="I25" s="23">
        <v>-1000000</v>
      </c>
      <c r="J25" s="57" t="s">
        <v>47</v>
      </c>
      <c r="K25" s="60" t="s">
        <v>41</v>
      </c>
      <c r="L25" s="60" t="s">
        <v>48</v>
      </c>
      <c r="M25" s="62"/>
      <c r="N25" s="62"/>
      <c r="O25" s="61"/>
    </row>
    <row r="26" s="1" customFormat="1" ht="18" customHeight="1" spans="1:15">
      <c r="A26" s="34">
        <v>43118</v>
      </c>
      <c r="B26" s="17">
        <f t="shared" si="3"/>
        <v>427350.43</v>
      </c>
      <c r="C26" s="35"/>
      <c r="D26" s="36"/>
      <c r="E26" s="37">
        <v>0.17</v>
      </c>
      <c r="F26" s="17">
        <f t="shared" si="4"/>
        <v>72649.57</v>
      </c>
      <c r="G26" s="26">
        <v>500000</v>
      </c>
      <c r="H26" s="22" t="s">
        <v>49</v>
      </c>
      <c r="I26" s="23">
        <v>100000</v>
      </c>
      <c r="J26" s="57" t="s">
        <v>22</v>
      </c>
      <c r="K26" s="61" t="s">
        <v>50</v>
      </c>
      <c r="L26" s="61" t="s">
        <v>51</v>
      </c>
      <c r="M26" s="62"/>
      <c r="N26" s="62"/>
      <c r="O26" s="61"/>
    </row>
    <row r="27" s="1" customFormat="1" ht="18" customHeight="1" spans="1:15">
      <c r="A27" s="34">
        <v>43269</v>
      </c>
      <c r="B27" s="17">
        <f t="shared" si="3"/>
        <v>689655.17</v>
      </c>
      <c r="C27" s="35"/>
      <c r="D27" s="36"/>
      <c r="E27" s="37">
        <v>0.16</v>
      </c>
      <c r="F27" s="17">
        <f t="shared" si="4"/>
        <v>110344.83</v>
      </c>
      <c r="G27" s="26">
        <v>800000</v>
      </c>
      <c r="H27" s="22" t="s">
        <v>49</v>
      </c>
      <c r="I27" s="23">
        <v>200000</v>
      </c>
      <c r="J27" s="57" t="s">
        <v>22</v>
      </c>
      <c r="K27" s="61" t="s">
        <v>50</v>
      </c>
      <c r="L27" s="61" t="s">
        <v>51</v>
      </c>
      <c r="M27" s="62"/>
      <c r="N27" s="62"/>
      <c r="O27" s="61"/>
    </row>
    <row r="28" s="1" customFormat="1" ht="18" customHeight="1" spans="1:15">
      <c r="A28" s="34"/>
      <c r="B28" s="17">
        <f t="shared" si="3"/>
        <v>0</v>
      </c>
      <c r="C28" s="35"/>
      <c r="D28" s="36"/>
      <c r="E28" s="37"/>
      <c r="F28" s="17">
        <f t="shared" si="4"/>
        <v>0</v>
      </c>
      <c r="G28" s="26"/>
      <c r="H28" s="22" t="s">
        <v>49</v>
      </c>
      <c r="I28" s="23">
        <v>200000</v>
      </c>
      <c r="J28" s="57" t="s">
        <v>22</v>
      </c>
      <c r="K28" s="61" t="s">
        <v>50</v>
      </c>
      <c r="L28" s="61" t="s">
        <v>51</v>
      </c>
      <c r="M28" s="62"/>
      <c r="N28" s="62"/>
      <c r="O28" s="61"/>
    </row>
    <row r="29" s="1" customFormat="1" ht="18" customHeight="1" spans="1:15">
      <c r="A29" s="34"/>
      <c r="B29" s="17">
        <f t="shared" si="3"/>
        <v>0</v>
      </c>
      <c r="C29" s="35"/>
      <c r="D29" s="36"/>
      <c r="E29" s="37"/>
      <c r="F29" s="17">
        <f t="shared" si="4"/>
        <v>0</v>
      </c>
      <c r="G29" s="26"/>
      <c r="H29" s="22" t="s">
        <v>52</v>
      </c>
      <c r="I29" s="23">
        <v>400000</v>
      </c>
      <c r="J29" s="57" t="s">
        <v>22</v>
      </c>
      <c r="K29" s="61" t="s">
        <v>50</v>
      </c>
      <c r="L29" s="61"/>
      <c r="M29" s="62"/>
      <c r="N29" s="62"/>
      <c r="O29" s="61"/>
    </row>
    <row r="30" s="1" customFormat="1" ht="18" customHeight="1" spans="1:15">
      <c r="A30" s="34"/>
      <c r="B30" s="17">
        <f t="shared" si="3"/>
        <v>0</v>
      </c>
      <c r="C30" s="35"/>
      <c r="D30" s="36"/>
      <c r="E30" s="37"/>
      <c r="F30" s="17">
        <f t="shared" si="4"/>
        <v>0</v>
      </c>
      <c r="G30" s="26"/>
      <c r="H30" s="22" t="s">
        <v>52</v>
      </c>
      <c r="I30" s="23">
        <v>-400000</v>
      </c>
      <c r="J30" s="57" t="s">
        <v>47</v>
      </c>
      <c r="K30" s="60" t="s">
        <v>53</v>
      </c>
      <c r="L30" s="61" t="s">
        <v>54</v>
      </c>
      <c r="M30" s="62"/>
      <c r="N30" s="62"/>
      <c r="O30" s="61"/>
    </row>
    <row r="31" s="1" customFormat="1" ht="18" customHeight="1" spans="1:15">
      <c r="A31" s="34"/>
      <c r="B31" s="17">
        <f t="shared" si="3"/>
        <v>0</v>
      </c>
      <c r="C31" s="35"/>
      <c r="D31" s="36"/>
      <c r="E31" s="37"/>
      <c r="F31" s="17">
        <f t="shared" si="4"/>
        <v>0</v>
      </c>
      <c r="G31" s="26"/>
      <c r="H31" s="22" t="s">
        <v>55</v>
      </c>
      <c r="I31" s="23">
        <v>-500000</v>
      </c>
      <c r="J31" s="57" t="s">
        <v>47</v>
      </c>
      <c r="K31" s="60" t="s">
        <v>41</v>
      </c>
      <c r="L31" s="60" t="s">
        <v>48</v>
      </c>
      <c r="M31" s="62"/>
      <c r="N31" s="62"/>
      <c r="O31" s="61"/>
    </row>
    <row r="32" s="1" customFormat="1" ht="18" customHeight="1" spans="1:15">
      <c r="A32" s="34">
        <v>43269</v>
      </c>
      <c r="B32" s="17">
        <f t="shared" si="3"/>
        <v>431034.48</v>
      </c>
      <c r="C32" s="35"/>
      <c r="D32" s="36"/>
      <c r="E32" s="37">
        <v>0.16</v>
      </c>
      <c r="F32" s="17">
        <f t="shared" si="4"/>
        <v>68965.52</v>
      </c>
      <c r="G32" s="26">
        <v>500000</v>
      </c>
      <c r="H32" s="22" t="s">
        <v>55</v>
      </c>
      <c r="I32" s="23">
        <v>500000</v>
      </c>
      <c r="J32" s="57" t="s">
        <v>22</v>
      </c>
      <c r="K32" s="60" t="s">
        <v>56</v>
      </c>
      <c r="L32" s="61" t="s">
        <v>57</v>
      </c>
      <c r="M32" s="62"/>
      <c r="N32" s="62"/>
      <c r="O32" s="61"/>
    </row>
    <row r="33" s="1" customFormat="1" ht="18" customHeight="1" spans="1:15">
      <c r="A33" s="34"/>
      <c r="B33" s="17">
        <f t="shared" si="3"/>
        <v>0</v>
      </c>
      <c r="C33" s="35"/>
      <c r="D33" s="36"/>
      <c r="E33" s="37"/>
      <c r="F33" s="17">
        <f t="shared" si="4"/>
        <v>0</v>
      </c>
      <c r="G33" s="39"/>
      <c r="H33" s="22" t="s">
        <v>58</v>
      </c>
      <c r="I33" s="23">
        <v>400000</v>
      </c>
      <c r="J33" s="57" t="s">
        <v>22</v>
      </c>
      <c r="K33" s="61" t="s">
        <v>50</v>
      </c>
      <c r="L33" s="61"/>
      <c r="M33" s="62"/>
      <c r="N33" s="62"/>
      <c r="O33" s="61"/>
    </row>
    <row r="34" s="1" customFormat="1" ht="18" customHeight="1" spans="1:15">
      <c r="A34" s="34">
        <v>43269</v>
      </c>
      <c r="B34" s="17">
        <f t="shared" si="3"/>
        <v>862068.97</v>
      </c>
      <c r="C34" s="35"/>
      <c r="D34" s="36"/>
      <c r="E34" s="37">
        <v>0.16</v>
      </c>
      <c r="F34" s="17">
        <f t="shared" si="4"/>
        <v>137931.03</v>
      </c>
      <c r="G34" s="39">
        <v>1000000</v>
      </c>
      <c r="H34" s="22" t="s">
        <v>58</v>
      </c>
      <c r="I34" s="23">
        <v>500000</v>
      </c>
      <c r="J34" s="57" t="s">
        <v>22</v>
      </c>
      <c r="K34" s="60" t="s">
        <v>59</v>
      </c>
      <c r="L34" s="61" t="s">
        <v>60</v>
      </c>
      <c r="M34" s="62"/>
      <c r="N34" s="62"/>
      <c r="O34" s="61"/>
    </row>
    <row r="35" s="1" customFormat="1" ht="18" customHeight="1" spans="1:15">
      <c r="A35" s="34"/>
      <c r="B35" s="17">
        <f t="shared" si="3"/>
        <v>0</v>
      </c>
      <c r="C35" s="35"/>
      <c r="D35" s="36"/>
      <c r="E35" s="37"/>
      <c r="F35" s="17">
        <f t="shared" si="4"/>
        <v>0</v>
      </c>
      <c r="G35" s="39"/>
      <c r="H35" s="22" t="s">
        <v>58</v>
      </c>
      <c r="I35" s="23">
        <v>500000</v>
      </c>
      <c r="J35" s="57" t="s">
        <v>22</v>
      </c>
      <c r="K35" s="60" t="s">
        <v>59</v>
      </c>
      <c r="L35" s="61"/>
      <c r="M35" s="62"/>
      <c r="N35" s="62"/>
      <c r="O35" s="61"/>
    </row>
    <row r="36" s="1" customFormat="1" ht="18" customHeight="1" spans="1:15">
      <c r="A36" s="34">
        <v>43299</v>
      </c>
      <c r="B36" s="17">
        <f t="shared" si="3"/>
        <v>1600000</v>
      </c>
      <c r="C36" s="35"/>
      <c r="D36" s="36" t="s">
        <v>45</v>
      </c>
      <c r="E36" s="37"/>
      <c r="F36" s="17">
        <f t="shared" si="4"/>
        <v>0</v>
      </c>
      <c r="G36" s="39">
        <v>1600000</v>
      </c>
      <c r="H36" s="22"/>
      <c r="I36" s="23"/>
      <c r="J36" s="63"/>
      <c r="K36" s="60" t="s">
        <v>61</v>
      </c>
      <c r="L36" s="61" t="s">
        <v>62</v>
      </c>
      <c r="M36" s="62"/>
      <c r="N36" s="62"/>
      <c r="O36" s="61"/>
    </row>
    <row r="37" s="1" customFormat="1" ht="18" customHeight="1" spans="1:15">
      <c r="A37" s="34"/>
      <c r="B37" s="17">
        <f t="shared" si="3"/>
        <v>0</v>
      </c>
      <c r="C37" s="35"/>
      <c r="D37" s="36"/>
      <c r="E37" s="37"/>
      <c r="F37" s="17">
        <f t="shared" si="4"/>
        <v>0</v>
      </c>
      <c r="G37" s="39"/>
      <c r="H37" s="22" t="s">
        <v>64</v>
      </c>
      <c r="I37" s="23">
        <v>300000</v>
      </c>
      <c r="J37" s="63" t="s">
        <v>47</v>
      </c>
      <c r="K37" s="60" t="s">
        <v>41</v>
      </c>
      <c r="L37" s="61"/>
      <c r="M37" s="62"/>
      <c r="N37" s="62"/>
      <c r="O37" s="61"/>
    </row>
    <row r="38" s="2" customFormat="1" ht="18" customHeight="1" spans="1:15">
      <c r="A38" s="40">
        <v>43313</v>
      </c>
      <c r="B38" s="38">
        <f t="shared" si="3"/>
        <v>46000</v>
      </c>
      <c r="C38" s="41"/>
      <c r="D38" s="42" t="s">
        <v>45</v>
      </c>
      <c r="E38" s="43"/>
      <c r="F38" s="38">
        <f t="shared" si="4"/>
        <v>0</v>
      </c>
      <c r="G38" s="44">
        <v>46000</v>
      </c>
      <c r="H38" s="45"/>
      <c r="I38" s="38"/>
      <c r="J38" s="64"/>
      <c r="K38" s="65" t="s">
        <v>65</v>
      </c>
      <c r="L38" s="66" t="s">
        <v>66</v>
      </c>
      <c r="M38" s="67"/>
      <c r="N38" s="67"/>
      <c r="O38" s="66" t="s">
        <v>67</v>
      </c>
    </row>
    <row r="39" s="1" customFormat="1" ht="18" customHeight="1" spans="1:15">
      <c r="A39" s="34">
        <v>43313</v>
      </c>
      <c r="B39" s="17">
        <f t="shared" si="3"/>
        <v>2200000</v>
      </c>
      <c r="C39" s="35"/>
      <c r="D39" s="36" t="s">
        <v>45</v>
      </c>
      <c r="E39" s="37"/>
      <c r="F39" s="17">
        <f t="shared" si="4"/>
        <v>0</v>
      </c>
      <c r="G39" s="39">
        <v>2200000</v>
      </c>
      <c r="H39" s="22"/>
      <c r="I39" s="23"/>
      <c r="J39" s="63"/>
      <c r="K39" s="60" t="s">
        <v>53</v>
      </c>
      <c r="L39" s="61" t="s">
        <v>62</v>
      </c>
      <c r="M39" s="62"/>
      <c r="N39" s="62"/>
      <c r="O39" s="61"/>
    </row>
    <row r="40" s="1" customFormat="1" ht="18" customHeight="1" spans="1:15">
      <c r="A40" s="34"/>
      <c r="B40" s="17">
        <f t="shared" si="3"/>
        <v>0</v>
      </c>
      <c r="C40" s="35"/>
      <c r="D40" s="36"/>
      <c r="E40" s="37"/>
      <c r="F40" s="17">
        <f t="shared" si="4"/>
        <v>0</v>
      </c>
      <c r="G40" s="39"/>
      <c r="H40" s="22" t="s">
        <v>68</v>
      </c>
      <c r="I40" s="23">
        <v>817390</v>
      </c>
      <c r="J40" s="63" t="s">
        <v>47</v>
      </c>
      <c r="K40" s="60" t="s">
        <v>41</v>
      </c>
      <c r="L40" s="61"/>
      <c r="M40" s="62"/>
      <c r="N40" s="62"/>
      <c r="O40" s="61"/>
    </row>
    <row r="41" s="1" customFormat="1" ht="18" customHeight="1" spans="1:15">
      <c r="A41" s="34">
        <v>43405</v>
      </c>
      <c r="B41" s="17">
        <f t="shared" si="3"/>
        <v>1100400</v>
      </c>
      <c r="C41" s="35">
        <v>1</v>
      </c>
      <c r="D41" s="36" t="s">
        <v>45</v>
      </c>
      <c r="E41" s="37"/>
      <c r="F41" s="17">
        <f t="shared" si="4"/>
        <v>0</v>
      </c>
      <c r="G41" s="39">
        <f>700000+400400</f>
        <v>1100400</v>
      </c>
      <c r="H41" s="22"/>
      <c r="I41" s="23"/>
      <c r="J41" s="63"/>
      <c r="K41" s="60" t="s">
        <v>69</v>
      </c>
      <c r="L41" s="61" t="s">
        <v>70</v>
      </c>
      <c r="M41" s="62"/>
      <c r="N41" s="62"/>
      <c r="O41" s="61" t="s">
        <v>71</v>
      </c>
    </row>
    <row r="42" s="1" customFormat="1" ht="18" customHeight="1" spans="1:15">
      <c r="A42" s="34"/>
      <c r="B42" s="17">
        <f t="shared" si="3"/>
        <v>0</v>
      </c>
      <c r="C42" s="35"/>
      <c r="D42" s="36"/>
      <c r="E42" s="37"/>
      <c r="F42" s="17">
        <f t="shared" si="4"/>
        <v>0</v>
      </c>
      <c r="G42" s="39"/>
      <c r="H42" s="22">
        <v>43432</v>
      </c>
      <c r="I42" s="23">
        <v>1027565</v>
      </c>
      <c r="J42" s="63" t="s">
        <v>47</v>
      </c>
      <c r="K42" s="60" t="s">
        <v>41</v>
      </c>
      <c r="L42" s="61"/>
      <c r="M42" s="62"/>
      <c r="N42" s="62"/>
      <c r="O42" s="61"/>
    </row>
    <row r="43" ht="18" customHeight="1" spans="1:15">
      <c r="A43" s="46">
        <v>43556</v>
      </c>
      <c r="B43" s="23">
        <f t="shared" si="3"/>
        <v>485436.89</v>
      </c>
      <c r="C43" s="47"/>
      <c r="D43" s="48" t="s">
        <v>72</v>
      </c>
      <c r="E43" s="49">
        <v>0.03</v>
      </c>
      <c r="F43" s="23">
        <f t="shared" si="4"/>
        <v>14563.11</v>
      </c>
      <c r="G43" s="50">
        <v>500000</v>
      </c>
      <c r="H43" s="22">
        <v>43564</v>
      </c>
      <c r="I43" s="23">
        <v>500000</v>
      </c>
      <c r="J43" s="57" t="s">
        <v>22</v>
      </c>
      <c r="K43" s="68" t="s">
        <v>73</v>
      </c>
      <c r="L43" s="32" t="s">
        <v>74</v>
      </c>
      <c r="M43" s="57"/>
      <c r="N43" s="57"/>
      <c r="O43" s="32"/>
    </row>
    <row r="44" ht="18" customHeight="1" spans="1:15">
      <c r="A44" s="46">
        <v>43556</v>
      </c>
      <c r="B44" s="23">
        <f t="shared" si="3"/>
        <v>8852</v>
      </c>
      <c r="C44" s="47"/>
      <c r="D44" s="48" t="s">
        <v>75</v>
      </c>
      <c r="E44" s="49"/>
      <c r="F44" s="23">
        <f t="shared" si="4"/>
        <v>0</v>
      </c>
      <c r="G44" s="50">
        <v>8852</v>
      </c>
      <c r="H44" s="22"/>
      <c r="I44" s="23"/>
      <c r="J44" s="63"/>
      <c r="K44" s="68" t="s">
        <v>76</v>
      </c>
      <c r="L44" s="32"/>
      <c r="M44" s="57"/>
      <c r="N44" s="57"/>
      <c r="O44" s="32"/>
    </row>
    <row r="45" s="1" customFormat="1" ht="18" customHeight="1" spans="1:15">
      <c r="A45" s="46">
        <v>43556</v>
      </c>
      <c r="B45" s="17">
        <f t="shared" si="3"/>
        <v>707964.6</v>
      </c>
      <c r="C45" s="35"/>
      <c r="D45" s="36"/>
      <c r="E45" s="37">
        <v>0.13</v>
      </c>
      <c r="F45" s="17">
        <f t="shared" si="4"/>
        <v>92035.4</v>
      </c>
      <c r="G45" s="39">
        <v>800000</v>
      </c>
      <c r="H45" s="22">
        <v>43574</v>
      </c>
      <c r="I45" s="23">
        <v>800000</v>
      </c>
      <c r="J45" s="63" t="s">
        <v>47</v>
      </c>
      <c r="K45" s="60" t="s">
        <v>50</v>
      </c>
      <c r="L45" s="61" t="s">
        <v>77</v>
      </c>
      <c r="M45" s="62"/>
      <c r="N45" s="62"/>
      <c r="O45" s="61"/>
    </row>
    <row r="46" s="1" customFormat="1" ht="18" customHeight="1" spans="1:15">
      <c r="A46" s="46">
        <v>43556</v>
      </c>
      <c r="B46" s="17">
        <f t="shared" si="3"/>
        <v>1844660.19</v>
      </c>
      <c r="C46" s="35"/>
      <c r="D46" s="36"/>
      <c r="E46" s="37">
        <v>0.03</v>
      </c>
      <c r="F46" s="17">
        <f t="shared" si="4"/>
        <v>55339.81</v>
      </c>
      <c r="G46" s="39">
        <f>19*100000</f>
        <v>1900000</v>
      </c>
      <c r="H46" s="22">
        <v>43573</v>
      </c>
      <c r="I46" s="23">
        <v>1680930</v>
      </c>
      <c r="J46" s="57" t="s">
        <v>22</v>
      </c>
      <c r="K46" s="60" t="s">
        <v>73</v>
      </c>
      <c r="L46" s="61" t="s">
        <v>78</v>
      </c>
      <c r="M46" s="62"/>
      <c r="N46" s="62"/>
      <c r="O46" s="61"/>
    </row>
    <row r="47" s="1" customFormat="1" ht="18" customHeight="1" spans="1:15">
      <c r="A47" s="46"/>
      <c r="B47" s="17">
        <f t="shared" si="3"/>
        <v>0</v>
      </c>
      <c r="C47" s="35"/>
      <c r="D47" s="36"/>
      <c r="E47" s="37"/>
      <c r="F47" s="17">
        <f t="shared" si="4"/>
        <v>0</v>
      </c>
      <c r="G47" s="39"/>
      <c r="H47" s="22"/>
      <c r="I47" s="23"/>
      <c r="J47" s="63"/>
      <c r="K47" s="60"/>
      <c r="L47" s="61"/>
      <c r="M47" s="62"/>
      <c r="N47" s="62"/>
      <c r="O47" s="61"/>
    </row>
    <row r="48" s="1" customFormat="1" ht="18" customHeight="1" spans="1:15">
      <c r="A48" s="46"/>
      <c r="B48" s="17">
        <f t="shared" si="3"/>
        <v>0</v>
      </c>
      <c r="C48" s="35"/>
      <c r="D48" s="36"/>
      <c r="E48" s="37"/>
      <c r="F48" s="17">
        <f t="shared" si="4"/>
        <v>0</v>
      </c>
      <c r="G48" s="39"/>
      <c r="H48" s="22"/>
      <c r="I48" s="23"/>
      <c r="J48" s="63"/>
      <c r="K48" s="60"/>
      <c r="L48" s="61"/>
      <c r="M48" s="62"/>
      <c r="N48" s="62"/>
      <c r="O48" s="61"/>
    </row>
    <row r="49" s="1" customFormat="1" ht="18" customHeight="1" spans="1:15">
      <c r="A49" s="34"/>
      <c r="B49" s="17">
        <f t="shared" si="3"/>
        <v>0</v>
      </c>
      <c r="C49" s="35"/>
      <c r="D49" s="36"/>
      <c r="E49" s="37"/>
      <c r="F49" s="17">
        <f t="shared" si="4"/>
        <v>0</v>
      </c>
      <c r="G49" s="39"/>
      <c r="H49" s="22" t="s">
        <v>79</v>
      </c>
      <c r="I49" s="23">
        <v>1772290.01</v>
      </c>
      <c r="J49" s="63" t="s">
        <v>47</v>
      </c>
      <c r="K49" s="60" t="s">
        <v>41</v>
      </c>
      <c r="L49" s="61" t="s">
        <v>80</v>
      </c>
      <c r="M49" s="62"/>
      <c r="N49" s="62"/>
      <c r="O49" s="61"/>
    </row>
    <row r="50" s="1" customFormat="1" ht="18" customHeight="1" spans="1:15">
      <c r="A50" s="34"/>
      <c r="B50" s="17">
        <f t="shared" si="3"/>
        <v>0</v>
      </c>
      <c r="C50" s="35"/>
      <c r="D50" s="36"/>
      <c r="E50" s="37"/>
      <c r="F50" s="17">
        <f t="shared" si="4"/>
        <v>0</v>
      </c>
      <c r="G50" s="39"/>
      <c r="H50" s="22" t="s">
        <v>81</v>
      </c>
      <c r="I50" s="23">
        <v>1000000</v>
      </c>
      <c r="J50" s="63" t="s">
        <v>47</v>
      </c>
      <c r="K50" s="60" t="s">
        <v>41</v>
      </c>
      <c r="L50" s="61" t="s">
        <v>80</v>
      </c>
      <c r="M50" s="62"/>
      <c r="N50" s="62"/>
      <c r="O50" s="61"/>
    </row>
    <row r="51" s="1" customFormat="1" ht="18" customHeight="1" spans="1:15">
      <c r="A51" s="34"/>
      <c r="B51" s="17">
        <f t="shared" si="3"/>
        <v>0</v>
      </c>
      <c r="C51" s="35"/>
      <c r="D51" s="36"/>
      <c r="E51" s="37"/>
      <c r="F51" s="17">
        <f t="shared" si="4"/>
        <v>0</v>
      </c>
      <c r="G51" s="39"/>
      <c r="H51" s="22"/>
      <c r="I51" s="23"/>
      <c r="J51" s="63"/>
      <c r="K51" s="60"/>
      <c r="L51" s="61"/>
      <c r="M51" s="62"/>
      <c r="N51" s="62"/>
      <c r="O51" s="61"/>
    </row>
    <row r="52" s="1" customFormat="1" ht="18" customHeight="1" spans="1:15">
      <c r="A52" s="34"/>
      <c r="B52" s="17">
        <f t="shared" si="3"/>
        <v>0</v>
      </c>
      <c r="C52" s="35"/>
      <c r="D52" s="36"/>
      <c r="E52" s="37"/>
      <c r="F52" s="17">
        <f t="shared" si="4"/>
        <v>0</v>
      </c>
      <c r="G52" s="39"/>
      <c r="H52" s="22"/>
      <c r="I52" s="23"/>
      <c r="J52" s="63"/>
      <c r="K52" s="60"/>
      <c r="L52" s="61"/>
      <c r="M52" s="62"/>
      <c r="N52" s="62"/>
      <c r="O52" s="61"/>
    </row>
    <row r="53" s="1" customFormat="1" ht="18" customHeight="1" spans="1:15">
      <c r="A53" s="34"/>
      <c r="B53" s="17">
        <f t="shared" si="3"/>
        <v>0</v>
      </c>
      <c r="C53" s="35"/>
      <c r="D53" s="36"/>
      <c r="E53" s="37"/>
      <c r="F53" s="17">
        <f t="shared" si="4"/>
        <v>0</v>
      </c>
      <c r="G53" s="39"/>
      <c r="H53" s="22"/>
      <c r="I53" s="23"/>
      <c r="J53" s="63"/>
      <c r="K53" s="60"/>
      <c r="L53" s="61"/>
      <c r="M53" s="62"/>
      <c r="N53" s="62"/>
      <c r="O53" s="61"/>
    </row>
    <row r="54" s="1" customFormat="1" ht="18" customHeight="1" spans="1:15">
      <c r="A54" s="34"/>
      <c r="B54" s="17">
        <f t="shared" si="3"/>
        <v>0</v>
      </c>
      <c r="C54" s="35"/>
      <c r="D54" s="36"/>
      <c r="E54" s="37"/>
      <c r="F54" s="17">
        <f t="shared" si="4"/>
        <v>0</v>
      </c>
      <c r="G54" s="39"/>
      <c r="H54" s="22"/>
      <c r="I54" s="23">
        <v>88000</v>
      </c>
      <c r="J54" s="63" t="s">
        <v>92</v>
      </c>
      <c r="K54" s="60" t="s">
        <v>93</v>
      </c>
      <c r="L54" s="61"/>
      <c r="M54" s="62"/>
      <c r="N54" s="62"/>
      <c r="O54" s="61"/>
    </row>
    <row r="55" s="1" customFormat="1" ht="18" customHeight="1" spans="1:15">
      <c r="A55" s="34"/>
      <c r="B55" s="17">
        <f t="shared" si="3"/>
        <v>0</v>
      </c>
      <c r="C55" s="35"/>
      <c r="D55" s="36"/>
      <c r="E55" s="37"/>
      <c r="F55" s="17">
        <f t="shared" si="4"/>
        <v>0</v>
      </c>
      <c r="G55" s="39"/>
      <c r="H55" s="22"/>
      <c r="I55" s="23">
        <v>35070</v>
      </c>
      <c r="J55" s="63" t="s">
        <v>85</v>
      </c>
      <c r="K55" s="60" t="s">
        <v>95</v>
      </c>
      <c r="L55" s="61"/>
      <c r="M55" s="62"/>
      <c r="N55" s="62"/>
      <c r="O55" s="61"/>
    </row>
    <row r="56" s="1" customFormat="1" ht="18" customHeight="1" spans="1:15">
      <c r="A56" s="34"/>
      <c r="B56" s="17">
        <f t="shared" si="3"/>
        <v>0</v>
      </c>
      <c r="C56" s="35"/>
      <c r="D56" s="36"/>
      <c r="E56" s="37"/>
      <c r="F56" s="17">
        <f t="shared" si="4"/>
        <v>0</v>
      </c>
      <c r="G56" s="39"/>
      <c r="H56" s="22"/>
      <c r="I56" s="23">
        <v>32000</v>
      </c>
      <c r="J56" s="63" t="s">
        <v>92</v>
      </c>
      <c r="K56" s="60" t="s">
        <v>96</v>
      </c>
      <c r="L56" s="61"/>
      <c r="M56" s="62"/>
      <c r="N56" s="62"/>
      <c r="O56" s="61"/>
    </row>
    <row r="57" s="1" customFormat="1" ht="18" customHeight="1" spans="1:15">
      <c r="A57" s="34"/>
      <c r="B57" s="17">
        <f t="shared" si="3"/>
        <v>0</v>
      </c>
      <c r="C57" s="35"/>
      <c r="D57" s="36"/>
      <c r="E57" s="37"/>
      <c r="F57" s="17">
        <f t="shared" si="4"/>
        <v>0</v>
      </c>
      <c r="G57" s="39"/>
      <c r="H57" s="22"/>
      <c r="I57" s="23">
        <v>11000</v>
      </c>
      <c r="J57" s="63" t="s">
        <v>92</v>
      </c>
      <c r="K57" s="60" t="s">
        <v>97</v>
      </c>
      <c r="L57" s="61"/>
      <c r="M57" s="62"/>
      <c r="N57" s="62"/>
      <c r="O57" s="61"/>
    </row>
    <row r="58" s="1" customFormat="1" ht="18" customHeight="1" spans="1:15">
      <c r="A58" s="34"/>
      <c r="B58" s="17">
        <f t="shared" si="3"/>
        <v>0</v>
      </c>
      <c r="C58" s="35"/>
      <c r="D58" s="36"/>
      <c r="E58" s="37"/>
      <c r="F58" s="17">
        <f t="shared" si="4"/>
        <v>0</v>
      </c>
      <c r="G58" s="39"/>
      <c r="H58" s="22"/>
      <c r="I58" s="23">
        <v>39435</v>
      </c>
      <c r="J58" s="63" t="s">
        <v>85</v>
      </c>
      <c r="K58" s="60" t="s">
        <v>98</v>
      </c>
      <c r="L58" s="61"/>
      <c r="M58" s="62"/>
      <c r="N58" s="62"/>
      <c r="O58" s="61"/>
    </row>
    <row r="59" s="1" customFormat="1" ht="18" customHeight="1" spans="1:15">
      <c r="A59" s="34"/>
      <c r="B59" s="17">
        <f t="shared" si="3"/>
        <v>0</v>
      </c>
      <c r="C59" s="35"/>
      <c r="D59" s="36"/>
      <c r="E59" s="37"/>
      <c r="F59" s="17">
        <f t="shared" si="4"/>
        <v>0</v>
      </c>
      <c r="G59" s="39"/>
      <c r="H59" s="22"/>
      <c r="I59" s="23">
        <v>1171667</v>
      </c>
      <c r="J59" s="63" t="s">
        <v>85</v>
      </c>
      <c r="K59" s="60" t="s">
        <v>99</v>
      </c>
      <c r="L59" s="61"/>
      <c r="M59" s="62"/>
      <c r="N59" s="62"/>
      <c r="O59" s="61"/>
    </row>
    <row r="60" s="1" customFormat="1" ht="18" customHeight="1" spans="1:15">
      <c r="A60" s="34"/>
      <c r="B60" s="17">
        <f t="shared" si="3"/>
        <v>0</v>
      </c>
      <c r="C60" s="35"/>
      <c r="D60" s="36"/>
      <c r="E60" s="37"/>
      <c r="F60" s="17">
        <f t="shared" si="4"/>
        <v>0</v>
      </c>
      <c r="G60" s="39"/>
      <c r="H60" s="22"/>
      <c r="I60" s="23">
        <v>672668</v>
      </c>
      <c r="J60" s="63" t="s">
        <v>85</v>
      </c>
      <c r="K60" s="60" t="s">
        <v>100</v>
      </c>
      <c r="L60" s="61"/>
      <c r="M60" s="62"/>
      <c r="N60" s="62"/>
      <c r="O60" s="61"/>
    </row>
    <row r="61" s="1" customFormat="1" ht="18" customHeight="1" spans="1:15">
      <c r="A61" s="34"/>
      <c r="B61" s="17">
        <f t="shared" si="3"/>
        <v>0</v>
      </c>
      <c r="C61" s="35"/>
      <c r="D61" s="36"/>
      <c r="E61" s="37"/>
      <c r="F61" s="17">
        <f t="shared" si="4"/>
        <v>0</v>
      </c>
      <c r="G61" s="39"/>
      <c r="H61" s="22"/>
      <c r="I61" s="23">
        <v>3520</v>
      </c>
      <c r="J61" s="63" t="s">
        <v>85</v>
      </c>
      <c r="K61" s="60" t="s">
        <v>101</v>
      </c>
      <c r="L61" s="61"/>
      <c r="M61" s="62"/>
      <c r="N61" s="62"/>
      <c r="O61" s="61"/>
    </row>
    <row r="62" s="1" customFormat="1" ht="18" customHeight="1" spans="1:15">
      <c r="A62" s="34"/>
      <c r="B62" s="17">
        <f t="shared" si="3"/>
        <v>0</v>
      </c>
      <c r="C62" s="35"/>
      <c r="D62" s="36"/>
      <c r="E62" s="37"/>
      <c r="F62" s="17">
        <f t="shared" si="4"/>
        <v>0</v>
      </c>
      <c r="G62" s="39"/>
      <c r="H62" s="22"/>
      <c r="I62" s="23">
        <v>359264.99</v>
      </c>
      <c r="J62" s="63" t="s">
        <v>85</v>
      </c>
      <c r="K62" s="60" t="s">
        <v>125</v>
      </c>
      <c r="L62" s="61"/>
      <c r="M62" s="62"/>
      <c r="N62" s="62"/>
      <c r="O62" s="61"/>
    </row>
    <row r="63" s="1" customFormat="1" ht="18" customHeight="1" spans="1:15">
      <c r="A63" s="34"/>
      <c r="B63" s="17">
        <f t="shared" si="3"/>
        <v>249200</v>
      </c>
      <c r="C63" s="35"/>
      <c r="D63" s="36"/>
      <c r="E63" s="37"/>
      <c r="F63" s="17">
        <f t="shared" si="4"/>
        <v>0</v>
      </c>
      <c r="G63" s="39">
        <f>163200+22000+64000</f>
        <v>249200</v>
      </c>
      <c r="H63" s="22"/>
      <c r="I63" s="23">
        <f>G63</f>
        <v>249200</v>
      </c>
      <c r="J63" s="63" t="s">
        <v>85</v>
      </c>
      <c r="K63" s="60" t="s">
        <v>87</v>
      </c>
      <c r="L63" s="61"/>
      <c r="M63" s="62"/>
      <c r="N63" s="62"/>
      <c r="O63" s="61"/>
    </row>
    <row r="64" ht="18" customHeight="1" spans="1:15">
      <c r="A64" s="29" t="s">
        <v>27</v>
      </c>
      <c r="B64" s="28">
        <f>SUM(B17:B63)</f>
        <v>11784044.34</v>
      </c>
      <c r="C64" s="29"/>
      <c r="D64" s="51"/>
      <c r="E64" s="51"/>
      <c r="F64" s="31">
        <f>SUM(F17:F63)</f>
        <v>554981.86</v>
      </c>
      <c r="G64" s="52">
        <f>SUM(G17:G63)</f>
        <v>12339026.2</v>
      </c>
      <c r="H64" s="53"/>
      <c r="I64" s="30">
        <f>SUM(I17:I63)</f>
        <v>12460000</v>
      </c>
      <c r="J64" s="69"/>
      <c r="K64" s="51"/>
      <c r="L64" s="32"/>
      <c r="M64" s="57"/>
      <c r="N64" s="57"/>
      <c r="O64" s="32"/>
    </row>
    <row r="65" ht="18" customHeight="1" spans="1:14">
      <c r="A65" s="70" t="s">
        <v>103</v>
      </c>
      <c r="B65" s="71">
        <f>B14-B64</f>
        <v>-463391.468613183</v>
      </c>
      <c r="C65" s="70"/>
      <c r="D65" s="72"/>
      <c r="E65" s="72"/>
      <c r="F65" s="71"/>
      <c r="G65" s="71">
        <f>G14-G64</f>
        <v>120973.800000001</v>
      </c>
      <c r="H65" s="21" t="s">
        <v>104</v>
      </c>
      <c r="I65" s="30">
        <f>I14-I64</f>
        <v>0</v>
      </c>
      <c r="J65" s="7"/>
      <c r="K65" s="76"/>
      <c r="M65" s="77"/>
      <c r="N65" s="77"/>
    </row>
    <row r="66" ht="18" customHeight="1" spans="1:3">
      <c r="A66" s="3" t="s">
        <v>105</v>
      </c>
      <c r="C66" s="3"/>
    </row>
    <row r="67" ht="18" customHeight="1" spans="1:11">
      <c r="A67" s="21" t="s">
        <v>106</v>
      </c>
      <c r="B67" s="20" t="s">
        <v>107</v>
      </c>
      <c r="C67" s="32"/>
      <c r="D67" s="21" t="s">
        <v>106</v>
      </c>
      <c r="E67" s="19" t="s">
        <v>16</v>
      </c>
      <c r="F67" s="20" t="s">
        <v>107</v>
      </c>
      <c r="G67" s="20" t="s">
        <v>108</v>
      </c>
      <c r="H67" s="20"/>
      <c r="I67" s="20" t="s">
        <v>109</v>
      </c>
      <c r="J67" s="20" t="s">
        <v>110</v>
      </c>
      <c r="K67" s="20" t="s">
        <v>111</v>
      </c>
    </row>
    <row r="68" ht="18" customHeight="1" spans="1:11">
      <c r="A68" s="32" t="s">
        <v>112</v>
      </c>
      <c r="B68" s="17">
        <f>(B14-B64)*0.25</f>
        <v>-115847.867153296</v>
      </c>
      <c r="C68" s="32"/>
      <c r="D68" s="10" t="s">
        <v>113</v>
      </c>
      <c r="E68" s="57" t="s">
        <v>114</v>
      </c>
      <c r="F68" s="73">
        <f>F14-F64</f>
        <v>358485.991185447</v>
      </c>
      <c r="G68" s="73">
        <v>163063.63</v>
      </c>
      <c r="H68" s="73"/>
      <c r="I68" s="73">
        <v>163540.54</v>
      </c>
      <c r="J68" s="73"/>
      <c r="K68" s="73">
        <v>31881.82</v>
      </c>
    </row>
    <row r="69" ht="18" customHeight="1" spans="1:11">
      <c r="A69" s="32" t="s">
        <v>115</v>
      </c>
      <c r="B69" s="74" t="s">
        <v>116</v>
      </c>
      <c r="C69" s="32"/>
      <c r="D69" s="75" t="s">
        <v>117</v>
      </c>
      <c r="E69" s="14">
        <v>0.05</v>
      </c>
      <c r="F69" s="23">
        <f>F68*E69</f>
        <v>17924.2995592724</v>
      </c>
      <c r="G69" s="23">
        <f>G68*E69</f>
        <v>8153.1815</v>
      </c>
      <c r="H69" s="23"/>
      <c r="I69" s="23">
        <f>I68*E69</f>
        <v>8177.027</v>
      </c>
      <c r="J69" s="23"/>
      <c r="K69" s="23">
        <f>K68*E69</f>
        <v>1594.091</v>
      </c>
    </row>
    <row r="70" ht="18" customHeight="1" spans="1:11">
      <c r="A70" s="32" t="s">
        <v>118</v>
      </c>
      <c r="B70" s="74" t="s">
        <v>116</v>
      </c>
      <c r="C70" s="32"/>
      <c r="D70" s="75" t="s">
        <v>119</v>
      </c>
      <c r="E70" s="14">
        <v>0.03</v>
      </c>
      <c r="F70" s="23">
        <f>F68*E70</f>
        <v>10754.5797355634</v>
      </c>
      <c r="G70" s="23">
        <f>G68*E70</f>
        <v>4891.9089</v>
      </c>
      <c r="H70" s="23"/>
      <c r="I70" s="23">
        <f>I68*E70</f>
        <v>4906.2162</v>
      </c>
      <c r="J70" s="23"/>
      <c r="K70" s="23">
        <f>K68*E70</f>
        <v>956.4546</v>
      </c>
    </row>
    <row r="71" ht="18" customHeight="1" spans="1:11">
      <c r="A71" s="32"/>
      <c r="B71" s="23"/>
      <c r="C71" s="32"/>
      <c r="D71" s="75" t="s">
        <v>120</v>
      </c>
      <c r="E71" s="14">
        <v>0.02</v>
      </c>
      <c r="F71" s="23">
        <f>F68*E71</f>
        <v>7169.71982370894</v>
      </c>
      <c r="G71" s="23">
        <f>G68*E71</f>
        <v>3261.2726</v>
      </c>
      <c r="H71" s="23"/>
      <c r="I71" s="23">
        <f>I68*E71</f>
        <v>3270.8108</v>
      </c>
      <c r="J71" s="23"/>
      <c r="K71" s="23">
        <f>K68*E71</f>
        <v>637.6364</v>
      </c>
    </row>
    <row r="72" ht="18" customHeight="1" spans="1:11">
      <c r="A72" s="27" t="s">
        <v>121</v>
      </c>
      <c r="B72" s="28">
        <f>SUM(B68:B71)</f>
        <v>-115847.867153296</v>
      </c>
      <c r="C72" s="32"/>
      <c r="D72" s="27" t="s">
        <v>121</v>
      </c>
      <c r="E72" s="27"/>
      <c r="F72" s="31">
        <f>SUM(F68:F71)</f>
        <v>394334.590303992</v>
      </c>
      <c r="G72" s="31">
        <f>SUM(G68:G71)</f>
        <v>179369.993</v>
      </c>
      <c r="H72" s="31"/>
      <c r="I72" s="31">
        <f>SUM(I68:I71)</f>
        <v>179894.594</v>
      </c>
      <c r="J72" s="31">
        <v>0</v>
      </c>
      <c r="K72" s="31">
        <f>SUM(K68:K71)</f>
        <v>35070.002</v>
      </c>
    </row>
    <row r="73" ht="18" customHeight="1" spans="3:11">
      <c r="C73" s="3"/>
      <c r="D73" s="29" t="s">
        <v>27</v>
      </c>
      <c r="E73" s="29"/>
      <c r="F73" s="30">
        <f>F72</f>
        <v>394334.590303992</v>
      </c>
      <c r="G73" s="30">
        <v>179369.993</v>
      </c>
      <c r="H73" s="30"/>
      <c r="I73" s="30">
        <f>I72</f>
        <v>179894.594</v>
      </c>
      <c r="J73" s="30">
        <v>0</v>
      </c>
      <c r="K73" s="30">
        <f>K72</f>
        <v>35070.002</v>
      </c>
    </row>
    <row r="74" ht="18" customHeight="1" spans="3:3">
      <c r="C74" s="3"/>
    </row>
    <row r="75" ht="18" customHeight="1" spans="3:8">
      <c r="C75" s="3"/>
      <c r="G75" s="4">
        <f>F7-3152.59</f>
        <v>163063.626216216</v>
      </c>
      <c r="H75" s="5">
        <f>F8+F9-F26</f>
        <v>268927.334176904</v>
      </c>
    </row>
    <row r="76" ht="18" customHeight="1" spans="3:8">
      <c r="C76" s="3"/>
      <c r="H76" s="5">
        <f>F9-H68</f>
        <v>178036.363636364</v>
      </c>
    </row>
    <row r="77" ht="18" customHeight="1" spans="3:8">
      <c r="C77" s="3"/>
      <c r="H77" s="5">
        <f>F8+F9-H68</f>
        <v>341576.904176904</v>
      </c>
    </row>
    <row r="78" spans="3:8">
      <c r="C78" s="3"/>
      <c r="H78" s="5">
        <f>F8-H68</f>
        <v>163540.540540541</v>
      </c>
    </row>
    <row r="79" spans="3:3">
      <c r="C79" s="3"/>
    </row>
    <row r="80" spans="3:3">
      <c r="C80" s="3"/>
    </row>
    <row r="81" spans="3:3">
      <c r="C81" s="3"/>
    </row>
    <row r="82" spans="3:3">
      <c r="C82" s="3"/>
    </row>
    <row r="83" spans="3:3">
      <c r="C83" s="3"/>
    </row>
    <row r="84" spans="3:3">
      <c r="C84" s="3"/>
    </row>
    <row r="85" spans="3:3">
      <c r="C85" s="3"/>
    </row>
    <row r="86" spans="3:3">
      <c r="C86" s="3"/>
    </row>
    <row r="87" spans="3:3">
      <c r="C87" s="3"/>
    </row>
    <row r="88" spans="3:3">
      <c r="C88" s="3"/>
    </row>
    <row r="89" spans="3:3">
      <c r="C89" s="3"/>
    </row>
    <row r="90" spans="3:3">
      <c r="C90" s="3"/>
    </row>
    <row r="91" spans="3:3">
      <c r="C91" s="3"/>
    </row>
    <row r="92" spans="3:3">
      <c r="C92" s="3"/>
    </row>
    <row r="93" spans="3:3">
      <c r="C93" s="3"/>
    </row>
  </sheetData>
  <autoFilter ref="A16:O73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2021-10-09T00:36:03Z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DDF91A66149C40AC9FC4D65543AEB9A7</vt:lpwstr>
  </property>
</Properties>
</file>