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新!$A$24:$O$111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2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<sst xmlns="http://schemas.openxmlformats.org/spreadsheetml/2006/main" count="307" uniqueCount="113">
  <si>
    <t>C5893 长淮路、嵩山路等六条道路信号监控工程</t>
  </si>
  <si>
    <t>中标日期</t>
  </si>
  <si>
    <t>16.11.30</t>
  </si>
  <si>
    <t>中标价</t>
  </si>
  <si>
    <t>负责人</t>
  </si>
  <si>
    <t>孙容</t>
  </si>
  <si>
    <t>建设单位</t>
  </si>
  <si>
    <t>合肥市滨湖新区建设投资有限公司9134 0100 7998 1045 X9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</si>
  <si>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</si>
  <si>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</si>
  <si>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</si>
  <si>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</si>
  <si>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</si>
  <si>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</si>
  <si>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</si>
  <si>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</si>
  <si>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</si>
  <si>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</si>
  <si>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</si>
  <si>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</si>
  <si>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</si>
  <si>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</si>
  <si>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18.6.11</t>
  </si>
  <si>
    <t>18.6.27</t>
  </si>
  <si>
    <t>21.1.13</t>
  </si>
  <si>
    <t>新中行</t>
  </si>
  <si>
    <t>21.1.24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</si>
  <si>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</si>
  <si>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</si>
  <si>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</si>
  <si>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</si>
  <si>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</si>
  <si>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</si>
  <si>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</si>
  <si>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</si>
  <si>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</si>
  <si>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</si>
  <si>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</si>
  <si>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</si>
  <si>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</si>
  <si>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</si>
  <si>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18.07.01</t>
  </si>
  <si>
    <t>专</t>
  </si>
  <si>
    <t>安徽悦利贞智控科技有限公司</t>
  </si>
  <si>
    <t>磁盘阵列</t>
  </si>
  <si>
    <t>杭州海康威视科技有限公司</t>
  </si>
  <si>
    <t>信号机</t>
  </si>
  <si>
    <t>5893-2021-003（）-998961</t>
  </si>
  <si>
    <t>霸州市百万模具有限公司</t>
  </si>
  <si>
    <t>监控护罩</t>
  </si>
  <si>
    <t>安徽合成汽车销售</t>
  </si>
  <si>
    <t>维修费</t>
  </si>
  <si>
    <t>上海圆迈贸易有限公司</t>
  </si>
  <si>
    <t>硬盘</t>
  </si>
  <si>
    <t>五金</t>
  </si>
  <si>
    <t>普</t>
  </si>
  <si>
    <t>水泥石子</t>
  </si>
  <si>
    <t>工资3-4</t>
  </si>
  <si>
    <t>税务局代开</t>
  </si>
  <si>
    <t>18.11.22</t>
  </si>
  <si>
    <t xml:space="preserve"> </t>
  </si>
  <si>
    <t>王玲子</t>
  </si>
  <si>
    <t>差旅费</t>
  </si>
  <si>
    <t>18.11.26</t>
  </si>
  <si>
    <t>材料费</t>
  </si>
  <si>
    <t>辅材费</t>
  </si>
  <si>
    <t>物业等办公费用</t>
  </si>
  <si>
    <t>18.12.24</t>
  </si>
  <si>
    <t>通行费</t>
  </si>
  <si>
    <t>21.1.26</t>
  </si>
  <si>
    <t>9份</t>
  </si>
  <si>
    <t>安徽融畅智能科技有限公司</t>
  </si>
  <si>
    <t>工程服务</t>
  </si>
  <si>
    <t>5893-2021-001（2021-141号）-911000</t>
  </si>
  <si>
    <t>合肥融通建设工程有限公司</t>
  </si>
  <si>
    <t xml:space="preserve"> 5893-2021-002（2021-140）-570100</t>
  </si>
  <si>
    <t>1份</t>
  </si>
  <si>
    <t>中行</t>
  </si>
  <si>
    <t>6份</t>
  </si>
  <si>
    <t>5893-2021-005（2021-527）-773500</t>
  </si>
  <si>
    <t>机械硬盘、电源线、杆件等</t>
  </si>
  <si>
    <t xml:space="preserve"> 5893-2021-004（2021-526）-944410</t>
  </si>
  <si>
    <t>2次</t>
  </si>
  <si>
    <t>扣</t>
  </si>
  <si>
    <t>转账手续费</t>
  </si>
  <si>
    <t>2021年1月份印花税及水利基金</t>
  </si>
  <si>
    <t>2021年1月份工程地缴税2%</t>
  </si>
  <si>
    <t>税金</t>
  </si>
  <si>
    <t>可支付金额</t>
  </si>
  <si>
    <t>公司代缴税金：</t>
  </si>
  <si>
    <t>税种</t>
  </si>
  <si>
    <t>税额</t>
  </si>
  <si>
    <t>2021年8月份工程地缴税2%（460000）</t>
  </si>
  <si>
    <t>2021年8月20日开票税金</t>
  </si>
  <si>
    <t>2021年9月开票本地2%税金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</si>
  <si>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</si>
  <si>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</si>
  <si>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</si>
  <si>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</si>
  <si>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</si>
  <si>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</si>
  <si>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</si>
  <si>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</si>
  <si>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</si>
  <si>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2021年8月份工程地缴税2%（60000）</t>
  </si>
  <si>
    <t>2021年8月份工程地缴税2%（28万）</t>
  </si>
  <si>
    <t>2021年8月份工程地缴税2%（20万）</t>
  </si>
  <si>
    <t>2021年8月份工程地缴税2%（34万）</t>
  </si>
  <si>
    <t>2021年8月份工程地缴税2%（11万）</t>
  </si>
  <si>
    <t>长淮路、嵩山路等六条道路信号监控工程5893</t>
  </si>
  <si>
    <t>合肥市重点工程建设管理局</t>
  </si>
  <si>
    <t>代扣税金</t>
  </si>
  <si>
    <t>11月税费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</si>
</sst>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177" formatCode="#,##0.00_ "/>
    <numFmt numFmtId="178" formatCode="#,##0.00_);[Red]\(#,##0.00\)"/>
    <numFmt numFmtId="179" formatCode="#,##0_ "/>
    <numFmt numFmtId="180" formatCode="yyyy&quot;年&quot;m&quot;月&quot;;@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b/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3" borderId="1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1" fillId="32" borderId="13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vertical="center" wrapText="1"/>
    </xf>
    <xf numFmtId="176" fontId="8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9" fontId="8" fillId="0" borderId="2" xfId="11" applyFont="1" applyBorder="1" applyAlignment="1">
      <alignment horizontal="center" vertical="center"/>
    </xf>
    <xf numFmtId="177" fontId="9" fillId="2" borderId="2" xfId="0" applyNumberFormat="1" applyFont="1" applyFill="1" applyBorder="1" applyAlignment="1">
      <alignment vertical="center"/>
    </xf>
    <xf numFmtId="9" fontId="8" fillId="0" borderId="2" xfId="11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vertical="center"/>
    </xf>
    <xf numFmtId="177" fontId="11" fillId="3" borderId="2" xfId="0" applyNumberFormat="1" applyFont="1" applyFill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177" fontId="11" fillId="4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176" fontId="8" fillId="6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9" fontId="9" fillId="5" borderId="2" xfId="11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vertical="center"/>
    </xf>
    <xf numFmtId="9" fontId="9" fillId="5" borderId="2" xfId="1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left" vertical="center" wrapText="1"/>
    </xf>
    <xf numFmtId="178" fontId="10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vertical="center" wrapText="1"/>
    </xf>
    <xf numFmtId="178" fontId="8" fillId="7" borderId="2" xfId="0" applyNumberFormat="1" applyFont="1" applyFill="1" applyBorder="1" applyAlignment="1">
      <alignment vertical="center" wrapText="1"/>
    </xf>
    <xf numFmtId="178" fontId="11" fillId="0" borderId="2" xfId="0" applyNumberFormat="1" applyFont="1" applyBorder="1" applyAlignment="1">
      <alignment vertical="center" wrapText="1"/>
    </xf>
    <xf numFmtId="10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 wrapText="1"/>
    </xf>
    <xf numFmtId="10" fontId="11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78" fontId="9" fillId="0" borderId="2" xfId="0" applyNumberFormat="1" applyFont="1" applyBorder="1" applyAlignment="1">
      <alignment vertical="center" wrapText="1"/>
    </xf>
    <xf numFmtId="178" fontId="13" fillId="0" borderId="2" xfId="0" applyNumberFormat="1" applyFont="1" applyBorder="1" applyAlignment="1">
      <alignment vertical="center" wrapText="1"/>
    </xf>
    <xf numFmtId="10" fontId="8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10" fontId="11" fillId="0" borderId="2" xfId="0" applyNumberFormat="1" applyFont="1" applyBorder="1" applyAlignment="1">
      <alignment vertical="center"/>
    </xf>
    <xf numFmtId="10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0" fontId="1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8" fontId="14" fillId="0" borderId="2" xfId="0" applyNumberFormat="1" applyFont="1" applyBorder="1" applyAlignment="1">
      <alignment vertical="center" wrapText="1"/>
    </xf>
    <xf numFmtId="178" fontId="11" fillId="4" borderId="2" xfId="0" applyNumberFormat="1" applyFont="1" applyFill="1" applyBorder="1" applyAlignment="1">
      <alignment vertical="center" wrapText="1"/>
    </xf>
    <xf numFmtId="176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8" fillId="6" borderId="2" xfId="0" applyNumberFormat="1" applyFont="1" applyFill="1" applyBorder="1" applyAlignment="1">
      <alignment vertical="center" wrapText="1"/>
    </xf>
    <xf numFmtId="178" fontId="11" fillId="6" borderId="6" xfId="0" applyNumberFormat="1" applyFont="1" applyFill="1" applyBorder="1" applyAlignment="1">
      <alignment vertical="center" wrapText="1"/>
    </xf>
    <xf numFmtId="178" fontId="11" fillId="6" borderId="0" xfId="0" applyNumberFormat="1" applyFont="1" applyFill="1" applyBorder="1" applyAlignment="1">
      <alignment vertical="center" wrapText="1"/>
    </xf>
    <xf numFmtId="178" fontId="11" fillId="6" borderId="2" xfId="0" applyNumberFormat="1" applyFont="1" applyFill="1" applyBorder="1" applyAlignment="1">
      <alignment vertical="center" wrapText="1"/>
    </xf>
    <xf numFmtId="10" fontId="2" fillId="0" borderId="0" xfId="0" applyNumberFormat="1" applyFont="1" applyBorder="1" applyAlignment="1">
      <alignment vertical="center"/>
    </xf>
    <xf numFmtId="178" fontId="1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8" fontId="15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6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tabSelected="1" topLeftCell="A34" workbookViewId="0">
      <selection activeCell="I56" sqref="I56"/>
    </sheetView>
  </sheetViews>
  <sheetFormatPr defaultColWidth="9" defaultRowHeight="12"/>
  <cols>
    <col min="1" max="1" width="10.775" style="2" customWidth="1"/>
    <col min="2" max="2" width="12.2166666666667" style="3" customWidth="1"/>
    <col min="3" max="3" width="6" style="3" customWidth="1"/>
    <col min="4" max="4" width="13.3333333333333" style="3" customWidth="1"/>
    <col min="5" max="5" width="6" style="3" customWidth="1"/>
    <col min="6" max="6" width="12" style="3" customWidth="1"/>
    <col min="7" max="7" width="14.1083333333333" style="3" customWidth="1"/>
    <col min="8" max="8" width="9.66666666666667" style="3" customWidth="1"/>
    <col min="9" max="9" width="13.8833333333333" style="52" customWidth="1"/>
    <col min="10" max="10" width="7.775" style="5" customWidth="1"/>
    <col min="11" max="11" width="31.4416666666667" style="6" customWidth="1"/>
    <col min="12" max="12" width="26.5" style="6" customWidth="1"/>
    <col min="13" max="13" width="28.125" style="6" customWidth="1"/>
    <col min="14" max="14" width="5.66666666666667" style="6" customWidth="1"/>
    <col min="15" max="15" width="13.775" style="6" customWidth="1"/>
    <col min="16" max="16384" width="9" style="6"/>
  </cols>
  <sheetData>
    <row r="1" ht="21.9" customHeight="1" spans="1:15">
      <c r="A1" s="7" t="s">
        <v>0</v>
      </c>
      <c r="B1" s="7"/>
      <c r="C1" s="7"/>
      <c r="D1" s="7"/>
      <c r="E1" s="7"/>
      <c r="F1" s="7"/>
      <c r="G1" s="7"/>
      <c r="H1" s="7"/>
      <c r="I1" s="92"/>
      <c r="J1" s="7"/>
      <c r="K1" s="60"/>
      <c r="L1" s="60"/>
      <c r="M1" s="73"/>
      <c r="N1" s="73"/>
      <c r="O1" s="73"/>
    </row>
    <row r="2" ht="24" customHeight="1" spans="1:15">
      <c r="A2" s="53" t="s">
        <v>1</v>
      </c>
      <c r="B2" s="54" t="s">
        <v>2</v>
      </c>
      <c r="C2" s="55" t="s">
        <v>3</v>
      </c>
      <c r="D2" s="55">
        <v>5686666</v>
      </c>
      <c r="E2" s="56" t="s">
        <v>4</v>
      </c>
      <c r="F2" s="55" t="s">
        <v>5</v>
      </c>
      <c r="G2" s="56" t="s">
        <v>6</v>
      </c>
      <c r="H2" s="57" t="s">
        <v>7</v>
      </c>
      <c r="I2" s="93"/>
      <c r="J2" s="94"/>
      <c r="K2" s="60"/>
      <c r="L2" s="60"/>
      <c r="M2" s="73"/>
      <c r="N2" s="73"/>
      <c r="O2" s="73"/>
    </row>
    <row r="3" ht="18" customHeight="1" spans="1:15">
      <c r="A3" s="53" t="s">
        <v>8</v>
      </c>
      <c r="B3" s="58"/>
      <c r="C3" s="55" t="s">
        <v>9</v>
      </c>
      <c r="D3" s="55"/>
      <c r="E3" s="59"/>
      <c r="F3" s="59"/>
      <c r="G3" s="59"/>
      <c r="H3" s="60"/>
      <c r="I3" s="95"/>
      <c r="J3" s="60"/>
      <c r="K3" s="60"/>
      <c r="L3" s="60"/>
      <c r="M3" s="73"/>
      <c r="N3" s="73"/>
      <c r="O3" s="73"/>
    </row>
    <row r="4" ht="18" customHeight="1" spans="1:15">
      <c r="A4" s="61" t="s">
        <v>10</v>
      </c>
      <c r="B4" s="59"/>
      <c r="C4" s="59"/>
      <c r="D4" s="59"/>
      <c r="E4" s="59"/>
      <c r="F4" s="59"/>
      <c r="G4" s="59"/>
      <c r="H4" s="60"/>
      <c r="I4" s="95"/>
      <c r="J4" s="60"/>
      <c r="K4" s="60"/>
      <c r="L4" s="60"/>
      <c r="M4" s="73"/>
      <c r="N4" s="73"/>
      <c r="O4" s="73"/>
    </row>
    <row r="5" ht="18" customHeight="1" spans="1:15">
      <c r="A5" s="62" t="s">
        <v>11</v>
      </c>
      <c r="B5" s="62" t="s">
        <v>12</v>
      </c>
      <c r="C5" s="62" t="s">
        <v>13</v>
      </c>
      <c r="D5" s="62"/>
      <c r="E5" s="62" t="s">
        <v>14</v>
      </c>
      <c r="F5" s="62"/>
      <c r="G5" s="62" t="s">
        <v>15</v>
      </c>
      <c r="H5" s="63" t="s">
        <v>16</v>
      </c>
      <c r="I5" s="96"/>
      <c r="J5" s="63"/>
      <c r="K5" s="73"/>
      <c r="L5" s="73"/>
      <c r="M5" s="73"/>
      <c r="N5" s="73"/>
      <c r="O5" s="73"/>
    </row>
    <row r="6" ht="18" customHeight="1" spans="1:15">
      <c r="A6" s="62"/>
      <c r="B6" s="62"/>
      <c r="C6" s="62" t="s">
        <v>17</v>
      </c>
      <c r="D6" s="62" t="s">
        <v>18</v>
      </c>
      <c r="E6" s="62" t="s">
        <v>17</v>
      </c>
      <c r="F6" s="62" t="s">
        <v>18</v>
      </c>
      <c r="G6" s="62"/>
      <c r="H6" s="63" t="s">
        <v>19</v>
      </c>
      <c r="I6" s="97" t="s">
        <v>20</v>
      </c>
      <c r="J6" s="63" t="s">
        <v>21</v>
      </c>
      <c r="K6" s="73"/>
      <c r="L6" s="73"/>
      <c r="M6" s="73"/>
      <c r="N6" s="73"/>
      <c r="O6" s="73"/>
    </row>
    <row r="7" ht="18" customHeight="1" spans="1:15">
      <c r="A7" s="64" t="s">
        <v>22</v>
      </c>
      <c r="B7" s="55">
        <f t="shared" ref="B7:B16" si="0">G7/(1+C7+E7)</f>
        <v>1636363.63636364</v>
      </c>
      <c r="C7" s="65">
        <v>0.02</v>
      </c>
      <c r="D7" s="55">
        <f t="shared" ref="D7:D16" si="1">G7/(1+E7+C7)*C7</f>
        <v>32727.2727272727</v>
      </c>
      <c r="E7" s="65">
        <v>0.08</v>
      </c>
      <c r="F7" s="55">
        <f t="shared" ref="F7:F16" si="2">G7/(1+C7+E7)*E7</f>
        <v>130909.090909091</v>
      </c>
      <c r="G7" s="66">
        <v>1800000</v>
      </c>
      <c r="H7" s="64" t="s">
        <v>23</v>
      </c>
      <c r="I7" s="98">
        <v>1800000</v>
      </c>
      <c r="J7" s="85"/>
      <c r="K7" s="73"/>
      <c r="L7" s="73"/>
      <c r="M7" s="73"/>
      <c r="N7" s="73"/>
      <c r="O7" s="73"/>
    </row>
    <row r="8" ht="18" customHeight="1" spans="1:15">
      <c r="A8" s="64" t="s">
        <v>24</v>
      </c>
      <c r="B8" s="55">
        <f t="shared" si="0"/>
        <v>183486.23853211</v>
      </c>
      <c r="C8" s="65">
        <v>0.02</v>
      </c>
      <c r="D8" s="55">
        <f t="shared" si="1"/>
        <v>3669.7247706422</v>
      </c>
      <c r="E8" s="65">
        <v>0.07</v>
      </c>
      <c r="F8" s="55">
        <f t="shared" si="2"/>
        <v>12844.0366972477</v>
      </c>
      <c r="G8" s="66">
        <v>200000</v>
      </c>
      <c r="H8" s="64">
        <v>44232</v>
      </c>
      <c r="I8" s="98">
        <v>350000</v>
      </c>
      <c r="J8" s="85" t="s">
        <v>25</v>
      </c>
      <c r="K8" s="73"/>
      <c r="L8" s="73"/>
      <c r="M8" s="73"/>
      <c r="N8" s="73"/>
      <c r="O8" s="73"/>
    </row>
    <row r="9" ht="18" customHeight="1" spans="1:15">
      <c r="A9" s="64" t="s">
        <v>26</v>
      </c>
      <c r="B9" s="55">
        <f t="shared" si="0"/>
        <v>1009174.31192661</v>
      </c>
      <c r="C9" s="65">
        <v>0.02</v>
      </c>
      <c r="D9" s="55">
        <f t="shared" si="1"/>
        <v>20183.4862385321</v>
      </c>
      <c r="E9" s="65">
        <v>0.07</v>
      </c>
      <c r="F9" s="55">
        <f t="shared" si="2"/>
        <v>70642.2018348624</v>
      </c>
      <c r="G9" s="66">
        <v>1100000</v>
      </c>
      <c r="H9" s="64">
        <v>44232</v>
      </c>
      <c r="I9" s="98">
        <v>230000</v>
      </c>
      <c r="J9" s="85" t="s">
        <v>25</v>
      </c>
      <c r="K9" s="73"/>
      <c r="L9" s="73"/>
      <c r="M9" s="73"/>
      <c r="N9" s="73"/>
      <c r="O9" s="73"/>
    </row>
    <row r="10" ht="18" customHeight="1" spans="1:15">
      <c r="A10" s="64">
        <v>44412</v>
      </c>
      <c r="B10" s="55">
        <f t="shared" si="0"/>
        <v>422018.348623853</v>
      </c>
      <c r="C10" s="67">
        <v>0.02</v>
      </c>
      <c r="D10" s="55">
        <f t="shared" si="1"/>
        <v>8440.36697247706</v>
      </c>
      <c r="E10" s="67">
        <v>0.07</v>
      </c>
      <c r="F10" s="55">
        <f t="shared" si="2"/>
        <v>29541.2844036697</v>
      </c>
      <c r="G10" s="66">
        <v>460000</v>
      </c>
      <c r="H10" s="64">
        <v>44232</v>
      </c>
      <c r="I10" s="98">
        <v>230000</v>
      </c>
      <c r="J10" s="85" t="s">
        <v>25</v>
      </c>
      <c r="K10" s="73"/>
      <c r="L10" s="73"/>
      <c r="M10" s="73"/>
      <c r="N10" s="73"/>
      <c r="O10" s="73"/>
    </row>
    <row r="11" ht="18" customHeight="1" spans="1:15">
      <c r="A11" s="64">
        <v>44412</v>
      </c>
      <c r="B11" s="55">
        <f t="shared" si="0"/>
        <v>55045.871559633</v>
      </c>
      <c r="C11" s="67">
        <v>0.02</v>
      </c>
      <c r="D11" s="55">
        <f t="shared" si="1"/>
        <v>1100.91743119266</v>
      </c>
      <c r="E11" s="67">
        <v>0.07</v>
      </c>
      <c r="F11" s="55">
        <f t="shared" si="2"/>
        <v>3853.21100917431</v>
      </c>
      <c r="G11" s="66">
        <v>60000</v>
      </c>
      <c r="H11" s="64">
        <v>44232</v>
      </c>
      <c r="I11" s="98">
        <v>40000</v>
      </c>
      <c r="J11" s="85" t="s">
        <v>25</v>
      </c>
      <c r="K11" s="73"/>
      <c r="L11" s="73"/>
      <c r="M11" s="73"/>
      <c r="N11" s="73"/>
      <c r="O11" s="73"/>
    </row>
    <row r="12" ht="18" customHeight="1" spans="1:15">
      <c r="A12" s="64">
        <v>44412</v>
      </c>
      <c r="B12" s="55">
        <f t="shared" si="0"/>
        <v>256880.733944954</v>
      </c>
      <c r="C12" s="67">
        <v>0.02</v>
      </c>
      <c r="D12" s="55">
        <f t="shared" si="1"/>
        <v>5137.61467889908</v>
      </c>
      <c r="E12" s="67">
        <v>0.07</v>
      </c>
      <c r="F12" s="55">
        <f t="shared" si="2"/>
        <v>17981.6513761468</v>
      </c>
      <c r="G12" s="66">
        <v>280000</v>
      </c>
      <c r="H12" s="64">
        <v>44232</v>
      </c>
      <c r="I12" s="98">
        <v>250000</v>
      </c>
      <c r="J12" s="85" t="s">
        <v>25</v>
      </c>
      <c r="K12" s="73"/>
      <c r="L12" s="73"/>
      <c r="M12" s="73"/>
      <c r="N12" s="73"/>
      <c r="O12" s="73"/>
    </row>
    <row r="13" ht="18" customHeight="1" spans="1:15">
      <c r="A13" s="64">
        <v>44412</v>
      </c>
      <c r="B13" s="55">
        <f t="shared" si="0"/>
        <v>183486.23853211</v>
      </c>
      <c r="C13" s="67">
        <v>0.02</v>
      </c>
      <c r="D13" s="55">
        <f t="shared" si="1"/>
        <v>3669.7247706422</v>
      </c>
      <c r="E13" s="67">
        <v>0.07</v>
      </c>
      <c r="F13" s="55">
        <f t="shared" si="2"/>
        <v>12844.0366972477</v>
      </c>
      <c r="G13" s="66">
        <v>200000</v>
      </c>
      <c r="H13" s="64">
        <v>44234</v>
      </c>
      <c r="I13" s="98">
        <v>200000</v>
      </c>
      <c r="J13" s="85" t="s">
        <v>25</v>
      </c>
      <c r="K13" s="73"/>
      <c r="L13" s="73"/>
      <c r="M13" s="73"/>
      <c r="N13" s="73"/>
      <c r="O13" s="73"/>
    </row>
    <row r="14" ht="18" customHeight="1" spans="1:15">
      <c r="A14" s="64">
        <v>44412</v>
      </c>
      <c r="B14" s="55">
        <f t="shared" si="0"/>
        <v>311926.605504587</v>
      </c>
      <c r="C14" s="67">
        <v>0.02</v>
      </c>
      <c r="D14" s="55">
        <f t="shared" si="1"/>
        <v>6238.53211009174</v>
      </c>
      <c r="E14" s="67">
        <v>0.07</v>
      </c>
      <c r="F14" s="55">
        <f t="shared" si="2"/>
        <v>21834.8623853211</v>
      </c>
      <c r="G14" s="66">
        <v>340000</v>
      </c>
      <c r="H14" s="64">
        <v>44457</v>
      </c>
      <c r="I14" s="99">
        <v>110000</v>
      </c>
      <c r="J14" s="85" t="s">
        <v>25</v>
      </c>
      <c r="K14" s="73"/>
      <c r="L14" s="73"/>
      <c r="M14" s="73"/>
      <c r="N14" s="73"/>
      <c r="O14" s="73"/>
    </row>
    <row r="15" ht="18" customHeight="1" spans="1:15">
      <c r="A15" s="64">
        <v>44428</v>
      </c>
      <c r="B15" s="55">
        <f t="shared" si="0"/>
        <v>100917.431192661</v>
      </c>
      <c r="C15" s="67">
        <v>0.02</v>
      </c>
      <c r="D15" s="55">
        <f t="shared" si="1"/>
        <v>2018.34862385321</v>
      </c>
      <c r="E15" s="67">
        <v>0.07</v>
      </c>
      <c r="F15" s="55">
        <f t="shared" si="2"/>
        <v>7064.22018348624</v>
      </c>
      <c r="G15" s="66">
        <v>110000</v>
      </c>
      <c r="H15" s="64">
        <v>44481</v>
      </c>
      <c r="I15" s="99">
        <v>460000</v>
      </c>
      <c r="J15" s="85" t="s">
        <v>25</v>
      </c>
      <c r="K15" s="73"/>
      <c r="L15" s="73"/>
      <c r="M15" s="73"/>
      <c r="N15" s="73"/>
      <c r="O15" s="73"/>
    </row>
    <row r="16" ht="18" customHeight="1" spans="1:15">
      <c r="A16" s="64">
        <v>44455</v>
      </c>
      <c r="B16" s="55">
        <f t="shared" ref="B16:B22" si="3">G16/(1+C16+E16)</f>
        <v>71229.3577981651</v>
      </c>
      <c r="C16" s="67">
        <v>0.02</v>
      </c>
      <c r="D16" s="55">
        <f t="shared" ref="D16:D22" si="4">G16/(1+E16+C16)*C16</f>
        <v>1424.5871559633</v>
      </c>
      <c r="E16" s="67">
        <v>0.07</v>
      </c>
      <c r="F16" s="55">
        <f t="shared" ref="F16:F22" si="5">G16/(1+C16+E16)*E16</f>
        <v>4986.05504587156</v>
      </c>
      <c r="G16" s="66">
        <v>77640</v>
      </c>
      <c r="H16" s="64">
        <v>44481</v>
      </c>
      <c r="I16" s="99">
        <v>60000</v>
      </c>
      <c r="J16" s="85" t="s">
        <v>25</v>
      </c>
      <c r="K16" s="73"/>
      <c r="L16" s="73"/>
      <c r="M16" s="73"/>
      <c r="N16" s="73"/>
      <c r="O16" s="73"/>
    </row>
    <row r="17" ht="18" customHeight="1" spans="1:15">
      <c r="A17" s="64">
        <v>44455</v>
      </c>
      <c r="B17" s="55">
        <f t="shared" si="3"/>
        <v>82715.5963302752</v>
      </c>
      <c r="C17" s="67">
        <v>0.02</v>
      </c>
      <c r="D17" s="55">
        <f t="shared" si="4"/>
        <v>1654.3119266055</v>
      </c>
      <c r="E17" s="67">
        <v>0.07</v>
      </c>
      <c r="F17" s="55">
        <f t="shared" si="5"/>
        <v>5790.09174311927</v>
      </c>
      <c r="G17" s="66">
        <v>90160</v>
      </c>
      <c r="H17" s="64">
        <v>44481</v>
      </c>
      <c r="I17" s="99">
        <v>200000</v>
      </c>
      <c r="J17" s="85" t="s">
        <v>25</v>
      </c>
      <c r="K17" s="73"/>
      <c r="L17" s="73"/>
      <c r="M17" s="73"/>
      <c r="N17" s="73"/>
      <c r="O17" s="73"/>
    </row>
    <row r="18" ht="18" customHeight="1" spans="1:15">
      <c r="A18" s="64">
        <v>44455</v>
      </c>
      <c r="B18" s="55">
        <f t="shared" si="3"/>
        <v>73311.9266055046</v>
      </c>
      <c r="C18" s="67">
        <v>0.02</v>
      </c>
      <c r="D18" s="55">
        <f t="shared" si="4"/>
        <v>1466.23853211009</v>
      </c>
      <c r="E18" s="67">
        <v>0.07</v>
      </c>
      <c r="F18" s="55">
        <f t="shared" si="5"/>
        <v>5131.83486238532</v>
      </c>
      <c r="G18" s="66">
        <v>79910</v>
      </c>
      <c r="H18" s="64">
        <v>44481</v>
      </c>
      <c r="I18" s="99">
        <v>280000</v>
      </c>
      <c r="J18" s="85" t="s">
        <v>25</v>
      </c>
      <c r="K18" s="73"/>
      <c r="L18" s="73"/>
      <c r="M18" s="73"/>
      <c r="N18" s="73"/>
      <c r="O18" s="73"/>
    </row>
    <row r="19" ht="18" customHeight="1" spans="1:15">
      <c r="A19" s="64">
        <v>44455</v>
      </c>
      <c r="B19" s="55">
        <f t="shared" si="3"/>
        <v>16862.3853211009</v>
      </c>
      <c r="C19" s="67">
        <v>0.02</v>
      </c>
      <c r="D19" s="55">
        <f t="shared" si="4"/>
        <v>337.247706422018</v>
      </c>
      <c r="E19" s="67">
        <v>0.07</v>
      </c>
      <c r="F19" s="55">
        <f t="shared" si="5"/>
        <v>1180.36697247706</v>
      </c>
      <c r="G19" s="66">
        <v>18380</v>
      </c>
      <c r="H19" s="64"/>
      <c r="I19" s="98"/>
      <c r="J19" s="85"/>
      <c r="K19" s="73"/>
      <c r="L19" s="73"/>
      <c r="M19" s="73"/>
      <c r="N19" s="73"/>
      <c r="O19" s="73"/>
    </row>
    <row r="20" ht="18" customHeight="1" spans="1:15">
      <c r="A20" s="64">
        <v>44455</v>
      </c>
      <c r="B20" s="55">
        <f t="shared" si="3"/>
        <v>113458.71559633</v>
      </c>
      <c r="C20" s="67">
        <v>0.02</v>
      </c>
      <c r="D20" s="55">
        <f t="shared" si="4"/>
        <v>2269.17431192661</v>
      </c>
      <c r="E20" s="67">
        <v>0.07</v>
      </c>
      <c r="F20" s="55">
        <f t="shared" si="5"/>
        <v>7942.11009174312</v>
      </c>
      <c r="G20" s="66">
        <v>123670</v>
      </c>
      <c r="H20" s="64"/>
      <c r="I20" s="98"/>
      <c r="J20" s="85"/>
      <c r="K20" s="73"/>
      <c r="L20" s="73"/>
      <c r="M20" s="73"/>
      <c r="N20" s="73"/>
      <c r="O20" s="73"/>
    </row>
    <row r="21" ht="18" customHeight="1" spans="1:15">
      <c r="A21" s="64"/>
      <c r="B21" s="55">
        <f t="shared" si="3"/>
        <v>0</v>
      </c>
      <c r="C21" s="67"/>
      <c r="D21" s="55">
        <f t="shared" si="4"/>
        <v>0</v>
      </c>
      <c r="E21" s="67"/>
      <c r="F21" s="55">
        <f t="shared" si="5"/>
        <v>0</v>
      </c>
      <c r="G21" s="66"/>
      <c r="H21" s="64"/>
      <c r="I21" s="98"/>
      <c r="J21" s="85"/>
      <c r="K21" s="73"/>
      <c r="L21" s="73"/>
      <c r="M21" s="73"/>
      <c r="N21" s="73"/>
      <c r="O21" s="73"/>
    </row>
    <row r="22" ht="18" customHeight="1" spans="1:15">
      <c r="A22" s="64"/>
      <c r="B22" s="55">
        <f t="shared" si="3"/>
        <v>0</v>
      </c>
      <c r="C22" s="65"/>
      <c r="D22" s="55">
        <f t="shared" si="4"/>
        <v>0</v>
      </c>
      <c r="E22" s="65"/>
      <c r="F22" s="55">
        <f t="shared" si="5"/>
        <v>0</v>
      </c>
      <c r="G22" s="66"/>
      <c r="H22" s="64"/>
      <c r="I22" s="98"/>
      <c r="J22" s="85"/>
      <c r="K22" s="73"/>
      <c r="L22" s="73"/>
      <c r="M22" s="73"/>
      <c r="N22" s="73"/>
      <c r="O22" s="73"/>
    </row>
    <row r="23" ht="18" customHeight="1" spans="1:15">
      <c r="A23" s="68" t="s">
        <v>27</v>
      </c>
      <c r="B23" s="69">
        <f>SUM(B7:B22)</f>
        <v>4516877.39783153</v>
      </c>
      <c r="C23" s="70"/>
      <c r="D23" s="70">
        <f>SUM(D7:D22)</f>
        <v>90337.5479566305</v>
      </c>
      <c r="E23" s="70"/>
      <c r="F23" s="71">
        <f>SUM(F7:F22)</f>
        <v>332545.054211843</v>
      </c>
      <c r="G23" s="70">
        <f>SUM(G7:G22)</f>
        <v>4939760</v>
      </c>
      <c r="H23" s="72"/>
      <c r="I23" s="100">
        <f>SUM(I7:I22)</f>
        <v>4210000</v>
      </c>
      <c r="J23" s="72"/>
      <c r="K23" s="59"/>
      <c r="L23" s="101"/>
      <c r="M23" s="73"/>
      <c r="N23" s="73"/>
      <c r="O23" s="73"/>
    </row>
    <row r="24" ht="18" customHeight="1" spans="1:15">
      <c r="A24" s="61" t="s">
        <v>28</v>
      </c>
      <c r="B24" s="73"/>
      <c r="C24" s="59"/>
      <c r="D24" s="59"/>
      <c r="E24" s="59"/>
      <c r="F24" s="59"/>
      <c r="G24" s="59"/>
      <c r="H24" s="59"/>
      <c r="I24" s="102"/>
      <c r="J24" s="59"/>
      <c r="K24" s="103" t="s">
        <v>29</v>
      </c>
      <c r="L24" s="63" t="s">
        <v>30</v>
      </c>
      <c r="M24" s="63" t="s">
        <v>31</v>
      </c>
      <c r="N24" s="63" t="s">
        <v>32</v>
      </c>
      <c r="O24" s="63" t="s">
        <v>33</v>
      </c>
    </row>
    <row r="25" s="1" customFormat="1" ht="18" customHeight="1" spans="1:15">
      <c r="A25" s="74" t="s">
        <v>34</v>
      </c>
      <c r="B25" s="62" t="s">
        <v>35</v>
      </c>
      <c r="C25" s="62" t="s">
        <v>36</v>
      </c>
      <c r="D25" s="62" t="s">
        <v>37</v>
      </c>
      <c r="E25" s="62" t="s">
        <v>17</v>
      </c>
      <c r="F25" s="62" t="s">
        <v>38</v>
      </c>
      <c r="G25" s="62" t="s">
        <v>15</v>
      </c>
      <c r="H25" s="62" t="s">
        <v>39</v>
      </c>
      <c r="I25" s="97" t="s">
        <v>40</v>
      </c>
      <c r="J25" s="62" t="s">
        <v>21</v>
      </c>
      <c r="K25" s="104"/>
      <c r="L25" s="105"/>
      <c r="M25" s="77"/>
      <c r="N25" s="77"/>
      <c r="O25" s="105"/>
    </row>
    <row r="26" s="1" customFormat="1" ht="18" customHeight="1" spans="1:15">
      <c r="A26" s="54" t="s">
        <v>41</v>
      </c>
      <c r="B26" s="75">
        <f t="shared" ref="B26:B55" si="6">ROUND(G26/(1+E26),2)</f>
        <v>155172.41</v>
      </c>
      <c r="C26" s="76">
        <v>3</v>
      </c>
      <c r="D26" s="77" t="s">
        <v>42</v>
      </c>
      <c r="E26" s="78">
        <v>0.16</v>
      </c>
      <c r="F26" s="75">
        <f t="shared" ref="F26:F31" si="7">ROUND(G26/(1+E26)*E26,2)</f>
        <v>24827.59</v>
      </c>
      <c r="G26" s="66">
        <v>180000</v>
      </c>
      <c r="H26" s="64"/>
      <c r="I26" s="106"/>
      <c r="J26" s="85"/>
      <c r="K26" s="104" t="s">
        <v>43</v>
      </c>
      <c r="L26" s="55" t="s">
        <v>44</v>
      </c>
      <c r="M26" s="77"/>
      <c r="N26" s="77"/>
      <c r="O26" s="105"/>
    </row>
    <row r="27" s="1" customFormat="1" ht="18" customHeight="1" spans="1:15">
      <c r="A27" s="54" t="s">
        <v>41</v>
      </c>
      <c r="B27" s="75">
        <f t="shared" si="6"/>
        <v>532094.83</v>
      </c>
      <c r="C27" s="76"/>
      <c r="D27" s="77"/>
      <c r="E27" s="78">
        <v>0.16</v>
      </c>
      <c r="F27" s="75">
        <f t="shared" si="7"/>
        <v>85135.17</v>
      </c>
      <c r="G27" s="66">
        <v>617230</v>
      </c>
      <c r="H27" s="79"/>
      <c r="I27" s="106"/>
      <c r="J27" s="85"/>
      <c r="K27" s="104" t="s">
        <v>45</v>
      </c>
      <c r="L27" s="55" t="s">
        <v>46</v>
      </c>
      <c r="M27" s="77" t="s">
        <v>47</v>
      </c>
      <c r="N27" s="77"/>
      <c r="O27" s="105"/>
    </row>
    <row r="28" s="1" customFormat="1" ht="18" customHeight="1" spans="1:15">
      <c r="A28" s="54" t="s">
        <v>41</v>
      </c>
      <c r="B28" s="75">
        <f t="shared" si="6"/>
        <v>84957.26</v>
      </c>
      <c r="C28" s="76">
        <v>2</v>
      </c>
      <c r="D28" s="77" t="s">
        <v>42</v>
      </c>
      <c r="E28" s="78">
        <v>0.17</v>
      </c>
      <c r="F28" s="75">
        <f t="shared" si="7"/>
        <v>14442.74</v>
      </c>
      <c r="G28" s="66">
        <v>99400</v>
      </c>
      <c r="H28" s="64"/>
      <c r="I28" s="106"/>
      <c r="J28" s="85"/>
      <c r="K28" s="104" t="s">
        <v>45</v>
      </c>
      <c r="L28" s="55"/>
      <c r="M28" s="77" t="s">
        <v>47</v>
      </c>
      <c r="N28" s="77"/>
      <c r="O28" s="105"/>
    </row>
    <row r="29" s="1" customFormat="1" ht="18" customHeight="1" spans="1:15">
      <c r="A29" s="54" t="s">
        <v>41</v>
      </c>
      <c r="B29" s="75">
        <f t="shared" si="6"/>
        <v>26923.08</v>
      </c>
      <c r="C29" s="76"/>
      <c r="D29" s="77" t="s">
        <v>42</v>
      </c>
      <c r="E29" s="78">
        <v>0.17</v>
      </c>
      <c r="F29" s="75">
        <f t="shared" si="7"/>
        <v>4576.92</v>
      </c>
      <c r="G29" s="66">
        <v>31500</v>
      </c>
      <c r="H29" s="64"/>
      <c r="I29" s="106"/>
      <c r="J29" s="85"/>
      <c r="K29" s="104" t="s">
        <v>48</v>
      </c>
      <c r="L29" s="55" t="s">
        <v>49</v>
      </c>
      <c r="M29" s="77"/>
      <c r="N29" s="77"/>
      <c r="O29" s="105"/>
    </row>
    <row r="30" s="1" customFormat="1" ht="18" customHeight="1" spans="1:15">
      <c r="A30" s="54" t="s">
        <v>41</v>
      </c>
      <c r="B30" s="75">
        <f t="shared" si="6"/>
        <v>5355.17</v>
      </c>
      <c r="C30" s="76">
        <v>3</v>
      </c>
      <c r="D30" s="77" t="s">
        <v>42</v>
      </c>
      <c r="E30" s="78">
        <v>0.16</v>
      </c>
      <c r="F30" s="75">
        <f t="shared" si="7"/>
        <v>856.83</v>
      </c>
      <c r="G30" s="66">
        <f>362+3098+2752</f>
        <v>6212</v>
      </c>
      <c r="H30" s="64"/>
      <c r="I30" s="106"/>
      <c r="J30" s="85"/>
      <c r="K30" s="104" t="s">
        <v>50</v>
      </c>
      <c r="L30" s="55" t="s">
        <v>51</v>
      </c>
      <c r="M30" s="77"/>
      <c r="N30" s="77"/>
      <c r="O30" s="105"/>
    </row>
    <row r="31" s="1" customFormat="1" ht="18" customHeight="1" spans="1:15">
      <c r="A31" s="54" t="s">
        <v>41</v>
      </c>
      <c r="B31" s="75">
        <f t="shared" si="6"/>
        <v>8062.07</v>
      </c>
      <c r="C31" s="76">
        <v>1</v>
      </c>
      <c r="D31" s="77" t="s">
        <v>42</v>
      </c>
      <c r="E31" s="78">
        <v>0.16</v>
      </c>
      <c r="F31" s="75">
        <f t="shared" si="7"/>
        <v>1289.93</v>
      </c>
      <c r="G31" s="66">
        <v>9352</v>
      </c>
      <c r="H31" s="64"/>
      <c r="I31" s="106"/>
      <c r="J31" s="85"/>
      <c r="K31" s="104" t="s">
        <v>52</v>
      </c>
      <c r="L31" s="55" t="s">
        <v>53</v>
      </c>
      <c r="M31" s="77"/>
      <c r="N31" s="77"/>
      <c r="O31" s="105"/>
    </row>
    <row r="32" s="1" customFormat="1" ht="18" customHeight="1" spans="1:15">
      <c r="A32" s="54" t="s">
        <v>41</v>
      </c>
      <c r="B32" s="75">
        <f t="shared" si="6"/>
        <v>44860</v>
      </c>
      <c r="C32" s="76"/>
      <c r="D32" s="77"/>
      <c r="E32" s="78"/>
      <c r="F32" s="75"/>
      <c r="G32" s="66">
        <f>8000+8000+2640+9620+9600+7000</f>
        <v>44860</v>
      </c>
      <c r="H32" s="64"/>
      <c r="I32" s="106"/>
      <c r="J32" s="85"/>
      <c r="K32" s="104"/>
      <c r="L32" s="55" t="s">
        <v>54</v>
      </c>
      <c r="M32" s="77"/>
      <c r="N32" s="77"/>
      <c r="O32" s="105"/>
    </row>
    <row r="33" s="1" customFormat="1" ht="18" customHeight="1" spans="1:15">
      <c r="A33" s="54" t="s">
        <v>41</v>
      </c>
      <c r="B33" s="75">
        <f t="shared" si="6"/>
        <v>55820</v>
      </c>
      <c r="C33" s="76"/>
      <c r="D33" s="77" t="s">
        <v>55</v>
      </c>
      <c r="E33" s="78">
        <v>0</v>
      </c>
      <c r="F33" s="75">
        <f t="shared" ref="F33:F50" si="8">ROUND(G33/(1+E33)*E33,2)</f>
        <v>0</v>
      </c>
      <c r="G33" s="66">
        <f>8250+13850+7675+7825+18220</f>
        <v>55820</v>
      </c>
      <c r="H33" s="64"/>
      <c r="I33" s="106"/>
      <c r="J33" s="85"/>
      <c r="K33" s="104"/>
      <c r="L33" s="55" t="s">
        <v>56</v>
      </c>
      <c r="M33" s="77"/>
      <c r="N33" s="77"/>
      <c r="O33" s="105"/>
    </row>
    <row r="34" s="1" customFormat="1" ht="18" customHeight="1" spans="1:15">
      <c r="A34" s="54" t="s">
        <v>41</v>
      </c>
      <c r="B34" s="75">
        <f t="shared" si="6"/>
        <v>238488.44</v>
      </c>
      <c r="C34" s="76"/>
      <c r="D34" s="77" t="s">
        <v>55</v>
      </c>
      <c r="E34" s="78"/>
      <c r="F34" s="75">
        <f t="shared" si="8"/>
        <v>0</v>
      </c>
      <c r="G34" s="66">
        <f>123094.22+115394.22</f>
        <v>238488.44</v>
      </c>
      <c r="H34" s="64"/>
      <c r="I34" s="106"/>
      <c r="J34" s="85"/>
      <c r="K34" s="104"/>
      <c r="L34" s="55" t="s">
        <v>57</v>
      </c>
      <c r="M34" s="77"/>
      <c r="N34" s="77"/>
      <c r="O34" s="105"/>
    </row>
    <row r="35" s="1" customFormat="1" ht="18" customHeight="1" spans="1:15">
      <c r="A35" s="54" t="s">
        <v>41</v>
      </c>
      <c r="B35" s="75">
        <f t="shared" si="6"/>
        <v>400000</v>
      </c>
      <c r="C35" s="76"/>
      <c r="D35" s="77"/>
      <c r="E35" s="78"/>
      <c r="F35" s="75">
        <f t="shared" si="8"/>
        <v>0</v>
      </c>
      <c r="G35" s="66">
        <v>400000</v>
      </c>
      <c r="H35" s="64"/>
      <c r="I35" s="106"/>
      <c r="J35" s="85"/>
      <c r="K35" s="104"/>
      <c r="L35" s="55" t="s">
        <v>58</v>
      </c>
      <c r="M35" s="77"/>
      <c r="N35" s="77"/>
      <c r="O35" s="105"/>
    </row>
    <row r="36" s="1" customFormat="1" ht="18" customHeight="1" spans="1:15">
      <c r="A36" s="54" t="s">
        <v>59</v>
      </c>
      <c r="B36" s="75">
        <f t="shared" si="6"/>
        <v>7617</v>
      </c>
      <c r="C36" s="76" t="s">
        <v>60</v>
      </c>
      <c r="D36" s="77" t="s">
        <v>55</v>
      </c>
      <c r="E36" s="78">
        <v>0</v>
      </c>
      <c r="F36" s="75">
        <f t="shared" si="8"/>
        <v>0</v>
      </c>
      <c r="G36" s="66">
        <v>7617</v>
      </c>
      <c r="H36" s="64" t="s">
        <v>23</v>
      </c>
      <c r="I36" s="106">
        <v>1762478.18</v>
      </c>
      <c r="J36" s="85" t="s">
        <v>61</v>
      </c>
      <c r="K36" s="104"/>
      <c r="L36" s="55" t="s">
        <v>62</v>
      </c>
      <c r="M36" s="77"/>
      <c r="N36" s="77"/>
      <c r="O36" s="105"/>
    </row>
    <row r="37" s="1" customFormat="1" ht="18" customHeight="1" spans="1:15">
      <c r="A37" s="54" t="s">
        <v>63</v>
      </c>
      <c r="B37" s="75">
        <f t="shared" si="6"/>
        <v>13550</v>
      </c>
      <c r="C37" s="76">
        <v>8</v>
      </c>
      <c r="D37" s="77" t="s">
        <v>55</v>
      </c>
      <c r="E37" s="78">
        <v>0</v>
      </c>
      <c r="F37" s="75">
        <f t="shared" si="8"/>
        <v>0</v>
      </c>
      <c r="G37" s="66">
        <v>13550</v>
      </c>
      <c r="H37" s="64"/>
      <c r="I37" s="106"/>
      <c r="J37" s="85"/>
      <c r="K37" s="104"/>
      <c r="L37" s="55" t="s">
        <v>64</v>
      </c>
      <c r="M37" s="77"/>
      <c r="N37" s="77"/>
      <c r="O37" s="105"/>
    </row>
    <row r="38" s="1" customFormat="1" ht="18" customHeight="1" spans="1:15">
      <c r="A38" s="54" t="s">
        <v>63</v>
      </c>
      <c r="B38" s="75">
        <f t="shared" si="6"/>
        <v>2190</v>
      </c>
      <c r="C38" s="76">
        <v>4</v>
      </c>
      <c r="D38" s="77" t="s">
        <v>55</v>
      </c>
      <c r="E38" s="78">
        <v>0</v>
      </c>
      <c r="F38" s="75">
        <f t="shared" si="8"/>
        <v>0</v>
      </c>
      <c r="G38" s="66">
        <v>2190</v>
      </c>
      <c r="H38" s="64"/>
      <c r="I38" s="106"/>
      <c r="J38" s="85"/>
      <c r="K38" s="104"/>
      <c r="L38" s="55" t="s">
        <v>65</v>
      </c>
      <c r="M38" s="77"/>
      <c r="N38" s="77"/>
      <c r="O38" s="105"/>
    </row>
    <row r="39" s="1" customFormat="1" ht="18" customHeight="1" spans="1:15">
      <c r="A39" s="54" t="s">
        <v>63</v>
      </c>
      <c r="B39" s="75">
        <f t="shared" si="6"/>
        <v>12194.7</v>
      </c>
      <c r="C39" s="76">
        <v>14</v>
      </c>
      <c r="D39" s="77" t="s">
        <v>55</v>
      </c>
      <c r="E39" s="78">
        <v>0</v>
      </c>
      <c r="F39" s="75">
        <f t="shared" si="8"/>
        <v>0</v>
      </c>
      <c r="G39" s="66">
        <v>12194.7</v>
      </c>
      <c r="H39" s="64"/>
      <c r="I39" s="106"/>
      <c r="J39" s="85"/>
      <c r="K39" s="104"/>
      <c r="L39" s="55" t="s">
        <v>66</v>
      </c>
      <c r="M39" s="77"/>
      <c r="N39" s="77"/>
      <c r="O39" s="105"/>
    </row>
    <row r="40" s="1" customFormat="1" ht="18" customHeight="1" spans="1:15">
      <c r="A40" s="54" t="s">
        <v>67</v>
      </c>
      <c r="B40" s="75">
        <f t="shared" si="6"/>
        <v>2801.8</v>
      </c>
      <c r="C40" s="76">
        <v>40</v>
      </c>
      <c r="D40" s="77" t="s">
        <v>55</v>
      </c>
      <c r="E40" s="78">
        <v>0</v>
      </c>
      <c r="F40" s="75">
        <f t="shared" si="8"/>
        <v>0</v>
      </c>
      <c r="G40" s="66">
        <f>1413.36+1388.44</f>
        <v>2801.8</v>
      </c>
      <c r="H40" s="64"/>
      <c r="I40" s="106"/>
      <c r="J40" s="85"/>
      <c r="K40" s="104"/>
      <c r="L40" s="55" t="s">
        <v>68</v>
      </c>
      <c r="M40" s="77"/>
      <c r="N40" s="77"/>
      <c r="O40" s="105"/>
    </row>
    <row r="41" ht="18" customHeight="1" spans="1:15">
      <c r="A41" s="54" t="s">
        <v>69</v>
      </c>
      <c r="B41" s="75">
        <f t="shared" si="6"/>
        <v>835779.82</v>
      </c>
      <c r="C41" s="76" t="s">
        <v>70</v>
      </c>
      <c r="D41" s="77" t="s">
        <v>42</v>
      </c>
      <c r="E41" s="78">
        <v>0.09</v>
      </c>
      <c r="F41" s="75">
        <f t="shared" si="8"/>
        <v>75220.18</v>
      </c>
      <c r="G41" s="66">
        <v>911000</v>
      </c>
      <c r="H41" s="64"/>
      <c r="I41" s="107"/>
      <c r="J41" s="85"/>
      <c r="K41" s="108" t="s">
        <v>71</v>
      </c>
      <c r="L41" s="72" t="s">
        <v>72</v>
      </c>
      <c r="M41" s="109" t="s">
        <v>73</v>
      </c>
      <c r="N41" s="85"/>
      <c r="O41" s="72"/>
    </row>
    <row r="42" ht="18" customHeight="1" spans="1:15">
      <c r="A42" s="54" t="s">
        <v>69</v>
      </c>
      <c r="B42" s="75">
        <f t="shared" si="6"/>
        <v>275229.36</v>
      </c>
      <c r="C42" s="76"/>
      <c r="D42" s="77" t="s">
        <v>42</v>
      </c>
      <c r="E42" s="78">
        <v>0.09</v>
      </c>
      <c r="F42" s="75">
        <f t="shared" si="8"/>
        <v>24770.64</v>
      </c>
      <c r="G42" s="66">
        <v>300000</v>
      </c>
      <c r="H42" s="64"/>
      <c r="I42" s="107"/>
      <c r="J42" s="85"/>
      <c r="K42" s="108" t="s">
        <v>74</v>
      </c>
      <c r="L42" s="72" t="s">
        <v>72</v>
      </c>
      <c r="M42" s="110" t="s">
        <v>75</v>
      </c>
      <c r="N42" s="85"/>
      <c r="O42" s="72"/>
    </row>
    <row r="43" ht="18" customHeight="1" spans="1:15">
      <c r="A43" s="80">
        <v>44234</v>
      </c>
      <c r="B43" s="75">
        <f t="shared" si="6"/>
        <v>55943.85</v>
      </c>
      <c r="C43" s="76" t="s">
        <v>76</v>
      </c>
      <c r="D43" s="77" t="s">
        <v>42</v>
      </c>
      <c r="E43" s="81">
        <v>0.09</v>
      </c>
      <c r="F43" s="75">
        <f t="shared" si="8"/>
        <v>5034.95</v>
      </c>
      <c r="G43" s="66">
        <v>60978.8</v>
      </c>
      <c r="H43" s="64"/>
      <c r="I43" s="107"/>
      <c r="J43" s="85"/>
      <c r="K43" s="108" t="s">
        <v>74</v>
      </c>
      <c r="L43" s="72" t="s">
        <v>72</v>
      </c>
      <c r="M43" s="110" t="s">
        <v>75</v>
      </c>
      <c r="N43" s="85"/>
      <c r="O43" s="72"/>
    </row>
    <row r="44" ht="18" customHeight="1" spans="1:15">
      <c r="A44" s="80"/>
      <c r="B44" s="75">
        <f t="shared" si="6"/>
        <v>0</v>
      </c>
      <c r="C44" s="76"/>
      <c r="D44" s="77"/>
      <c r="E44" s="78"/>
      <c r="F44" s="75">
        <f t="shared" si="8"/>
        <v>0</v>
      </c>
      <c r="G44" s="66"/>
      <c r="H44" s="82">
        <v>44237</v>
      </c>
      <c r="I44" s="111">
        <v>911000</v>
      </c>
      <c r="J44" s="112" t="s">
        <v>77</v>
      </c>
      <c r="K44" s="113" t="s">
        <v>74</v>
      </c>
      <c r="L44" s="72" t="s">
        <v>72</v>
      </c>
      <c r="M44" s="114"/>
      <c r="N44" s="85"/>
      <c r="O44" s="72"/>
    </row>
    <row r="45" ht="18" customHeight="1" spans="1:15">
      <c r="A45" s="80"/>
      <c r="B45" s="75">
        <f t="shared" si="6"/>
        <v>0</v>
      </c>
      <c r="C45" s="76"/>
      <c r="D45" s="77"/>
      <c r="E45" s="78"/>
      <c r="F45" s="75">
        <f t="shared" si="8"/>
        <v>0</v>
      </c>
      <c r="G45" s="66"/>
      <c r="H45" s="82">
        <v>44237</v>
      </c>
      <c r="I45" s="111">
        <v>360978.8</v>
      </c>
      <c r="J45" s="112" t="s">
        <v>77</v>
      </c>
      <c r="K45" s="113" t="s">
        <v>74</v>
      </c>
      <c r="L45" s="72" t="s">
        <v>72</v>
      </c>
      <c r="M45" s="114"/>
      <c r="N45" s="85"/>
      <c r="O45" s="72"/>
    </row>
    <row r="46" ht="18" customHeight="1" spans="1:15">
      <c r="A46" s="83">
        <v>44440</v>
      </c>
      <c r="B46" s="55">
        <f t="shared" si="6"/>
        <v>582524.27</v>
      </c>
      <c r="C46" s="84" t="s">
        <v>78</v>
      </c>
      <c r="D46" s="85" t="s">
        <v>42</v>
      </c>
      <c r="E46" s="86">
        <v>0.03</v>
      </c>
      <c r="F46" s="55">
        <f t="shared" si="8"/>
        <v>17475.73</v>
      </c>
      <c r="G46" s="87">
        <v>600000</v>
      </c>
      <c r="H46" s="64"/>
      <c r="I46" s="98"/>
      <c r="J46" s="85"/>
      <c r="K46" s="108" t="s">
        <v>74</v>
      </c>
      <c r="L46" s="72" t="s">
        <v>72</v>
      </c>
      <c r="M46" s="109" t="s">
        <v>79</v>
      </c>
      <c r="N46" s="85"/>
      <c r="O46" s="72"/>
    </row>
    <row r="47" ht="18" customHeight="1" spans="1:15">
      <c r="A47" s="83">
        <v>44440</v>
      </c>
      <c r="B47" s="55">
        <f t="shared" si="6"/>
        <v>534575.22</v>
      </c>
      <c r="C47" s="84" t="s">
        <v>78</v>
      </c>
      <c r="D47" s="85" t="s">
        <v>42</v>
      </c>
      <c r="E47" s="86">
        <v>0.13</v>
      </c>
      <c r="F47" s="55">
        <f t="shared" si="8"/>
        <v>69494.78</v>
      </c>
      <c r="G47" s="87">
        <f>111400+96000+104270+88800+93600+110000</f>
        <v>604070</v>
      </c>
      <c r="H47" s="64"/>
      <c r="I47" s="98"/>
      <c r="J47" s="85"/>
      <c r="K47" s="108" t="s">
        <v>71</v>
      </c>
      <c r="L47" s="72" t="s">
        <v>80</v>
      </c>
      <c r="M47" s="115" t="s">
        <v>81</v>
      </c>
      <c r="N47" s="85"/>
      <c r="O47" s="72"/>
    </row>
    <row r="48" ht="18" customHeight="1" spans="1:15">
      <c r="A48" s="80">
        <v>44440</v>
      </c>
      <c r="B48" s="75">
        <f t="shared" si="6"/>
        <v>191854.31</v>
      </c>
      <c r="C48" s="76">
        <v>2</v>
      </c>
      <c r="D48" s="85" t="s">
        <v>42</v>
      </c>
      <c r="E48" s="88">
        <v>0.09</v>
      </c>
      <c r="F48" s="75">
        <f t="shared" si="8"/>
        <v>17266.89</v>
      </c>
      <c r="G48" s="66">
        <f>105000+104121.2</f>
        <v>209121.2</v>
      </c>
      <c r="H48" s="82"/>
      <c r="I48" s="111"/>
      <c r="J48" s="112"/>
      <c r="K48" s="116" t="s">
        <v>74</v>
      </c>
      <c r="L48" s="46" t="s">
        <v>72</v>
      </c>
      <c r="M48" s="109" t="s">
        <v>79</v>
      </c>
      <c r="N48" s="85"/>
      <c r="O48" s="72"/>
    </row>
    <row r="49" ht="18" customHeight="1" spans="1:15">
      <c r="A49" s="80"/>
      <c r="B49" s="75">
        <f t="shared" si="6"/>
        <v>0</v>
      </c>
      <c r="C49" s="76"/>
      <c r="D49" s="77"/>
      <c r="E49" s="78"/>
      <c r="F49" s="75">
        <f t="shared" si="8"/>
        <v>0</v>
      </c>
      <c r="G49" s="66"/>
      <c r="H49" s="82"/>
      <c r="I49" s="111"/>
      <c r="J49" s="112"/>
      <c r="K49" s="113"/>
      <c r="L49" s="72"/>
      <c r="M49" s="114"/>
      <c r="N49" s="85"/>
      <c r="O49" s="72"/>
    </row>
    <row r="50" ht="18" customHeight="1" spans="1:15">
      <c r="A50" s="80"/>
      <c r="B50" s="75">
        <f t="shared" si="6"/>
        <v>0</v>
      </c>
      <c r="C50" s="76"/>
      <c r="D50" s="77"/>
      <c r="E50" s="78"/>
      <c r="F50" s="75">
        <f t="shared" si="8"/>
        <v>0</v>
      </c>
      <c r="G50" s="66"/>
      <c r="H50" s="64"/>
      <c r="I50" s="107"/>
      <c r="J50" s="85"/>
      <c r="K50" s="108"/>
      <c r="L50" s="72"/>
      <c r="M50" s="114"/>
      <c r="N50" s="85"/>
      <c r="O50" s="72"/>
    </row>
    <row r="51" ht="18" customHeight="1" spans="1:15">
      <c r="A51" s="80"/>
      <c r="B51" s="75"/>
      <c r="C51" s="76"/>
      <c r="D51" s="77"/>
      <c r="E51" s="78"/>
      <c r="F51" s="75"/>
      <c r="G51" s="66"/>
      <c r="H51" s="64"/>
      <c r="I51" s="107"/>
      <c r="J51" s="85"/>
      <c r="K51" s="108"/>
      <c r="L51" s="72"/>
      <c r="M51" s="114"/>
      <c r="N51" s="85"/>
      <c r="O51" s="72"/>
    </row>
    <row r="52" ht="18" customHeight="1" spans="1:15">
      <c r="A52" s="80"/>
      <c r="B52" s="75"/>
      <c r="C52" s="76"/>
      <c r="D52" s="77"/>
      <c r="E52" s="78"/>
      <c r="F52" s="75"/>
      <c r="G52" s="66"/>
      <c r="H52" s="64"/>
      <c r="I52" s="107"/>
      <c r="J52" s="85"/>
      <c r="K52" s="108"/>
      <c r="L52" s="72"/>
      <c r="M52" s="114"/>
      <c r="N52" s="85"/>
      <c r="O52" s="72"/>
    </row>
    <row r="53" ht="18" customHeight="1" spans="1:15">
      <c r="A53" s="80"/>
      <c r="B53" s="75"/>
      <c r="C53" s="76"/>
      <c r="D53" s="77"/>
      <c r="E53" s="78"/>
      <c r="F53" s="75"/>
      <c r="G53" s="66"/>
      <c r="H53" s="64"/>
      <c r="I53" s="107"/>
      <c r="J53" s="85"/>
      <c r="K53" s="108"/>
      <c r="L53" s="72"/>
      <c r="M53" s="114"/>
      <c r="N53" s="85"/>
      <c r="O53" s="72"/>
    </row>
    <row r="54" ht="18" customHeight="1" spans="1:15">
      <c r="A54" s="80"/>
      <c r="B54" s="75"/>
      <c r="C54" s="76"/>
      <c r="D54" s="77"/>
      <c r="E54" s="78"/>
      <c r="F54" s="75"/>
      <c r="G54" s="66"/>
      <c r="H54" s="64"/>
      <c r="I54" s="107"/>
      <c r="J54" s="85"/>
      <c r="K54" s="108"/>
      <c r="L54" s="72"/>
      <c r="M54" s="114"/>
      <c r="N54" s="85"/>
      <c r="O54" s="72"/>
    </row>
    <row r="55" ht="18" customHeight="1" spans="1:15">
      <c r="A55" s="80"/>
      <c r="B55" s="75">
        <f>ROUND(G55/(1+E55),2)</f>
        <v>0</v>
      </c>
      <c r="C55" s="76"/>
      <c r="D55" s="77"/>
      <c r="E55" s="78"/>
      <c r="F55" s="75">
        <f>ROUND(G55/(1+E55)*E55,2)</f>
        <v>0</v>
      </c>
      <c r="G55" s="66"/>
      <c r="H55" s="64"/>
      <c r="I55" s="98">
        <f>38999.36-I59</f>
        <v>1477.54</v>
      </c>
      <c r="J55" s="85"/>
      <c r="K55" s="117"/>
      <c r="L55" s="72"/>
      <c r="M55" s="85"/>
      <c r="N55" s="85"/>
      <c r="O55" s="72"/>
    </row>
    <row r="56" ht="18" customHeight="1" spans="1:15">
      <c r="A56" s="80"/>
      <c r="B56" s="75">
        <f>ROUND(G56/(1+E56),2)</f>
        <v>0</v>
      </c>
      <c r="C56" s="76"/>
      <c r="D56" s="77"/>
      <c r="E56" s="78"/>
      <c r="F56" s="75">
        <f>ROUND(G56/(1+E56)*E56,2)</f>
        <v>0</v>
      </c>
      <c r="G56" s="66"/>
      <c r="H56" s="64" t="s">
        <v>82</v>
      </c>
      <c r="I56" s="98">
        <v>200</v>
      </c>
      <c r="J56" s="85" t="s">
        <v>83</v>
      </c>
      <c r="K56" s="108" t="s">
        <v>84</v>
      </c>
      <c r="L56" s="72"/>
      <c r="M56" s="85"/>
      <c r="N56" s="85"/>
      <c r="O56" s="72"/>
    </row>
    <row r="57" ht="18" customHeight="1" spans="1:15">
      <c r="A57" s="80"/>
      <c r="B57" s="75">
        <f>ROUND(G57/(1+E57),2)</f>
        <v>0</v>
      </c>
      <c r="C57" s="76"/>
      <c r="D57" s="77"/>
      <c r="E57" s="78"/>
      <c r="F57" s="75">
        <f>ROUND(G57/(1+E57)*E57,2)</f>
        <v>0</v>
      </c>
      <c r="G57" s="66"/>
      <c r="H57" s="64" t="s">
        <v>82</v>
      </c>
      <c r="I57" s="98">
        <v>1105.6</v>
      </c>
      <c r="J57" s="85" t="s">
        <v>83</v>
      </c>
      <c r="K57" s="118" t="s">
        <v>85</v>
      </c>
      <c r="L57" s="72"/>
      <c r="M57" s="85"/>
      <c r="N57" s="85"/>
      <c r="O57" s="72"/>
    </row>
    <row r="58" ht="18" customHeight="1" spans="1:15">
      <c r="A58" s="80"/>
      <c r="B58" s="75">
        <f>ROUND(G58/(1+E58),2)</f>
        <v>0</v>
      </c>
      <c r="C58" s="76"/>
      <c r="D58" s="77"/>
      <c r="E58" s="78"/>
      <c r="F58" s="75">
        <f>ROUND(G58/(1+E58)*E58,2)</f>
        <v>0</v>
      </c>
      <c r="G58" s="66"/>
      <c r="H58" s="64" t="s">
        <v>82</v>
      </c>
      <c r="I58" s="98">
        <v>26715.6</v>
      </c>
      <c r="J58" s="85" t="s">
        <v>83</v>
      </c>
      <c r="K58" s="118" t="s">
        <v>86</v>
      </c>
      <c r="L58" s="72"/>
      <c r="M58" s="85"/>
      <c r="N58" s="85"/>
      <c r="O58" s="72"/>
    </row>
    <row r="59" ht="18" customHeight="1" spans="1:15">
      <c r="A59" s="80"/>
      <c r="B59" s="75">
        <f>ROUND(G59/(1+E59),2)</f>
        <v>0</v>
      </c>
      <c r="C59" s="76"/>
      <c r="D59" s="77"/>
      <c r="E59" s="78"/>
      <c r="F59" s="75">
        <f>ROUND(G59/(1+E59)*E59,2)</f>
        <v>0</v>
      </c>
      <c r="G59" s="66"/>
      <c r="H59" s="64" t="s">
        <v>23</v>
      </c>
      <c r="I59" s="98">
        <v>37521.82</v>
      </c>
      <c r="J59" s="85" t="s">
        <v>83</v>
      </c>
      <c r="K59" s="119" t="s">
        <v>87</v>
      </c>
      <c r="L59" s="72"/>
      <c r="M59" s="85"/>
      <c r="N59" s="85"/>
      <c r="O59" s="72"/>
    </row>
    <row r="60" ht="18" customHeight="1" spans="1:15">
      <c r="A60" s="70" t="s">
        <v>27</v>
      </c>
      <c r="B60" s="69">
        <f>SUM(B26:B59)</f>
        <v>4065993.59</v>
      </c>
      <c r="C60" s="70"/>
      <c r="D60" s="89"/>
      <c r="E60" s="89"/>
      <c r="F60" s="71">
        <f>SUM(F26:F59)</f>
        <v>340392.35</v>
      </c>
      <c r="G60" s="70">
        <f>SUM(G26:G59)</f>
        <v>4406385.94</v>
      </c>
      <c r="H60" s="72"/>
      <c r="I60" s="100">
        <f>SUM(I26:I59)</f>
        <v>3101477.54</v>
      </c>
      <c r="J60" s="72"/>
      <c r="K60" s="120"/>
      <c r="L60" s="73"/>
      <c r="M60" s="121"/>
      <c r="N60" s="121"/>
      <c r="O60" s="73"/>
    </row>
    <row r="61" ht="18" customHeight="1" spans="1:15">
      <c r="A61" s="90"/>
      <c r="B61" s="90">
        <f>B23-B60</f>
        <v>450883.807831526</v>
      </c>
      <c r="C61" s="90"/>
      <c r="D61" s="91"/>
      <c r="E61" s="91"/>
      <c r="F61" s="90">
        <f>F23-F60</f>
        <v>-7847.2957881568</v>
      </c>
      <c r="G61" s="90"/>
      <c r="H61" s="89" t="s">
        <v>88</v>
      </c>
      <c r="I61" s="100">
        <f>I23-I60</f>
        <v>1108522.46</v>
      </c>
      <c r="J61" s="73"/>
      <c r="K61" s="73">
        <f>F61/0.09*1.09</f>
        <v>-95039.4712121213</v>
      </c>
      <c r="L61" s="73"/>
      <c r="M61" s="73"/>
      <c r="N61" s="73"/>
      <c r="O61" s="73"/>
    </row>
    <row r="62" ht="18" customHeight="1" spans="1:15">
      <c r="A62" s="61" t="s">
        <v>89</v>
      </c>
      <c r="B62" s="59"/>
      <c r="C62" s="61"/>
      <c r="D62" s="59"/>
      <c r="E62" s="59"/>
      <c r="F62" s="73">
        <f>F60-322268.63</f>
        <v>18123.72</v>
      </c>
      <c r="G62" s="73"/>
      <c r="H62" s="59"/>
      <c r="I62" s="102"/>
      <c r="J62" s="101"/>
      <c r="K62" s="73"/>
      <c r="L62" s="73"/>
      <c r="M62" s="73"/>
      <c r="N62" s="73"/>
      <c r="O62" s="73"/>
    </row>
    <row r="63" ht="18" customHeight="1" spans="1:15">
      <c r="A63" s="63" t="s">
        <v>90</v>
      </c>
      <c r="B63" s="62" t="s">
        <v>91</v>
      </c>
      <c r="C63" s="72"/>
      <c r="D63" s="63" t="s">
        <v>90</v>
      </c>
      <c r="E63" s="62" t="s">
        <v>17</v>
      </c>
      <c r="F63" s="62" t="s">
        <v>91</v>
      </c>
      <c r="G63" s="56" t="s">
        <v>86</v>
      </c>
      <c r="H63" s="59"/>
      <c r="I63" s="122" t="s">
        <v>92</v>
      </c>
      <c r="J63" s="101"/>
      <c r="K63" s="72" t="s">
        <v>93</v>
      </c>
      <c r="L63" s="55" t="s">
        <v>94</v>
      </c>
      <c r="M63" s="73"/>
      <c r="N63" s="73"/>
      <c r="O63" s="73"/>
    </row>
    <row r="64" ht="18" customHeight="1" spans="1:15">
      <c r="A64" s="72" t="s">
        <v>95</v>
      </c>
      <c r="B64" s="75">
        <f>(B23-B60)*0.25</f>
        <v>112720.951957882</v>
      </c>
      <c r="C64" s="72"/>
      <c r="D64" s="53" t="s">
        <v>96</v>
      </c>
      <c r="E64" s="85" t="s">
        <v>97</v>
      </c>
      <c r="F64" s="71">
        <f>F23-F60</f>
        <v>-7847.2957881568</v>
      </c>
      <c r="G64" s="71">
        <f>D8+D9</f>
        <v>23853.2110091743</v>
      </c>
      <c r="H64" s="59"/>
      <c r="I64" s="123">
        <f>D10</f>
        <v>8440.36697247706</v>
      </c>
      <c r="J64" s="101"/>
      <c r="K64" s="71"/>
      <c r="L64" s="71">
        <f>D16+D17+D18+D19+D20</f>
        <v>7151.55963302752</v>
      </c>
      <c r="M64" s="59"/>
      <c r="N64" s="73"/>
      <c r="O64" s="73"/>
    </row>
    <row r="65" ht="18" customHeight="1" spans="1:15">
      <c r="A65" s="72" t="s">
        <v>98</v>
      </c>
      <c r="B65" s="55">
        <f>G23*0.0003</f>
        <v>1481.928</v>
      </c>
      <c r="C65" s="72"/>
      <c r="D65" s="124" t="s">
        <v>99</v>
      </c>
      <c r="E65" s="125">
        <v>0.07</v>
      </c>
      <c r="F65" s="55">
        <f>F64*E65</f>
        <v>-549.310705170976</v>
      </c>
      <c r="G65" s="55">
        <f>G64*E65</f>
        <v>1669.7247706422</v>
      </c>
      <c r="H65" s="59"/>
      <c r="I65" s="129">
        <f>I64*0.07</f>
        <v>590.825688073395</v>
      </c>
      <c r="J65" s="101"/>
      <c r="K65" s="55"/>
      <c r="L65" s="55">
        <f>L64*0.07</f>
        <v>500.609174311927</v>
      </c>
      <c r="M65" s="59"/>
      <c r="N65" s="73"/>
      <c r="O65" s="73"/>
    </row>
    <row r="66" ht="18" customHeight="1" spans="1:15">
      <c r="A66" s="72" t="s">
        <v>100</v>
      </c>
      <c r="B66" s="55">
        <f>B23*0.0006</f>
        <v>2710.12643869892</v>
      </c>
      <c r="C66" s="72"/>
      <c r="D66" s="124" t="s">
        <v>101</v>
      </c>
      <c r="E66" s="125">
        <v>0.03</v>
      </c>
      <c r="F66" s="55">
        <f>F64*E66</f>
        <v>-235.418873644704</v>
      </c>
      <c r="G66" s="55">
        <f>G64*E66</f>
        <v>715.596330275229</v>
      </c>
      <c r="H66" s="59"/>
      <c r="I66" s="129">
        <f>I64*E66</f>
        <v>253.211009174312</v>
      </c>
      <c r="J66" s="101"/>
      <c r="K66" s="55"/>
      <c r="L66" s="55">
        <f>L64*E66</f>
        <v>214.546788990826</v>
      </c>
      <c r="M66" s="59"/>
      <c r="N66" s="73"/>
      <c r="O66" s="73"/>
    </row>
    <row r="67" ht="18" customHeight="1" spans="1:15">
      <c r="A67" s="72"/>
      <c r="B67" s="72"/>
      <c r="C67" s="72"/>
      <c r="D67" s="124" t="s">
        <v>102</v>
      </c>
      <c r="E67" s="125">
        <v>0.02</v>
      </c>
      <c r="F67" s="55">
        <f>F64*E67</f>
        <v>-156.945915763136</v>
      </c>
      <c r="G67" s="55">
        <f>G64*E67</f>
        <v>477.064220183486</v>
      </c>
      <c r="H67" s="59"/>
      <c r="I67" s="129">
        <f>I64*E67</f>
        <v>168.807339449541</v>
      </c>
      <c r="J67" s="101"/>
      <c r="K67" s="55"/>
      <c r="L67" s="55">
        <f>L64*E67</f>
        <v>143.03119266055</v>
      </c>
      <c r="M67" s="59"/>
      <c r="N67" s="73"/>
      <c r="O67" s="73"/>
    </row>
    <row r="68" ht="18" customHeight="1" spans="1:15">
      <c r="A68" s="68" t="s">
        <v>103</v>
      </c>
      <c r="B68" s="69">
        <f>SUM(B64:B67)</f>
        <v>116913.00639658</v>
      </c>
      <c r="C68" s="72"/>
      <c r="D68" s="68" t="s">
        <v>103</v>
      </c>
      <c r="E68" s="126"/>
      <c r="F68" s="71">
        <f>SUM(F64:F67)</f>
        <v>-8788.97128273561</v>
      </c>
      <c r="G68" s="71">
        <f>SUM(G64:G67)</f>
        <v>26715.5963302752</v>
      </c>
      <c r="H68" s="59"/>
      <c r="I68" s="123">
        <f>SUM(I64:I67)</f>
        <v>9453.21100917431</v>
      </c>
      <c r="J68" s="101"/>
      <c r="K68" s="71"/>
      <c r="L68" s="71">
        <f>SUM(L64:L67)</f>
        <v>8009.74678899082</v>
      </c>
      <c r="M68" s="59"/>
      <c r="N68" s="73"/>
      <c r="O68" s="73"/>
    </row>
    <row r="69" ht="18" customHeight="1" spans="3:13">
      <c r="C69" s="2"/>
      <c r="D69" s="55" t="s">
        <v>98</v>
      </c>
      <c r="E69" s="127">
        <v>0.0003</v>
      </c>
      <c r="F69" s="55">
        <f>G23*E69</f>
        <v>1481.928</v>
      </c>
      <c r="G69" s="55">
        <f>1300000*E69</f>
        <v>390</v>
      </c>
      <c r="I69" s="129">
        <f>G10*0.0003</f>
        <v>138</v>
      </c>
      <c r="K69" s="55">
        <f>G15*E69</f>
        <v>33</v>
      </c>
      <c r="L69" s="55">
        <f>(G16+G17+G18+G19+G20)*E69</f>
        <v>116.928</v>
      </c>
      <c r="M69" s="3"/>
    </row>
    <row r="70" ht="18" customHeight="1" spans="3:13">
      <c r="C70" s="2"/>
      <c r="D70" s="55" t="s">
        <v>100</v>
      </c>
      <c r="E70" s="127">
        <v>0.0006</v>
      </c>
      <c r="F70" s="55">
        <f>B23*E70</f>
        <v>2710.12643869892</v>
      </c>
      <c r="G70" s="55">
        <f>(B8+B9)*E70</f>
        <v>715.596330275229</v>
      </c>
      <c r="I70" s="129">
        <f>B10*0.0006</f>
        <v>253.211009174312</v>
      </c>
      <c r="K70" s="55">
        <f>B15*E70</f>
        <v>60.5504587155963</v>
      </c>
      <c r="L70" s="55">
        <f>(B16+B17+B18+B19+B20)*E70</f>
        <v>214.546788990826</v>
      </c>
      <c r="M70" s="3"/>
    </row>
    <row r="71" ht="18" customHeight="1" spans="3:13">
      <c r="C71" s="2"/>
      <c r="D71" s="70" t="s">
        <v>103</v>
      </c>
      <c r="E71" s="70"/>
      <c r="F71" s="70">
        <f>SUM(F69:F70)</f>
        <v>4192.05443869891</v>
      </c>
      <c r="G71" s="70">
        <f>SUM(G69:G70)</f>
        <v>1105.59633027523</v>
      </c>
      <c r="I71" s="130">
        <f>I69+I70</f>
        <v>391.211009174312</v>
      </c>
      <c r="K71" s="70">
        <f>SUM(K69:K70)</f>
        <v>93.5504587155963</v>
      </c>
      <c r="L71" s="70">
        <f>SUM(L69:L70)</f>
        <v>331.474788990826</v>
      </c>
      <c r="M71" s="3"/>
    </row>
    <row r="72" ht="18" customHeight="1" spans="3:13">
      <c r="C72" s="2"/>
      <c r="D72" s="90"/>
      <c r="E72" s="90"/>
      <c r="F72" s="90"/>
      <c r="G72" s="90"/>
      <c r="H72" s="128"/>
      <c r="I72" s="131">
        <f>I68+I71</f>
        <v>9844.42201834862</v>
      </c>
      <c r="K72" s="90"/>
      <c r="L72" s="90"/>
      <c r="M72" s="3"/>
    </row>
    <row r="73" ht="18" customHeight="1" spans="3:12">
      <c r="C73" s="2"/>
      <c r="F73" s="6"/>
      <c r="G73" s="6"/>
      <c r="I73" s="122" t="s">
        <v>104</v>
      </c>
      <c r="L73" s="3">
        <f>L68+L71</f>
        <v>8341.22157798165</v>
      </c>
    </row>
    <row r="74" ht="18" customHeight="1" spans="3:9">
      <c r="C74" s="2"/>
      <c r="F74" s="6"/>
      <c r="G74" s="6"/>
      <c r="I74" s="123">
        <f>D11</f>
        <v>1100.91743119266</v>
      </c>
    </row>
    <row r="75" ht="18" customHeight="1" spans="3:9">
      <c r="C75" s="2"/>
      <c r="F75" s="6"/>
      <c r="G75" s="6"/>
      <c r="I75" s="129">
        <f>I74*E65</f>
        <v>77.0642201834862</v>
      </c>
    </row>
    <row r="76" ht="18" customHeight="1" spans="3:9">
      <c r="C76" s="2"/>
      <c r="F76" s="6"/>
      <c r="G76" s="6"/>
      <c r="I76" s="129">
        <f>I74*E66</f>
        <v>33.0275229357798</v>
      </c>
    </row>
    <row r="77" ht="18" customHeight="1" spans="3:9">
      <c r="C77" s="2"/>
      <c r="F77" s="6"/>
      <c r="G77" s="6"/>
      <c r="I77" s="129">
        <f>I74*E67</f>
        <v>22.0183486238532</v>
      </c>
    </row>
    <row r="78" ht="18" customHeight="1" spans="3:9">
      <c r="C78" s="2"/>
      <c r="F78" s="6"/>
      <c r="G78" s="6"/>
      <c r="I78" s="123">
        <f>SUM(I74:I77)</f>
        <v>1233.02752293578</v>
      </c>
    </row>
    <row r="79" ht="18" customHeight="1" spans="3:9">
      <c r="C79" s="2"/>
      <c r="F79" s="6"/>
      <c r="G79" s="6"/>
      <c r="I79" s="129">
        <f>60000*0.0003</f>
        <v>18</v>
      </c>
    </row>
    <row r="80" ht="18" customHeight="1" spans="3:9">
      <c r="C80" s="2"/>
      <c r="F80" s="6"/>
      <c r="G80" s="6"/>
      <c r="I80" s="129">
        <f>B11*0.0006</f>
        <v>33.0275229357798</v>
      </c>
    </row>
    <row r="81" ht="18" customHeight="1" spans="3:9">
      <c r="C81" s="2"/>
      <c r="F81" s="6"/>
      <c r="G81" s="6"/>
      <c r="I81" s="132">
        <f>SUM(I79:I80)</f>
        <v>51.0275229357798</v>
      </c>
    </row>
    <row r="82" ht="18" customHeight="1" spans="3:10">
      <c r="C82" s="2"/>
      <c r="F82" s="6"/>
      <c r="G82" s="6"/>
      <c r="H82" s="128"/>
      <c r="I82" s="131">
        <f>I78+I81</f>
        <v>1284.05504587156</v>
      </c>
      <c r="J82" s="133"/>
    </row>
    <row r="83" ht="18" customHeight="1" spans="3:9">
      <c r="C83" s="2"/>
      <c r="F83" s="6"/>
      <c r="G83" s="6"/>
      <c r="I83" s="122" t="s">
        <v>105</v>
      </c>
    </row>
    <row r="84" ht="18" customHeight="1" spans="3:9">
      <c r="C84" s="2"/>
      <c r="F84" s="6"/>
      <c r="G84" s="6"/>
      <c r="I84" s="123">
        <f>D12</f>
        <v>5137.61467889908</v>
      </c>
    </row>
    <row r="85" ht="18" customHeight="1" spans="3:9">
      <c r="C85" s="2"/>
      <c r="F85" s="6"/>
      <c r="G85" s="6"/>
      <c r="I85" s="98">
        <f>I84*E65</f>
        <v>359.633027522936</v>
      </c>
    </row>
    <row r="86" ht="18" customHeight="1" spans="3:9">
      <c r="C86" s="2"/>
      <c r="F86" s="6"/>
      <c r="G86" s="6"/>
      <c r="I86" s="98">
        <f>I84*E66</f>
        <v>154.128440366972</v>
      </c>
    </row>
    <row r="87" ht="18" customHeight="1" spans="3:9">
      <c r="C87" s="2"/>
      <c r="I87" s="98">
        <f>I84*E67</f>
        <v>102.752293577982</v>
      </c>
    </row>
    <row r="88" ht="18" customHeight="1" spans="3:9">
      <c r="C88" s="2"/>
      <c r="I88" s="123">
        <f>SUM(I84:I87)</f>
        <v>5754.12844036697</v>
      </c>
    </row>
    <row r="89" ht="18" customHeight="1" spans="3:9">
      <c r="C89" s="2"/>
      <c r="I89" s="129">
        <f>280000*0.0003</f>
        <v>84</v>
      </c>
    </row>
    <row r="90" ht="18" customHeight="1" spans="3:9">
      <c r="C90" s="2"/>
      <c r="I90" s="98">
        <f>B12*E70</f>
        <v>154.128440366972</v>
      </c>
    </row>
    <row r="91" ht="18" customHeight="1" spans="3:9">
      <c r="C91" s="2"/>
      <c r="I91" s="100">
        <f>SUM(I89:I90)</f>
        <v>238.128440366972</v>
      </c>
    </row>
    <row r="92" ht="18" customHeight="1" spans="3:11">
      <c r="C92" s="2"/>
      <c r="H92" s="128"/>
      <c r="I92" s="134">
        <f>I88+I91</f>
        <v>5992.25688073394</v>
      </c>
      <c r="J92" s="133"/>
      <c r="K92" s="135"/>
    </row>
    <row r="93" ht="18" customHeight="1" spans="3:9">
      <c r="C93" s="2"/>
      <c r="I93" s="122" t="s">
        <v>106</v>
      </c>
    </row>
    <row r="94" ht="18" customHeight="1" spans="3:9">
      <c r="C94" s="2"/>
      <c r="I94" s="123">
        <f>D13</f>
        <v>3669.7247706422</v>
      </c>
    </row>
    <row r="95" ht="18" customHeight="1" spans="3:9">
      <c r="C95" s="2"/>
      <c r="I95" s="98">
        <f>I94*E65</f>
        <v>256.880733944954</v>
      </c>
    </row>
    <row r="96" ht="18" customHeight="1" spans="3:9">
      <c r="C96" s="2"/>
      <c r="I96" s="98">
        <f>I94*E66</f>
        <v>110.091743119266</v>
      </c>
    </row>
    <row r="97" ht="18" customHeight="1" spans="9:9">
      <c r="I97" s="98">
        <f>I94*E67</f>
        <v>73.394495412844</v>
      </c>
    </row>
    <row r="98" ht="18" customHeight="1" spans="9:9">
      <c r="I98" s="123">
        <f>SUM(I94:I97)</f>
        <v>4110.09174311927</v>
      </c>
    </row>
    <row r="99" ht="18" customHeight="1" spans="9:9">
      <c r="I99" s="98">
        <f>G13*E69</f>
        <v>60</v>
      </c>
    </row>
    <row r="100" ht="18" customHeight="1" spans="9:9">
      <c r="I100" s="98">
        <f>B13*E70</f>
        <v>110.091743119266</v>
      </c>
    </row>
    <row r="101" ht="18" customHeight="1" spans="9:9">
      <c r="I101" s="100">
        <f>SUM(I99:I100)</f>
        <v>170.091743119266</v>
      </c>
    </row>
    <row r="102" ht="18" customHeight="1" spans="8:10">
      <c r="H102" s="128"/>
      <c r="I102" s="134">
        <f>I98+I101</f>
        <v>4280.18348623853</v>
      </c>
      <c r="J102" s="133"/>
    </row>
    <row r="103" ht="18" customHeight="1" spans="9:9">
      <c r="I103" s="122" t="s">
        <v>107</v>
      </c>
    </row>
    <row r="104" ht="18" customHeight="1" spans="9:9">
      <c r="I104" s="123">
        <f>D14</f>
        <v>6238.53211009174</v>
      </c>
    </row>
    <row r="105" ht="18" customHeight="1" spans="9:9">
      <c r="I105" s="98">
        <f>I104*0.07</f>
        <v>436.697247706422</v>
      </c>
    </row>
    <row r="106" ht="18" customHeight="1" spans="9:9">
      <c r="I106" s="98">
        <f>I104*0.03</f>
        <v>187.155963302752</v>
      </c>
    </row>
    <row r="107" ht="18" customHeight="1" spans="9:9">
      <c r="I107" s="98">
        <f>I104*0.02</f>
        <v>124.770642201835</v>
      </c>
    </row>
    <row r="108" ht="18" customHeight="1" spans="9:9">
      <c r="I108" s="123">
        <f>SUM(I104:I107)</f>
        <v>6987.15596330275</v>
      </c>
    </row>
    <row r="109" ht="18" customHeight="1" spans="9:9">
      <c r="I109" s="98">
        <f>340000*0.0003</f>
        <v>102</v>
      </c>
    </row>
    <row r="110" ht="18" customHeight="1" spans="9:9">
      <c r="I110" s="98">
        <f>B14*0.0006</f>
        <v>187.155963302752</v>
      </c>
    </row>
    <row r="111" ht="18" customHeight="1" spans="9:9">
      <c r="I111" s="100">
        <f>SUM(I109:I110)</f>
        <v>289.155963302752</v>
      </c>
    </row>
    <row r="112" ht="18" customHeight="1" spans="9:9">
      <c r="I112" s="102"/>
    </row>
    <row r="113" ht="18" customHeight="1" spans="9:9">
      <c r="I113" s="122" t="s">
        <v>108</v>
      </c>
    </row>
    <row r="114" ht="18" customHeight="1" spans="9:9">
      <c r="I114" s="136">
        <f>D15</f>
        <v>2018.34862385321</v>
      </c>
    </row>
    <row r="115" ht="18" customHeight="1" spans="9:9">
      <c r="I115" s="98">
        <f>I114*0.07</f>
        <v>141.284403669725</v>
      </c>
    </row>
    <row r="116" ht="18" customHeight="1" spans="9:9">
      <c r="I116" s="98">
        <f>I114*0.03</f>
        <v>60.5504587155963</v>
      </c>
    </row>
    <row r="117" ht="18" customHeight="1" spans="9:9">
      <c r="I117" s="98">
        <f>I114*0.02</f>
        <v>40.3669724770642</v>
      </c>
    </row>
    <row r="118" ht="18" customHeight="1" spans="9:9">
      <c r="I118" s="136">
        <f>SUM(I114:I117)</f>
        <v>2260.5504587156</v>
      </c>
    </row>
    <row r="119" ht="18" customHeight="1" spans="9:9">
      <c r="I119" s="98">
        <f>110000*0.0003</f>
        <v>33</v>
      </c>
    </row>
    <row r="120" ht="18" customHeight="1" spans="9:9">
      <c r="I120" s="137">
        <f>B15*0.0006</f>
        <v>60.5504587155963</v>
      </c>
    </row>
    <row r="121" ht="15" customHeight="1" spans="9:9">
      <c r="I121" s="138">
        <f>SUM(I119:I120)</f>
        <v>93.5504587155963</v>
      </c>
    </row>
  </sheetData>
  <autoFilter ref="A24:O11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opLeftCell="A25" workbookViewId="0">
      <selection activeCell="E42" sqref="E42"/>
    </sheetView>
  </sheetViews>
  <sheetFormatPr defaultColWidth="9" defaultRowHeight="12"/>
  <cols>
    <col min="1" max="1" width="10.775" style="2" customWidth="1"/>
    <col min="2" max="2" width="12.2166666666667" style="3" customWidth="1"/>
    <col min="3" max="3" width="6" style="3" customWidth="1"/>
    <col min="4" max="4" width="13.3333333333333" style="3" customWidth="1"/>
    <col min="5" max="5" width="6" style="3" customWidth="1"/>
    <col min="6" max="6" width="12" style="3" customWidth="1"/>
    <col min="7" max="7" width="14.1083333333333" style="3" customWidth="1"/>
    <col min="8" max="8" width="9.66666666666667" style="3" customWidth="1"/>
    <col min="9" max="9" width="13.8833333333333" style="4" customWidth="1"/>
    <col min="10" max="10" width="7.775" style="5" customWidth="1"/>
    <col min="11" max="11" width="31.4416666666667" style="6" customWidth="1"/>
    <col min="12" max="12" width="17.2166666666667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109</v>
      </c>
      <c r="B1" s="8"/>
      <c r="C1" s="8"/>
      <c r="D1" s="8"/>
      <c r="E1" s="8"/>
      <c r="F1" s="8"/>
      <c r="G1" s="8"/>
      <c r="H1" s="8"/>
      <c r="I1" s="8"/>
      <c r="J1" s="8"/>
      <c r="K1" s="15"/>
      <c r="L1" s="15"/>
    </row>
    <row r="2" ht="18" customHeight="1" spans="1:12">
      <c r="A2" s="9" t="s">
        <v>1</v>
      </c>
      <c r="B2" s="10" t="s">
        <v>2</v>
      </c>
      <c r="C2" s="11" t="s">
        <v>3</v>
      </c>
      <c r="D2" s="11">
        <v>5686666</v>
      </c>
      <c r="E2" s="12" t="s">
        <v>4</v>
      </c>
      <c r="F2" s="11" t="s">
        <v>5</v>
      </c>
      <c r="G2" s="12" t="s">
        <v>6</v>
      </c>
      <c r="H2" s="13" t="s">
        <v>110</v>
      </c>
      <c r="I2" s="38"/>
      <c r="J2" s="39"/>
      <c r="K2" s="15"/>
      <c r="L2" s="15"/>
    </row>
    <row r="3" ht="18" customHeight="1" spans="1:12">
      <c r="A3" s="9" t="s">
        <v>8</v>
      </c>
      <c r="B3" s="14"/>
      <c r="C3" s="11" t="s">
        <v>9</v>
      </c>
      <c r="D3" s="11"/>
      <c r="H3" s="15"/>
      <c r="I3" s="40"/>
      <c r="J3" s="15"/>
      <c r="K3" s="15"/>
      <c r="L3" s="15"/>
    </row>
    <row r="4" ht="18" customHeight="1" spans="1:12">
      <c r="A4" s="2" t="s">
        <v>10</v>
      </c>
      <c r="H4" s="15"/>
      <c r="I4" s="40"/>
      <c r="J4" s="15"/>
      <c r="K4" s="15"/>
      <c r="L4" s="15"/>
    </row>
    <row r="5" ht="18" customHeight="1" spans="1:10">
      <c r="A5" s="16" t="s">
        <v>11</v>
      </c>
      <c r="B5" s="16" t="s">
        <v>12</v>
      </c>
      <c r="C5" s="16" t="s">
        <v>13</v>
      </c>
      <c r="D5" s="16"/>
      <c r="E5" s="16" t="s">
        <v>14</v>
      </c>
      <c r="F5" s="16"/>
      <c r="G5" s="16" t="s">
        <v>15</v>
      </c>
      <c r="H5" s="17" t="s">
        <v>16</v>
      </c>
      <c r="I5" s="17"/>
      <c r="J5" s="17"/>
    </row>
    <row r="6" ht="18" customHeight="1" spans="1:10">
      <c r="A6" s="16"/>
      <c r="B6" s="16"/>
      <c r="C6" s="16" t="s">
        <v>17</v>
      </c>
      <c r="D6" s="16" t="s">
        <v>18</v>
      </c>
      <c r="E6" s="16" t="s">
        <v>17</v>
      </c>
      <c r="F6" s="16" t="s">
        <v>18</v>
      </c>
      <c r="G6" s="16"/>
      <c r="H6" s="17" t="s">
        <v>19</v>
      </c>
      <c r="I6" s="41" t="s">
        <v>20</v>
      </c>
      <c r="J6" s="17" t="s">
        <v>21</v>
      </c>
    </row>
    <row r="7" ht="18" customHeight="1" spans="1:10">
      <c r="A7" s="18" t="s">
        <v>22</v>
      </c>
      <c r="B7" s="11">
        <f t="shared" ref="B7:B8" si="0">G7/(1+C7+E7)</f>
        <v>1636363.63636364</v>
      </c>
      <c r="C7" s="19">
        <v>0.02</v>
      </c>
      <c r="D7" s="11">
        <f t="shared" ref="D7:D8" si="1">G7/(1+E7+C7)*C7</f>
        <v>32727.2727272727</v>
      </c>
      <c r="E7" s="19">
        <v>0.08</v>
      </c>
      <c r="F7" s="11">
        <f t="shared" ref="F7:F8" si="2">G7/(1+C7+E7)*E7</f>
        <v>130909.090909091</v>
      </c>
      <c r="G7" s="20">
        <v>1800000</v>
      </c>
      <c r="H7" s="18" t="s">
        <v>23</v>
      </c>
      <c r="I7" s="42">
        <v>1800000</v>
      </c>
      <c r="J7" s="35"/>
    </row>
    <row r="8" ht="18" customHeight="1" spans="1:10">
      <c r="A8" s="18" t="s">
        <v>24</v>
      </c>
      <c r="B8" s="11">
        <f t="shared" si="0"/>
        <v>183486.23853211</v>
      </c>
      <c r="C8" s="19">
        <v>0.02</v>
      </c>
      <c r="D8" s="11">
        <f t="shared" si="1"/>
        <v>3669.7247706422</v>
      </c>
      <c r="E8" s="19">
        <v>0.07</v>
      </c>
      <c r="F8" s="11">
        <f t="shared" si="2"/>
        <v>12844.0366972477</v>
      </c>
      <c r="G8" s="20">
        <v>200000</v>
      </c>
      <c r="H8" s="18"/>
      <c r="I8" s="42"/>
      <c r="J8" s="35"/>
    </row>
    <row r="9" ht="18" customHeight="1" spans="1:10">
      <c r="A9" s="18" t="s">
        <v>26</v>
      </c>
      <c r="B9" s="11">
        <f t="shared" ref="B9:B11" si="3">G9/(1+C9+E9)</f>
        <v>1009174.31192661</v>
      </c>
      <c r="C9" s="19">
        <v>0.02</v>
      </c>
      <c r="D9" s="11">
        <f t="shared" ref="D9:D11" si="4">G9/(1+E9+C9)*C9</f>
        <v>20183.4862385321</v>
      </c>
      <c r="E9" s="19">
        <v>0.07</v>
      </c>
      <c r="F9" s="11">
        <f t="shared" ref="F9:F11" si="5">G9/(1+C9+E9)*E9</f>
        <v>70642.2018348624</v>
      </c>
      <c r="G9" s="20">
        <v>1100000</v>
      </c>
      <c r="H9" s="18"/>
      <c r="I9" s="42"/>
      <c r="J9" s="35"/>
    </row>
    <row r="10" ht="18" customHeight="1" spans="1:10">
      <c r="A10" s="18"/>
      <c r="B10" s="11">
        <f t="shared" si="3"/>
        <v>0</v>
      </c>
      <c r="C10" s="19"/>
      <c r="D10" s="11">
        <f t="shared" si="4"/>
        <v>0</v>
      </c>
      <c r="E10" s="19">
        <v>0.08</v>
      </c>
      <c r="F10" s="11">
        <f t="shared" si="5"/>
        <v>0</v>
      </c>
      <c r="G10" s="20"/>
      <c r="H10" s="18"/>
      <c r="I10" s="42"/>
      <c r="J10" s="35"/>
    </row>
    <row r="11" ht="18" customHeight="1" spans="1:10">
      <c r="A11" s="18"/>
      <c r="B11" s="11">
        <f t="shared" si="3"/>
        <v>0</v>
      </c>
      <c r="C11" s="19"/>
      <c r="D11" s="11">
        <f t="shared" si="4"/>
        <v>0</v>
      </c>
      <c r="E11" s="19">
        <v>0.08</v>
      </c>
      <c r="F11" s="11">
        <f t="shared" si="5"/>
        <v>0</v>
      </c>
      <c r="G11" s="20"/>
      <c r="H11" s="18"/>
      <c r="I11" s="42"/>
      <c r="J11" s="35"/>
    </row>
    <row r="12" ht="18" customHeight="1" spans="1:12">
      <c r="A12" s="21" t="s">
        <v>27</v>
      </c>
      <c r="B12" s="22">
        <f>SUM(B7:B11)</f>
        <v>2829024.18682235</v>
      </c>
      <c r="C12" s="23"/>
      <c r="D12" s="23">
        <f>SUM(D7:D11)</f>
        <v>56580.483736447</v>
      </c>
      <c r="E12" s="23"/>
      <c r="F12" s="24">
        <f>SUM(F7:F11)</f>
        <v>214395.329441201</v>
      </c>
      <c r="G12" s="23">
        <f>SUM(G7:G11)</f>
        <v>3100000</v>
      </c>
      <c r="H12" s="25"/>
      <c r="I12" s="43">
        <f>SUM(I7:I11)</f>
        <v>1800000</v>
      </c>
      <c r="J12" s="25"/>
      <c r="K12" s="3"/>
      <c r="L12" s="5"/>
    </row>
    <row r="13" ht="18" customHeight="1" spans="1:15">
      <c r="A13" s="2" t="s">
        <v>28</v>
      </c>
      <c r="B13" s="6"/>
      <c r="J13" s="3"/>
      <c r="K13" s="44" t="s">
        <v>29</v>
      </c>
      <c r="L13" s="17" t="s">
        <v>30</v>
      </c>
      <c r="M13" s="17" t="s">
        <v>31</v>
      </c>
      <c r="N13" s="17" t="s">
        <v>32</v>
      </c>
      <c r="O13" s="17" t="s">
        <v>33</v>
      </c>
    </row>
    <row r="14" s="1" customFormat="1" ht="18" customHeight="1" spans="1:15">
      <c r="A14" s="26" t="s">
        <v>34</v>
      </c>
      <c r="B14" s="16" t="s">
        <v>35</v>
      </c>
      <c r="C14" s="16" t="s">
        <v>36</v>
      </c>
      <c r="D14" s="16" t="s">
        <v>37</v>
      </c>
      <c r="E14" s="16" t="s">
        <v>17</v>
      </c>
      <c r="F14" s="16" t="s">
        <v>38</v>
      </c>
      <c r="G14" s="16" t="s">
        <v>15</v>
      </c>
      <c r="H14" s="16" t="s">
        <v>39</v>
      </c>
      <c r="I14" s="41" t="s">
        <v>40</v>
      </c>
      <c r="J14" s="16" t="s">
        <v>21</v>
      </c>
      <c r="K14" s="45"/>
      <c r="L14" s="46"/>
      <c r="M14" s="29"/>
      <c r="N14" s="29"/>
      <c r="O14" s="46"/>
    </row>
    <row r="15" s="1" customFormat="1" ht="18" customHeight="1" spans="1:15">
      <c r="A15" s="10" t="s">
        <v>41</v>
      </c>
      <c r="B15" s="27">
        <f>ROUND(G15/(1+E15),2)</f>
        <v>155172.41</v>
      </c>
      <c r="C15" s="28">
        <v>3</v>
      </c>
      <c r="D15" s="29" t="s">
        <v>42</v>
      </c>
      <c r="E15" s="30">
        <v>0.16</v>
      </c>
      <c r="F15" s="27">
        <f>ROUND(G15/(1+E15)*E15,2)</f>
        <v>24827.59</v>
      </c>
      <c r="G15" s="20">
        <v>180000</v>
      </c>
      <c r="H15" s="18"/>
      <c r="I15" s="47"/>
      <c r="J15" s="35"/>
      <c r="K15" s="45" t="s">
        <v>43</v>
      </c>
      <c r="L15" s="11" t="s">
        <v>44</v>
      </c>
      <c r="M15" s="29"/>
      <c r="N15" s="29"/>
      <c r="O15" s="46"/>
    </row>
    <row r="16" s="1" customFormat="1" ht="18" customHeight="1" spans="1:15">
      <c r="A16" s="10" t="s">
        <v>41</v>
      </c>
      <c r="B16" s="27">
        <f t="shared" ref="B16:B36" si="6">ROUND(G16/(1+E16),2)</f>
        <v>532094.83</v>
      </c>
      <c r="C16" s="28"/>
      <c r="D16" s="29"/>
      <c r="E16" s="30">
        <v>0.16</v>
      </c>
      <c r="F16" s="27">
        <f t="shared" ref="F16:F36" si="7">ROUND(G16/(1+E16)*E16,2)</f>
        <v>85135.17</v>
      </c>
      <c r="G16" s="20">
        <v>617230</v>
      </c>
      <c r="H16" s="31"/>
      <c r="I16" s="47"/>
      <c r="J16" s="35"/>
      <c r="K16" s="45" t="s">
        <v>45</v>
      </c>
      <c r="L16" s="11" t="s">
        <v>46</v>
      </c>
      <c r="M16" s="29"/>
      <c r="N16" s="29"/>
      <c r="O16" s="46"/>
    </row>
    <row r="17" s="1" customFormat="1" ht="18" customHeight="1" spans="1:15">
      <c r="A17" s="10" t="s">
        <v>41</v>
      </c>
      <c r="B17" s="27">
        <f t="shared" si="6"/>
        <v>84957.26</v>
      </c>
      <c r="C17" s="28">
        <v>2</v>
      </c>
      <c r="D17" s="29" t="s">
        <v>42</v>
      </c>
      <c r="E17" s="30">
        <v>0.17</v>
      </c>
      <c r="F17" s="27">
        <f t="shared" si="7"/>
        <v>14442.74</v>
      </c>
      <c r="G17" s="20">
        <v>99400</v>
      </c>
      <c r="H17" s="18"/>
      <c r="I17" s="47"/>
      <c r="J17" s="35"/>
      <c r="K17" s="45" t="s">
        <v>45</v>
      </c>
      <c r="L17" s="11"/>
      <c r="M17" s="29"/>
      <c r="N17" s="29"/>
      <c r="O17" s="46"/>
    </row>
    <row r="18" s="1" customFormat="1" ht="18" customHeight="1" spans="1:15">
      <c r="A18" s="10" t="s">
        <v>41</v>
      </c>
      <c r="B18" s="27">
        <f t="shared" si="6"/>
        <v>26923.08</v>
      </c>
      <c r="C18" s="28"/>
      <c r="D18" s="29" t="s">
        <v>42</v>
      </c>
      <c r="E18" s="30">
        <v>0.17</v>
      </c>
      <c r="F18" s="27">
        <f t="shared" si="7"/>
        <v>4576.92</v>
      </c>
      <c r="G18" s="20">
        <v>31500</v>
      </c>
      <c r="H18" s="18"/>
      <c r="I18" s="47"/>
      <c r="J18" s="35"/>
      <c r="K18" s="45" t="s">
        <v>48</v>
      </c>
      <c r="L18" s="11" t="s">
        <v>49</v>
      </c>
      <c r="M18" s="29"/>
      <c r="N18" s="29"/>
      <c r="O18" s="46"/>
    </row>
    <row r="19" s="1" customFormat="1" ht="18" customHeight="1" spans="1:15">
      <c r="A19" s="10" t="s">
        <v>41</v>
      </c>
      <c r="B19" s="27">
        <f t="shared" si="6"/>
        <v>5355.17</v>
      </c>
      <c r="C19" s="28">
        <v>3</v>
      </c>
      <c r="D19" s="29" t="s">
        <v>42</v>
      </c>
      <c r="E19" s="30">
        <v>0.16</v>
      </c>
      <c r="F19" s="27">
        <f t="shared" si="7"/>
        <v>856.83</v>
      </c>
      <c r="G19" s="20">
        <f>362+3098+2752</f>
        <v>6212</v>
      </c>
      <c r="H19" s="18"/>
      <c r="I19" s="47"/>
      <c r="J19" s="35"/>
      <c r="K19" s="45" t="s">
        <v>50</v>
      </c>
      <c r="L19" s="11" t="s">
        <v>51</v>
      </c>
      <c r="M19" s="29"/>
      <c r="N19" s="29"/>
      <c r="O19" s="46"/>
    </row>
    <row r="20" s="1" customFormat="1" ht="18" customHeight="1" spans="1:15">
      <c r="A20" s="10" t="s">
        <v>41</v>
      </c>
      <c r="B20" s="27">
        <f t="shared" si="6"/>
        <v>8062.07</v>
      </c>
      <c r="C20" s="28">
        <v>1</v>
      </c>
      <c r="D20" s="29" t="s">
        <v>42</v>
      </c>
      <c r="E20" s="30">
        <v>0.16</v>
      </c>
      <c r="F20" s="27">
        <f t="shared" si="7"/>
        <v>1289.93</v>
      </c>
      <c r="G20" s="20">
        <v>9352</v>
      </c>
      <c r="H20" s="18"/>
      <c r="I20" s="47"/>
      <c r="J20" s="35"/>
      <c r="K20" s="45" t="s">
        <v>52</v>
      </c>
      <c r="L20" s="11" t="s">
        <v>53</v>
      </c>
      <c r="M20" s="29"/>
      <c r="N20" s="29"/>
      <c r="O20" s="46"/>
    </row>
    <row r="21" s="1" customFormat="1" ht="18" customHeight="1" spans="1:15">
      <c r="A21" s="10" t="s">
        <v>41</v>
      </c>
      <c r="B21" s="27">
        <f t="shared" si="6"/>
        <v>44860</v>
      </c>
      <c r="C21" s="28"/>
      <c r="D21" s="29"/>
      <c r="E21" s="30"/>
      <c r="F21" s="27"/>
      <c r="G21" s="20">
        <f>8000+8000+2640+9620+9600+7000</f>
        <v>44860</v>
      </c>
      <c r="H21" s="18"/>
      <c r="I21" s="47"/>
      <c r="J21" s="35"/>
      <c r="K21" s="45"/>
      <c r="L21" s="11" t="s">
        <v>54</v>
      </c>
      <c r="M21" s="29"/>
      <c r="N21" s="29"/>
      <c r="O21" s="46"/>
    </row>
    <row r="22" s="1" customFormat="1" ht="18" customHeight="1" spans="1:15">
      <c r="A22" s="10" t="s">
        <v>41</v>
      </c>
      <c r="B22" s="27">
        <f t="shared" si="6"/>
        <v>55820</v>
      </c>
      <c r="C22" s="28"/>
      <c r="D22" s="29" t="s">
        <v>55</v>
      </c>
      <c r="E22" s="30">
        <v>0</v>
      </c>
      <c r="F22" s="27">
        <f t="shared" si="7"/>
        <v>0</v>
      </c>
      <c r="G22" s="20">
        <f>8250+13850+7675+7825+18220</f>
        <v>55820</v>
      </c>
      <c r="H22" s="18"/>
      <c r="I22" s="47"/>
      <c r="J22" s="35"/>
      <c r="K22" s="45"/>
      <c r="L22" s="11" t="s">
        <v>56</v>
      </c>
      <c r="M22" s="29"/>
      <c r="N22" s="29"/>
      <c r="O22" s="46"/>
    </row>
    <row r="23" s="1" customFormat="1" ht="18" customHeight="1" spans="1:15">
      <c r="A23" s="10" t="s">
        <v>41</v>
      </c>
      <c r="B23" s="27">
        <f t="shared" si="6"/>
        <v>238488.44</v>
      </c>
      <c r="C23" s="28"/>
      <c r="D23" s="29" t="s">
        <v>55</v>
      </c>
      <c r="E23" s="30"/>
      <c r="F23" s="27">
        <f t="shared" si="7"/>
        <v>0</v>
      </c>
      <c r="G23" s="20">
        <f>123094.22+115394.22</f>
        <v>238488.44</v>
      </c>
      <c r="H23" s="18"/>
      <c r="I23" s="47"/>
      <c r="J23" s="35"/>
      <c r="K23" s="45"/>
      <c r="L23" s="11" t="s">
        <v>57</v>
      </c>
      <c r="M23" s="29"/>
      <c r="N23" s="29"/>
      <c r="O23" s="46"/>
    </row>
    <row r="24" s="1" customFormat="1" ht="18" customHeight="1" spans="1:15">
      <c r="A24" s="10" t="s">
        <v>41</v>
      </c>
      <c r="B24" s="27">
        <f t="shared" si="6"/>
        <v>400000</v>
      </c>
      <c r="C24" s="28"/>
      <c r="D24" s="29"/>
      <c r="E24" s="30"/>
      <c r="F24" s="27">
        <f t="shared" si="7"/>
        <v>0</v>
      </c>
      <c r="G24" s="20">
        <v>400000</v>
      </c>
      <c r="H24" s="18"/>
      <c r="I24" s="47"/>
      <c r="J24" s="35"/>
      <c r="K24" s="45"/>
      <c r="L24" s="11" t="s">
        <v>58</v>
      </c>
      <c r="M24" s="29"/>
      <c r="N24" s="29"/>
      <c r="O24" s="46"/>
    </row>
    <row r="25" s="1" customFormat="1" ht="18" customHeight="1" spans="1:15">
      <c r="A25" s="10" t="s">
        <v>59</v>
      </c>
      <c r="B25" s="27">
        <f t="shared" si="6"/>
        <v>7617</v>
      </c>
      <c r="C25" s="28" t="s">
        <v>60</v>
      </c>
      <c r="D25" s="29" t="s">
        <v>55</v>
      </c>
      <c r="E25" s="30">
        <v>0</v>
      </c>
      <c r="F25" s="27">
        <f t="shared" si="7"/>
        <v>0</v>
      </c>
      <c r="G25" s="20">
        <v>7617</v>
      </c>
      <c r="H25" s="18" t="s">
        <v>23</v>
      </c>
      <c r="I25" s="47">
        <v>1762478.18</v>
      </c>
      <c r="J25" s="35" t="s">
        <v>61</v>
      </c>
      <c r="K25" s="45"/>
      <c r="L25" s="11" t="s">
        <v>62</v>
      </c>
      <c r="M25" s="29"/>
      <c r="N25" s="29"/>
      <c r="O25" s="46"/>
    </row>
    <row r="26" s="1" customFormat="1" ht="18" customHeight="1" spans="1:15">
      <c r="A26" s="10" t="s">
        <v>63</v>
      </c>
      <c r="B26" s="27">
        <f t="shared" si="6"/>
        <v>13550</v>
      </c>
      <c r="C26" s="28">
        <v>8</v>
      </c>
      <c r="D26" s="29" t="s">
        <v>55</v>
      </c>
      <c r="E26" s="30">
        <v>0</v>
      </c>
      <c r="F26" s="27">
        <f t="shared" si="7"/>
        <v>0</v>
      </c>
      <c r="G26" s="20">
        <v>13550</v>
      </c>
      <c r="H26" s="18"/>
      <c r="I26" s="47"/>
      <c r="J26" s="35"/>
      <c r="K26" s="45"/>
      <c r="L26" s="11" t="s">
        <v>64</v>
      </c>
      <c r="M26" s="29"/>
      <c r="N26" s="29"/>
      <c r="O26" s="46"/>
    </row>
    <row r="27" s="1" customFormat="1" ht="18" customHeight="1" spans="1:15">
      <c r="A27" s="10" t="s">
        <v>63</v>
      </c>
      <c r="B27" s="27">
        <f t="shared" si="6"/>
        <v>2190</v>
      </c>
      <c r="C27" s="28">
        <v>4</v>
      </c>
      <c r="D27" s="29" t="s">
        <v>55</v>
      </c>
      <c r="E27" s="30">
        <v>0</v>
      </c>
      <c r="F27" s="27">
        <f t="shared" si="7"/>
        <v>0</v>
      </c>
      <c r="G27" s="20">
        <v>2190</v>
      </c>
      <c r="H27" s="18"/>
      <c r="I27" s="47"/>
      <c r="J27" s="35"/>
      <c r="K27" s="45"/>
      <c r="L27" s="11" t="s">
        <v>65</v>
      </c>
      <c r="M27" s="29"/>
      <c r="N27" s="29"/>
      <c r="O27" s="46"/>
    </row>
    <row r="28" s="1" customFormat="1" ht="18" customHeight="1" spans="1:15">
      <c r="A28" s="10" t="s">
        <v>63</v>
      </c>
      <c r="B28" s="27">
        <f t="shared" si="6"/>
        <v>12194.7</v>
      </c>
      <c r="C28" s="28">
        <v>14</v>
      </c>
      <c r="D28" s="29" t="s">
        <v>55</v>
      </c>
      <c r="E28" s="30">
        <v>0</v>
      </c>
      <c r="F28" s="27">
        <f t="shared" si="7"/>
        <v>0</v>
      </c>
      <c r="G28" s="20">
        <v>12194.7</v>
      </c>
      <c r="H28" s="18"/>
      <c r="I28" s="47"/>
      <c r="J28" s="35"/>
      <c r="K28" s="45"/>
      <c r="L28" s="11" t="s">
        <v>66</v>
      </c>
      <c r="M28" s="29"/>
      <c r="N28" s="29"/>
      <c r="O28" s="46"/>
    </row>
    <row r="29" s="1" customFormat="1" ht="18" customHeight="1" spans="1:15">
      <c r="A29" s="10" t="s">
        <v>67</v>
      </c>
      <c r="B29" s="27">
        <f t="shared" si="6"/>
        <v>2801.8</v>
      </c>
      <c r="C29" s="28">
        <v>40</v>
      </c>
      <c r="D29" s="29" t="s">
        <v>55</v>
      </c>
      <c r="E29" s="30">
        <v>0</v>
      </c>
      <c r="F29" s="27">
        <f t="shared" si="7"/>
        <v>0</v>
      </c>
      <c r="G29" s="20">
        <f>1413.36+1388.44</f>
        <v>2801.8</v>
      </c>
      <c r="H29" s="18"/>
      <c r="I29" s="47"/>
      <c r="J29" s="35"/>
      <c r="K29" s="45"/>
      <c r="L29" s="11" t="s">
        <v>68</v>
      </c>
      <c r="M29" s="29"/>
      <c r="N29" s="29"/>
      <c r="O29" s="46"/>
    </row>
    <row r="30" ht="18" customHeight="1" spans="1:15">
      <c r="A30" s="10" t="s">
        <v>69</v>
      </c>
      <c r="B30" s="27">
        <f t="shared" si="6"/>
        <v>835779.82</v>
      </c>
      <c r="C30" s="28"/>
      <c r="D30" s="29" t="s">
        <v>42</v>
      </c>
      <c r="E30" s="30">
        <v>0.09</v>
      </c>
      <c r="F30" s="27">
        <f t="shared" si="7"/>
        <v>75220.18</v>
      </c>
      <c r="G30" s="20">
        <v>911000</v>
      </c>
      <c r="H30" s="18"/>
      <c r="I30" s="48"/>
      <c r="J30" s="35"/>
      <c r="K30" s="49" t="s">
        <v>71</v>
      </c>
      <c r="L30" s="25"/>
      <c r="M30" s="35"/>
      <c r="N30" s="35"/>
      <c r="O30" s="25"/>
    </row>
    <row r="31" ht="18" customHeight="1" spans="1:15">
      <c r="A31" s="10" t="s">
        <v>69</v>
      </c>
      <c r="B31" s="27">
        <f t="shared" si="6"/>
        <v>275229.36</v>
      </c>
      <c r="C31" s="28"/>
      <c r="D31" s="29" t="s">
        <v>42</v>
      </c>
      <c r="E31" s="30">
        <v>0.09</v>
      </c>
      <c r="F31" s="27">
        <f t="shared" si="7"/>
        <v>24770.64</v>
      </c>
      <c r="G31" s="20">
        <v>300000</v>
      </c>
      <c r="H31" s="18"/>
      <c r="I31" s="48"/>
      <c r="J31" s="35"/>
      <c r="K31" s="49" t="s">
        <v>74</v>
      </c>
      <c r="L31" s="25"/>
      <c r="M31" s="35"/>
      <c r="N31" s="35"/>
      <c r="O31" s="25"/>
    </row>
    <row r="32" ht="18" customHeight="1" spans="1:15">
      <c r="A32" s="10"/>
      <c r="B32" s="27">
        <f t="shared" si="6"/>
        <v>0</v>
      </c>
      <c r="C32" s="28"/>
      <c r="D32" s="29"/>
      <c r="E32" s="30"/>
      <c r="F32" s="27">
        <f t="shared" si="7"/>
        <v>0</v>
      </c>
      <c r="G32" s="20"/>
      <c r="H32" s="18" t="s">
        <v>23</v>
      </c>
      <c r="I32" s="42">
        <v>37521.82</v>
      </c>
      <c r="J32" s="35" t="s">
        <v>111</v>
      </c>
      <c r="K32" s="49"/>
      <c r="L32" s="25"/>
      <c r="M32" s="35"/>
      <c r="N32" s="35"/>
      <c r="O32" s="25"/>
    </row>
    <row r="33" ht="18" customHeight="1" spans="1:15">
      <c r="A33" s="10"/>
      <c r="B33" s="27">
        <f t="shared" si="6"/>
        <v>0</v>
      </c>
      <c r="C33" s="28"/>
      <c r="D33" s="29"/>
      <c r="E33" s="30"/>
      <c r="F33" s="27">
        <f t="shared" si="7"/>
        <v>0</v>
      </c>
      <c r="G33" s="20"/>
      <c r="H33" s="18"/>
      <c r="I33" s="42"/>
      <c r="J33" s="35"/>
      <c r="K33" s="49"/>
      <c r="L33" s="25"/>
      <c r="M33" s="35"/>
      <c r="N33" s="35"/>
      <c r="O33" s="25"/>
    </row>
    <row r="34" ht="18" customHeight="1" spans="1:15">
      <c r="A34" s="10"/>
      <c r="B34" s="27">
        <f t="shared" si="6"/>
        <v>0</v>
      </c>
      <c r="C34" s="28"/>
      <c r="D34" s="29"/>
      <c r="E34" s="30"/>
      <c r="F34" s="27">
        <f t="shared" si="7"/>
        <v>0</v>
      </c>
      <c r="G34" s="20"/>
      <c r="H34" s="18"/>
      <c r="I34" s="42"/>
      <c r="J34" s="35"/>
      <c r="K34" s="49"/>
      <c r="L34" s="25"/>
      <c r="M34" s="35"/>
      <c r="N34" s="35"/>
      <c r="O34" s="25"/>
    </row>
    <row r="35" ht="18" customHeight="1" spans="1:15">
      <c r="A35" s="10"/>
      <c r="B35" s="27">
        <f t="shared" si="6"/>
        <v>0</v>
      </c>
      <c r="C35" s="28"/>
      <c r="D35" s="29"/>
      <c r="E35" s="30"/>
      <c r="F35" s="27">
        <f t="shared" si="7"/>
        <v>0</v>
      </c>
      <c r="G35" s="20"/>
      <c r="H35" s="18"/>
      <c r="I35" s="42"/>
      <c r="J35" s="35"/>
      <c r="K35" s="49"/>
      <c r="L35" s="25"/>
      <c r="M35" s="35"/>
      <c r="N35" s="35"/>
      <c r="O35" s="25"/>
    </row>
    <row r="36" ht="18" customHeight="1" spans="1:15">
      <c r="A36" s="10"/>
      <c r="B36" s="27">
        <f t="shared" si="6"/>
        <v>0</v>
      </c>
      <c r="C36" s="28"/>
      <c r="D36" s="29"/>
      <c r="E36" s="30"/>
      <c r="F36" s="27">
        <f t="shared" si="7"/>
        <v>0</v>
      </c>
      <c r="G36" s="20"/>
      <c r="H36" s="18"/>
      <c r="I36" s="42"/>
      <c r="J36" s="35"/>
      <c r="K36" s="49"/>
      <c r="L36" s="25"/>
      <c r="M36" s="35"/>
      <c r="N36" s="35"/>
      <c r="O36" s="25"/>
    </row>
    <row r="37" ht="18" customHeight="1" spans="1:14">
      <c r="A37" s="23" t="s">
        <v>27</v>
      </c>
      <c r="B37" s="22">
        <f>SUM(B15:B36)</f>
        <v>2701095.94</v>
      </c>
      <c r="C37" s="23"/>
      <c r="D37" s="32"/>
      <c r="E37" s="32"/>
      <c r="F37" s="24">
        <f>SUM(F15:F36)</f>
        <v>231120</v>
      </c>
      <c r="G37" s="23">
        <f>SUM(G15:G36)</f>
        <v>2932215.94</v>
      </c>
      <c r="H37" s="25"/>
      <c r="I37" s="43">
        <f>SUM(I15:I36)</f>
        <v>1800000</v>
      </c>
      <c r="J37" s="25"/>
      <c r="K37" s="50"/>
      <c r="M37" s="51"/>
      <c r="N37" s="51"/>
    </row>
    <row r="38" ht="18" customHeight="1" spans="1:11">
      <c r="A38" s="33"/>
      <c r="B38" s="33">
        <f>B12-B37</f>
        <v>127928.246822352</v>
      </c>
      <c r="C38" s="33"/>
      <c r="D38" s="34"/>
      <c r="E38" s="34"/>
      <c r="F38" s="33">
        <f>F12-F37</f>
        <v>-16724.670558799</v>
      </c>
      <c r="G38" s="33"/>
      <c r="H38" s="6"/>
      <c r="I38" s="4">
        <f>I12-I37</f>
        <v>0</v>
      </c>
      <c r="J38" s="6"/>
      <c r="K38" s="6">
        <f>F38/0.09*1.09</f>
        <v>-202554.343434343</v>
      </c>
    </row>
    <row r="39" ht="18" customHeight="1" spans="1:7">
      <c r="A39" s="2" t="s">
        <v>89</v>
      </c>
      <c r="C39" s="2"/>
      <c r="F39" s="6"/>
      <c r="G39" s="6"/>
    </row>
    <row r="40" ht="18" customHeight="1" spans="1:7">
      <c r="A40" s="17" t="s">
        <v>90</v>
      </c>
      <c r="B40" s="16" t="s">
        <v>91</v>
      </c>
      <c r="C40" s="25"/>
      <c r="D40" s="17" t="s">
        <v>90</v>
      </c>
      <c r="E40" s="16" t="s">
        <v>17</v>
      </c>
      <c r="F40" s="16" t="s">
        <v>91</v>
      </c>
      <c r="G40" s="16" t="s">
        <v>112</v>
      </c>
    </row>
    <row r="41" ht="18" customHeight="1" spans="1:7">
      <c r="A41" s="25" t="s">
        <v>95</v>
      </c>
      <c r="B41" s="27">
        <f>(B12-B37)*0.25</f>
        <v>31982.061705588</v>
      </c>
      <c r="C41" s="25"/>
      <c r="D41" s="9" t="s">
        <v>96</v>
      </c>
      <c r="E41" s="35" t="s">
        <v>97</v>
      </c>
      <c r="F41" s="36">
        <f>D7</f>
        <v>32727.2727272727</v>
      </c>
      <c r="G41" s="36"/>
    </row>
    <row r="42" ht="18" customHeight="1" spans="1:7">
      <c r="A42" s="25" t="s">
        <v>98</v>
      </c>
      <c r="B42" s="11">
        <f>G12*0.0003</f>
        <v>930</v>
      </c>
      <c r="C42" s="25"/>
      <c r="D42" s="37" t="s">
        <v>99</v>
      </c>
      <c r="E42" s="12">
        <v>0.05</v>
      </c>
      <c r="F42" s="11">
        <f>F41*E42</f>
        <v>1636.36363636364</v>
      </c>
      <c r="G42" s="11"/>
    </row>
    <row r="43" ht="18" customHeight="1" spans="1:7">
      <c r="A43" s="25" t="s">
        <v>100</v>
      </c>
      <c r="B43" s="11">
        <f>B12*0.0006</f>
        <v>1697.41451209341</v>
      </c>
      <c r="C43" s="25"/>
      <c r="D43" s="37" t="s">
        <v>101</v>
      </c>
      <c r="E43" s="12">
        <v>0.03</v>
      </c>
      <c r="F43" s="11">
        <f>F41*E43</f>
        <v>981.818181818182</v>
      </c>
      <c r="G43" s="11"/>
    </row>
    <row r="44" ht="18" customHeight="1" spans="1:7">
      <c r="A44" s="25"/>
      <c r="B44" s="25"/>
      <c r="C44" s="25"/>
      <c r="D44" s="37" t="s">
        <v>102</v>
      </c>
      <c r="E44" s="12">
        <v>0.02</v>
      </c>
      <c r="F44" s="11">
        <f>F41*E44</f>
        <v>654.545454545455</v>
      </c>
      <c r="G44" s="11"/>
    </row>
    <row r="45" spans="1:7">
      <c r="A45" s="21" t="s">
        <v>103</v>
      </c>
      <c r="B45" s="22">
        <f>SUM(B41:B44)</f>
        <v>34609.4762176814</v>
      </c>
      <c r="C45" s="25"/>
      <c r="D45" s="21" t="s">
        <v>103</v>
      </c>
      <c r="E45" s="21"/>
      <c r="F45" s="24">
        <f>SUM(F41:F44)</f>
        <v>36000</v>
      </c>
      <c r="G45" s="24"/>
    </row>
    <row r="46" spans="3:7">
      <c r="C46" s="2"/>
      <c r="F46" s="6"/>
      <c r="G46" s="6"/>
    </row>
    <row r="47" spans="3:7">
      <c r="C47" s="2"/>
      <c r="F47" s="6"/>
      <c r="G47" s="6"/>
    </row>
    <row r="48" spans="3:7">
      <c r="C48" s="2"/>
      <c r="F48" s="6"/>
      <c r="G48" s="6"/>
    </row>
    <row r="49" spans="3:7">
      <c r="C49" s="2"/>
      <c r="F49" s="6"/>
      <c r="G49" s="6"/>
    </row>
    <row r="50" spans="3:7">
      <c r="C50" s="2"/>
      <c r="F50" s="6"/>
      <c r="G50" s="6"/>
    </row>
    <row r="51" spans="3:7">
      <c r="C51" s="2"/>
      <c r="F51" s="6"/>
      <c r="G51" s="6"/>
    </row>
    <row r="52" spans="3:7">
      <c r="C52" s="2"/>
      <c r="F52" s="6"/>
      <c r="G52" s="6"/>
    </row>
    <row r="53" spans="3:7">
      <c r="C53" s="2"/>
      <c r="F53" s="6"/>
      <c r="G53" s="6"/>
    </row>
    <row r="54" spans="3:7">
      <c r="C54" s="2"/>
      <c r="F54" s="6"/>
      <c r="G54" s="6"/>
    </row>
    <row r="55" spans="3:7">
      <c r="C55" s="2"/>
      <c r="F55" s="6"/>
      <c r="G55" s="6"/>
    </row>
    <row r="56" spans="3:7">
      <c r="C56" s="2"/>
      <c r="F56" s="6"/>
      <c r="G56" s="6"/>
    </row>
    <row r="57" spans="3:7">
      <c r="C57" s="2"/>
      <c r="F57" s="6"/>
      <c r="G57" s="6"/>
    </row>
    <row r="58" spans="3:7">
      <c r="C58" s="2"/>
      <c r="F58" s="6"/>
      <c r="G58" s="6"/>
    </row>
    <row r="59" spans="3:7">
      <c r="C59" s="2"/>
      <c r="F59" s="6"/>
      <c r="G59" s="6"/>
    </row>
    <row r="60" spans="3:7">
      <c r="C60" s="2"/>
      <c r="F60" s="6"/>
      <c r="G60" s="6"/>
    </row>
    <row r="61" spans="3:7">
      <c r="C61" s="2"/>
      <c r="F61" s="6"/>
      <c r="G61" s="6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2021-01-27T05:57:00Z</dcterms:created>
  <dcterms:modified xsi:type="dcterms:W3CDTF">2021-10-27T08:44:43Z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B7EDE5E84E3C4CF9A03F7FABD928806B</vt:lpwstr>
  </property>
</Properties>
</file>