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岳西县头陀镇至青天乡乡级公路畅通工程（金坳至七里冲段）" sheetId="7" r:id="rId1"/>
  </sheets>
  <definedNames>
    <definedName name="_xlnm._FilterDatabase" localSheetId="0" hidden="1">'岳西县头陀镇至青天乡乡级公路畅通工程（金坳至七里冲段）'!$A$16:$O$66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L6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异地已预交99.84</t>
        </r>
      </text>
    </comment>
    <comment ref="L63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异地已预缴183.2</t>
        </r>
      </text>
    </comment>
  </commentList>
</comments>
</file>

<file path=xl/sharedStrings.xml><?xml version="1.0" encoding="utf-8"?>
<sst xmlns="http://schemas.openxmlformats.org/spreadsheetml/2006/main" count="176" uniqueCount="85">
  <si>
    <t>C4800  岳西县头陀镇至青天乡乡级公路畅通工程（金坳至七里冲段）</t>
  </si>
  <si>
    <t>中标日期</t>
  </si>
  <si>
    <t>2016.8.25</t>
  </si>
  <si>
    <t>王业火15357320567</t>
  </si>
  <si>
    <t>岳西县交通发展有限责任公司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</si>
  <si>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</si>
  <si>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</si>
  <si>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</si>
  <si>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</si>
  <si>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</si>
  <si>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</si>
  <si>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</si>
  <si>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</si>
  <si>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</si>
  <si>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</si>
  <si>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</si>
  <si>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</si>
  <si>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</si>
  <si>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</si>
  <si>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</si>
  <si>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</si>
  <si>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</si>
  <si>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</si>
  <si>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</si>
  <si>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</si>
  <si>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</si>
  <si>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</si>
  <si>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</si>
  <si>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</si>
  <si>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</si>
  <si>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</si>
  <si>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</si>
  <si>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</si>
  <si>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</si>
  <si>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</si>
  <si>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王学高</t>
  </si>
  <si>
    <t>苗木</t>
  </si>
  <si>
    <t>补录</t>
  </si>
  <si>
    <t>王业火</t>
  </si>
  <si>
    <t>人工</t>
  </si>
  <si>
    <t>柴油</t>
  </si>
  <si>
    <t>专</t>
  </si>
  <si>
    <t>安徽怀宁海螺水泥有限公司</t>
  </si>
  <si>
    <t>水泥</t>
  </si>
  <si>
    <t>意外伤害险</t>
  </si>
  <si>
    <t>中国石油天然气股份有限公司安徽安庆销售分公司</t>
  </si>
  <si>
    <t>工程用机械</t>
  </si>
  <si>
    <t>河沙、石子</t>
  </si>
  <si>
    <t>劳务费</t>
  </si>
  <si>
    <t>2017-1-</t>
  </si>
  <si>
    <t>徽行</t>
  </si>
  <si>
    <t>2017-5-</t>
  </si>
  <si>
    <t>2018-2-</t>
  </si>
  <si>
    <t>扣</t>
  </si>
  <si>
    <t>外经证</t>
  </si>
  <si>
    <t>转账手续费</t>
  </si>
  <si>
    <t>补扣</t>
  </si>
  <si>
    <t>增值税及附加（城建税差额部分）</t>
  </si>
  <si>
    <t>滞纳金</t>
  </si>
  <si>
    <t>增值税及附加（2021.10开票）</t>
  </si>
  <si>
    <t>3次</t>
  </si>
  <si>
    <t>增值税及附加</t>
  </si>
  <si>
    <t>2次</t>
  </si>
  <si>
    <t>管理费（全部）</t>
  </si>
  <si>
    <t>1次</t>
  </si>
  <si>
    <t>企税</t>
  </si>
  <si>
    <t>应提供成本</t>
  </si>
  <si>
    <t>可支付金额</t>
  </si>
  <si>
    <t>公司代缴税金：</t>
  </si>
  <si>
    <t>税种</t>
  </si>
  <si>
    <t>税额</t>
  </si>
  <si>
    <t>2017年1月开票税金</t>
  </si>
  <si>
    <t>2017年4月开票税金</t>
  </si>
  <si>
    <t>2018年1、2月开票税金</t>
  </si>
  <si>
    <t>2021年10月开票税金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</si>
  <si>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</si>
  <si>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</si>
  <si>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</si>
  <si>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</si>
  <si>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</si>
  <si>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</si>
  <si>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</si>
  <si>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</si>
  <si>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</si>
  <si>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ETP中前期的城建税差额部分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</si>
</sst>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/m/d;@"/>
    <numFmt numFmtId="179" formatCode="#,##0.00_ "/>
    <numFmt numFmtId="180" formatCode="yyyy&quot;年&quot;m&quot;月&quot;;@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8" fillId="20" borderId="7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91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9" fontId="2" fillId="0" borderId="2" xfId="0" applyNumberFormat="1" applyFont="1" applyBorder="1" applyAlignment="1">
      <alignment vertical="center"/>
    </xf>
    <xf numFmtId="179" fontId="4" fillId="0" borderId="0" xfId="0" applyNumberFormat="1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9" fontId="7" fillId="3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vertical="center"/>
    </xf>
    <xf numFmtId="179" fontId="1" fillId="6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9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79" fontId="2" fillId="6" borderId="0" xfId="0" applyNumberFormat="1" applyFont="1" applyFill="1" applyBorder="1" applyAlignment="1">
      <alignment vertical="center"/>
    </xf>
    <xf numFmtId="179" fontId="7" fillId="6" borderId="0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9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8" fontId="9" fillId="6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79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177" fontId="2" fillId="6" borderId="3" xfId="0" applyNumberFormat="1" applyFont="1" applyFill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79" fontId="7" fillId="4" borderId="3" xfId="0" applyNumberFormat="1" applyFont="1" applyFill="1" applyBorder="1" applyAlignment="1">
      <alignment vertical="center"/>
    </xf>
    <xf numFmtId="179" fontId="7" fillId="4" borderId="2" xfId="0" applyNumberFormat="1" applyFont="1" applyFill="1" applyBorder="1" applyAlignment="1">
      <alignment vertical="center" wrapText="1"/>
    </xf>
    <xf numFmtId="179" fontId="2" fillId="6" borderId="3" xfId="0" applyNumberFormat="1" applyFont="1" applyFill="1" applyBorder="1" applyAlignment="1">
      <alignment vertical="center" wrapText="1"/>
    </xf>
    <xf numFmtId="179" fontId="2" fillId="6" borderId="2" xfId="0" applyNumberFormat="1" applyFont="1" applyFill="1" applyBorder="1" applyAlignment="1">
      <alignment vertical="center" wrapText="1"/>
    </xf>
    <xf numFmtId="179" fontId="7" fillId="6" borderId="3" xfId="0" applyNumberFormat="1" applyFont="1" applyFill="1" applyBorder="1" applyAlignment="1">
      <alignment vertical="center" wrapText="1"/>
    </xf>
    <xf numFmtId="179" fontId="7" fillId="6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16510</xdr:colOff>
      <xdr:row>65</xdr:row>
      <xdr:rowOff>5080</xdr:rowOff>
    </xdr:from>
    <xdr:to>
      <xdr:col>7</xdr:col>
      <xdr:colOff>26670</xdr:colOff>
      <xdr:row>67</xdr:row>
      <xdr:rowOff>17145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135" y="14990445"/>
          <a:ext cx="1086485" cy="469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694055</xdr:colOff>
      <xdr:row>65</xdr:row>
      <xdr:rowOff>22225</xdr:rowOff>
    </xdr:from>
    <xdr:to>
      <xdr:col>9</xdr:col>
      <xdr:colOff>3175</xdr:colOff>
      <xdr:row>67</xdr:row>
      <xdr:rowOff>114300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1005" y="15007590"/>
          <a:ext cx="109982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27940</xdr:colOff>
      <xdr:row>65</xdr:row>
      <xdr:rowOff>16510</xdr:rowOff>
    </xdr:from>
    <xdr:to>
      <xdr:col>10</xdr:col>
      <xdr:colOff>2667000</xdr:colOff>
      <xdr:row>69</xdr:row>
      <xdr:rowOff>190500</xdr:rowOff>
    </xdr:to>
    <xdr:pic>
      <xdr:nvPicPr>
        <xdr:cNvPr id="4" name="图片 3" descr="4EXDK0UQQN5AWJC$~G23P}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2315" y="15001875"/>
          <a:ext cx="2639060" cy="108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abSelected="1" topLeftCell="A28" workbookViewId="0">
      <selection activeCell="I47" sqref="I47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8.5" style="6" customWidth="1"/>
    <col min="12" max="12" width="18.5" style="6" customWidth="1"/>
    <col min="13" max="13" width="18.75" style="7" customWidth="1"/>
    <col min="14" max="14" width="15.125" style="7" customWidth="1"/>
    <col min="15" max="15" width="13.25" style="7" customWidth="1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7"/>
      <c r="L1" s="57"/>
    </row>
    <row r="2" ht="18" customHeight="1" spans="1:12">
      <c r="A2" s="10" t="s">
        <v>1</v>
      </c>
      <c r="B2" s="11" t="s">
        <v>2</v>
      </c>
      <c r="C2" s="12"/>
      <c r="D2" s="13">
        <v>12163153.4</v>
      </c>
      <c r="E2" s="14"/>
      <c r="F2" s="15" t="s">
        <v>3</v>
      </c>
      <c r="G2" s="16"/>
      <c r="H2" s="17" t="s">
        <v>4</v>
      </c>
      <c r="I2" s="58"/>
      <c r="J2" s="59"/>
      <c r="K2" s="60"/>
      <c r="L2" s="57"/>
    </row>
    <row r="3" ht="18" customHeight="1" spans="1:12">
      <c r="A3" s="10" t="s">
        <v>5</v>
      </c>
      <c r="B3" s="18"/>
      <c r="C3" s="12"/>
      <c r="D3" s="19">
        <v>11576035.99</v>
      </c>
      <c r="H3" s="20"/>
      <c r="I3" s="61"/>
      <c r="J3" s="20"/>
      <c r="K3" s="57"/>
      <c r="L3" s="57"/>
    </row>
    <row r="4" ht="18" customHeight="1" spans="1:12">
      <c r="A4" s="2" t="s">
        <v>6</v>
      </c>
      <c r="H4" s="20"/>
      <c r="I4" s="61"/>
      <c r="J4" s="20"/>
      <c r="K4" s="57"/>
      <c r="L4" s="57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42747</v>
      </c>
      <c r="B7" s="12">
        <f t="shared" ref="B7:B13" si="0">G7/(1+C7+E7)</f>
        <v>2387387.38738739</v>
      </c>
      <c r="C7" s="25">
        <v>0.02</v>
      </c>
      <c r="D7" s="26">
        <f t="shared" ref="D7:D13" si="1">G7/(1+E7+C7)*C7</f>
        <v>47747.7477477477</v>
      </c>
      <c r="E7" s="25">
        <v>0.09</v>
      </c>
      <c r="F7" s="12">
        <f t="shared" ref="F7:F13" si="2">G7/(1+C7+E7)*E7</f>
        <v>214864.864864865</v>
      </c>
      <c r="G7" s="27">
        <v>2650000</v>
      </c>
      <c r="H7" s="24">
        <v>42752</v>
      </c>
      <c r="I7" s="12">
        <v>2650000</v>
      </c>
      <c r="J7" s="62" t="s">
        <v>18</v>
      </c>
    </row>
    <row r="8" ht="18" customHeight="1" spans="1:10">
      <c r="A8" s="24">
        <v>42839</v>
      </c>
      <c r="B8" s="12">
        <f t="shared" si="0"/>
        <v>1990990.99099099</v>
      </c>
      <c r="C8" s="25">
        <v>0.02</v>
      </c>
      <c r="D8" s="26">
        <f t="shared" si="1"/>
        <v>39819.8198198198</v>
      </c>
      <c r="E8" s="25">
        <v>0.09</v>
      </c>
      <c r="F8" s="12">
        <f t="shared" si="2"/>
        <v>179189.189189189</v>
      </c>
      <c r="G8" s="27">
        <v>2210000</v>
      </c>
      <c r="H8" s="24">
        <v>42882</v>
      </c>
      <c r="I8" s="12">
        <v>2210000</v>
      </c>
      <c r="J8" s="62" t="s">
        <v>18</v>
      </c>
    </row>
    <row r="9" ht="18" customHeight="1" spans="1:10">
      <c r="A9" s="24">
        <v>43115</v>
      </c>
      <c r="B9" s="12">
        <f t="shared" si="0"/>
        <v>3783783.78378378</v>
      </c>
      <c r="C9" s="25">
        <v>0.02</v>
      </c>
      <c r="D9" s="26">
        <f t="shared" si="1"/>
        <v>75675.6756756757</v>
      </c>
      <c r="E9" s="25">
        <v>0.09</v>
      </c>
      <c r="F9" s="12">
        <f t="shared" si="2"/>
        <v>340540.540540541</v>
      </c>
      <c r="G9" s="27">
        <v>4200000</v>
      </c>
      <c r="H9" s="24">
        <v>43137</v>
      </c>
      <c r="I9" s="12">
        <v>4200000</v>
      </c>
      <c r="J9" s="62" t="s">
        <v>18</v>
      </c>
    </row>
    <row r="10" ht="18" customHeight="1" spans="1:10">
      <c r="A10" s="24">
        <v>43137</v>
      </c>
      <c r="B10" s="12">
        <f t="shared" si="0"/>
        <v>1966868.52252252</v>
      </c>
      <c r="C10" s="25">
        <v>0.02</v>
      </c>
      <c r="D10" s="26">
        <f t="shared" si="1"/>
        <v>39337.3704504504</v>
      </c>
      <c r="E10" s="25">
        <v>0.09</v>
      </c>
      <c r="F10" s="12">
        <f t="shared" si="2"/>
        <v>177018.167027027</v>
      </c>
      <c r="G10" s="27">
        <v>2183224.06</v>
      </c>
      <c r="H10" s="24">
        <v>43138</v>
      </c>
      <c r="I10" s="12">
        <v>2183224.06</v>
      </c>
      <c r="J10" s="62" t="s">
        <v>18</v>
      </c>
    </row>
    <row r="11" ht="18" customHeight="1" spans="1:10">
      <c r="A11" s="24">
        <v>44489</v>
      </c>
      <c r="B11" s="12">
        <f t="shared" si="0"/>
        <v>305332.04587156</v>
      </c>
      <c r="C11" s="25">
        <v>0.02</v>
      </c>
      <c r="D11" s="26">
        <f t="shared" si="1"/>
        <v>6106.64091743119</v>
      </c>
      <c r="E11" s="25">
        <v>0.07</v>
      </c>
      <c r="F11" s="12">
        <f t="shared" si="2"/>
        <v>21373.2432110092</v>
      </c>
      <c r="G11" s="27">
        <v>332811.93</v>
      </c>
      <c r="H11" s="24">
        <v>44515</v>
      </c>
      <c r="I11" s="12">
        <v>332811.93</v>
      </c>
      <c r="J11" s="62" t="s">
        <v>19</v>
      </c>
    </row>
    <row r="12" ht="18" customHeight="1" spans="1:10">
      <c r="A12" s="24"/>
      <c r="B12" s="12"/>
      <c r="C12" s="25"/>
      <c r="D12" s="26"/>
      <c r="E12" s="25"/>
      <c r="F12" s="12"/>
      <c r="G12" s="27"/>
      <c r="H12" s="24"/>
      <c r="I12" s="12"/>
      <c r="J12" s="62"/>
    </row>
    <row r="13" ht="18" customHeight="1" spans="1:10">
      <c r="A13" s="24"/>
      <c r="B13" s="12"/>
      <c r="C13" s="25"/>
      <c r="D13" s="26"/>
      <c r="E13" s="25"/>
      <c r="F13" s="12"/>
      <c r="G13" s="27"/>
      <c r="H13" s="24"/>
      <c r="I13" s="12"/>
      <c r="J13" s="62"/>
    </row>
    <row r="14" ht="18" customHeight="1" spans="1:10">
      <c r="A14" s="28" t="s">
        <v>20</v>
      </c>
      <c r="B14" s="29">
        <f>SUM(B7:B13)</f>
        <v>10434362.7305562</v>
      </c>
      <c r="C14" s="30"/>
      <c r="D14" s="30">
        <f>SUM(D7:D13)</f>
        <v>208687.254611125</v>
      </c>
      <c r="E14" s="30"/>
      <c r="F14" s="31">
        <f>SUM(F7:F13)</f>
        <v>932986.004832631</v>
      </c>
      <c r="G14" s="30">
        <f>SUM(G7:G13)</f>
        <v>11576035.99</v>
      </c>
      <c r="H14" s="32"/>
      <c r="I14" s="30">
        <f>SUM(I7:I13)</f>
        <v>11576035.99</v>
      </c>
      <c r="J14" s="32"/>
    </row>
    <row r="15" ht="18" customHeight="1" spans="1:12">
      <c r="A15" s="2" t="s">
        <v>21</v>
      </c>
      <c r="J15" s="4"/>
      <c r="K15" s="63"/>
      <c r="L15" s="64"/>
    </row>
    <row r="16" ht="18" customHeight="1" spans="1:15">
      <c r="A16" s="33" t="s">
        <v>22</v>
      </c>
      <c r="B16" s="22" t="s">
        <v>23</v>
      </c>
      <c r="C16" s="21" t="s">
        <v>24</v>
      </c>
      <c r="D16" s="21" t="s">
        <v>25</v>
      </c>
      <c r="E16" s="21" t="s">
        <v>13</v>
      </c>
      <c r="F16" s="22" t="s">
        <v>26</v>
      </c>
      <c r="G16" s="22" t="s">
        <v>11</v>
      </c>
      <c r="H16" s="21" t="s">
        <v>27</v>
      </c>
      <c r="I16" s="22" t="s">
        <v>28</v>
      </c>
      <c r="J16" s="21" t="s">
        <v>17</v>
      </c>
      <c r="K16" s="65" t="s">
        <v>29</v>
      </c>
      <c r="L16" s="66" t="s">
        <v>30</v>
      </c>
      <c r="M16" s="23" t="s">
        <v>31</v>
      </c>
      <c r="N16" s="23" t="s">
        <v>32</v>
      </c>
      <c r="O16" s="23" t="s">
        <v>33</v>
      </c>
    </row>
    <row r="17" s="1" customFormat="1" ht="18" customHeight="1" spans="1:17">
      <c r="A17" s="34">
        <v>42736</v>
      </c>
      <c r="B17" s="35">
        <f t="shared" ref="B17:B23" si="3">ROUND(G17/(1+E17),2)</f>
        <v>600000</v>
      </c>
      <c r="C17" s="36"/>
      <c r="D17" s="37" t="s">
        <v>34</v>
      </c>
      <c r="E17" s="38"/>
      <c r="F17" s="35">
        <f t="shared" ref="F17:F22" si="4">ROUND(G17/(1+E17)*E17,2)</f>
        <v>0</v>
      </c>
      <c r="G17" s="39">
        <v>600000</v>
      </c>
      <c r="H17" s="24"/>
      <c r="I17" s="35"/>
      <c r="J17" s="62"/>
      <c r="K17" s="67" t="s">
        <v>35</v>
      </c>
      <c r="L17" s="68" t="s">
        <v>36</v>
      </c>
      <c r="M17" s="69"/>
      <c r="N17" s="69"/>
      <c r="O17" s="70" t="s">
        <v>37</v>
      </c>
      <c r="Q17" s="90"/>
    </row>
    <row r="18" s="1" customFormat="1" ht="18" customHeight="1" spans="1:17">
      <c r="A18" s="34">
        <v>42736</v>
      </c>
      <c r="B18" s="35">
        <f t="shared" si="3"/>
        <v>758800</v>
      </c>
      <c r="C18" s="36"/>
      <c r="D18" s="37" t="s">
        <v>34</v>
      </c>
      <c r="E18" s="38"/>
      <c r="F18" s="35">
        <f t="shared" si="4"/>
        <v>0</v>
      </c>
      <c r="G18" s="39">
        <v>758800</v>
      </c>
      <c r="H18" s="24"/>
      <c r="I18" s="35"/>
      <c r="J18" s="62"/>
      <c r="K18" s="67" t="s">
        <v>38</v>
      </c>
      <c r="L18" s="68" t="s">
        <v>39</v>
      </c>
      <c r="M18" s="69"/>
      <c r="N18" s="69"/>
      <c r="O18" s="70" t="s">
        <v>37</v>
      </c>
      <c r="Q18" s="90"/>
    </row>
    <row r="19" s="1" customFormat="1" ht="18" customHeight="1" spans="1:17">
      <c r="A19" s="34">
        <v>42736</v>
      </c>
      <c r="B19" s="35">
        <f t="shared" si="3"/>
        <v>16289.94</v>
      </c>
      <c r="C19" s="36"/>
      <c r="D19" s="37" t="s">
        <v>34</v>
      </c>
      <c r="E19" s="38"/>
      <c r="F19" s="35">
        <f t="shared" si="4"/>
        <v>0</v>
      </c>
      <c r="G19" s="39">
        <v>16289.94</v>
      </c>
      <c r="H19" s="24"/>
      <c r="I19" s="35"/>
      <c r="J19" s="62"/>
      <c r="K19" s="67" t="s">
        <v>35</v>
      </c>
      <c r="L19" s="68" t="s">
        <v>40</v>
      </c>
      <c r="M19" s="69"/>
      <c r="N19" s="69"/>
      <c r="O19" s="70" t="s">
        <v>37</v>
      </c>
      <c r="Q19" s="90"/>
    </row>
    <row r="20" s="1" customFormat="1" ht="18" customHeight="1" spans="1:17">
      <c r="A20" s="34">
        <v>42795</v>
      </c>
      <c r="B20" s="35">
        <f t="shared" si="3"/>
        <v>722461.54</v>
      </c>
      <c r="C20" s="36"/>
      <c r="D20" s="37" t="s">
        <v>41</v>
      </c>
      <c r="E20" s="38">
        <v>0.17</v>
      </c>
      <c r="F20" s="40">
        <f t="shared" si="4"/>
        <v>122818.46</v>
      </c>
      <c r="G20" s="39">
        <v>845280</v>
      </c>
      <c r="H20" s="24"/>
      <c r="I20" s="35"/>
      <c r="J20" s="62"/>
      <c r="K20" s="67" t="s">
        <v>42</v>
      </c>
      <c r="L20" s="68" t="s">
        <v>43</v>
      </c>
      <c r="M20" s="69"/>
      <c r="N20" s="69"/>
      <c r="O20" s="70" t="s">
        <v>37</v>
      </c>
      <c r="Q20" s="90"/>
    </row>
    <row r="21" s="1" customFormat="1" ht="18" customHeight="1" spans="1:17">
      <c r="A21" s="34">
        <v>42826</v>
      </c>
      <c r="B21" s="35">
        <f t="shared" si="3"/>
        <v>89213.68</v>
      </c>
      <c r="C21" s="36"/>
      <c r="D21" s="37" t="s">
        <v>41</v>
      </c>
      <c r="E21" s="38">
        <v>0.17</v>
      </c>
      <c r="F21" s="40">
        <f t="shared" si="4"/>
        <v>15166.32</v>
      </c>
      <c r="G21" s="39">
        <v>104380</v>
      </c>
      <c r="H21" s="24"/>
      <c r="I21" s="35"/>
      <c r="J21" s="62"/>
      <c r="K21" s="67" t="s">
        <v>42</v>
      </c>
      <c r="L21" s="68" t="s">
        <v>43</v>
      </c>
      <c r="M21" s="69"/>
      <c r="N21" s="69"/>
      <c r="O21" s="70" t="s">
        <v>37</v>
      </c>
      <c r="Q21" s="90"/>
    </row>
    <row r="22" s="1" customFormat="1" ht="18" customHeight="1" spans="1:17">
      <c r="A22" s="34">
        <v>42826</v>
      </c>
      <c r="B22" s="35">
        <f t="shared" si="3"/>
        <v>666900</v>
      </c>
      <c r="C22" s="36"/>
      <c r="D22" s="37" t="s">
        <v>34</v>
      </c>
      <c r="E22" s="38"/>
      <c r="F22" s="40">
        <f t="shared" si="4"/>
        <v>0</v>
      </c>
      <c r="G22" s="39">
        <v>666900</v>
      </c>
      <c r="H22" s="24"/>
      <c r="I22" s="35"/>
      <c r="J22" s="62"/>
      <c r="K22" s="67" t="s">
        <v>38</v>
      </c>
      <c r="L22" s="68" t="s">
        <v>39</v>
      </c>
      <c r="M22" s="69"/>
      <c r="N22" s="69"/>
      <c r="O22" s="70" t="s">
        <v>37</v>
      </c>
      <c r="Q22" s="90"/>
    </row>
    <row r="23" s="1" customFormat="1" ht="18" customHeight="1" spans="1:17">
      <c r="A23" s="34">
        <v>42826</v>
      </c>
      <c r="B23" s="35">
        <f t="shared" si="3"/>
        <v>512576.92</v>
      </c>
      <c r="C23" s="36"/>
      <c r="D23" s="37" t="s">
        <v>41</v>
      </c>
      <c r="E23" s="38">
        <v>0.17</v>
      </c>
      <c r="F23" s="40">
        <f t="shared" ref="F23:F33" si="5">ROUND(G23/(1+E23)*E23,2)</f>
        <v>87138.08</v>
      </c>
      <c r="G23" s="39">
        <v>599715</v>
      </c>
      <c r="H23" s="24"/>
      <c r="I23" s="35"/>
      <c r="J23" s="62"/>
      <c r="K23" s="67" t="s">
        <v>42</v>
      </c>
      <c r="L23" s="68" t="s">
        <v>43</v>
      </c>
      <c r="M23" s="69"/>
      <c r="N23" s="69"/>
      <c r="O23" s="70" t="s">
        <v>37</v>
      </c>
      <c r="Q23" s="90"/>
    </row>
    <row r="24" s="1" customFormat="1" ht="18" customHeight="1" spans="1:17">
      <c r="A24" s="34">
        <v>42856</v>
      </c>
      <c r="B24" s="40">
        <f t="shared" ref="B23:B33" si="6">ROUND(G24/(1+E24),2)</f>
        <v>20519</v>
      </c>
      <c r="C24" s="36"/>
      <c r="D24" s="37" t="s">
        <v>34</v>
      </c>
      <c r="E24" s="38">
        <v>0</v>
      </c>
      <c r="F24" s="40">
        <f t="shared" si="5"/>
        <v>0</v>
      </c>
      <c r="G24" s="39">
        <v>20519</v>
      </c>
      <c r="H24" s="24"/>
      <c r="I24" s="35"/>
      <c r="J24" s="62"/>
      <c r="K24" s="67" t="s">
        <v>35</v>
      </c>
      <c r="L24" s="68" t="s">
        <v>40</v>
      </c>
      <c r="M24" s="69"/>
      <c r="N24" s="69"/>
      <c r="O24" s="70" t="s">
        <v>37</v>
      </c>
      <c r="Q24" s="90"/>
    </row>
    <row r="25" s="1" customFormat="1" ht="18" customHeight="1" spans="1:17">
      <c r="A25" s="34">
        <v>42856</v>
      </c>
      <c r="B25" s="40">
        <f t="shared" si="6"/>
        <v>36489</v>
      </c>
      <c r="C25" s="36"/>
      <c r="D25" s="37" t="s">
        <v>34</v>
      </c>
      <c r="E25" s="38">
        <v>0</v>
      </c>
      <c r="F25" s="40">
        <f t="shared" si="5"/>
        <v>0</v>
      </c>
      <c r="G25" s="39">
        <v>36489</v>
      </c>
      <c r="H25" s="24"/>
      <c r="I25" s="35"/>
      <c r="J25" s="62"/>
      <c r="K25" s="67" t="s">
        <v>35</v>
      </c>
      <c r="L25" s="68" t="s">
        <v>44</v>
      </c>
      <c r="M25" s="69"/>
      <c r="N25" s="69"/>
      <c r="O25" s="70" t="s">
        <v>37</v>
      </c>
      <c r="Q25" s="90"/>
    </row>
    <row r="26" s="1" customFormat="1" ht="18" customHeight="1" spans="1:17">
      <c r="A26" s="34">
        <v>42856</v>
      </c>
      <c r="B26" s="40">
        <f t="shared" si="6"/>
        <v>342115.38</v>
      </c>
      <c r="C26" s="36"/>
      <c r="D26" s="37" t="s">
        <v>41</v>
      </c>
      <c r="E26" s="38">
        <v>0.17</v>
      </c>
      <c r="F26" s="35">
        <f t="shared" si="5"/>
        <v>58159.62</v>
      </c>
      <c r="G26" s="39">
        <v>400275</v>
      </c>
      <c r="H26" s="24"/>
      <c r="I26" s="35"/>
      <c r="J26" s="62"/>
      <c r="K26" s="67" t="s">
        <v>42</v>
      </c>
      <c r="L26" s="68" t="s">
        <v>43</v>
      </c>
      <c r="M26" s="69"/>
      <c r="N26" s="69"/>
      <c r="O26" s="70" t="s">
        <v>37</v>
      </c>
      <c r="Q26" s="90"/>
    </row>
    <row r="27" s="1" customFormat="1" ht="18" customHeight="1" spans="1:17">
      <c r="A27" s="34">
        <v>42887</v>
      </c>
      <c r="B27" s="40">
        <f t="shared" si="6"/>
        <v>253837.61</v>
      </c>
      <c r="C27" s="36"/>
      <c r="D27" s="37" t="s">
        <v>41</v>
      </c>
      <c r="E27" s="38">
        <v>0.17</v>
      </c>
      <c r="F27" s="35">
        <f t="shared" si="5"/>
        <v>43152.39</v>
      </c>
      <c r="G27" s="39">
        <v>296990</v>
      </c>
      <c r="H27" s="24"/>
      <c r="I27" s="35"/>
      <c r="J27" s="62"/>
      <c r="K27" s="67" t="s">
        <v>42</v>
      </c>
      <c r="L27" s="68" t="s">
        <v>43</v>
      </c>
      <c r="M27" s="69"/>
      <c r="N27" s="69"/>
      <c r="O27" s="70" t="s">
        <v>37</v>
      </c>
      <c r="Q27" s="90"/>
    </row>
    <row r="28" s="1" customFormat="1" ht="18" customHeight="1" spans="1:17">
      <c r="A28" s="34">
        <v>42887</v>
      </c>
      <c r="B28" s="40">
        <f t="shared" si="6"/>
        <v>256410.26</v>
      </c>
      <c r="C28" s="36"/>
      <c r="D28" s="37" t="s">
        <v>41</v>
      </c>
      <c r="E28" s="38">
        <v>0.17</v>
      </c>
      <c r="F28" s="35">
        <f t="shared" si="5"/>
        <v>43589.74</v>
      </c>
      <c r="G28" s="39">
        <v>300000</v>
      </c>
      <c r="H28" s="24"/>
      <c r="I28" s="35"/>
      <c r="J28" s="62"/>
      <c r="K28" s="67" t="s">
        <v>45</v>
      </c>
      <c r="L28" s="68" t="s">
        <v>46</v>
      </c>
      <c r="M28" s="69"/>
      <c r="N28" s="69"/>
      <c r="O28" s="70" t="s">
        <v>37</v>
      </c>
      <c r="Q28" s="90"/>
    </row>
    <row r="29" s="1" customFormat="1" ht="18" customHeight="1" spans="1:17">
      <c r="A29" s="34">
        <v>42887</v>
      </c>
      <c r="B29" s="40">
        <f t="shared" si="6"/>
        <v>550000</v>
      </c>
      <c r="C29" s="36"/>
      <c r="D29" s="37" t="s">
        <v>34</v>
      </c>
      <c r="E29" s="38"/>
      <c r="F29" s="35">
        <f t="shared" si="5"/>
        <v>0</v>
      </c>
      <c r="G29" s="39">
        <v>550000</v>
      </c>
      <c r="H29" s="24"/>
      <c r="I29" s="35"/>
      <c r="J29" s="62"/>
      <c r="K29" s="67" t="s">
        <v>35</v>
      </c>
      <c r="L29" s="68" t="s">
        <v>46</v>
      </c>
      <c r="M29" s="69"/>
      <c r="N29" s="69"/>
      <c r="O29" s="70" t="s">
        <v>37</v>
      </c>
      <c r="Q29" s="90"/>
    </row>
    <row r="30" s="1" customFormat="1" ht="18" customHeight="1" spans="1:17">
      <c r="A30" s="34">
        <v>43132</v>
      </c>
      <c r="B30" s="35">
        <f t="shared" si="6"/>
        <v>1174000</v>
      </c>
      <c r="C30" s="36"/>
      <c r="D30" s="37" t="s">
        <v>34</v>
      </c>
      <c r="E30" s="38"/>
      <c r="F30" s="35">
        <f t="shared" si="5"/>
        <v>0</v>
      </c>
      <c r="G30" s="39">
        <v>1174000</v>
      </c>
      <c r="H30" s="24"/>
      <c r="I30" s="35"/>
      <c r="J30" s="62"/>
      <c r="K30" s="67" t="s">
        <v>35</v>
      </c>
      <c r="L30" s="68" t="s">
        <v>47</v>
      </c>
      <c r="M30" s="69"/>
      <c r="N30" s="69"/>
      <c r="O30" s="70" t="s">
        <v>37</v>
      </c>
      <c r="Q30" s="90"/>
    </row>
    <row r="31" s="1" customFormat="1" ht="18" customHeight="1" spans="1:17">
      <c r="A31" s="34">
        <v>43132</v>
      </c>
      <c r="B31" s="35">
        <f t="shared" si="6"/>
        <v>1900000</v>
      </c>
      <c r="C31" s="36"/>
      <c r="D31" s="37" t="s">
        <v>34</v>
      </c>
      <c r="E31" s="38"/>
      <c r="F31" s="35">
        <f t="shared" si="5"/>
        <v>0</v>
      </c>
      <c r="G31" s="39">
        <v>1900000</v>
      </c>
      <c r="H31" s="24"/>
      <c r="I31" s="35"/>
      <c r="J31" s="62"/>
      <c r="K31" s="67" t="s">
        <v>35</v>
      </c>
      <c r="L31" s="68" t="s">
        <v>48</v>
      </c>
      <c r="M31" s="69"/>
      <c r="N31" s="69"/>
      <c r="O31" s="70" t="s">
        <v>37</v>
      </c>
      <c r="Q31" s="90"/>
    </row>
    <row r="32" s="1" customFormat="1" ht="18" customHeight="1" spans="1:17">
      <c r="A32" s="34">
        <v>43132</v>
      </c>
      <c r="B32" s="35">
        <f t="shared" si="6"/>
        <v>2000000</v>
      </c>
      <c r="C32" s="36"/>
      <c r="D32" s="37" t="s">
        <v>34</v>
      </c>
      <c r="E32" s="38"/>
      <c r="F32" s="35">
        <f t="shared" si="5"/>
        <v>0</v>
      </c>
      <c r="G32" s="39">
        <v>2000000</v>
      </c>
      <c r="H32" s="24"/>
      <c r="I32" s="35"/>
      <c r="J32" s="62"/>
      <c r="K32" s="67" t="s">
        <v>35</v>
      </c>
      <c r="L32" s="68" t="s">
        <v>46</v>
      </c>
      <c r="M32" s="69"/>
      <c r="N32" s="69"/>
      <c r="O32" s="70" t="s">
        <v>37</v>
      </c>
      <c r="Q32" s="90"/>
    </row>
    <row r="33" s="1" customFormat="1" ht="18" customHeight="1" spans="1:17">
      <c r="A33" s="34"/>
      <c r="B33" s="35">
        <f t="shared" si="6"/>
        <v>0</v>
      </c>
      <c r="C33" s="36"/>
      <c r="D33" s="37"/>
      <c r="E33" s="38"/>
      <c r="F33" s="35">
        <f t="shared" si="5"/>
        <v>0</v>
      </c>
      <c r="G33" s="39"/>
      <c r="H33" s="24" t="s">
        <v>49</v>
      </c>
      <c r="I33" s="35">
        <v>2543358.95</v>
      </c>
      <c r="J33" s="62" t="s">
        <v>50</v>
      </c>
      <c r="K33" s="67" t="s">
        <v>35</v>
      </c>
      <c r="L33" s="68"/>
      <c r="M33" s="69"/>
      <c r="N33" s="69"/>
      <c r="O33" s="70" t="s">
        <v>37</v>
      </c>
      <c r="Q33" s="90"/>
    </row>
    <row r="34" s="1" customFormat="1" ht="18" customHeight="1" spans="1:17">
      <c r="A34" s="34"/>
      <c r="B34" s="35">
        <f t="shared" ref="B34:B50" si="7">ROUND(G34/(1+E34),2)</f>
        <v>0</v>
      </c>
      <c r="C34" s="36"/>
      <c r="D34" s="37"/>
      <c r="E34" s="38"/>
      <c r="F34" s="35">
        <f t="shared" ref="F34:F50" si="8">ROUND(G34/(1+E34)*E34,2)</f>
        <v>0</v>
      </c>
      <c r="G34" s="39"/>
      <c r="H34" s="24" t="s">
        <v>51</v>
      </c>
      <c r="I34" s="35">
        <v>1882163.66</v>
      </c>
      <c r="J34" s="62" t="s">
        <v>50</v>
      </c>
      <c r="K34" s="67" t="s">
        <v>35</v>
      </c>
      <c r="L34" s="68"/>
      <c r="M34" s="69"/>
      <c r="N34" s="69"/>
      <c r="O34" s="70" t="s">
        <v>37</v>
      </c>
      <c r="Q34" s="90"/>
    </row>
    <row r="35" s="1" customFormat="1" ht="18" customHeight="1" spans="1:17">
      <c r="A35" s="34"/>
      <c r="B35" s="35">
        <f t="shared" si="7"/>
        <v>0</v>
      </c>
      <c r="C35" s="36"/>
      <c r="D35" s="37"/>
      <c r="E35" s="38"/>
      <c r="F35" s="35">
        <f t="shared" si="8"/>
        <v>0</v>
      </c>
      <c r="G35" s="39"/>
      <c r="H35" s="24" t="s">
        <v>52</v>
      </c>
      <c r="I35" s="35">
        <v>5972301.42</v>
      </c>
      <c r="J35" s="62" t="s">
        <v>50</v>
      </c>
      <c r="K35" s="67" t="s">
        <v>35</v>
      </c>
      <c r="L35" s="68"/>
      <c r="M35" s="69"/>
      <c r="N35" s="69"/>
      <c r="O35" s="70"/>
      <c r="Q35" s="90"/>
    </row>
    <row r="36" s="1" customFormat="1" ht="18" customHeight="1" spans="1:17">
      <c r="A36" s="34"/>
      <c r="B36" s="35">
        <f t="shared" si="7"/>
        <v>0</v>
      </c>
      <c r="C36" s="36"/>
      <c r="D36" s="37"/>
      <c r="E36" s="38"/>
      <c r="F36" s="35">
        <f t="shared" si="8"/>
        <v>0</v>
      </c>
      <c r="G36" s="39"/>
      <c r="H36" s="24"/>
      <c r="I36" s="35"/>
      <c r="J36" s="62"/>
      <c r="K36" s="71"/>
      <c r="L36" s="68"/>
      <c r="M36" s="69"/>
      <c r="N36" s="69"/>
      <c r="O36" s="70"/>
      <c r="Q36" s="90"/>
    </row>
    <row r="37" s="1" customFormat="1" ht="18" customHeight="1" spans="1:17">
      <c r="A37" s="34"/>
      <c r="B37" s="35">
        <f t="shared" si="7"/>
        <v>0</v>
      </c>
      <c r="C37" s="36"/>
      <c r="D37" s="37"/>
      <c r="E37" s="38"/>
      <c r="F37" s="35">
        <f t="shared" si="8"/>
        <v>0</v>
      </c>
      <c r="G37" s="39"/>
      <c r="H37" s="24"/>
      <c r="I37" s="35"/>
      <c r="J37" s="62"/>
      <c r="K37" s="71"/>
      <c r="L37" s="68"/>
      <c r="M37" s="69"/>
      <c r="N37" s="69"/>
      <c r="O37" s="70"/>
      <c r="Q37" s="90"/>
    </row>
    <row r="38" s="1" customFormat="1" ht="18" customHeight="1" spans="1:15">
      <c r="A38" s="34"/>
      <c r="B38" s="35">
        <f t="shared" si="7"/>
        <v>0</v>
      </c>
      <c r="C38" s="36"/>
      <c r="D38" s="37"/>
      <c r="E38" s="38"/>
      <c r="F38" s="35">
        <f t="shared" si="8"/>
        <v>0</v>
      </c>
      <c r="G38" s="39"/>
      <c r="H38" s="24"/>
      <c r="I38" s="12"/>
      <c r="J38" s="62"/>
      <c r="K38" s="71"/>
      <c r="L38" s="68"/>
      <c r="M38" s="69"/>
      <c r="N38" s="69"/>
      <c r="O38" s="70"/>
    </row>
    <row r="39" s="1" customFormat="1" ht="18" customHeight="1" spans="1:15">
      <c r="A39" s="34"/>
      <c r="B39" s="35">
        <f t="shared" si="7"/>
        <v>0</v>
      </c>
      <c r="C39" s="36"/>
      <c r="D39" s="37"/>
      <c r="E39" s="38"/>
      <c r="F39" s="35">
        <f t="shared" si="8"/>
        <v>0</v>
      </c>
      <c r="G39" s="39"/>
      <c r="H39" s="24"/>
      <c r="I39" s="12"/>
      <c r="J39" s="62"/>
      <c r="K39" s="71"/>
      <c r="L39" s="68"/>
      <c r="M39" s="69"/>
      <c r="N39" s="69"/>
      <c r="O39" s="70"/>
    </row>
    <row r="40" s="1" customFormat="1" ht="18" customHeight="1" spans="1:15">
      <c r="A40" s="34"/>
      <c r="B40" s="35">
        <f t="shared" si="7"/>
        <v>0</v>
      </c>
      <c r="C40" s="36"/>
      <c r="D40" s="37"/>
      <c r="E40" s="38"/>
      <c r="F40" s="35">
        <f t="shared" si="8"/>
        <v>0</v>
      </c>
      <c r="G40" s="39"/>
      <c r="H40" s="24"/>
      <c r="I40" s="12"/>
      <c r="J40" s="62"/>
      <c r="K40" s="71"/>
      <c r="L40" s="68"/>
      <c r="M40" s="69"/>
      <c r="N40" s="69"/>
      <c r="O40" s="70"/>
    </row>
    <row r="41" s="1" customFormat="1" ht="18" customHeight="1" spans="1:15">
      <c r="A41" s="34"/>
      <c r="B41" s="35">
        <f t="shared" si="7"/>
        <v>0</v>
      </c>
      <c r="C41" s="36"/>
      <c r="D41" s="37"/>
      <c r="E41" s="38"/>
      <c r="F41" s="35">
        <f t="shared" si="8"/>
        <v>0</v>
      </c>
      <c r="G41" s="39"/>
      <c r="H41" s="24"/>
      <c r="I41" s="72">
        <v>500</v>
      </c>
      <c r="J41" s="73" t="s">
        <v>53</v>
      </c>
      <c r="K41" s="74" t="s">
        <v>54</v>
      </c>
      <c r="L41" s="68"/>
      <c r="M41" s="69"/>
      <c r="N41" s="69"/>
      <c r="O41" s="70"/>
    </row>
    <row r="42" s="1" customFormat="1" ht="18" customHeight="1" spans="1:15">
      <c r="A42" s="34"/>
      <c r="B42" s="35">
        <f t="shared" si="7"/>
        <v>0</v>
      </c>
      <c r="C42" s="36"/>
      <c r="D42" s="37"/>
      <c r="E42" s="38"/>
      <c r="F42" s="35">
        <f t="shared" ref="F42:F52" si="9">ROUND(G42/(1+E42)*E42,2)</f>
        <v>0</v>
      </c>
      <c r="G42" s="39"/>
      <c r="H42" s="24"/>
      <c r="I42" s="72">
        <v>100</v>
      </c>
      <c r="J42" s="73" t="s">
        <v>53</v>
      </c>
      <c r="K42" s="75" t="s">
        <v>55</v>
      </c>
      <c r="L42" s="68"/>
      <c r="M42" s="69"/>
      <c r="N42" s="69"/>
      <c r="O42" s="70"/>
    </row>
    <row r="43" s="1" customFormat="1" ht="18" customHeight="1" spans="1:15">
      <c r="A43" s="34"/>
      <c r="B43" s="35">
        <f t="shared" si="7"/>
        <v>0</v>
      </c>
      <c r="C43" s="36"/>
      <c r="D43" s="37"/>
      <c r="E43" s="38"/>
      <c r="F43" s="35">
        <f t="shared" si="9"/>
        <v>0</v>
      </c>
      <c r="G43" s="39"/>
      <c r="H43" s="41"/>
      <c r="I43" s="72">
        <v>10831.78</v>
      </c>
      <c r="J43" s="73" t="s">
        <v>56</v>
      </c>
      <c r="K43" s="74" t="s">
        <v>57</v>
      </c>
      <c r="L43" s="68"/>
      <c r="M43" s="69"/>
      <c r="N43" s="69"/>
      <c r="O43" s="70"/>
    </row>
    <row r="44" s="1" customFormat="1" ht="18" customHeight="1" spans="1:15">
      <c r="A44" s="34"/>
      <c r="B44" s="35">
        <f t="shared" ref="B44:B52" si="10">ROUND(G44/(1+E44),2)</f>
        <v>0</v>
      </c>
      <c r="C44" s="36"/>
      <c r="D44" s="37"/>
      <c r="E44" s="38"/>
      <c r="F44" s="35">
        <f t="shared" si="9"/>
        <v>0</v>
      </c>
      <c r="G44" s="39"/>
      <c r="H44" s="41"/>
      <c r="I44" s="72"/>
      <c r="J44" s="73" t="s">
        <v>53</v>
      </c>
      <c r="K44" s="74" t="s">
        <v>58</v>
      </c>
      <c r="L44" s="68"/>
      <c r="M44" s="69"/>
      <c r="N44" s="69"/>
      <c r="O44" s="70"/>
    </row>
    <row r="45" s="1" customFormat="1" ht="18" customHeight="1" spans="1:15">
      <c r="A45" s="34"/>
      <c r="B45" s="35">
        <f t="shared" si="10"/>
        <v>0</v>
      </c>
      <c r="C45" s="36"/>
      <c r="D45" s="37"/>
      <c r="E45" s="38"/>
      <c r="F45" s="35">
        <f t="shared" si="9"/>
        <v>0</v>
      </c>
      <c r="G45" s="39"/>
      <c r="H45" s="41"/>
      <c r="I45" s="72">
        <v>23938.03</v>
      </c>
      <c r="J45" s="73" t="s">
        <v>53</v>
      </c>
      <c r="K45" s="74" t="s">
        <v>59</v>
      </c>
      <c r="L45" s="68"/>
      <c r="M45" s="69"/>
      <c r="N45" s="69"/>
      <c r="O45" s="70"/>
    </row>
    <row r="46" s="1" customFormat="1" ht="18" customHeight="1" spans="1:15">
      <c r="A46" s="34"/>
      <c r="B46" s="35">
        <f t="shared" si="10"/>
        <v>0</v>
      </c>
      <c r="C46" s="36"/>
      <c r="D46" s="37"/>
      <c r="E46" s="38"/>
      <c r="F46" s="35">
        <f t="shared" si="9"/>
        <v>0</v>
      </c>
      <c r="G46" s="39"/>
      <c r="H46" s="24" t="s">
        <v>60</v>
      </c>
      <c r="I46" s="12">
        <v>1000</v>
      </c>
      <c r="J46" s="62" t="s">
        <v>53</v>
      </c>
      <c r="K46" s="67" t="s">
        <v>54</v>
      </c>
      <c r="L46" s="68"/>
      <c r="M46" s="69"/>
      <c r="N46" s="69"/>
      <c r="O46" s="70"/>
    </row>
    <row r="47" s="1" customFormat="1" ht="18" customHeight="1" spans="1:15">
      <c r="A47" s="34"/>
      <c r="B47" s="35">
        <f t="shared" si="10"/>
        <v>0</v>
      </c>
      <c r="C47" s="36"/>
      <c r="D47" s="37"/>
      <c r="E47" s="38"/>
      <c r="F47" s="35">
        <f t="shared" si="9"/>
        <v>0</v>
      </c>
      <c r="G47" s="39"/>
      <c r="H47" s="24" t="s">
        <v>60</v>
      </c>
      <c r="I47" s="12">
        <v>409922.64</v>
      </c>
      <c r="J47" s="62" t="s">
        <v>53</v>
      </c>
      <c r="K47" s="67" t="s">
        <v>61</v>
      </c>
      <c r="L47" s="68"/>
      <c r="M47" s="69"/>
      <c r="N47" s="69"/>
      <c r="O47" s="70"/>
    </row>
    <row r="48" s="1" customFormat="1" ht="18" customHeight="1" spans="1:15">
      <c r="A48" s="34"/>
      <c r="B48" s="35">
        <f t="shared" si="10"/>
        <v>243263.07</v>
      </c>
      <c r="C48" s="36"/>
      <c r="D48" s="37"/>
      <c r="E48" s="38"/>
      <c r="F48" s="35">
        <f t="shared" si="9"/>
        <v>0</v>
      </c>
      <c r="G48" s="39">
        <v>243263.07</v>
      </c>
      <c r="H48" s="24" t="s">
        <v>62</v>
      </c>
      <c r="I48" s="12">
        <v>243263.07</v>
      </c>
      <c r="J48" s="62" t="s">
        <v>53</v>
      </c>
      <c r="K48" s="67" t="s">
        <v>63</v>
      </c>
      <c r="L48" s="68"/>
      <c r="M48" s="69"/>
      <c r="N48" s="69"/>
      <c r="O48" s="70"/>
    </row>
    <row r="49" s="1" customFormat="1" ht="18" customHeight="1" spans="1:15">
      <c r="A49" s="34"/>
      <c r="B49" s="35">
        <f t="shared" si="10"/>
        <v>0</v>
      </c>
      <c r="C49" s="36"/>
      <c r="D49" s="37"/>
      <c r="E49" s="38"/>
      <c r="F49" s="35">
        <f t="shared" si="9"/>
        <v>0</v>
      </c>
      <c r="G49" s="39"/>
      <c r="H49" s="24" t="s">
        <v>62</v>
      </c>
      <c r="I49" s="12">
        <v>84573.27</v>
      </c>
      <c r="J49" s="62" t="s">
        <v>53</v>
      </c>
      <c r="K49" s="67" t="s">
        <v>61</v>
      </c>
      <c r="L49" s="68"/>
      <c r="M49" s="69"/>
      <c r="N49" s="69"/>
      <c r="O49" s="70"/>
    </row>
    <row r="50" s="1" customFormat="1" ht="21" customHeight="1" spans="1:15">
      <c r="A50" s="34"/>
      <c r="B50" s="35">
        <f t="shared" si="10"/>
        <v>0</v>
      </c>
      <c r="C50" s="36"/>
      <c r="D50" s="37"/>
      <c r="E50" s="38"/>
      <c r="F50" s="35">
        <f t="shared" si="9"/>
        <v>0</v>
      </c>
      <c r="G50" s="39"/>
      <c r="H50" s="24" t="s">
        <v>64</v>
      </c>
      <c r="I50" s="12">
        <v>1000</v>
      </c>
      <c r="J50" s="62" t="s">
        <v>53</v>
      </c>
      <c r="K50" s="67" t="s">
        <v>54</v>
      </c>
      <c r="L50" s="68"/>
      <c r="M50" s="69"/>
      <c r="N50" s="69"/>
      <c r="O50" s="70"/>
    </row>
    <row r="51" s="1" customFormat="1" ht="21" customHeight="1" spans="1:15">
      <c r="A51" s="34"/>
      <c r="B51" s="35">
        <f t="shared" si="10"/>
        <v>0</v>
      </c>
      <c r="C51" s="36"/>
      <c r="D51" s="37"/>
      <c r="E51" s="38"/>
      <c r="F51" s="35">
        <f t="shared" si="9"/>
        <v>0</v>
      </c>
      <c r="G51" s="39"/>
      <c r="H51" s="24" t="s">
        <v>64</v>
      </c>
      <c r="I51" s="12">
        <v>4390</v>
      </c>
      <c r="J51" s="62" t="s">
        <v>53</v>
      </c>
      <c r="K51" s="67" t="s">
        <v>65</v>
      </c>
      <c r="L51" s="68"/>
      <c r="M51" s="69"/>
      <c r="N51" s="69"/>
      <c r="O51" s="70"/>
    </row>
    <row r="52" s="1" customFormat="1" ht="18" customHeight="1" spans="1:15">
      <c r="A52" s="34"/>
      <c r="B52" s="35">
        <f t="shared" si="10"/>
        <v>0</v>
      </c>
      <c r="C52" s="36"/>
      <c r="D52" s="37"/>
      <c r="E52" s="38"/>
      <c r="F52" s="35">
        <f t="shared" si="9"/>
        <v>0</v>
      </c>
      <c r="G52" s="39"/>
      <c r="H52" s="24" t="s">
        <v>64</v>
      </c>
      <c r="I52" s="12">
        <v>101251.05</v>
      </c>
      <c r="J52" s="62" t="s">
        <v>53</v>
      </c>
      <c r="K52" s="67" t="s">
        <v>61</v>
      </c>
      <c r="L52" s="68"/>
      <c r="M52" s="69"/>
      <c r="N52" s="69"/>
      <c r="O52" s="70"/>
    </row>
    <row r="53" s="1" customFormat="1" ht="18" customHeight="1" spans="1:15">
      <c r="A53" s="30" t="s">
        <v>20</v>
      </c>
      <c r="B53" s="29">
        <f>SUM(B17:B52)</f>
        <v>10142876.4</v>
      </c>
      <c r="C53" s="30"/>
      <c r="D53" s="42"/>
      <c r="E53" s="42"/>
      <c r="F53" s="31">
        <f>SUM(F17:F52)</f>
        <v>370024.61</v>
      </c>
      <c r="G53" s="43">
        <f>SUM(G17:G52)</f>
        <v>10512901.01</v>
      </c>
      <c r="H53" s="44"/>
      <c r="I53" s="30">
        <f>SUM(I17:I52)</f>
        <v>11278593.87</v>
      </c>
      <c r="J53" s="76"/>
      <c r="K53" s="77"/>
      <c r="L53" s="78"/>
      <c r="M53" s="62"/>
      <c r="N53" s="62"/>
      <c r="O53" s="32"/>
    </row>
    <row r="54" s="1" customFormat="1" ht="18" customHeight="1" spans="1:15">
      <c r="A54" s="45" t="s">
        <v>66</v>
      </c>
      <c r="B54" s="45">
        <f>B14-B53</f>
        <v>291486.330556199</v>
      </c>
      <c r="C54" s="45"/>
      <c r="D54" s="46"/>
      <c r="E54" s="46"/>
      <c r="F54" s="47"/>
      <c r="G54" s="45">
        <f>G14-G53</f>
        <v>1063134.98</v>
      </c>
      <c r="H54" s="23" t="s">
        <v>67</v>
      </c>
      <c r="I54" s="30">
        <f>I14-I53</f>
        <v>297442.119999999</v>
      </c>
      <c r="J54" s="7"/>
      <c r="K54" s="79"/>
      <c r="L54" s="6"/>
      <c r="M54" s="80"/>
      <c r="N54" s="80"/>
      <c r="O54" s="7"/>
    </row>
    <row r="55" s="1" customFormat="1" ht="18" customHeight="1" spans="1:15">
      <c r="A55" s="2" t="s">
        <v>68</v>
      </c>
      <c r="B55" s="3"/>
      <c r="C55" s="2"/>
      <c r="D55" s="4"/>
      <c r="E55" s="4"/>
      <c r="F55" s="3"/>
      <c r="G55" s="3"/>
      <c r="H55" s="4"/>
      <c r="I55" s="3">
        <f>I52+I49+I47</f>
        <v>595746.96</v>
      </c>
      <c r="J55" s="5"/>
      <c r="K55" s="6"/>
      <c r="L55" s="6"/>
      <c r="M55" s="81"/>
      <c r="N55" s="81"/>
      <c r="O55" s="81"/>
    </row>
    <row r="56" s="1" customFormat="1" ht="18" customHeight="1" spans="1:15">
      <c r="A56" s="23" t="s">
        <v>69</v>
      </c>
      <c r="B56" s="22" t="s">
        <v>70</v>
      </c>
      <c r="C56" s="32"/>
      <c r="D56" s="23" t="s">
        <v>69</v>
      </c>
      <c r="E56" s="21" t="s">
        <v>13</v>
      </c>
      <c r="F56" s="22" t="s">
        <v>70</v>
      </c>
      <c r="G56" s="48" t="s">
        <v>71</v>
      </c>
      <c r="H56" s="49"/>
      <c r="I56" s="48" t="s">
        <v>72</v>
      </c>
      <c r="J56" s="5"/>
      <c r="K56" s="82" t="s">
        <v>73</v>
      </c>
      <c r="L56" s="48" t="s">
        <v>74</v>
      </c>
      <c r="M56" s="83"/>
      <c r="N56" s="49"/>
      <c r="O56" s="49"/>
    </row>
    <row r="57" s="1" customFormat="1" ht="18" customHeight="1" spans="1:15">
      <c r="A57" s="32" t="s">
        <v>75</v>
      </c>
      <c r="B57" s="35">
        <f>(B14-B53)*0.25</f>
        <v>72871.5826390497</v>
      </c>
      <c r="C57" s="32"/>
      <c r="D57" s="28" t="s">
        <v>76</v>
      </c>
      <c r="E57" s="23" t="s">
        <v>77</v>
      </c>
      <c r="F57" s="31">
        <f>F14-F53</f>
        <v>562961.394832631</v>
      </c>
      <c r="G57" s="31">
        <f>F7-F20</f>
        <v>92046.404864865</v>
      </c>
      <c r="H57" s="50"/>
      <c r="I57" s="31">
        <f>F8-F21-F23</f>
        <v>76884.789189189</v>
      </c>
      <c r="J57" s="5"/>
      <c r="K57" s="84">
        <f>(F9+F10)-(F26+F27+F28)</f>
        <v>372656.957567568</v>
      </c>
      <c r="L57" s="85">
        <f>F11</f>
        <v>21373.2432110092</v>
      </c>
      <c r="M57" s="50"/>
      <c r="N57" s="50"/>
      <c r="O57" s="50"/>
    </row>
    <row r="58" s="1" customFormat="1" ht="18" customHeight="1" spans="1:15">
      <c r="A58" s="32" t="s">
        <v>78</v>
      </c>
      <c r="B58" s="51">
        <f>G7*0.0003</f>
        <v>795</v>
      </c>
      <c r="C58" s="32"/>
      <c r="D58" s="52" t="s">
        <v>79</v>
      </c>
      <c r="E58" s="14">
        <v>0.07</v>
      </c>
      <c r="F58" s="12">
        <f>F57*E58</f>
        <v>39407.2976382842</v>
      </c>
      <c r="G58" s="53">
        <f>G57*E58</f>
        <v>6443.24834054055</v>
      </c>
      <c r="H58" s="49"/>
      <c r="I58" s="53">
        <f>I57*E58</f>
        <v>5381.93524324323</v>
      </c>
      <c r="J58" s="5"/>
      <c r="K58" s="86">
        <f>K57*E58</f>
        <v>26085.9870297298</v>
      </c>
      <c r="L58" s="87">
        <f>L57*0.07</f>
        <v>1496.12702477064</v>
      </c>
      <c r="M58" s="49"/>
      <c r="N58" s="49"/>
      <c r="O58" s="49"/>
    </row>
    <row r="59" s="1" customFormat="1" ht="18" customHeight="1" spans="1:15">
      <c r="A59" s="32" t="s">
        <v>80</v>
      </c>
      <c r="B59" s="51">
        <f>B7*0.0006</f>
        <v>1432.43243243243</v>
      </c>
      <c r="C59" s="32"/>
      <c r="D59" s="52" t="s">
        <v>81</v>
      </c>
      <c r="E59" s="14">
        <v>0.03</v>
      </c>
      <c r="F59" s="12">
        <f>F57*E59</f>
        <v>16888.8418449789</v>
      </c>
      <c r="G59" s="53">
        <f>G57*E59</f>
        <v>2761.39214594595</v>
      </c>
      <c r="H59" s="49"/>
      <c r="I59" s="53">
        <f>I57*E59</f>
        <v>2306.54367567567</v>
      </c>
      <c r="J59" s="5"/>
      <c r="K59" s="86">
        <f>K57*E59</f>
        <v>11179.708727027</v>
      </c>
      <c r="L59" s="87">
        <f>L57*E59</f>
        <v>641.197296330275</v>
      </c>
      <c r="M59" s="49"/>
      <c r="N59" s="49"/>
      <c r="O59" s="49"/>
    </row>
    <row r="60" s="1" customFormat="1" ht="18" customHeight="1" spans="1:15">
      <c r="A60" s="32"/>
      <c r="B60" s="12"/>
      <c r="C60" s="32"/>
      <c r="D60" s="52" t="s">
        <v>82</v>
      </c>
      <c r="E60" s="14">
        <v>0.02</v>
      </c>
      <c r="F60" s="12">
        <f>F57*E60</f>
        <v>11259.2278966526</v>
      </c>
      <c r="G60" s="53">
        <f>G57*E60</f>
        <v>1840.9280972973</v>
      </c>
      <c r="H60" s="49"/>
      <c r="I60" s="53">
        <f>I57*E60</f>
        <v>1537.69578378378</v>
      </c>
      <c r="J60" s="5"/>
      <c r="K60" s="86">
        <f>K57*E60</f>
        <v>7453.13915135136</v>
      </c>
      <c r="L60" s="87">
        <f>L57*E60</f>
        <v>427.464864220183</v>
      </c>
      <c r="M60" s="49"/>
      <c r="N60" s="49"/>
      <c r="O60" s="49"/>
    </row>
    <row r="61" s="1" customFormat="1" ht="18" customHeight="1" spans="1:15">
      <c r="A61" s="28" t="s">
        <v>83</v>
      </c>
      <c r="B61" s="29">
        <f>SUM(B57:B60)</f>
        <v>75099.0150714822</v>
      </c>
      <c r="C61" s="32"/>
      <c r="D61" s="33" t="s">
        <v>83</v>
      </c>
      <c r="E61" s="28"/>
      <c r="F61" s="31">
        <f>SUM(F57:F60)</f>
        <v>630516.762212547</v>
      </c>
      <c r="G61" s="31">
        <f>SUM(G57:G60)</f>
        <v>103091.973448649</v>
      </c>
      <c r="H61" s="50"/>
      <c r="I61" s="31">
        <f>SUM(I57:I60)</f>
        <v>86110.9638918917</v>
      </c>
      <c r="J61" s="5"/>
      <c r="K61" s="84">
        <f>SUM(K57:K60)</f>
        <v>417375.792475676</v>
      </c>
      <c r="L61" s="85">
        <f>SUM(L57:L60)</f>
        <v>23938.0323963303</v>
      </c>
      <c r="M61" s="50"/>
      <c r="N61" s="50"/>
      <c r="O61" s="50"/>
    </row>
    <row r="62" s="1" customFormat="1" ht="18" customHeight="1" spans="1:15">
      <c r="A62" s="2"/>
      <c r="B62" s="3"/>
      <c r="C62" s="2"/>
      <c r="D62" s="12" t="s">
        <v>78</v>
      </c>
      <c r="E62" s="54">
        <v>0.0003</v>
      </c>
      <c r="F62" s="12">
        <f>G14*E62</f>
        <v>3472.810797</v>
      </c>
      <c r="G62" s="55">
        <f>G7*E62</f>
        <v>795</v>
      </c>
      <c r="H62" s="4"/>
      <c r="I62" s="55">
        <f>G8*E62</f>
        <v>663</v>
      </c>
      <c r="J62" s="5"/>
      <c r="K62" s="86">
        <f>G9*E62</f>
        <v>1260</v>
      </c>
      <c r="L62" s="87">
        <v>0</v>
      </c>
      <c r="M62" s="49"/>
      <c r="N62" s="49"/>
      <c r="O62" s="49"/>
    </row>
    <row r="63" s="1" customFormat="1" ht="18" customHeight="1" spans="1:15">
      <c r="A63" s="2"/>
      <c r="B63" s="3"/>
      <c r="C63" s="2"/>
      <c r="D63" s="12" t="s">
        <v>80</v>
      </c>
      <c r="E63" s="54">
        <v>0.0006</v>
      </c>
      <c r="F63" s="12">
        <f>B14*E63</f>
        <v>6260.61763833375</v>
      </c>
      <c r="G63" s="55">
        <f>B7*E63</f>
        <v>1432.43243243243</v>
      </c>
      <c r="H63" s="4"/>
      <c r="I63" s="55">
        <f>B8*E63</f>
        <v>1194.59459459459</v>
      </c>
      <c r="J63" s="5"/>
      <c r="K63" s="86">
        <f>B9*E63</f>
        <v>2270.27027027027</v>
      </c>
      <c r="L63" s="87">
        <v>0</v>
      </c>
      <c r="M63" s="49"/>
      <c r="N63" s="49"/>
      <c r="O63" s="49"/>
    </row>
    <row r="64" s="1" customFormat="1" ht="18" customHeight="1" spans="1:15">
      <c r="A64" s="2"/>
      <c r="B64" s="3"/>
      <c r="C64" s="2"/>
      <c r="D64" s="21" t="s">
        <v>83</v>
      </c>
      <c r="E64" s="42"/>
      <c r="F64" s="30">
        <f>F63+F62</f>
        <v>9733.42843533375</v>
      </c>
      <c r="G64" s="56">
        <f>SUM(G62:G63)</f>
        <v>2227.43243243243</v>
      </c>
      <c r="H64" s="4"/>
      <c r="I64" s="56">
        <f>SUM(I62:I63)</f>
        <v>1857.59459459459</v>
      </c>
      <c r="J64" s="5"/>
      <c r="K64" s="88">
        <f>SUM(K62:K63)</f>
        <v>3530.27027027027</v>
      </c>
      <c r="L64" s="89">
        <f>SUM(L62:L63)</f>
        <v>0</v>
      </c>
      <c r="M64" s="50"/>
      <c r="N64" s="50"/>
      <c r="O64" s="50"/>
    </row>
    <row r="65" s="1" customFormat="1" ht="18" customHeight="1" spans="1:15">
      <c r="A65" s="2"/>
      <c r="B65" s="3"/>
      <c r="C65" s="2"/>
      <c r="D65" s="21" t="s">
        <v>20</v>
      </c>
      <c r="E65" s="30"/>
      <c r="F65" s="30">
        <f>F61+F64</f>
        <v>640250.19064788</v>
      </c>
      <c r="G65" s="56">
        <f>G61+G64</f>
        <v>105319.405881081</v>
      </c>
      <c r="H65" s="4"/>
      <c r="I65" s="56">
        <f>I61+I64</f>
        <v>87968.5584864863</v>
      </c>
      <c r="J65" s="5"/>
      <c r="K65" s="88">
        <f>K61+K64</f>
        <v>420906.062745946</v>
      </c>
      <c r="L65" s="89">
        <f>L61+L64</f>
        <v>23938.0323963303</v>
      </c>
      <c r="M65" s="50"/>
      <c r="N65" s="50"/>
      <c r="O65" s="50"/>
    </row>
    <row r="66" ht="18" customHeight="1" spans="3:6">
      <c r="C66" s="2"/>
      <c r="D66" s="12" t="s">
        <v>84</v>
      </c>
      <c r="E66" s="12"/>
      <c r="F66" s="56">
        <f>F61-I52-I49-I47-I45</f>
        <v>10831.7722125469</v>
      </c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ht="18" customHeight="1" spans="3:3">
      <c r="C72" s="2"/>
    </row>
    <row r="73" ht="18" customHeight="1" spans="3:3">
      <c r="C73" s="2"/>
    </row>
    <row r="74" ht="18" customHeight="1" spans="3:3">
      <c r="C74" s="2"/>
    </row>
    <row r="75" ht="18" customHeight="1" spans="3:3">
      <c r="C75" s="2"/>
    </row>
    <row r="76" ht="18" customHeight="1" spans="3:3">
      <c r="C76" s="2"/>
    </row>
    <row r="77" ht="18" customHeight="1" spans="3:3">
      <c r="C77" s="2"/>
    </row>
    <row r="78" ht="18" customHeight="1" spans="3:3">
      <c r="C78" s="2"/>
    </row>
    <row r="79" ht="18" customHeight="1" spans="3:3">
      <c r="C79" s="2"/>
    </row>
    <row r="80" ht="18" customHeight="1" spans="3:3">
      <c r="C80" s="2"/>
    </row>
    <row r="81" ht="18" customHeight="1" spans="3:3">
      <c r="C81" s="2"/>
    </row>
    <row r="82" spans="3:3">
      <c r="C82" s="2"/>
    </row>
    <row r="83" spans="3:3">
      <c r="C83" s="2"/>
    </row>
  </sheetData>
  <autoFilter ref="A16:O66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7:Q32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岳西县头陀镇至青天乡乡级公路畅通工程（金坳至七里冲段）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2021-11-23T01:50:53Z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