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新!$A$15:$O$52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A4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5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D5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A4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<sst xmlns="http://schemas.openxmlformats.org/spreadsheetml/2006/main" count="231" uniqueCount="82">
  <si>
    <t>C4565   寿县安丰塘镇乡级道路畅通工程团结渠路安丰塘段一标</t>
  </si>
  <si>
    <t>中标日期</t>
  </si>
  <si>
    <t>中标价</t>
  </si>
  <si>
    <t>负责人</t>
  </si>
  <si>
    <t>建设单位</t>
  </si>
  <si>
    <t>寿县安丰塘镇人民政府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</si>
  <si>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</si>
  <si>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</si>
  <si>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</si>
  <si>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</si>
  <si>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</si>
  <si>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</si>
  <si>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</si>
  <si>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</si>
  <si>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</si>
  <si>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</si>
  <si>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</si>
  <si>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</si>
  <si>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</si>
  <si>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</si>
  <si>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2016-12-</t>
  </si>
  <si>
    <t>中行</t>
  </si>
  <si>
    <t>17-1-</t>
  </si>
  <si>
    <t>17-8-</t>
  </si>
  <si>
    <t>18-12-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</si>
  <si>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</si>
  <si>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</si>
  <si>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</si>
  <si>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</si>
  <si>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</si>
  <si>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</si>
  <si>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</si>
  <si>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</si>
  <si>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</si>
  <si>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</si>
  <si>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</si>
  <si>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</si>
  <si>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</si>
  <si>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</si>
  <si>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17年一月以前成本</t>
  </si>
  <si>
    <t>徽行</t>
  </si>
  <si>
    <t>杨刚</t>
  </si>
  <si>
    <t>苗木</t>
  </si>
  <si>
    <t>项目部垫付</t>
  </si>
  <si>
    <t>17-9-</t>
  </si>
  <si>
    <t>普</t>
  </si>
  <si>
    <t>19-1-</t>
  </si>
  <si>
    <t>17-12-</t>
  </si>
  <si>
    <t>补扣</t>
  </si>
  <si>
    <t>截止2021.11.9之前开票增值税及附加</t>
  </si>
  <si>
    <t>扣</t>
  </si>
  <si>
    <t>管理费</t>
  </si>
  <si>
    <t>退</t>
  </si>
  <si>
    <t>暂扣</t>
  </si>
  <si>
    <t>代办费</t>
  </si>
  <si>
    <t>1次</t>
  </si>
  <si>
    <t>税金（16.12-17.8开票税金）</t>
  </si>
  <si>
    <t>预留</t>
  </si>
  <si>
    <t>损失准备金1%</t>
  </si>
  <si>
    <t>2次</t>
  </si>
  <si>
    <t>税金（18.12月开票）</t>
  </si>
  <si>
    <t>尚需提供成本</t>
  </si>
  <si>
    <t>可支付金额</t>
  </si>
  <si>
    <t>公司代缴税金：</t>
  </si>
  <si>
    <t>税种</t>
  </si>
  <si>
    <t>税额</t>
  </si>
  <si>
    <t>16.12-17.8月开票扣税</t>
  </si>
  <si>
    <t>18.12开票税金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</si>
  <si>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</si>
  <si>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</si>
  <si>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</si>
  <si>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</si>
  <si>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</si>
  <si>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</si>
  <si>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</si>
  <si>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</si>
  <si>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</si>
  <si>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</si>
  <si>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补扣之前开票税金</t>
  </si>
  <si>
    <t>寿县安丰塘镇乡级道路畅通工程团结渠路安丰塘段一标</t>
  </si>
  <si>
    <t>税金</t>
  </si>
  <si>
    <t>18.12月开票扣税</t>
  </si>
</sst>
</file>

<file path=xl/styles.xml><?xml version="1.0" encoding="utf-8"?>
<styleSheet xmlns="http://schemas.openxmlformats.org/spreadsheetml/2006/main">
  <numFmts count="9">
    <numFmt numFmtId="176" formatCode="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8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9" fontId="6" fillId="5" borderId="2" xfId="1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2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tabSelected="1" topLeftCell="A28" workbookViewId="0">
      <selection activeCell="K54" sqref="K5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21.12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42587</v>
      </c>
      <c r="C2" s="11" t="s">
        <v>2</v>
      </c>
      <c r="D2" s="12">
        <v>5230717.72</v>
      </c>
      <c r="E2" s="13" t="s">
        <v>3</v>
      </c>
      <c r="F2" s="14"/>
      <c r="G2" s="15" t="s">
        <v>4</v>
      </c>
      <c r="H2" s="16" t="s">
        <v>5</v>
      </c>
      <c r="I2" s="52"/>
      <c r="J2" s="53"/>
      <c r="K2" s="18"/>
      <c r="L2" s="18"/>
    </row>
    <row r="3" ht="18" customHeight="1" spans="1:12">
      <c r="A3" s="9" t="s">
        <v>6</v>
      </c>
      <c r="B3" s="17"/>
      <c r="C3" s="11" t="s">
        <v>7</v>
      </c>
      <c r="D3" s="11">
        <v>6101645.23</v>
      </c>
      <c r="H3" s="18"/>
      <c r="I3" s="54"/>
      <c r="J3" s="18"/>
      <c r="K3" s="18"/>
      <c r="L3" s="18"/>
    </row>
    <row r="4" ht="18" customHeight="1" spans="1:12">
      <c r="A4" s="2" t="s">
        <v>8</v>
      </c>
      <c r="H4" s="18"/>
      <c r="I4" s="54"/>
      <c r="J4" s="18"/>
      <c r="K4" s="18"/>
      <c r="L4" s="18"/>
    </row>
    <row r="5" ht="18" customHeight="1" spans="1:10">
      <c r="A5" s="19" t="s">
        <v>9</v>
      </c>
      <c r="B5" s="20" t="s">
        <v>10</v>
      </c>
      <c r="C5" s="19" t="s">
        <v>11</v>
      </c>
      <c r="D5" s="19"/>
      <c r="E5" s="19" t="s">
        <v>12</v>
      </c>
      <c r="F5" s="20"/>
      <c r="G5" s="20" t="s">
        <v>13</v>
      </c>
      <c r="H5" s="21" t="s">
        <v>14</v>
      </c>
      <c r="I5" s="20"/>
      <c r="J5" s="21"/>
    </row>
    <row r="6" ht="18" customHeight="1" spans="1:10">
      <c r="A6" s="19"/>
      <c r="B6" s="20"/>
      <c r="C6" s="19" t="s">
        <v>15</v>
      </c>
      <c r="D6" s="19" t="s">
        <v>16</v>
      </c>
      <c r="E6" s="19" t="s">
        <v>15</v>
      </c>
      <c r="F6" s="20" t="s">
        <v>16</v>
      </c>
      <c r="G6" s="20"/>
      <c r="H6" s="21" t="s">
        <v>17</v>
      </c>
      <c r="I6" s="20" t="s">
        <v>18</v>
      </c>
      <c r="J6" s="21" t="s">
        <v>19</v>
      </c>
    </row>
    <row r="7" ht="18" customHeight="1" spans="1:10">
      <c r="A7" s="22" t="s">
        <v>20</v>
      </c>
      <c r="B7" s="11">
        <f t="shared" ref="B7:B12" si="0">G7/(1+C7+E7)</f>
        <v>1413707.4954955</v>
      </c>
      <c r="C7" s="23">
        <v>0.02</v>
      </c>
      <c r="D7" s="63">
        <f t="shared" ref="D7:D12" si="1">G7/(1+E7+C7)*C7</f>
        <v>28274.1499099099</v>
      </c>
      <c r="E7" s="23">
        <v>0.09</v>
      </c>
      <c r="F7" s="11">
        <f t="shared" ref="F7:F12" si="2">G7/(1+C7+E7)*E7</f>
        <v>127233.674594595</v>
      </c>
      <c r="G7" s="64">
        <v>1569215.32</v>
      </c>
      <c r="H7" s="22">
        <v>42726</v>
      </c>
      <c r="I7" s="11">
        <v>1569215</v>
      </c>
      <c r="J7" s="48" t="s">
        <v>21</v>
      </c>
    </row>
    <row r="8" ht="18" customHeight="1" spans="1:10">
      <c r="A8" s="22" t="s">
        <v>22</v>
      </c>
      <c r="B8" s="11">
        <f t="shared" si="0"/>
        <v>945945.945945946</v>
      </c>
      <c r="C8" s="23">
        <v>0.02</v>
      </c>
      <c r="D8" s="63">
        <f t="shared" si="1"/>
        <v>18918.9189189189</v>
      </c>
      <c r="E8" s="23">
        <v>0.09</v>
      </c>
      <c r="F8" s="11">
        <f t="shared" si="2"/>
        <v>85135.1351351351</v>
      </c>
      <c r="G8" s="64">
        <v>1050000</v>
      </c>
      <c r="H8" s="22">
        <v>42751</v>
      </c>
      <c r="I8" s="11">
        <v>1050000</v>
      </c>
      <c r="J8" s="48" t="s">
        <v>21</v>
      </c>
    </row>
    <row r="9" ht="18" customHeight="1" spans="1:10">
      <c r="A9" s="22" t="s">
        <v>23</v>
      </c>
      <c r="B9" s="11">
        <f t="shared" si="0"/>
        <v>1864864.86486486</v>
      </c>
      <c r="C9" s="23">
        <v>0.02</v>
      </c>
      <c r="D9" s="63">
        <f t="shared" si="1"/>
        <v>37297.2972972973</v>
      </c>
      <c r="E9" s="23">
        <v>0.09</v>
      </c>
      <c r="F9" s="11">
        <f t="shared" si="2"/>
        <v>167837.837837838</v>
      </c>
      <c r="G9" s="64">
        <v>2070000</v>
      </c>
      <c r="H9" s="22">
        <v>42976</v>
      </c>
      <c r="I9" s="11">
        <v>2070000</v>
      </c>
      <c r="J9" s="48" t="s">
        <v>21</v>
      </c>
    </row>
    <row r="10" ht="18" customHeight="1" spans="1:10">
      <c r="A10" s="22" t="s">
        <v>24</v>
      </c>
      <c r="B10" s="11">
        <f t="shared" si="0"/>
        <v>750895.454545454</v>
      </c>
      <c r="C10" s="65">
        <v>0.02</v>
      </c>
      <c r="D10" s="63">
        <f t="shared" si="1"/>
        <v>15017.9090909091</v>
      </c>
      <c r="E10" s="65">
        <v>0.08</v>
      </c>
      <c r="F10" s="11">
        <f t="shared" si="2"/>
        <v>60071.6363636364</v>
      </c>
      <c r="G10" s="64">
        <v>825985</v>
      </c>
      <c r="H10" s="22">
        <v>42976</v>
      </c>
      <c r="I10" s="11">
        <v>825985</v>
      </c>
      <c r="J10" s="48" t="s">
        <v>21</v>
      </c>
    </row>
    <row r="11" ht="18" customHeight="1" spans="1:10">
      <c r="A11" s="22"/>
      <c r="B11" s="11">
        <f t="shared" si="0"/>
        <v>0</v>
      </c>
      <c r="C11" s="23"/>
      <c r="D11" s="63">
        <f t="shared" si="1"/>
        <v>0</v>
      </c>
      <c r="E11" s="23"/>
      <c r="F11" s="11">
        <f t="shared" si="2"/>
        <v>0</v>
      </c>
      <c r="G11" s="64"/>
      <c r="H11" s="22"/>
      <c r="I11" s="11"/>
      <c r="J11" s="48"/>
    </row>
    <row r="12" ht="18" customHeight="1" spans="1:10">
      <c r="A12" s="22"/>
      <c r="B12" s="11">
        <f t="shared" si="0"/>
        <v>0</v>
      </c>
      <c r="C12" s="23"/>
      <c r="D12" s="63">
        <f t="shared" si="1"/>
        <v>0</v>
      </c>
      <c r="E12" s="23"/>
      <c r="F12" s="11">
        <f t="shared" si="2"/>
        <v>0</v>
      </c>
      <c r="G12" s="64"/>
      <c r="H12" s="22"/>
      <c r="I12" s="11"/>
      <c r="J12" s="48"/>
    </row>
    <row r="13" ht="18" customHeight="1" spans="1:10">
      <c r="A13" s="26" t="s">
        <v>25</v>
      </c>
      <c r="B13" s="66">
        <f>SUM(B7:B12)</f>
        <v>4975413.76085176</v>
      </c>
      <c r="C13" s="28"/>
      <c r="D13" s="28">
        <f>SUM(D7:D12)</f>
        <v>99508.2752170352</v>
      </c>
      <c r="E13" s="28"/>
      <c r="F13" s="67">
        <f>SUM(F7:F12)</f>
        <v>440278.283931204</v>
      </c>
      <c r="G13" s="28">
        <f>SUM(G7:G12)</f>
        <v>5515200.32</v>
      </c>
      <c r="H13" s="31"/>
      <c r="I13" s="28">
        <f>SUM(I7:I12)</f>
        <v>5515200</v>
      </c>
      <c r="J13" s="31"/>
    </row>
    <row r="14" ht="18" customHeight="1" spans="1:12">
      <c r="A14" s="2" t="s">
        <v>26</v>
      </c>
      <c r="G14" s="3">
        <f>D3-G13</f>
        <v>586444.91</v>
      </c>
      <c r="J14" s="4"/>
      <c r="K14" s="4"/>
      <c r="L14" s="5"/>
    </row>
    <row r="15" ht="18" customHeight="1" spans="1:15">
      <c r="A15" s="32" t="s">
        <v>27</v>
      </c>
      <c r="B15" s="20" t="s">
        <v>28</v>
      </c>
      <c r="C15" s="19" t="s">
        <v>29</v>
      </c>
      <c r="D15" s="19" t="s">
        <v>30</v>
      </c>
      <c r="E15" s="19" t="s">
        <v>15</v>
      </c>
      <c r="F15" s="20" t="s">
        <v>31</v>
      </c>
      <c r="G15" s="20" t="s">
        <v>13</v>
      </c>
      <c r="H15" s="19" t="s">
        <v>32</v>
      </c>
      <c r="I15" s="20" t="s">
        <v>33</v>
      </c>
      <c r="J15" s="19" t="s">
        <v>19</v>
      </c>
      <c r="K15" s="55" t="s">
        <v>34</v>
      </c>
      <c r="L15" s="21" t="s">
        <v>35</v>
      </c>
      <c r="M15" s="21" t="s">
        <v>36</v>
      </c>
      <c r="N15" s="21" t="s">
        <v>37</v>
      </c>
      <c r="O15" s="21" t="s">
        <v>38</v>
      </c>
    </row>
    <row r="16" s="1" customFormat="1" ht="18" customHeight="1" spans="1:15">
      <c r="A16" s="33"/>
      <c r="B16" s="68">
        <f t="shared" ref="B16:B20" si="3">ROUND(G16/(1+E16),2)</f>
        <v>1422650</v>
      </c>
      <c r="C16" s="35"/>
      <c r="D16" s="36"/>
      <c r="E16" s="37"/>
      <c r="F16" s="68">
        <f t="shared" ref="F16:F28" si="4">ROUND(G16/(1+E16)*E16,2)</f>
        <v>0</v>
      </c>
      <c r="G16" s="69">
        <v>1422650</v>
      </c>
      <c r="H16" s="22"/>
      <c r="I16" s="11"/>
      <c r="J16" s="48"/>
      <c r="K16" s="56"/>
      <c r="L16" s="57"/>
      <c r="M16" s="58"/>
      <c r="N16" s="58"/>
      <c r="O16" s="57"/>
    </row>
    <row r="17" s="1" customFormat="1" ht="18" customHeight="1" spans="1:16">
      <c r="A17" s="33"/>
      <c r="B17" s="68">
        <f t="shared" si="3"/>
        <v>2161050</v>
      </c>
      <c r="C17" s="35"/>
      <c r="D17" s="36"/>
      <c r="E17" s="37"/>
      <c r="F17" s="68">
        <f t="shared" si="4"/>
        <v>0</v>
      </c>
      <c r="G17" s="69">
        <v>2161050</v>
      </c>
      <c r="H17" s="22"/>
      <c r="I17" s="11">
        <v>1323143.6</v>
      </c>
      <c r="J17" s="48"/>
      <c r="K17" s="56"/>
      <c r="L17" s="57"/>
      <c r="M17" s="58"/>
      <c r="N17" s="58"/>
      <c r="O17" s="57"/>
      <c r="P17" s="59" t="s">
        <v>39</v>
      </c>
    </row>
    <row r="18" s="1" customFormat="1" ht="18" customHeight="1" spans="1:15">
      <c r="A18" s="33" t="s">
        <v>22</v>
      </c>
      <c r="B18" s="70">
        <f t="shared" si="3"/>
        <v>0</v>
      </c>
      <c r="C18" s="39"/>
      <c r="D18" s="40"/>
      <c r="E18" s="41"/>
      <c r="F18" s="70">
        <f t="shared" si="4"/>
        <v>0</v>
      </c>
      <c r="G18" s="64"/>
      <c r="H18" s="22" t="s">
        <v>22</v>
      </c>
      <c r="I18" s="11">
        <v>959240.41</v>
      </c>
      <c r="J18" s="48" t="s">
        <v>40</v>
      </c>
      <c r="K18" s="56" t="s">
        <v>41</v>
      </c>
      <c r="L18" s="57"/>
      <c r="M18" s="58"/>
      <c r="N18" s="58"/>
      <c r="O18" s="57"/>
    </row>
    <row r="19" s="1" customFormat="1" ht="18" customHeight="1" spans="1:15">
      <c r="A19" s="33" t="s">
        <v>22</v>
      </c>
      <c r="B19" s="70">
        <f t="shared" si="3"/>
        <v>0</v>
      </c>
      <c r="C19" s="39"/>
      <c r="D19" s="40"/>
      <c r="E19" s="41"/>
      <c r="F19" s="70">
        <f t="shared" si="4"/>
        <v>0</v>
      </c>
      <c r="G19" s="64"/>
      <c r="H19" s="22"/>
      <c r="I19" s="11"/>
      <c r="J19" s="48"/>
      <c r="K19" s="56" t="s">
        <v>41</v>
      </c>
      <c r="L19" s="57" t="s">
        <v>42</v>
      </c>
      <c r="M19" s="58"/>
      <c r="N19" s="58"/>
      <c r="O19" s="57" t="s">
        <v>43</v>
      </c>
    </row>
    <row r="20" s="1" customFormat="1" ht="18" customHeight="1" spans="1:15">
      <c r="A20" s="33" t="s">
        <v>23</v>
      </c>
      <c r="B20" s="70">
        <f t="shared" si="3"/>
        <v>1501520</v>
      </c>
      <c r="C20" s="39"/>
      <c r="D20" s="40"/>
      <c r="E20" s="41"/>
      <c r="F20" s="70">
        <f t="shared" si="4"/>
        <v>0</v>
      </c>
      <c r="G20" s="64">
        <v>1501520</v>
      </c>
      <c r="H20" s="22"/>
      <c r="I20" s="11"/>
      <c r="J20" s="48"/>
      <c r="K20" s="56" t="s">
        <v>41</v>
      </c>
      <c r="L20" s="57"/>
      <c r="M20" s="58"/>
      <c r="N20" s="58"/>
      <c r="O20" s="57" t="s">
        <v>43</v>
      </c>
    </row>
    <row r="21" s="1" customFormat="1" ht="18" customHeight="1" spans="1:15">
      <c r="A21" s="33"/>
      <c r="B21" s="70">
        <v>-37758.02</v>
      </c>
      <c r="C21" s="39"/>
      <c r="D21" s="40"/>
      <c r="E21" s="41"/>
      <c r="F21" s="70">
        <f t="shared" si="4"/>
        <v>0</v>
      </c>
      <c r="G21" s="64"/>
      <c r="H21" s="22" t="s">
        <v>44</v>
      </c>
      <c r="I21" s="11">
        <v>1863878.38</v>
      </c>
      <c r="J21" s="48" t="s">
        <v>40</v>
      </c>
      <c r="K21" s="56" t="s">
        <v>41</v>
      </c>
      <c r="L21" s="57"/>
      <c r="M21" s="58"/>
      <c r="N21" s="58"/>
      <c r="O21" s="57"/>
    </row>
    <row r="22" s="1" customFormat="1" ht="18" customHeight="1" spans="1:15">
      <c r="A22" s="33" t="s">
        <v>24</v>
      </c>
      <c r="B22" s="70">
        <f>ROUND(G22/(1+E22),2)</f>
        <v>600000</v>
      </c>
      <c r="C22" s="39"/>
      <c r="D22" s="40" t="s">
        <v>45</v>
      </c>
      <c r="E22" s="41"/>
      <c r="F22" s="70">
        <f t="shared" si="4"/>
        <v>0</v>
      </c>
      <c r="G22" s="64">
        <v>600000</v>
      </c>
      <c r="H22" s="22"/>
      <c r="I22" s="11">
        <v>600000</v>
      </c>
      <c r="J22" s="48" t="s">
        <v>40</v>
      </c>
      <c r="K22" s="56" t="s">
        <v>41</v>
      </c>
      <c r="L22" s="57"/>
      <c r="M22" s="58"/>
      <c r="N22" s="58"/>
      <c r="O22" s="57"/>
    </row>
    <row r="23" s="1" customFormat="1" ht="18" customHeight="1" spans="1:15">
      <c r="A23" s="33" t="s">
        <v>46</v>
      </c>
      <c r="B23" s="70">
        <f>ROUND(G23/(1+E23),2)</f>
        <v>151154</v>
      </c>
      <c r="C23" s="39"/>
      <c r="D23" s="40" t="s">
        <v>45</v>
      </c>
      <c r="E23" s="41"/>
      <c r="F23" s="70">
        <f t="shared" si="4"/>
        <v>0</v>
      </c>
      <c r="G23" s="64">
        <v>151154</v>
      </c>
      <c r="H23" s="22">
        <v>43490</v>
      </c>
      <c r="I23" s="11">
        <v>151154</v>
      </c>
      <c r="J23" s="48" t="s">
        <v>40</v>
      </c>
      <c r="K23" s="56" t="s">
        <v>41</v>
      </c>
      <c r="L23" s="57"/>
      <c r="M23" s="58"/>
      <c r="N23" s="58"/>
      <c r="O23" s="57"/>
    </row>
    <row r="24" s="1" customFormat="1" ht="18" customHeight="1" spans="1:15">
      <c r="A24" s="33"/>
      <c r="B24" s="70">
        <f>ROUND(G24/(1+E24),2)</f>
        <v>0</v>
      </c>
      <c r="C24" s="39"/>
      <c r="D24" s="40"/>
      <c r="E24" s="41"/>
      <c r="F24" s="70">
        <f t="shared" si="4"/>
        <v>0</v>
      </c>
      <c r="G24" s="64"/>
      <c r="H24" s="22" t="s">
        <v>47</v>
      </c>
      <c r="I24" s="11">
        <v>21000</v>
      </c>
      <c r="J24" s="48" t="s">
        <v>40</v>
      </c>
      <c r="K24" s="56" t="s">
        <v>41</v>
      </c>
      <c r="L24" s="57"/>
      <c r="M24" s="58"/>
      <c r="N24" s="58"/>
      <c r="O24" s="57"/>
    </row>
    <row r="25" s="1" customFormat="1" ht="18" customHeight="1" spans="1:15">
      <c r="A25" s="33"/>
      <c r="B25" s="70">
        <f>ROUND(G25/(1+E25),2)</f>
        <v>0</v>
      </c>
      <c r="C25" s="39"/>
      <c r="D25" s="40"/>
      <c r="E25" s="41"/>
      <c r="F25" s="70">
        <f t="shared" si="4"/>
        <v>0</v>
      </c>
      <c r="G25" s="64"/>
      <c r="H25" s="22"/>
      <c r="I25" s="11"/>
      <c r="J25" s="48"/>
      <c r="K25" s="56"/>
      <c r="L25" s="57"/>
      <c r="M25" s="58"/>
      <c r="N25" s="58"/>
      <c r="O25" s="57"/>
    </row>
    <row r="26" s="1" customFormat="1" ht="18" customHeight="1" spans="1:15">
      <c r="A26" s="33"/>
      <c r="B26" s="70">
        <f>ROUND(G26/(1+E26),2)</f>
        <v>0</v>
      </c>
      <c r="C26" s="39"/>
      <c r="D26" s="40"/>
      <c r="E26" s="41"/>
      <c r="F26" s="70">
        <f t="shared" si="4"/>
        <v>0</v>
      </c>
      <c r="G26" s="64"/>
      <c r="H26" s="22"/>
      <c r="I26" s="11"/>
      <c r="J26" s="48"/>
      <c r="K26" s="56"/>
      <c r="L26" s="57"/>
      <c r="M26" s="58"/>
      <c r="N26" s="58"/>
      <c r="O26" s="57"/>
    </row>
    <row r="27" s="1" customFormat="1" ht="18" customHeight="1" spans="1:15">
      <c r="A27" s="33"/>
      <c r="B27" s="70"/>
      <c r="C27" s="39"/>
      <c r="D27" s="40"/>
      <c r="E27" s="41"/>
      <c r="F27" s="70"/>
      <c r="G27" s="64"/>
      <c r="H27" s="22"/>
      <c r="I27" s="11"/>
      <c r="J27" s="48"/>
      <c r="K27" s="56"/>
      <c r="L27" s="57"/>
      <c r="M27" s="58"/>
      <c r="N27" s="58"/>
      <c r="O27" s="57"/>
    </row>
    <row r="28" s="1" customFormat="1" ht="18" customHeight="1" spans="1:15">
      <c r="A28" s="33"/>
      <c r="B28" s="70"/>
      <c r="C28" s="39"/>
      <c r="D28" s="40"/>
      <c r="E28" s="41"/>
      <c r="F28" s="70"/>
      <c r="G28" s="64"/>
      <c r="H28" s="22"/>
      <c r="I28" s="11"/>
      <c r="J28" s="48"/>
      <c r="K28" s="56"/>
      <c r="L28" s="57"/>
      <c r="M28" s="58"/>
      <c r="N28" s="58"/>
      <c r="O28" s="57"/>
    </row>
    <row r="29" s="1" customFormat="1" ht="18" customHeight="1" spans="1:15">
      <c r="A29" s="33"/>
      <c r="B29" s="70"/>
      <c r="C29" s="39"/>
      <c r="D29" s="40"/>
      <c r="E29" s="41"/>
      <c r="F29" s="70"/>
      <c r="G29" s="64"/>
      <c r="H29" s="22"/>
      <c r="I29" s="11"/>
      <c r="J29" s="48"/>
      <c r="K29" s="56"/>
      <c r="L29" s="57"/>
      <c r="M29" s="58"/>
      <c r="N29" s="58"/>
      <c r="O29" s="57"/>
    </row>
    <row r="30" s="1" customFormat="1" ht="18" customHeight="1" spans="1:15">
      <c r="A30" s="33"/>
      <c r="B30" s="70"/>
      <c r="C30" s="39"/>
      <c r="D30" s="40"/>
      <c r="E30" s="41"/>
      <c r="F30" s="70"/>
      <c r="G30" s="64"/>
      <c r="H30" s="22"/>
      <c r="I30" s="11"/>
      <c r="J30" s="48"/>
      <c r="K30" s="56"/>
      <c r="L30" s="57"/>
      <c r="M30" s="58"/>
      <c r="N30" s="58"/>
      <c r="O30" s="57"/>
    </row>
    <row r="31" s="1" customFormat="1" ht="18" customHeight="1" spans="1:15">
      <c r="A31" s="33"/>
      <c r="B31" s="70">
        <f>ROUND(G31/(1+E31),2)</f>
        <v>0</v>
      </c>
      <c r="C31" s="39"/>
      <c r="D31" s="40"/>
      <c r="E31" s="41"/>
      <c r="F31" s="70">
        <f>ROUND(G31/(1+E31)*E31,2)</f>
        <v>0</v>
      </c>
      <c r="G31" s="64"/>
      <c r="H31" s="22">
        <v>44509</v>
      </c>
      <c r="I31" s="11">
        <v>11694.42</v>
      </c>
      <c r="J31" s="48" t="s">
        <v>48</v>
      </c>
      <c r="K31" s="56" t="s">
        <v>49</v>
      </c>
      <c r="L31" s="57"/>
      <c r="M31" s="58"/>
      <c r="N31" s="58"/>
      <c r="O31" s="57"/>
    </row>
    <row r="32" s="1" customFormat="1" ht="18" customHeight="1" spans="1:15">
      <c r="A32" s="33"/>
      <c r="B32" s="70">
        <f>ROUND(G32/(1+E32),2)</f>
        <v>104614.35</v>
      </c>
      <c r="C32" s="39"/>
      <c r="D32" s="40"/>
      <c r="E32" s="41"/>
      <c r="F32" s="70">
        <f>ROUND(G32/(1+E32)*E32,2)</f>
        <v>0</v>
      </c>
      <c r="G32" s="64">
        <v>104614.35</v>
      </c>
      <c r="H32" s="22"/>
      <c r="I32" s="11">
        <f>G32</f>
        <v>104614.35</v>
      </c>
      <c r="J32" s="48" t="s">
        <v>50</v>
      </c>
      <c r="K32" s="56" t="s">
        <v>51</v>
      </c>
      <c r="L32" s="57"/>
      <c r="M32" s="58"/>
      <c r="N32" s="58"/>
      <c r="O32" s="57"/>
    </row>
    <row r="33" s="1" customFormat="1" ht="18" customHeight="1" spans="1:15">
      <c r="A33" s="33"/>
      <c r="B33" s="70"/>
      <c r="C33" s="39"/>
      <c r="D33" s="40"/>
      <c r="E33" s="41"/>
      <c r="F33" s="70"/>
      <c r="G33" s="64"/>
      <c r="H33" s="22"/>
      <c r="I33" s="11">
        <v>-21000</v>
      </c>
      <c r="J33" s="48" t="s">
        <v>52</v>
      </c>
      <c r="K33" s="56"/>
      <c r="L33" s="57"/>
      <c r="M33" s="58"/>
      <c r="N33" s="58"/>
      <c r="O33" s="57"/>
    </row>
    <row r="34" s="1" customFormat="1" ht="18" customHeight="1" spans="1:15">
      <c r="A34" s="33"/>
      <c r="B34" s="70">
        <f t="shared" ref="B34:B37" si="5">ROUND(G34/(1+E34),2)</f>
        <v>0</v>
      </c>
      <c r="C34" s="39"/>
      <c r="D34" s="40"/>
      <c r="E34" s="41"/>
      <c r="F34" s="70">
        <f t="shared" ref="F34:F37" si="6">ROUND(G34/(1+E34)*E34,2)</f>
        <v>0</v>
      </c>
      <c r="G34" s="64"/>
      <c r="H34" s="22"/>
      <c r="I34" s="11">
        <v>21000</v>
      </c>
      <c r="J34" s="48" t="s">
        <v>53</v>
      </c>
      <c r="K34" s="56"/>
      <c r="L34" s="57"/>
      <c r="M34" s="58"/>
      <c r="N34" s="58"/>
      <c r="O34" s="57"/>
    </row>
    <row r="35" s="1" customFormat="1" ht="18" customHeight="1" spans="1:15">
      <c r="A35" s="33"/>
      <c r="B35" s="70">
        <f t="shared" si="5"/>
        <v>0</v>
      </c>
      <c r="C35" s="39"/>
      <c r="D35" s="40"/>
      <c r="E35" s="41"/>
      <c r="F35" s="70">
        <f t="shared" si="6"/>
        <v>0</v>
      </c>
      <c r="G35" s="64"/>
      <c r="H35" s="22"/>
      <c r="I35" s="11">
        <v>500</v>
      </c>
      <c r="J35" s="48" t="s">
        <v>50</v>
      </c>
      <c r="K35" s="56" t="s">
        <v>54</v>
      </c>
      <c r="L35" s="57"/>
      <c r="M35" s="58"/>
      <c r="N35" s="58"/>
      <c r="O35" s="57"/>
    </row>
    <row r="36" s="1" customFormat="1" ht="18" customHeight="1" spans="1:15">
      <c r="A36" s="33"/>
      <c r="B36" s="70">
        <f t="shared" si="5"/>
        <v>0</v>
      </c>
      <c r="C36" s="39"/>
      <c r="D36" s="40"/>
      <c r="E36" s="41"/>
      <c r="F36" s="70">
        <f t="shared" si="6"/>
        <v>0</v>
      </c>
      <c r="G36" s="64"/>
      <c r="H36" s="22"/>
      <c r="I36" s="11">
        <v>1500</v>
      </c>
      <c r="J36" s="48" t="s">
        <v>50</v>
      </c>
      <c r="K36" s="56" t="s">
        <v>54</v>
      </c>
      <c r="L36" s="57"/>
      <c r="M36" s="58"/>
      <c r="N36" s="58"/>
      <c r="O36" s="57"/>
    </row>
    <row r="37" s="1" customFormat="1" ht="18" customHeight="1" spans="1:15">
      <c r="A37" s="33"/>
      <c r="B37" s="70">
        <f t="shared" si="5"/>
        <v>0</v>
      </c>
      <c r="C37" s="39"/>
      <c r="D37" s="40"/>
      <c r="E37" s="41"/>
      <c r="F37" s="70">
        <f t="shared" si="6"/>
        <v>0</v>
      </c>
      <c r="G37" s="64"/>
      <c r="H37" s="22" t="s">
        <v>55</v>
      </c>
      <c r="I37" s="11">
        <v>415338.26</v>
      </c>
      <c r="J37" s="48" t="s">
        <v>50</v>
      </c>
      <c r="K37" s="56" t="s">
        <v>56</v>
      </c>
      <c r="L37" s="57"/>
      <c r="M37" s="58"/>
      <c r="N37" s="58"/>
      <c r="O37" s="57"/>
    </row>
    <row r="38" s="1" customFormat="1" ht="18" customHeight="1" spans="1:15">
      <c r="A38" s="33"/>
      <c r="B38" s="70"/>
      <c r="C38" s="39"/>
      <c r="D38" s="40"/>
      <c r="E38" s="41"/>
      <c r="F38" s="70"/>
      <c r="G38" s="64"/>
      <c r="H38" s="22"/>
      <c r="I38" s="11">
        <v>8260</v>
      </c>
      <c r="J38" s="48" t="s">
        <v>57</v>
      </c>
      <c r="K38" s="56" t="s">
        <v>58</v>
      </c>
      <c r="L38" s="57"/>
      <c r="M38" s="58"/>
      <c r="N38" s="58"/>
      <c r="O38" s="57"/>
    </row>
    <row r="39" s="1" customFormat="1" ht="18" customHeight="1" spans="1:15">
      <c r="A39" s="33"/>
      <c r="B39" s="70"/>
      <c r="C39" s="39"/>
      <c r="D39" s="40"/>
      <c r="E39" s="41"/>
      <c r="F39" s="70"/>
      <c r="G39" s="64"/>
      <c r="H39" s="22"/>
      <c r="I39" s="11">
        <v>500</v>
      </c>
      <c r="J39" s="48" t="s">
        <v>50</v>
      </c>
      <c r="K39" s="56" t="s">
        <v>54</v>
      </c>
      <c r="L39" s="57"/>
      <c r="M39" s="58"/>
      <c r="N39" s="58"/>
      <c r="O39" s="57"/>
    </row>
    <row r="40" s="1" customFormat="1" ht="18" customHeight="1" spans="1:15">
      <c r="A40" s="33"/>
      <c r="B40" s="70"/>
      <c r="C40" s="39"/>
      <c r="D40" s="40"/>
      <c r="E40" s="41"/>
      <c r="F40" s="70"/>
      <c r="G40" s="64"/>
      <c r="H40" s="22" t="s">
        <v>59</v>
      </c>
      <c r="I40" s="11">
        <v>66079</v>
      </c>
      <c r="J40" s="48" t="s">
        <v>50</v>
      </c>
      <c r="K40" s="56" t="s">
        <v>60</v>
      </c>
      <c r="L40" s="57"/>
      <c r="M40" s="58"/>
      <c r="N40" s="58"/>
      <c r="O40" s="57"/>
    </row>
    <row r="41" ht="18" customHeight="1" spans="1:15">
      <c r="A41" s="28" t="s">
        <v>25</v>
      </c>
      <c r="B41" s="66">
        <f>SUM(B16:B40)</f>
        <v>5903230.33</v>
      </c>
      <c r="C41" s="28"/>
      <c r="D41" s="42"/>
      <c r="E41" s="42"/>
      <c r="F41" s="67">
        <f>SUM(F16:F40)</f>
        <v>0</v>
      </c>
      <c r="G41" s="71">
        <f>SUM(G16:G40)</f>
        <v>5940988.35</v>
      </c>
      <c r="H41" s="44"/>
      <c r="I41" s="28">
        <f>SUM(I16:I40)</f>
        <v>5526902.42</v>
      </c>
      <c r="J41" s="60"/>
      <c r="K41" s="42"/>
      <c r="L41" s="31"/>
      <c r="M41" s="48"/>
      <c r="N41" s="48"/>
      <c r="O41" s="31"/>
    </row>
    <row r="42" ht="18" customHeight="1" spans="1:14">
      <c r="A42" s="45" t="s">
        <v>61</v>
      </c>
      <c r="B42" s="45">
        <f>B13-B41</f>
        <v>-927816.56914824</v>
      </c>
      <c r="C42" s="45"/>
      <c r="D42" s="47"/>
      <c r="E42" s="47"/>
      <c r="F42" s="46"/>
      <c r="G42" s="45">
        <f>G13-G41</f>
        <v>-425788.029999999</v>
      </c>
      <c r="H42" s="21" t="s">
        <v>62</v>
      </c>
      <c r="I42" s="28">
        <f>I13-I41</f>
        <v>-11702.4199999999</v>
      </c>
      <c r="J42" s="6"/>
      <c r="K42" s="61"/>
      <c r="M42" s="62"/>
      <c r="N42" s="62"/>
    </row>
    <row r="43" ht="18" customHeight="1" spans="1:3">
      <c r="A43" s="2" t="s">
        <v>63</v>
      </c>
      <c r="C43" s="2"/>
    </row>
    <row r="44" ht="18" customHeight="1" spans="1:9">
      <c r="A44" s="21" t="s">
        <v>64</v>
      </c>
      <c r="B44" s="20" t="s">
        <v>65</v>
      </c>
      <c r="C44" s="31"/>
      <c r="D44" s="21" t="s">
        <v>64</v>
      </c>
      <c r="E44" s="19" t="s">
        <v>15</v>
      </c>
      <c r="F44" s="20" t="s">
        <v>65</v>
      </c>
      <c r="G44" s="15" t="s">
        <v>66</v>
      </c>
      <c r="I44" s="14" t="s">
        <v>67</v>
      </c>
    </row>
    <row r="45" ht="18" customHeight="1" spans="1:11">
      <c r="A45" s="31" t="s">
        <v>68</v>
      </c>
      <c r="B45" s="17">
        <f>(B13-B41)*0.25</f>
        <v>-231954.14228706</v>
      </c>
      <c r="C45" s="31"/>
      <c r="D45" s="9" t="s">
        <v>69</v>
      </c>
      <c r="E45" s="48" t="s">
        <v>70</v>
      </c>
      <c r="F45" s="67">
        <f>F13-F41</f>
        <v>440278.283931204</v>
      </c>
      <c r="G45" s="67">
        <f>F7+F8+F9</f>
        <v>380206.647567568</v>
      </c>
      <c r="I45" s="67">
        <f>F10</f>
        <v>60071.6363636364</v>
      </c>
      <c r="J45" s="4"/>
      <c r="K45" s="4"/>
    </row>
    <row r="46" ht="18" customHeight="1" spans="1:11">
      <c r="A46" s="31" t="s">
        <v>71</v>
      </c>
      <c r="B46" s="50" t="s">
        <v>72</v>
      </c>
      <c r="C46" s="31"/>
      <c r="D46" s="51" t="s">
        <v>73</v>
      </c>
      <c r="E46" s="13">
        <v>0.07</v>
      </c>
      <c r="F46" s="11">
        <f>F45*E46</f>
        <v>30819.4798751843</v>
      </c>
      <c r="G46" s="11">
        <f>G45*0.05</f>
        <v>19010.3323783784</v>
      </c>
      <c r="I46" s="11">
        <f>I45*0.05</f>
        <v>3003.58181818182</v>
      </c>
      <c r="J46" s="4"/>
      <c r="K46" s="4"/>
    </row>
    <row r="47" ht="18" customHeight="1" spans="1:11">
      <c r="A47" s="31" t="s">
        <v>74</v>
      </c>
      <c r="B47" s="50" t="s">
        <v>72</v>
      </c>
      <c r="C47" s="31"/>
      <c r="D47" s="51" t="s">
        <v>75</v>
      </c>
      <c r="E47" s="13">
        <v>0.03</v>
      </c>
      <c r="F47" s="11">
        <f>F45*E47</f>
        <v>13208.3485179361</v>
      </c>
      <c r="G47" s="11">
        <f>G45*E47</f>
        <v>11406.199427027</v>
      </c>
      <c r="I47" s="11">
        <f>I45*E47</f>
        <v>1802.14909090909</v>
      </c>
      <c r="J47" s="4"/>
      <c r="K47" s="4"/>
    </row>
    <row r="48" ht="18" customHeight="1" spans="1:11">
      <c r="A48" s="31"/>
      <c r="B48" s="14"/>
      <c r="C48" s="31"/>
      <c r="D48" s="51" t="s">
        <v>76</v>
      </c>
      <c r="E48" s="13">
        <v>0.02</v>
      </c>
      <c r="F48" s="11">
        <f>F45*E48</f>
        <v>8805.56567862408</v>
      </c>
      <c r="G48" s="11">
        <f>G45*E48</f>
        <v>7604.13295135135</v>
      </c>
      <c r="I48" s="11">
        <f>I45*E48</f>
        <v>1201.43272727273</v>
      </c>
      <c r="J48" s="4"/>
      <c r="K48" s="4"/>
    </row>
    <row r="49" ht="18" customHeight="1" spans="1:11">
      <c r="A49" s="26" t="s">
        <v>77</v>
      </c>
      <c r="B49" s="27">
        <f t="shared" ref="B49:G49" si="7">SUM(B45:B48)</f>
        <v>-231954.14228706</v>
      </c>
      <c r="C49" s="31"/>
      <c r="D49" s="26" t="s">
        <v>77</v>
      </c>
      <c r="E49" s="26"/>
      <c r="F49" s="67">
        <f t="shared" si="7"/>
        <v>493111.678002949</v>
      </c>
      <c r="G49" s="67">
        <f t="shared" si="7"/>
        <v>418227.312324325</v>
      </c>
      <c r="I49" s="67">
        <f>SUM(I45:I48)</f>
        <v>66078.8</v>
      </c>
      <c r="J49" s="4"/>
      <c r="K49" s="4"/>
    </row>
    <row r="50" ht="18" customHeight="1" spans="3:11">
      <c r="C50" s="2"/>
      <c r="D50" s="31" t="s">
        <v>71</v>
      </c>
      <c r="E50" s="28"/>
      <c r="F50" s="11">
        <f>G13*0.0003</f>
        <v>1654.560096</v>
      </c>
      <c r="G50" s="11">
        <f>(G7+G8+G9)*0.0003</f>
        <v>1406.764596</v>
      </c>
      <c r="I50" s="11">
        <f>G10*0.0003</f>
        <v>247.7955</v>
      </c>
      <c r="J50" s="4"/>
      <c r="K50" s="4"/>
    </row>
    <row r="51" ht="18" customHeight="1" spans="3:11">
      <c r="C51" s="2"/>
      <c r="D51" s="31" t="s">
        <v>74</v>
      </c>
      <c r="E51" s="11"/>
      <c r="F51" s="11">
        <f>B13*0.0006</f>
        <v>2985.24825651106</v>
      </c>
      <c r="G51" s="11">
        <f>(B7+B8+B9)*0.0006</f>
        <v>2534.71098378378</v>
      </c>
      <c r="I51" s="11">
        <f>B10*0.0006</f>
        <v>450.537272727273</v>
      </c>
      <c r="J51" s="4"/>
      <c r="K51" s="4"/>
    </row>
    <row r="52" ht="18" customHeight="1" spans="3:11">
      <c r="C52" s="2"/>
      <c r="D52" s="28" t="s">
        <v>77</v>
      </c>
      <c r="E52" s="28"/>
      <c r="F52" s="28">
        <f>SUM(F50:F51)</f>
        <v>4639.80835251106</v>
      </c>
      <c r="G52" s="28">
        <f>SUM(G50:G51)</f>
        <v>3941.47557978378</v>
      </c>
      <c r="I52" s="28">
        <f>SUM(I50:I51)</f>
        <v>698.332772727273</v>
      </c>
      <c r="J52" s="4"/>
      <c r="K52" s="4"/>
    </row>
    <row r="53" ht="18" customHeight="1" spans="3:11">
      <c r="C53" s="2"/>
      <c r="D53" s="4" t="s">
        <v>78</v>
      </c>
      <c r="F53" s="4">
        <f>493111.68-I40-I37</f>
        <v>11694.42</v>
      </c>
      <c r="G53" s="4"/>
      <c r="I53" s="4"/>
      <c r="J53" s="4"/>
      <c r="K53" s="4"/>
    </row>
    <row r="54" ht="18" customHeight="1" spans="3:11">
      <c r="C54" s="2"/>
      <c r="F54" s="4"/>
      <c r="G54" s="4"/>
      <c r="I54" s="4"/>
      <c r="J54" s="4"/>
      <c r="K54" s="4"/>
    </row>
    <row r="55" spans="3:11">
      <c r="C55" s="2"/>
      <c r="F55" s="4"/>
      <c r="G55" s="4"/>
      <c r="I55" s="4"/>
      <c r="J55" s="4"/>
      <c r="K55" s="4"/>
    </row>
    <row r="56" spans="3:11">
      <c r="C56" s="2"/>
      <c r="F56" s="4"/>
      <c r="G56" s="4"/>
      <c r="I56" s="4"/>
      <c r="J56" s="4"/>
      <c r="K56" s="4"/>
    </row>
    <row r="57" spans="3:11">
      <c r="C57" s="2"/>
      <c r="F57" s="4"/>
      <c r="G57" s="4"/>
      <c r="I57" s="4"/>
      <c r="J57" s="4"/>
      <c r="K57" s="4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</sheetData>
  <autoFilter ref="A15:O52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workbookViewId="0">
      <selection activeCell="K39" sqref="K39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79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42587</v>
      </c>
      <c r="C2" s="11" t="s">
        <v>2</v>
      </c>
      <c r="D2" s="12">
        <v>5230717.72</v>
      </c>
      <c r="E2" s="13" t="s">
        <v>3</v>
      </c>
      <c r="F2" s="14"/>
      <c r="G2" s="15" t="s">
        <v>4</v>
      </c>
      <c r="H2" s="16" t="s">
        <v>5</v>
      </c>
      <c r="I2" s="52"/>
      <c r="J2" s="53"/>
      <c r="K2" s="18"/>
      <c r="L2" s="18"/>
    </row>
    <row r="3" ht="18" customHeight="1" spans="1:12">
      <c r="A3" s="9" t="s">
        <v>6</v>
      </c>
      <c r="B3" s="17"/>
      <c r="C3" s="11" t="s">
        <v>7</v>
      </c>
      <c r="D3" s="11">
        <v>6101645.23</v>
      </c>
      <c r="H3" s="18"/>
      <c r="I3" s="54"/>
      <c r="J3" s="18"/>
      <c r="K3" s="18"/>
      <c r="L3" s="18"/>
    </row>
    <row r="4" ht="18" customHeight="1" spans="1:12">
      <c r="A4" s="2" t="s">
        <v>8</v>
      </c>
      <c r="H4" s="18"/>
      <c r="I4" s="54"/>
      <c r="J4" s="18"/>
      <c r="K4" s="18"/>
      <c r="L4" s="18"/>
    </row>
    <row r="5" ht="18" customHeight="1" spans="1:10">
      <c r="A5" s="19" t="s">
        <v>9</v>
      </c>
      <c r="B5" s="20" t="s">
        <v>10</v>
      </c>
      <c r="C5" s="19" t="s">
        <v>11</v>
      </c>
      <c r="D5" s="19"/>
      <c r="E5" s="19" t="s">
        <v>12</v>
      </c>
      <c r="F5" s="20"/>
      <c r="G5" s="20" t="s">
        <v>13</v>
      </c>
      <c r="H5" s="21" t="s">
        <v>14</v>
      </c>
      <c r="I5" s="20"/>
      <c r="J5" s="21"/>
    </row>
    <row r="6" ht="18" customHeight="1" spans="1:10">
      <c r="A6" s="19"/>
      <c r="B6" s="20"/>
      <c r="C6" s="19" t="s">
        <v>15</v>
      </c>
      <c r="D6" s="19" t="s">
        <v>16</v>
      </c>
      <c r="E6" s="19" t="s">
        <v>15</v>
      </c>
      <c r="F6" s="20" t="s">
        <v>16</v>
      </c>
      <c r="G6" s="20"/>
      <c r="H6" s="21" t="s">
        <v>17</v>
      </c>
      <c r="I6" s="20" t="s">
        <v>18</v>
      </c>
      <c r="J6" s="21" t="s">
        <v>19</v>
      </c>
    </row>
    <row r="7" ht="18" customHeight="1" spans="1:10">
      <c r="A7" s="22"/>
      <c r="B7" s="14">
        <f>G7/(1+C7+E7)</f>
        <v>1413707.4954955</v>
      </c>
      <c r="C7" s="23">
        <v>0.02</v>
      </c>
      <c r="D7" s="24">
        <f>G7/(1+E7+C7)*C7</f>
        <v>28274.1499099099</v>
      </c>
      <c r="E7" s="23">
        <v>0.09</v>
      </c>
      <c r="F7" s="14">
        <f>G7/(1+C7+E7)*E7</f>
        <v>127233.674594595</v>
      </c>
      <c r="G7" s="25">
        <v>1569215.32</v>
      </c>
      <c r="H7" s="22">
        <v>42726</v>
      </c>
      <c r="I7" s="14">
        <v>1569215</v>
      </c>
      <c r="J7" s="48" t="s">
        <v>21</v>
      </c>
    </row>
    <row r="8" ht="18" customHeight="1" spans="1:10">
      <c r="A8" s="22" t="s">
        <v>22</v>
      </c>
      <c r="B8" s="14">
        <f t="shared" ref="B8:B10" si="0">G8/(1+C8+E8)</f>
        <v>945945.945945946</v>
      </c>
      <c r="C8" s="23">
        <v>0.02</v>
      </c>
      <c r="D8" s="24">
        <f t="shared" ref="D8:D10" si="1">G8/(1+E8+C8)*C8</f>
        <v>18918.9189189189</v>
      </c>
      <c r="E8" s="23">
        <v>0.09</v>
      </c>
      <c r="F8" s="14">
        <f t="shared" ref="F8:F10" si="2">G8/(1+C8+E8)*E8</f>
        <v>85135.1351351351</v>
      </c>
      <c r="G8" s="25">
        <v>1050000</v>
      </c>
      <c r="H8" s="22">
        <v>42751</v>
      </c>
      <c r="I8" s="14">
        <v>1050000</v>
      </c>
      <c r="J8" s="48" t="s">
        <v>21</v>
      </c>
    </row>
    <row r="9" ht="18" customHeight="1" spans="1:10">
      <c r="A9" s="22" t="s">
        <v>23</v>
      </c>
      <c r="B9" s="14">
        <f t="shared" si="0"/>
        <v>1864864.86486486</v>
      </c>
      <c r="C9" s="23">
        <v>0.02</v>
      </c>
      <c r="D9" s="24">
        <f t="shared" si="1"/>
        <v>37297.2972972973</v>
      </c>
      <c r="E9" s="23">
        <v>0.09</v>
      </c>
      <c r="F9" s="14">
        <f t="shared" si="2"/>
        <v>167837.837837838</v>
      </c>
      <c r="G9" s="25">
        <v>2070000</v>
      </c>
      <c r="H9" s="22">
        <v>42976</v>
      </c>
      <c r="I9" s="14">
        <v>2070000</v>
      </c>
      <c r="J9" s="48" t="s">
        <v>21</v>
      </c>
    </row>
    <row r="10" ht="18" customHeight="1" spans="1:10">
      <c r="A10" s="22" t="s">
        <v>24</v>
      </c>
      <c r="B10" s="14">
        <f t="shared" si="0"/>
        <v>750895.454545454</v>
      </c>
      <c r="C10" s="23">
        <v>0.02</v>
      </c>
      <c r="D10" s="24">
        <f t="shared" si="1"/>
        <v>15017.9090909091</v>
      </c>
      <c r="E10" s="23">
        <v>0.08</v>
      </c>
      <c r="F10" s="14">
        <f t="shared" si="2"/>
        <v>60071.6363636364</v>
      </c>
      <c r="G10" s="25">
        <v>825985</v>
      </c>
      <c r="H10" s="22">
        <v>42976</v>
      </c>
      <c r="I10" s="14">
        <v>825985</v>
      </c>
      <c r="J10" s="48" t="s">
        <v>21</v>
      </c>
    </row>
    <row r="11" ht="18" customHeight="1" spans="1:10">
      <c r="A11" s="26" t="s">
        <v>25</v>
      </c>
      <c r="B11" s="27">
        <f>SUM(B7:B10)</f>
        <v>4975413.76085176</v>
      </c>
      <c r="C11" s="28"/>
      <c r="D11" s="29">
        <f t="shared" ref="D11:G11" si="3">SUM(D7:D10)</f>
        <v>99508.2752170352</v>
      </c>
      <c r="E11" s="28"/>
      <c r="F11" s="30">
        <f t="shared" si="3"/>
        <v>440278.283931204</v>
      </c>
      <c r="G11" s="29">
        <f t="shared" si="3"/>
        <v>5515200.32</v>
      </c>
      <c r="H11" s="31"/>
      <c r="I11" s="29">
        <f>SUM(I7:I10)</f>
        <v>5515200</v>
      </c>
      <c r="J11" s="31"/>
    </row>
    <row r="12" ht="18" customHeight="1" spans="1:12">
      <c r="A12" s="2" t="s">
        <v>26</v>
      </c>
      <c r="J12" s="4"/>
      <c r="K12" s="4"/>
      <c r="L12" s="5"/>
    </row>
    <row r="13" ht="18" customHeight="1" spans="1:15">
      <c r="A13" s="32" t="s">
        <v>27</v>
      </c>
      <c r="B13" s="20" t="s">
        <v>28</v>
      </c>
      <c r="C13" s="19" t="s">
        <v>29</v>
      </c>
      <c r="D13" s="19" t="s">
        <v>30</v>
      </c>
      <c r="E13" s="19" t="s">
        <v>15</v>
      </c>
      <c r="F13" s="20" t="s">
        <v>31</v>
      </c>
      <c r="G13" s="20" t="s">
        <v>13</v>
      </c>
      <c r="H13" s="19" t="s">
        <v>32</v>
      </c>
      <c r="I13" s="20" t="s">
        <v>33</v>
      </c>
      <c r="J13" s="19" t="s">
        <v>19</v>
      </c>
      <c r="K13" s="55" t="s">
        <v>34</v>
      </c>
      <c r="L13" s="21" t="s">
        <v>35</v>
      </c>
      <c r="M13" s="21" t="s">
        <v>36</v>
      </c>
      <c r="N13" s="21" t="s">
        <v>37</v>
      </c>
      <c r="O13" s="21" t="s">
        <v>38</v>
      </c>
    </row>
    <row r="14" s="1" customFormat="1" ht="18" customHeight="1" spans="1:15">
      <c r="A14" s="33"/>
      <c r="B14" s="34">
        <f>ROUND(G14/(1+E14),2)</f>
        <v>1422650</v>
      </c>
      <c r="C14" s="35"/>
      <c r="D14" s="36"/>
      <c r="E14" s="37"/>
      <c r="F14" s="34">
        <f>ROUND(G14/(1+E14)*E14,2)</f>
        <v>0</v>
      </c>
      <c r="G14" s="38">
        <v>1422650</v>
      </c>
      <c r="H14" s="22"/>
      <c r="I14" s="14"/>
      <c r="J14" s="48"/>
      <c r="K14" s="56"/>
      <c r="L14" s="57"/>
      <c r="M14" s="58"/>
      <c r="N14" s="58"/>
      <c r="O14" s="57"/>
    </row>
    <row r="15" s="1" customFormat="1" ht="18" customHeight="1" spans="1:16">
      <c r="A15" s="33"/>
      <c r="B15" s="34">
        <f>ROUND(G15/(1+E15),2)</f>
        <v>2161050</v>
      </c>
      <c r="C15" s="35"/>
      <c r="D15" s="36"/>
      <c r="E15" s="37"/>
      <c r="F15" s="34">
        <f>ROUND(G15/(1+E15)*E15,2)</f>
        <v>0</v>
      </c>
      <c r="G15" s="38">
        <v>2161050</v>
      </c>
      <c r="H15" s="22"/>
      <c r="I15" s="14">
        <v>1323143.6</v>
      </c>
      <c r="J15" s="48"/>
      <c r="K15" s="56"/>
      <c r="L15" s="57"/>
      <c r="M15" s="58"/>
      <c r="N15" s="58"/>
      <c r="O15" s="57"/>
      <c r="P15" s="59" t="s">
        <v>39</v>
      </c>
    </row>
    <row r="16" s="1" customFormat="1" ht="18" customHeight="1" spans="1:15">
      <c r="A16" s="33" t="s">
        <v>22</v>
      </c>
      <c r="B16" s="17">
        <f t="shared" ref="B16:B35" si="4">ROUND(G16/(1+E16),2)</f>
        <v>0</v>
      </c>
      <c r="C16" s="39"/>
      <c r="D16" s="40"/>
      <c r="E16" s="41"/>
      <c r="F16" s="17">
        <f t="shared" ref="F16:F35" si="5">ROUND(G16/(1+E16)*E16,2)</f>
        <v>0</v>
      </c>
      <c r="G16" s="25"/>
      <c r="H16" s="22" t="s">
        <v>22</v>
      </c>
      <c r="I16" s="14">
        <v>959240.41</v>
      </c>
      <c r="J16" s="48" t="s">
        <v>40</v>
      </c>
      <c r="K16" s="56" t="s">
        <v>41</v>
      </c>
      <c r="L16" s="57"/>
      <c r="M16" s="58"/>
      <c r="N16" s="58"/>
      <c r="O16" s="57"/>
    </row>
    <row r="17" s="1" customFormat="1" ht="18" customHeight="1" spans="1:15">
      <c r="A17" s="33" t="s">
        <v>22</v>
      </c>
      <c r="B17" s="17">
        <f t="shared" si="4"/>
        <v>0</v>
      </c>
      <c r="C17" s="39"/>
      <c r="D17" s="40"/>
      <c r="E17" s="41"/>
      <c r="F17" s="17">
        <f t="shared" si="5"/>
        <v>0</v>
      </c>
      <c r="G17" s="25"/>
      <c r="H17" s="22"/>
      <c r="I17" s="14"/>
      <c r="J17" s="48"/>
      <c r="K17" s="56" t="s">
        <v>41</v>
      </c>
      <c r="L17" s="57" t="s">
        <v>42</v>
      </c>
      <c r="M17" s="58"/>
      <c r="N17" s="58"/>
      <c r="O17" s="57" t="s">
        <v>43</v>
      </c>
    </row>
    <row r="18" s="1" customFormat="1" ht="18" customHeight="1" spans="1:15">
      <c r="A18" s="33" t="s">
        <v>23</v>
      </c>
      <c r="B18" s="17">
        <f t="shared" si="4"/>
        <v>1501520</v>
      </c>
      <c r="C18" s="39"/>
      <c r="D18" s="40"/>
      <c r="E18" s="41"/>
      <c r="F18" s="17">
        <f t="shared" si="5"/>
        <v>0</v>
      </c>
      <c r="G18" s="25">
        <v>1501520</v>
      </c>
      <c r="H18" s="22"/>
      <c r="I18" s="14"/>
      <c r="J18" s="48"/>
      <c r="K18" s="56" t="s">
        <v>41</v>
      </c>
      <c r="L18" s="57"/>
      <c r="M18" s="58"/>
      <c r="N18" s="58"/>
      <c r="O18" s="57" t="s">
        <v>43</v>
      </c>
    </row>
    <row r="19" s="1" customFormat="1" ht="18" customHeight="1" spans="1:15">
      <c r="A19" s="33"/>
      <c r="B19" s="17">
        <v>-37758.02</v>
      </c>
      <c r="C19" s="39"/>
      <c r="D19" s="40"/>
      <c r="E19" s="41"/>
      <c r="F19" s="17">
        <f t="shared" si="5"/>
        <v>0</v>
      </c>
      <c r="G19" s="25"/>
      <c r="H19" s="22" t="s">
        <v>44</v>
      </c>
      <c r="I19" s="14">
        <v>1863878.38</v>
      </c>
      <c r="J19" s="48" t="s">
        <v>40</v>
      </c>
      <c r="K19" s="56" t="s">
        <v>41</v>
      </c>
      <c r="L19" s="57"/>
      <c r="M19" s="58"/>
      <c r="N19" s="58"/>
      <c r="O19" s="57"/>
    </row>
    <row r="20" s="1" customFormat="1" ht="18" customHeight="1" spans="1:15">
      <c r="A20" s="33" t="s">
        <v>24</v>
      </c>
      <c r="B20" s="17">
        <f t="shared" ref="B20:B25" si="6">ROUND(G20/(1+E20),2)</f>
        <v>600000</v>
      </c>
      <c r="C20" s="39"/>
      <c r="D20" s="40" t="s">
        <v>45</v>
      </c>
      <c r="E20" s="41"/>
      <c r="F20" s="17">
        <f t="shared" ref="F20:F25" si="7">ROUND(G20/(1+E20)*E20,2)</f>
        <v>0</v>
      </c>
      <c r="G20" s="25">
        <v>600000</v>
      </c>
      <c r="H20" s="22"/>
      <c r="I20" s="14">
        <v>600000</v>
      </c>
      <c r="J20" s="48" t="s">
        <v>40</v>
      </c>
      <c r="K20" s="56" t="s">
        <v>41</v>
      </c>
      <c r="L20" s="57"/>
      <c r="M20" s="58"/>
      <c r="N20" s="58"/>
      <c r="O20" s="57"/>
    </row>
    <row r="21" s="1" customFormat="1" ht="18" customHeight="1" spans="1:15">
      <c r="A21" s="33" t="s">
        <v>46</v>
      </c>
      <c r="B21" s="17">
        <f t="shared" si="6"/>
        <v>151154</v>
      </c>
      <c r="C21" s="39"/>
      <c r="D21" s="40" t="s">
        <v>45</v>
      </c>
      <c r="E21" s="41"/>
      <c r="F21" s="17">
        <f t="shared" si="7"/>
        <v>0</v>
      </c>
      <c r="G21" s="25">
        <v>151154</v>
      </c>
      <c r="H21" s="22">
        <v>43490</v>
      </c>
      <c r="I21" s="14">
        <v>151154</v>
      </c>
      <c r="J21" s="48" t="s">
        <v>40</v>
      </c>
      <c r="K21" s="56" t="s">
        <v>41</v>
      </c>
      <c r="L21" s="57"/>
      <c r="M21" s="58"/>
      <c r="N21" s="58"/>
      <c r="O21" s="57"/>
    </row>
    <row r="22" s="1" customFormat="1" ht="18" customHeight="1" spans="1:15">
      <c r="A22" s="33"/>
      <c r="B22" s="17">
        <f t="shared" si="6"/>
        <v>0</v>
      </c>
      <c r="C22" s="39"/>
      <c r="D22" s="40"/>
      <c r="E22" s="41"/>
      <c r="F22" s="17">
        <f t="shared" si="7"/>
        <v>0</v>
      </c>
      <c r="G22" s="25"/>
      <c r="H22" s="22"/>
      <c r="I22" s="14"/>
      <c r="J22" s="48"/>
      <c r="K22" s="56"/>
      <c r="L22" s="57"/>
      <c r="M22" s="58"/>
      <c r="N22" s="58"/>
      <c r="O22" s="57"/>
    </row>
    <row r="23" s="1" customFormat="1" ht="18" customHeight="1" spans="1:15">
      <c r="A23" s="33"/>
      <c r="B23" s="17">
        <f t="shared" si="6"/>
        <v>0</v>
      </c>
      <c r="C23" s="39"/>
      <c r="D23" s="40"/>
      <c r="E23" s="41"/>
      <c r="F23" s="17">
        <f t="shared" si="7"/>
        <v>0</v>
      </c>
      <c r="G23" s="25"/>
      <c r="H23" s="22"/>
      <c r="I23" s="14"/>
      <c r="J23" s="48"/>
      <c r="K23" s="56"/>
      <c r="L23" s="57"/>
      <c r="M23" s="58"/>
      <c r="N23" s="58"/>
      <c r="O23" s="57"/>
    </row>
    <row r="24" s="1" customFormat="1" ht="18" customHeight="1" spans="1:15">
      <c r="A24" s="33"/>
      <c r="B24" s="17">
        <f t="shared" si="6"/>
        <v>0</v>
      </c>
      <c r="C24" s="39"/>
      <c r="D24" s="40"/>
      <c r="E24" s="41"/>
      <c r="F24" s="17">
        <f t="shared" si="7"/>
        <v>0</v>
      </c>
      <c r="G24" s="25"/>
      <c r="H24" s="22"/>
      <c r="I24" s="14"/>
      <c r="J24" s="48"/>
      <c r="K24" s="56"/>
      <c r="L24" s="57"/>
      <c r="M24" s="58"/>
      <c r="N24" s="58"/>
      <c r="O24" s="57"/>
    </row>
    <row r="25" s="1" customFormat="1" ht="18" customHeight="1" spans="1:15">
      <c r="A25" s="33"/>
      <c r="B25" s="17">
        <f t="shared" si="6"/>
        <v>0</v>
      </c>
      <c r="C25" s="39"/>
      <c r="D25" s="40"/>
      <c r="E25" s="41"/>
      <c r="F25" s="17">
        <f t="shared" si="7"/>
        <v>0</v>
      </c>
      <c r="G25" s="25"/>
      <c r="H25" s="22" t="s">
        <v>47</v>
      </c>
      <c r="I25" s="14">
        <v>21000</v>
      </c>
      <c r="J25" s="48" t="s">
        <v>40</v>
      </c>
      <c r="K25" s="56" t="s">
        <v>41</v>
      </c>
      <c r="L25" s="57"/>
      <c r="M25" s="58"/>
      <c r="N25" s="58"/>
      <c r="O25" s="57"/>
    </row>
    <row r="26" s="1" customFormat="1" ht="18" customHeight="1" spans="1:15">
      <c r="A26" s="33"/>
      <c r="B26" s="17">
        <f t="shared" si="4"/>
        <v>104614.35</v>
      </c>
      <c r="C26" s="39"/>
      <c r="D26" s="40"/>
      <c r="E26" s="41"/>
      <c r="F26" s="17">
        <f t="shared" si="5"/>
        <v>0</v>
      </c>
      <c r="G26" s="25">
        <v>104614.35</v>
      </c>
      <c r="H26" s="22"/>
      <c r="I26" s="14">
        <f>G26</f>
        <v>104614.35</v>
      </c>
      <c r="J26" s="48" t="s">
        <v>50</v>
      </c>
      <c r="K26" s="56" t="s">
        <v>51</v>
      </c>
      <c r="L26" s="57"/>
      <c r="M26" s="58"/>
      <c r="N26" s="58"/>
      <c r="O26" s="57"/>
    </row>
    <row r="27" s="1" customFormat="1" ht="18" customHeight="1" spans="1:15">
      <c r="A27" s="33"/>
      <c r="B27" s="17"/>
      <c r="C27" s="39"/>
      <c r="D27" s="40"/>
      <c r="E27" s="41"/>
      <c r="F27" s="17"/>
      <c r="G27" s="25"/>
      <c r="H27" s="22"/>
      <c r="I27" s="14">
        <v>-21000</v>
      </c>
      <c r="J27" s="48" t="s">
        <v>52</v>
      </c>
      <c r="K27" s="56"/>
      <c r="L27" s="57"/>
      <c r="M27" s="58"/>
      <c r="N27" s="58"/>
      <c r="O27" s="57"/>
    </row>
    <row r="28" s="1" customFormat="1" ht="18" customHeight="1" spans="1:15">
      <c r="A28" s="33"/>
      <c r="B28" s="17">
        <f t="shared" si="4"/>
        <v>0</v>
      </c>
      <c r="C28" s="39"/>
      <c r="D28" s="40"/>
      <c r="E28" s="41"/>
      <c r="F28" s="17">
        <f t="shared" si="5"/>
        <v>0</v>
      </c>
      <c r="G28" s="25"/>
      <c r="H28" s="22"/>
      <c r="I28" s="14">
        <v>21000</v>
      </c>
      <c r="J28" s="48" t="s">
        <v>53</v>
      </c>
      <c r="K28" s="56"/>
      <c r="L28" s="57"/>
      <c r="M28" s="58"/>
      <c r="N28" s="58"/>
      <c r="O28" s="57"/>
    </row>
    <row r="29" s="1" customFormat="1" ht="18" customHeight="1" spans="1:15">
      <c r="A29" s="33"/>
      <c r="B29" s="17">
        <f t="shared" si="4"/>
        <v>0</v>
      </c>
      <c r="C29" s="39"/>
      <c r="D29" s="40"/>
      <c r="E29" s="41"/>
      <c r="F29" s="17">
        <f t="shared" si="5"/>
        <v>0</v>
      </c>
      <c r="G29" s="25"/>
      <c r="H29" s="22"/>
      <c r="I29" s="14">
        <v>500</v>
      </c>
      <c r="J29" s="48" t="s">
        <v>50</v>
      </c>
      <c r="K29" s="56" t="s">
        <v>54</v>
      </c>
      <c r="L29" s="57"/>
      <c r="M29" s="58"/>
      <c r="N29" s="58"/>
      <c r="O29" s="57"/>
    </row>
    <row r="30" s="1" customFormat="1" ht="18" customHeight="1" spans="1:15">
      <c r="A30" s="33"/>
      <c r="B30" s="17">
        <f t="shared" si="4"/>
        <v>0</v>
      </c>
      <c r="C30" s="39"/>
      <c r="D30" s="40"/>
      <c r="E30" s="41"/>
      <c r="F30" s="17">
        <f t="shared" si="5"/>
        <v>0</v>
      </c>
      <c r="G30" s="25"/>
      <c r="H30" s="22"/>
      <c r="I30" s="14">
        <v>1500</v>
      </c>
      <c r="J30" s="48" t="s">
        <v>50</v>
      </c>
      <c r="K30" s="56" t="s">
        <v>54</v>
      </c>
      <c r="L30" s="57"/>
      <c r="M30" s="58"/>
      <c r="N30" s="58"/>
      <c r="O30" s="57"/>
    </row>
    <row r="31" s="1" customFormat="1" ht="18" customHeight="1" spans="1:15">
      <c r="A31" s="33"/>
      <c r="B31" s="17">
        <f t="shared" si="4"/>
        <v>0</v>
      </c>
      <c r="C31" s="39"/>
      <c r="D31" s="40"/>
      <c r="E31" s="41"/>
      <c r="F31" s="17">
        <f t="shared" si="5"/>
        <v>0</v>
      </c>
      <c r="G31" s="25"/>
      <c r="H31" s="22"/>
      <c r="I31" s="14">
        <v>415338.26</v>
      </c>
      <c r="J31" s="48" t="s">
        <v>50</v>
      </c>
      <c r="K31" s="56" t="s">
        <v>80</v>
      </c>
      <c r="L31" s="57"/>
      <c r="M31" s="58"/>
      <c r="N31" s="58"/>
      <c r="O31" s="57"/>
    </row>
    <row r="32" s="1" customFormat="1" ht="18" customHeight="1" spans="1:15">
      <c r="A32" s="33"/>
      <c r="B32" s="17"/>
      <c r="C32" s="39"/>
      <c r="D32" s="40"/>
      <c r="E32" s="41"/>
      <c r="F32" s="17"/>
      <c r="G32" s="25"/>
      <c r="H32" s="22"/>
      <c r="I32" s="14">
        <v>8260</v>
      </c>
      <c r="J32" s="48" t="s">
        <v>57</v>
      </c>
      <c r="K32" s="56" t="s">
        <v>58</v>
      </c>
      <c r="L32" s="57"/>
      <c r="M32" s="58"/>
      <c r="N32" s="58"/>
      <c r="O32" s="57"/>
    </row>
    <row r="33" s="1" customFormat="1" ht="18" customHeight="1" spans="1:15">
      <c r="A33" s="33"/>
      <c r="B33" s="17"/>
      <c r="C33" s="39"/>
      <c r="D33" s="40"/>
      <c r="E33" s="41"/>
      <c r="F33" s="17"/>
      <c r="G33" s="25"/>
      <c r="H33" s="22"/>
      <c r="I33" s="14">
        <v>500</v>
      </c>
      <c r="J33" s="48" t="s">
        <v>50</v>
      </c>
      <c r="K33" s="56" t="s">
        <v>54</v>
      </c>
      <c r="L33" s="57"/>
      <c r="M33" s="58"/>
      <c r="N33" s="58"/>
      <c r="O33" s="57"/>
    </row>
    <row r="34" s="1" customFormat="1" ht="18" customHeight="1" spans="1:15">
      <c r="A34" s="33"/>
      <c r="B34" s="17"/>
      <c r="C34" s="39"/>
      <c r="D34" s="40"/>
      <c r="E34" s="41"/>
      <c r="F34" s="17"/>
      <c r="G34" s="25"/>
      <c r="H34" s="22"/>
      <c r="I34" s="14">
        <v>66079</v>
      </c>
      <c r="J34" s="48" t="s">
        <v>50</v>
      </c>
      <c r="K34" s="56" t="s">
        <v>60</v>
      </c>
      <c r="L34" s="57"/>
      <c r="M34" s="58"/>
      <c r="N34" s="58"/>
      <c r="O34" s="57"/>
    </row>
    <row r="35" s="1" customFormat="1" ht="18" customHeight="1" spans="1:15">
      <c r="A35" s="33"/>
      <c r="B35" s="17">
        <f t="shared" si="4"/>
        <v>0</v>
      </c>
      <c r="C35" s="39"/>
      <c r="D35" s="40"/>
      <c r="E35" s="41"/>
      <c r="F35" s="17">
        <f t="shared" si="5"/>
        <v>0</v>
      </c>
      <c r="G35" s="25"/>
      <c r="H35" s="22"/>
      <c r="I35" s="14"/>
      <c r="J35" s="48"/>
      <c r="K35" s="56"/>
      <c r="L35" s="57"/>
      <c r="M35" s="58"/>
      <c r="N35" s="58"/>
      <c r="O35" s="57"/>
    </row>
    <row r="36" ht="18" customHeight="1" spans="1:15">
      <c r="A36" s="28" t="s">
        <v>25</v>
      </c>
      <c r="B36" s="27">
        <f>SUM(B14:B35)</f>
        <v>5903230.33</v>
      </c>
      <c r="C36" s="28"/>
      <c r="D36" s="42"/>
      <c r="E36" s="42"/>
      <c r="F36" s="30">
        <f>SUM(F14:F35)</f>
        <v>0</v>
      </c>
      <c r="G36" s="43">
        <f>SUM(G14:G35)</f>
        <v>5940988.35</v>
      </c>
      <c r="H36" s="44"/>
      <c r="I36" s="29">
        <f>SUM(I14:I35)</f>
        <v>5515208</v>
      </c>
      <c r="J36" s="60"/>
      <c r="K36" s="42"/>
      <c r="L36" s="31"/>
      <c r="M36" s="48"/>
      <c r="N36" s="48"/>
      <c r="O36" s="31"/>
    </row>
    <row r="37" ht="18" customHeight="1" spans="1:14">
      <c r="A37" s="45" t="s">
        <v>61</v>
      </c>
      <c r="B37" s="46">
        <f>B11-B36</f>
        <v>-927816.56914824</v>
      </c>
      <c r="C37" s="45"/>
      <c r="D37" s="47"/>
      <c r="E37" s="47"/>
      <c r="F37" s="46"/>
      <c r="G37" s="46">
        <f>G11-G36</f>
        <v>-425788.029999999</v>
      </c>
      <c r="H37" s="21" t="s">
        <v>62</v>
      </c>
      <c r="I37" s="29">
        <f>I11-I36</f>
        <v>-8</v>
      </c>
      <c r="J37" s="6"/>
      <c r="K37" s="61"/>
      <c r="M37" s="62"/>
      <c r="N37" s="62"/>
    </row>
    <row r="38" ht="18" customHeight="1" spans="1:3">
      <c r="A38" s="2" t="s">
        <v>63</v>
      </c>
      <c r="C38" s="2"/>
    </row>
    <row r="39" ht="18" customHeight="1" spans="1:7">
      <c r="A39" s="21" t="s">
        <v>64</v>
      </c>
      <c r="B39" s="20" t="s">
        <v>65</v>
      </c>
      <c r="C39" s="31"/>
      <c r="D39" s="21" t="s">
        <v>64</v>
      </c>
      <c r="E39" s="19" t="s">
        <v>15</v>
      </c>
      <c r="F39" s="20" t="s">
        <v>65</v>
      </c>
      <c r="G39" s="20" t="s">
        <v>81</v>
      </c>
    </row>
    <row r="40" ht="18" customHeight="1" spans="1:7">
      <c r="A40" s="31" t="s">
        <v>68</v>
      </c>
      <c r="B40" s="17">
        <f>(B11-B36)*0.25</f>
        <v>-231954.14228706</v>
      </c>
      <c r="C40" s="31"/>
      <c r="D40" s="9" t="s">
        <v>69</v>
      </c>
      <c r="E40" s="48" t="s">
        <v>70</v>
      </c>
      <c r="F40" s="49">
        <f>F11-F36</f>
        <v>440278.283931204</v>
      </c>
      <c r="G40" s="49">
        <f>F10</f>
        <v>60071.6363636364</v>
      </c>
    </row>
    <row r="41" ht="18" customHeight="1" spans="1:7">
      <c r="A41" s="31" t="s">
        <v>71</v>
      </c>
      <c r="B41" s="50" t="s">
        <v>72</v>
      </c>
      <c r="C41" s="31"/>
      <c r="D41" s="51" t="s">
        <v>73</v>
      </c>
      <c r="E41" s="13">
        <v>0.05</v>
      </c>
      <c r="F41" s="14">
        <f>F40*E41</f>
        <v>22013.9141965602</v>
      </c>
      <c r="G41" s="14">
        <f>G40*E41</f>
        <v>3003.58181818182</v>
      </c>
    </row>
    <row r="42" ht="18" customHeight="1" spans="1:7">
      <c r="A42" s="31" t="s">
        <v>74</v>
      </c>
      <c r="B42" s="50" t="s">
        <v>72</v>
      </c>
      <c r="C42" s="31"/>
      <c r="D42" s="51" t="s">
        <v>75</v>
      </c>
      <c r="E42" s="13">
        <v>0.03</v>
      </c>
      <c r="F42" s="14">
        <f>F40*E42</f>
        <v>13208.3485179361</v>
      </c>
      <c r="G42" s="14">
        <f>G40*E42</f>
        <v>1802.14909090909</v>
      </c>
    </row>
    <row r="43" ht="18" customHeight="1" spans="1:7">
      <c r="A43" s="31"/>
      <c r="B43" s="14"/>
      <c r="C43" s="31"/>
      <c r="D43" s="51" t="s">
        <v>76</v>
      </c>
      <c r="E43" s="13">
        <v>0.02</v>
      </c>
      <c r="F43" s="14">
        <f>F40*E43</f>
        <v>8805.56567862408</v>
      </c>
      <c r="G43" s="14">
        <f>G40*E43</f>
        <v>1201.43272727273</v>
      </c>
    </row>
    <row r="44" ht="18" customHeight="1" spans="1:8">
      <c r="A44" s="26" t="s">
        <v>77</v>
      </c>
      <c r="B44" s="27">
        <f>SUM(B40:B43)</f>
        <v>-231954.14228706</v>
      </c>
      <c r="C44" s="31"/>
      <c r="D44" s="26" t="s">
        <v>77</v>
      </c>
      <c r="E44" s="26"/>
      <c r="F44" s="30">
        <f>SUM(F40:F43)</f>
        <v>484306.112324324</v>
      </c>
      <c r="G44" s="30">
        <f>SUM(G40:G43)</f>
        <v>66078.8</v>
      </c>
      <c r="H44" s="4">
        <v>415338.26</v>
      </c>
    </row>
    <row r="45" ht="18" customHeight="1" spans="3:7">
      <c r="C45" s="2"/>
      <c r="D45" s="28" t="s">
        <v>25</v>
      </c>
      <c r="E45" s="28"/>
      <c r="F45" s="29">
        <f>F44</f>
        <v>484306.112324324</v>
      </c>
      <c r="G45" s="29"/>
    </row>
    <row r="46" ht="18" customHeight="1" spans="3:8">
      <c r="C46" s="2"/>
      <c r="H46" s="4">
        <f>H44/1.1</f>
        <v>377580.236363636</v>
      </c>
    </row>
    <row r="47" ht="18" customHeight="1" spans="3:8">
      <c r="C47" s="2"/>
      <c r="H47" s="4">
        <f>H44-H46</f>
        <v>37758.0236363637</v>
      </c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2021-11-09T00:41:14Z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FF32D11408B0453A992E3E27FF4DCF63</vt:lpwstr>
  </property>
  <property fmtid="{D5CDD505-2E9C-101B-9397-08002B2CF9AE}" pid="3" name="KSOProductBuildVer">
    <vt:lpwstr>2052-11.1.0.10700</vt:lpwstr>
  </property>
</Properties>
</file>