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孙核对新表" sheetId="1" r:id="rId1"/>
    <sheet name="谯城区2016年农村公路 (新)" sheetId="2" r:id="rId2"/>
    <sheet name="谯城区2016年农村公路（旧）" sheetId="3" r:id="rId3"/>
    <sheet name="Sheet3" sheetId="6" r:id="rId4"/>
    <sheet name="Sheet2" sheetId="5" r:id="rId5"/>
    <sheet name="Sheet1" sheetId="4" r:id="rId6"/>
  </sheets>
  <definedNames>
    <definedName name="_xlnm._FilterDatabase" localSheetId="1" hidden="1">'谯城区2016年农村公路 (新)'!$A$15:$O$40</definedName>
  </definedNames>
  <calcPr calcId="144525" concurrentCalc="0"/>
  <pivotCaches>
    <pivotCache cacheId="0" r:id="rId8"/>
  </pivotCaches>
</workbook>
</file>

<file path=xl/comments1.xml><?xml version="1.0" encoding="utf-8"?>
<comments xmlns="http://schemas.openxmlformats.org/spreadsheetml/2006/main">
  <authors>
    <author>cw05</author>
    <author>qyr</author>
    <author>xb21cn</author>
  </authors>
  <commentList>
    <comment ref="A66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67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L70" authorId="1">
      <text>
        <r>
          <rPr>
            <sz val="9"/>
            <rFont val="宋体"/>
            <charset val="134"/>
          </rPr>
          <t>qyr:
异地已预缴64.9</t>
        </r>
      </text>
    </comment>
    <comment ref="G71" authorId="2">
      <text>
        <r>
          <rPr>
            <sz val="9"/>
            <rFont val="宋体"/>
            <charset val="134"/>
          </rPr>
          <t>xb21cn:
异地已交</t>
        </r>
      </text>
    </comment>
    <comment ref="K71" authorId="1">
      <text>
        <r>
          <rPr>
            <sz val="9"/>
            <rFont val="宋体"/>
            <charset val="134"/>
          </rPr>
          <t>qyr:
异地已预缴157.86</t>
        </r>
      </text>
    </comment>
    <comment ref="L71" authorId="1">
      <text>
        <r>
          <rPr>
            <sz val="9"/>
            <rFont val="宋体"/>
            <charset val="134"/>
          </rPr>
          <t>qyr:
异地已预缴119.17</t>
        </r>
      </text>
    </comment>
  </commentList>
</comments>
</file>

<file path=xl/comments2.xml><?xml version="1.0" encoding="utf-8"?>
<comments xmlns="http://schemas.openxmlformats.org/spreadsheetml/2006/main">
  <authors>
    <author>cw05</author>
    <author>qyr</author>
  </authors>
  <commentList>
    <comment ref="A62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63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L66" authorId="1">
      <text>
        <r>
          <rPr>
            <sz val="9"/>
            <rFont val="宋体"/>
            <charset val="134"/>
          </rPr>
          <t>qyr:
异地已预缴64.9</t>
        </r>
      </text>
    </comment>
    <comment ref="K67" authorId="1">
      <text>
        <r>
          <rPr>
            <sz val="9"/>
            <rFont val="宋体"/>
            <charset val="134"/>
          </rPr>
          <t>qyr:
异地已预缴157.86</t>
        </r>
      </text>
    </comment>
    <comment ref="L67" authorId="1">
      <text>
        <r>
          <rPr>
            <sz val="9"/>
            <rFont val="宋体"/>
            <charset val="134"/>
          </rPr>
          <t>qyr:
异地已预缴119.17</t>
        </r>
      </text>
    </comment>
  </commentList>
</comments>
</file>

<file path=xl/comments3.xml><?xml version="1.0" encoding="utf-8"?>
<comments xmlns="http://schemas.openxmlformats.org/spreadsheetml/2006/main">
  <authors>
    <author>cw05</author>
    <author>qyr</author>
  </authors>
  <commentList>
    <comment ref="A73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4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K78" authorId="1">
      <text>
        <r>
          <rPr>
            <sz val="9"/>
            <rFont val="宋体"/>
            <charset val="134"/>
          </rPr>
          <t>qyr:
异地已预缴157.86</t>
        </r>
      </text>
    </comment>
  </commentList>
</comments>
</file>

<file path=xl/sharedStrings.xml><?xml version="1.0" encoding="utf-8"?>
<sst xmlns="http://schemas.openxmlformats.org/spreadsheetml/2006/main" count="651" uniqueCount="111">
  <si>
    <t>C4514  谯城区2016年农村公路畅通工程改造项目（第四批）7标段（十九里--赵桥）</t>
  </si>
  <si>
    <t>中标日期</t>
  </si>
  <si>
    <t>2016-8-2</t>
  </si>
  <si>
    <t>程 杰15395672999</t>
  </si>
  <si>
    <t>亳州市谯城区区乡公路管理所（普）</t>
  </si>
  <si>
    <t>决算日期</t>
  </si>
  <si>
    <t>2018-6-9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</si>
  <si>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</si>
  <si>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</si>
  <si>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</si>
  <si>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</si>
  <si>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</si>
  <si>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</si>
  <si>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</si>
  <si>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</si>
  <si>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</si>
  <si>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</si>
  <si>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</si>
  <si>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</si>
  <si>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</si>
  <si>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</si>
  <si>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</si>
  <si>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</si>
  <si>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</si>
  <si>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</si>
  <si>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</si>
  <si>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</si>
  <si>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</si>
  <si>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</si>
  <si>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</si>
  <si>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</si>
  <si>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凭证号</t>
  </si>
  <si>
    <t>发货单</t>
  </si>
  <si>
    <t>备注</t>
  </si>
  <si>
    <t>专</t>
  </si>
  <si>
    <t>亳州药都项目管理有限公司</t>
  </si>
  <si>
    <t>2016-8-84#</t>
  </si>
  <si>
    <t>太平洋保险有限公司亳州</t>
  </si>
  <si>
    <t>2016-9-66#</t>
  </si>
  <si>
    <t>2016-9-65#</t>
  </si>
  <si>
    <t>普代</t>
  </si>
  <si>
    <t>赵子龙</t>
  </si>
  <si>
    <t>砂石</t>
  </si>
  <si>
    <t>2016-12-140#</t>
  </si>
  <si>
    <t>亳州市芍花建材有限责任公司</t>
  </si>
  <si>
    <t>水泥</t>
  </si>
  <si>
    <t>2016-12-143#</t>
  </si>
  <si>
    <t>徽行</t>
  </si>
  <si>
    <t>亳州市志强商贸有限公司</t>
  </si>
  <si>
    <t>2016-12-144#</t>
  </si>
  <si>
    <t>河南吉华庆商贸有限公司</t>
  </si>
  <si>
    <t>2016-11-126#</t>
  </si>
  <si>
    <t>安徽众联水泥有限公司</t>
  </si>
  <si>
    <t>2016-12-142#</t>
  </si>
  <si>
    <t>淮北市天助新型建材有限公司临涣分公司</t>
  </si>
  <si>
    <t>2016-12-141#</t>
  </si>
  <si>
    <t>普</t>
  </si>
  <si>
    <t>程杰</t>
  </si>
  <si>
    <t>直接人工</t>
  </si>
  <si>
    <t>2016-11-127#</t>
  </si>
  <si>
    <t>2016-11-</t>
  </si>
  <si>
    <t>2016-12-</t>
  </si>
  <si>
    <t>沙子、石子</t>
  </si>
  <si>
    <t>办公用品</t>
  </si>
  <si>
    <t>2017-1-</t>
  </si>
  <si>
    <t>2017-8-</t>
  </si>
  <si>
    <t>扣</t>
  </si>
  <si>
    <r>
      <rPr>
        <sz val="9"/>
        <color rgb="FFFF0000"/>
        <rFont val="宋体"/>
        <charset val="134"/>
      </rPr>
      <t>2</t>
    </r>
    <r>
      <rPr>
        <sz val="9"/>
        <color rgb="FFFF0000"/>
        <rFont val="宋体"/>
        <charset val="134"/>
      </rPr>
      <t>017.1月开票印花税</t>
    </r>
  </si>
  <si>
    <t>滞纳金</t>
  </si>
  <si>
    <t>2022年8月开票增值税及附加</t>
  </si>
  <si>
    <t>外经证（2022.1月份已经核销了）</t>
  </si>
  <si>
    <t>4次</t>
  </si>
  <si>
    <t>外经证</t>
  </si>
  <si>
    <t>印花税</t>
  </si>
  <si>
    <t>增值税及附加</t>
  </si>
  <si>
    <t>退</t>
  </si>
  <si>
    <t>2017. 8.19已供交工验收，申请退还上次的暂扣款1万元</t>
  </si>
  <si>
    <t>3次</t>
  </si>
  <si>
    <t>暂扣</t>
  </si>
  <si>
    <t>无验收报告</t>
  </si>
  <si>
    <t>2次</t>
  </si>
  <si>
    <t>1次</t>
  </si>
  <si>
    <t>无成本票</t>
  </si>
  <si>
    <t>2016.11.4办理外经证500+2016.10.25检查项目经理李必和出场费1000项目总工沙建出场费1000车费1800</t>
  </si>
  <si>
    <t>应提供成本</t>
  </si>
  <si>
    <t>可支付金额</t>
  </si>
  <si>
    <t>公司代缴税金：</t>
  </si>
  <si>
    <t>税种</t>
  </si>
  <si>
    <t>税额</t>
  </si>
  <si>
    <r>
      <rPr>
        <sz val="9"/>
        <color theme="1"/>
        <rFont val="宋体"/>
        <charset val="134"/>
      </rPr>
      <t>1</t>
    </r>
    <r>
      <rPr>
        <sz val="9"/>
        <color theme="1"/>
        <rFont val="宋体"/>
        <charset val="134"/>
      </rPr>
      <t>6.7-17.1开票税金</t>
    </r>
  </si>
  <si>
    <t>2017年8月开票税金</t>
  </si>
  <si>
    <t>2022年8月开票税金</t>
  </si>
  <si>
    <t>企业所得税</t>
  </si>
  <si>
    <t>增值税</t>
  </si>
  <si>
    <t>差额</t>
  </si>
  <si>
    <t>城市维护建设税</t>
  </si>
  <si>
    <t>水利基金</t>
  </si>
  <si>
    <t>教育费附加</t>
  </si>
  <si>
    <t>地方教育费附加</t>
  </si>
  <si>
    <t>小计</t>
  </si>
  <si>
    <t>合同</t>
  </si>
  <si>
    <t>董军</t>
  </si>
  <si>
    <t>石子、沙子、水泥</t>
  </si>
  <si>
    <t>付梦茹</t>
  </si>
  <si>
    <t>亳州市佳林园艺有限公司</t>
  </si>
  <si>
    <t>苗木</t>
  </si>
  <si>
    <t>求和项:付款金额</t>
  </si>
  <si>
    <t>求和项:价税合计</t>
  </si>
  <si>
    <t>(空白)</t>
  </si>
  <si>
    <t>总计</t>
  </si>
  <si>
    <t xml:space="preserve">  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</si>
</sst>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0.00_ "/>
    <numFmt numFmtId="178" formatCode="#,##0.00_ "/>
    <numFmt numFmtId="179" formatCode="yyyy&quot;年&quot;m&quot;月&quot;;@"/>
    <numFmt numFmtId="180" formatCode="#,##0_ 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rgb="FF333333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6" applyNumberFormat="0" applyAlignment="0" applyProtection="0">
      <alignment vertical="center"/>
    </xf>
    <xf numFmtId="0" fontId="19" fillId="12" borderId="17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21" fillId="13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14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vertical="center"/>
    </xf>
    <xf numFmtId="18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9" fontId="2" fillId="2" borderId="1" xfId="3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vertical="center"/>
    </xf>
    <xf numFmtId="178" fontId="1" fillId="3" borderId="1" xfId="0" applyNumberFormat="1" applyFont="1" applyFill="1" applyBorder="1" applyAlignment="1">
      <alignment vertical="center"/>
    </xf>
    <xf numFmtId="176" fontId="1" fillId="0" borderId="1" xfId="0" applyNumberFormat="1" applyFont="1" applyBorder="1" applyAlignment="1">
      <alignment horizontal="center" vertical="center"/>
    </xf>
    <xf numFmtId="178" fontId="2" fillId="3" borderId="1" xfId="0" applyNumberFormat="1" applyFont="1" applyFill="1" applyBorder="1" applyAlignment="1">
      <alignment vertical="center"/>
    </xf>
    <xf numFmtId="176" fontId="1" fillId="4" borderId="1" xfId="0" applyNumberFormat="1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178" fontId="4" fillId="3" borderId="1" xfId="0" applyNumberFormat="1" applyFont="1" applyFill="1" applyBorder="1" applyAlignment="1">
      <alignment vertical="center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1" fillId="6" borderId="1" xfId="0" applyFont="1" applyFill="1" applyBorder="1" applyAlignment="1">
      <alignment wrapText="1"/>
    </xf>
    <xf numFmtId="178" fontId="2" fillId="4" borderId="1" xfId="0" applyNumberFormat="1" applyFont="1" applyFill="1" applyBorder="1" applyAlignment="1">
      <alignment vertical="center"/>
    </xf>
    <xf numFmtId="178" fontId="2" fillId="5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6" borderId="1" xfId="0" applyFill="1" applyBorder="1"/>
    <xf numFmtId="176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76" fontId="5" fillId="0" borderId="8" xfId="0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center"/>
    </xf>
    <xf numFmtId="178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77" fontId="1" fillId="0" borderId="1" xfId="0" applyNumberFormat="1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178" fontId="8" fillId="0" borderId="1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9" fontId="1" fillId="0" borderId="1" xfId="3" applyNumberFormat="1" applyFont="1" applyBorder="1" applyAlignment="1">
      <alignment horizontal="center" vertical="center"/>
    </xf>
    <xf numFmtId="178" fontId="1" fillId="0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8" fontId="3" fillId="6" borderId="1" xfId="0" applyNumberFormat="1" applyFont="1" applyFill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178" fontId="3" fillId="7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9" fontId="2" fillId="8" borderId="1" xfId="3" applyNumberFormat="1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 wrapText="1"/>
    </xf>
    <xf numFmtId="177" fontId="1" fillId="0" borderId="10" xfId="0" applyNumberFormat="1" applyFont="1" applyBorder="1" applyAlignment="1">
      <alignment horizontal="left" vertical="center"/>
    </xf>
    <xf numFmtId="176" fontId="1" fillId="0" borderId="11" xfId="0" applyNumberFormat="1" applyFont="1" applyBorder="1" applyAlignment="1">
      <alignment horizontal="left" vertical="center"/>
    </xf>
    <xf numFmtId="176" fontId="9" fillId="5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vertical="center" wrapText="1"/>
    </xf>
    <xf numFmtId="10" fontId="1" fillId="0" borderId="0" xfId="0" applyNumberFormat="1" applyFont="1" applyBorder="1" applyAlignment="1">
      <alignment vertical="center" wrapText="1"/>
    </xf>
    <xf numFmtId="178" fontId="2" fillId="7" borderId="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178" fontId="3" fillId="0" borderId="9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7" fontId="1" fillId="5" borderId="1" xfId="0" applyNumberFormat="1" applyFont="1" applyFill="1" applyBorder="1" applyAlignment="1">
      <alignment vertical="center"/>
    </xf>
    <xf numFmtId="178" fontId="1" fillId="5" borderId="0" xfId="0" applyNumberFormat="1" applyFont="1" applyFill="1" applyBorder="1" applyAlignment="1">
      <alignment vertical="center"/>
    </xf>
    <xf numFmtId="178" fontId="3" fillId="5" borderId="0" xfId="0" applyNumberFormat="1" applyFont="1" applyFill="1" applyBorder="1" applyAlignment="1">
      <alignment vertical="center"/>
    </xf>
    <xf numFmtId="178" fontId="1" fillId="0" borderId="1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178" fontId="1" fillId="5" borderId="1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78" fontId="3" fillId="0" borderId="12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5" borderId="0" xfId="0" applyFont="1" applyFill="1" applyBorder="1" applyAlignment="1">
      <alignment vertical="center"/>
    </xf>
    <xf numFmtId="177" fontId="1" fillId="5" borderId="0" xfId="0" applyNumberFormat="1" applyFont="1" applyFill="1" applyBorder="1" applyAlignment="1">
      <alignment vertical="center"/>
    </xf>
    <xf numFmtId="10" fontId="1" fillId="5" borderId="0" xfId="0" applyNumberFormat="1" applyFont="1" applyFill="1" applyBorder="1" applyAlignment="1">
      <alignment vertical="center"/>
    </xf>
    <xf numFmtId="178" fontId="3" fillId="5" borderId="0" xfId="0" applyNumberFormat="1" applyFont="1" applyFill="1" applyBorder="1" applyAlignment="1">
      <alignment vertical="center" wrapText="1"/>
    </xf>
    <xf numFmtId="178" fontId="1" fillId="5" borderId="1" xfId="0" applyNumberFormat="1" applyFont="1" applyFill="1" applyBorder="1" applyAlignment="1">
      <alignment vertical="center" wrapText="1"/>
    </xf>
    <xf numFmtId="178" fontId="1" fillId="5" borderId="0" xfId="0" applyNumberFormat="1" applyFont="1" applyFill="1" applyBorder="1" applyAlignment="1">
      <alignment vertical="center" wrapText="1"/>
    </xf>
    <xf numFmtId="177" fontId="3" fillId="5" borderId="0" xfId="0" applyNumberFormat="1" applyFont="1" applyFill="1" applyBorder="1" applyAlignment="1">
      <alignment vertical="center"/>
    </xf>
    <xf numFmtId="178" fontId="3" fillId="5" borderId="1" xfId="0" applyNumberFormat="1" applyFont="1" applyFill="1" applyBorder="1" applyAlignment="1">
      <alignment vertical="center" wrapText="1"/>
    </xf>
    <xf numFmtId="176" fontId="1" fillId="9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78" fontId="2" fillId="9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78" fontId="3" fillId="7" borderId="1" xfId="0" applyNumberFormat="1" applyFont="1" applyFill="1" applyBorder="1" applyAlignment="1">
      <alignment vertical="center" wrapText="1"/>
    </xf>
    <xf numFmtId="177" fontId="4" fillId="5" borderId="0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142875</xdr:colOff>
      <xdr:row>0</xdr:row>
      <xdr:rowOff>171450</xdr:rowOff>
    </xdr:from>
    <xdr:to>
      <xdr:col>12</xdr:col>
      <xdr:colOff>1041400</xdr:colOff>
      <xdr:row>2</xdr:row>
      <xdr:rowOff>46355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7250" y="171450"/>
          <a:ext cx="4384675" cy="382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10160</xdr:colOff>
      <xdr:row>69</xdr:row>
      <xdr:rowOff>46355</xdr:rowOff>
    </xdr:from>
    <xdr:to>
      <xdr:col>11</xdr:col>
      <xdr:colOff>161925</xdr:colOff>
      <xdr:row>72</xdr:row>
      <xdr:rowOff>201930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44535" y="16003270"/>
          <a:ext cx="2228215" cy="84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128905</xdr:colOff>
      <xdr:row>2</xdr:row>
      <xdr:rowOff>131445</xdr:rowOff>
    </xdr:from>
    <xdr:to>
      <xdr:col>10</xdr:col>
      <xdr:colOff>1572260</xdr:colOff>
      <xdr:row>14</xdr:row>
      <xdr:rowOff>3175</xdr:rowOff>
    </xdr:to>
    <xdr:pic>
      <xdr:nvPicPr>
        <xdr:cNvPr id="4" name="图片 3" descr="90d5d18b48f0aecf843c3e280cfd9b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63280" y="638810"/>
          <a:ext cx="1443355" cy="2614930"/>
        </a:xfrm>
        <a:prstGeom prst="rect">
          <a:avLst/>
        </a:prstGeom>
      </xdr:spPr>
    </xdr:pic>
    <xdr:clientData/>
  </xdr:twoCellAnchor>
  <xdr:twoCellAnchor editAs="oneCell">
    <xdr:from>
      <xdr:col>10</xdr:col>
      <xdr:colOff>1625600</xdr:colOff>
      <xdr:row>2</xdr:row>
      <xdr:rowOff>120650</xdr:rowOff>
    </xdr:from>
    <xdr:to>
      <xdr:col>11</xdr:col>
      <xdr:colOff>1117600</xdr:colOff>
      <xdr:row>13</xdr:row>
      <xdr:rowOff>92710</xdr:rowOff>
    </xdr:to>
    <xdr:pic>
      <xdr:nvPicPr>
        <xdr:cNvPr id="5" name="图片 4" descr="fbbef24b0db730f5cfc4b23f7da512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959975" y="628015"/>
          <a:ext cx="1568450" cy="248666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0</xdr:row>
      <xdr:rowOff>171450</xdr:rowOff>
    </xdr:from>
    <xdr:to>
      <xdr:col>12</xdr:col>
      <xdr:colOff>1041400</xdr:colOff>
      <xdr:row>2</xdr:row>
      <xdr:rowOff>46355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7250" y="171450"/>
          <a:ext cx="4384675" cy="382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10160</xdr:colOff>
      <xdr:row>73</xdr:row>
      <xdr:rowOff>46355</xdr:rowOff>
    </xdr:from>
    <xdr:to>
      <xdr:col>11</xdr:col>
      <xdr:colOff>161925</xdr:colOff>
      <xdr:row>76</xdr:row>
      <xdr:rowOff>201930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44535" y="16917670"/>
          <a:ext cx="2228215" cy="84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128905</xdr:colOff>
      <xdr:row>2</xdr:row>
      <xdr:rowOff>131445</xdr:rowOff>
    </xdr:from>
    <xdr:to>
      <xdr:col>10</xdr:col>
      <xdr:colOff>1572260</xdr:colOff>
      <xdr:row>14</xdr:row>
      <xdr:rowOff>3175</xdr:rowOff>
    </xdr:to>
    <xdr:pic>
      <xdr:nvPicPr>
        <xdr:cNvPr id="8" name="图片 7" descr="90d5d18b48f0aecf843c3e280cfd9b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63280" y="638810"/>
          <a:ext cx="1443355" cy="2614930"/>
        </a:xfrm>
        <a:prstGeom prst="rect">
          <a:avLst/>
        </a:prstGeom>
      </xdr:spPr>
    </xdr:pic>
    <xdr:clientData/>
  </xdr:twoCellAnchor>
  <xdr:twoCellAnchor editAs="oneCell">
    <xdr:from>
      <xdr:col>10</xdr:col>
      <xdr:colOff>1625600</xdr:colOff>
      <xdr:row>2</xdr:row>
      <xdr:rowOff>120650</xdr:rowOff>
    </xdr:from>
    <xdr:to>
      <xdr:col>11</xdr:col>
      <xdr:colOff>1117600</xdr:colOff>
      <xdr:row>13</xdr:row>
      <xdr:rowOff>92710</xdr:rowOff>
    </xdr:to>
    <xdr:pic>
      <xdr:nvPicPr>
        <xdr:cNvPr id="9" name="图片 8" descr="fbbef24b0db730f5cfc4b23f7da512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959975" y="628015"/>
          <a:ext cx="1568450" cy="2486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142875</xdr:colOff>
      <xdr:row>0</xdr:row>
      <xdr:rowOff>171450</xdr:rowOff>
    </xdr:from>
    <xdr:to>
      <xdr:col>12</xdr:col>
      <xdr:colOff>1041400</xdr:colOff>
      <xdr:row>2</xdr:row>
      <xdr:rowOff>46355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7250" y="171450"/>
          <a:ext cx="4384675" cy="382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10160</xdr:colOff>
      <xdr:row>69</xdr:row>
      <xdr:rowOff>46355</xdr:rowOff>
    </xdr:from>
    <xdr:to>
      <xdr:col>11</xdr:col>
      <xdr:colOff>161925</xdr:colOff>
      <xdr:row>72</xdr:row>
      <xdr:rowOff>201930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44535" y="15946120"/>
          <a:ext cx="2228215" cy="84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128905</xdr:colOff>
      <xdr:row>2</xdr:row>
      <xdr:rowOff>131445</xdr:rowOff>
    </xdr:from>
    <xdr:to>
      <xdr:col>10</xdr:col>
      <xdr:colOff>1572260</xdr:colOff>
      <xdr:row>14</xdr:row>
      <xdr:rowOff>3175</xdr:rowOff>
    </xdr:to>
    <xdr:pic>
      <xdr:nvPicPr>
        <xdr:cNvPr id="4" name="图片 3" descr="90d5d18b48f0aecf843c3e280cfd9b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63280" y="638810"/>
          <a:ext cx="1443355" cy="2614930"/>
        </a:xfrm>
        <a:prstGeom prst="rect">
          <a:avLst/>
        </a:prstGeom>
      </xdr:spPr>
    </xdr:pic>
    <xdr:clientData/>
  </xdr:twoCellAnchor>
  <xdr:twoCellAnchor editAs="oneCell">
    <xdr:from>
      <xdr:col>10</xdr:col>
      <xdr:colOff>1625600</xdr:colOff>
      <xdr:row>2</xdr:row>
      <xdr:rowOff>120650</xdr:rowOff>
    </xdr:from>
    <xdr:to>
      <xdr:col>11</xdr:col>
      <xdr:colOff>1117600</xdr:colOff>
      <xdr:row>13</xdr:row>
      <xdr:rowOff>92710</xdr:rowOff>
    </xdr:to>
    <xdr:pic>
      <xdr:nvPicPr>
        <xdr:cNvPr id="5" name="图片 4" descr="fbbef24b0db730f5cfc4b23f7da512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959975" y="628015"/>
          <a:ext cx="1568450" cy="2486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142875</xdr:colOff>
      <xdr:row>0</xdr:row>
      <xdr:rowOff>171450</xdr:rowOff>
    </xdr:from>
    <xdr:to>
      <xdr:col>12</xdr:col>
      <xdr:colOff>1041400</xdr:colOff>
      <xdr:row>2</xdr:row>
      <xdr:rowOff>46355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7250" y="171450"/>
          <a:ext cx="4384675" cy="382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8</xdr:col>
      <xdr:colOff>752475</xdr:colOff>
      <xdr:row>85</xdr:row>
      <xdr:rowOff>201930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0500" y="18414365"/>
          <a:ext cx="3562350" cy="1344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155.4603356481" refreshedBy="Administrator" recordCount="29">
  <cacheSource type="worksheet">
    <worksheetSource ref="A1:O1048576" sheet="Sheet1"/>
  </cacheSource>
  <cacheFields count="15">
    <cacheField name="认证日期" numFmtId="0">
      <sharedItems containsString="0" containsBlank="1" containsNonDate="0" containsDate="1" minDate="2016-08-24T00:00:00" maxDate="2017-04-01T00:00:00" count="13">
        <d v="2016-08-24T00:00:00"/>
        <d v="2016-09-26T00:00:00"/>
        <d v="2016-09-27T00:00:00"/>
        <d v="2016-12-01T00:00:00"/>
        <d v="2016-11-28T00:00:00"/>
        <m/>
        <d v="2016-11-25T00:00:00"/>
        <d v="2016-12-10T00:00:00"/>
        <d v="2016-12-20T00:00:00"/>
        <d v="2016-12-30T00:00:00"/>
        <d v="2017-01-01T00:00:00"/>
        <d v="2017-03-01T00:00:00"/>
        <d v="2017-04-01T00:00:00"/>
      </sharedItems>
    </cacheField>
    <cacheField name="成本金额" numFmtId="0">
      <sharedItems containsString="0" containsBlank="1" containsNumber="1" minValue="0" maxValue="630000" count="16">
        <n v="25283.02"/>
        <n v="10276.38"/>
        <n v="3773.58"/>
        <n v="290000"/>
        <n v="341880.34"/>
        <n v="0"/>
        <n v="315956.17"/>
        <n v="614062.82"/>
        <n v="145299.15"/>
        <n v="256041.03"/>
        <n v="191040"/>
        <n v="630000"/>
        <n v="207720"/>
        <n v="21000"/>
        <n v="487920"/>
        <m/>
      </sharedItems>
    </cacheField>
    <cacheField name="份数" numFmtId="0">
      <sharedItems containsString="0" containsBlank="1" containsNumber="1" containsInteger="1" minValue="0" maxValue="7" count="6">
        <m/>
        <n v="1"/>
        <n v="3"/>
        <n v="4"/>
        <n v="7"/>
        <n v="2"/>
      </sharedItems>
    </cacheField>
    <cacheField name="类型" numFmtId="0">
      <sharedItems containsBlank="1" count="4">
        <s v="专"/>
        <s v="普代"/>
        <m/>
        <s v="普"/>
      </sharedItems>
    </cacheField>
    <cacheField name="税率" numFmtId="0">
      <sharedItems containsString="0" containsBlank="1" containsNumber="1" minValue="0" maxValue="0.17" count="2">
        <m/>
        <n v="0.17"/>
      </sharedItems>
    </cacheField>
    <cacheField name="进项税额" numFmtId="0">
      <sharedItems containsString="0" containsBlank="1" containsNumber="1" minValue="0" maxValue="104390.67" count="10">
        <n v="1516.98"/>
        <n v="616.58"/>
        <n v="226.42"/>
        <n v="0"/>
        <n v="58119.66"/>
        <n v="53712.55"/>
        <n v="104390.67"/>
        <n v="24700.85"/>
        <n v="43526.97"/>
        <m/>
      </sharedItems>
    </cacheField>
    <cacheField name="价税合计" numFmtId="0">
      <sharedItems containsString="0" containsBlank="1" containsNumber="1" minValue="0" maxValue="718453.49" count="15">
        <n v="26800"/>
        <n v="10892.96"/>
        <n v="4000"/>
        <n v="290000"/>
        <n v="400000"/>
        <m/>
        <n v="369668.72"/>
        <n v="718453.49"/>
        <n v="170000"/>
        <n v="299568"/>
        <n v="191040"/>
        <n v="630000"/>
        <n v="207720"/>
        <n v="21000"/>
        <n v="487920"/>
      </sharedItems>
    </cacheField>
    <cacheField name="付款日期" numFmtId="0">
      <sharedItems containsBlank="1" containsDate="1" containsMixedTypes="1" count="12">
        <m/>
        <d v="2016-11-28T00:00:00"/>
        <d v="2016-12-06T00:00:00"/>
        <d v="2016-10-28T00:00:00"/>
        <d v="2016-12-05T00:00:00"/>
        <d v="2016-11-29T00:00:00"/>
        <d v="2016-12-13T00:00:00"/>
        <d v="2016-11-25T00:00:00"/>
        <s v="2016-11-"/>
        <s v="2016-12-"/>
        <s v="2017-1-"/>
        <s v="2017-8-"/>
      </sharedItems>
    </cacheField>
    <cacheField name="付款金额" numFmtId="0">
      <sharedItems containsString="0" containsBlank="1" containsNumber="1" minValue="0" maxValue="887397.21" count="10">
        <m/>
        <n v="200000"/>
        <n v="80000"/>
        <n v="169668.72"/>
        <n v="150000"/>
        <n v="839380"/>
        <n v="700000"/>
        <n v="418510.46"/>
        <n v="887397.21"/>
        <n v="274902.02"/>
      </sharedItems>
    </cacheField>
    <cacheField name="银行" numFmtId="0">
      <sharedItems containsBlank="1" count="2">
        <m/>
        <s v="徽行"/>
      </sharedItems>
    </cacheField>
    <cacheField name="销货单位" numFmtId="0">
      <sharedItems containsBlank="1" count="10">
        <s v="亳州药都项目管理有限公司"/>
        <s v="太平洋保险有限公司亳州"/>
        <s v="赵子龙"/>
        <s v="亳州市芍花建材有限责任公司"/>
        <s v="亳州市志强商贸有限公司"/>
        <s v="河南吉华庆商贸有限公司"/>
        <s v="安徽众联水泥有限公司"/>
        <s v="淮北市天助新型建材有限公司临涣分公司"/>
        <s v="程杰"/>
        <m/>
      </sharedItems>
    </cacheField>
    <cacheField name="货物" numFmtId="0">
      <sharedItems containsBlank="1" count="6">
        <m/>
        <s v="砂石"/>
        <s v="水泥"/>
        <s v="直接人工"/>
        <s v="沙子、石子"/>
        <s v="办公用品"/>
      </sharedItems>
    </cacheField>
    <cacheField name="凭证号" numFmtId="0">
      <sharedItems containsBlank="1" count="11">
        <s v="2016-8-84#"/>
        <s v="2016-9-66#"/>
        <s v="2016-9-65#"/>
        <s v="2016-12-140#"/>
        <s v="2016-12-143#"/>
        <m/>
        <s v="2016-12-144#"/>
        <s v="2016-11-126#"/>
        <s v="2016-12-142#"/>
        <s v="2016-12-141#"/>
        <s v="2016-11-127#"/>
      </sharedItems>
    </cacheField>
    <cacheField name="发货单" numFmtId="0">
      <sharedItems containsString="0" containsBlank="1" containsNonDate="0" count="1">
        <m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0"/>
    <x v="0"/>
    <x v="1"/>
    <x v="1"/>
    <x v="0"/>
    <x v="0"/>
    <x v="0"/>
    <x v="1"/>
    <x v="0"/>
    <x v="1"/>
    <x v="0"/>
    <x v="0"/>
  </r>
  <r>
    <x v="2"/>
    <x v="2"/>
    <x v="0"/>
    <x v="0"/>
    <x v="0"/>
    <x v="2"/>
    <x v="2"/>
    <x v="0"/>
    <x v="0"/>
    <x v="0"/>
    <x v="1"/>
    <x v="0"/>
    <x v="2"/>
    <x v="0"/>
    <x v="0"/>
  </r>
  <r>
    <x v="3"/>
    <x v="3"/>
    <x v="1"/>
    <x v="1"/>
    <x v="0"/>
    <x v="3"/>
    <x v="3"/>
    <x v="0"/>
    <x v="0"/>
    <x v="0"/>
    <x v="2"/>
    <x v="1"/>
    <x v="3"/>
    <x v="0"/>
    <x v="0"/>
  </r>
  <r>
    <x v="4"/>
    <x v="4"/>
    <x v="2"/>
    <x v="0"/>
    <x v="1"/>
    <x v="4"/>
    <x v="4"/>
    <x v="0"/>
    <x v="0"/>
    <x v="0"/>
    <x v="3"/>
    <x v="2"/>
    <x v="4"/>
    <x v="0"/>
    <x v="0"/>
  </r>
  <r>
    <x v="5"/>
    <x v="5"/>
    <x v="0"/>
    <x v="2"/>
    <x v="0"/>
    <x v="3"/>
    <x v="5"/>
    <x v="1"/>
    <x v="1"/>
    <x v="1"/>
    <x v="3"/>
    <x v="2"/>
    <x v="5"/>
    <x v="0"/>
    <x v="0"/>
  </r>
  <r>
    <x v="5"/>
    <x v="5"/>
    <x v="0"/>
    <x v="2"/>
    <x v="0"/>
    <x v="3"/>
    <x v="5"/>
    <x v="2"/>
    <x v="1"/>
    <x v="1"/>
    <x v="3"/>
    <x v="2"/>
    <x v="5"/>
    <x v="0"/>
    <x v="0"/>
  </r>
  <r>
    <x v="6"/>
    <x v="6"/>
    <x v="3"/>
    <x v="0"/>
    <x v="1"/>
    <x v="5"/>
    <x v="6"/>
    <x v="0"/>
    <x v="0"/>
    <x v="0"/>
    <x v="4"/>
    <x v="2"/>
    <x v="6"/>
    <x v="0"/>
    <x v="0"/>
  </r>
  <r>
    <x v="5"/>
    <x v="5"/>
    <x v="0"/>
    <x v="2"/>
    <x v="0"/>
    <x v="3"/>
    <x v="5"/>
    <x v="3"/>
    <x v="2"/>
    <x v="1"/>
    <x v="4"/>
    <x v="2"/>
    <x v="5"/>
    <x v="0"/>
    <x v="0"/>
  </r>
  <r>
    <x v="5"/>
    <x v="5"/>
    <x v="0"/>
    <x v="2"/>
    <x v="0"/>
    <x v="3"/>
    <x v="5"/>
    <x v="4"/>
    <x v="3"/>
    <x v="1"/>
    <x v="4"/>
    <x v="2"/>
    <x v="5"/>
    <x v="0"/>
    <x v="0"/>
  </r>
  <r>
    <x v="4"/>
    <x v="7"/>
    <x v="4"/>
    <x v="0"/>
    <x v="1"/>
    <x v="6"/>
    <x v="7"/>
    <x v="0"/>
    <x v="0"/>
    <x v="0"/>
    <x v="5"/>
    <x v="0"/>
    <x v="7"/>
    <x v="0"/>
    <x v="0"/>
  </r>
  <r>
    <x v="7"/>
    <x v="8"/>
    <x v="5"/>
    <x v="0"/>
    <x v="1"/>
    <x v="7"/>
    <x v="8"/>
    <x v="0"/>
    <x v="0"/>
    <x v="0"/>
    <x v="6"/>
    <x v="0"/>
    <x v="8"/>
    <x v="0"/>
    <x v="0"/>
  </r>
  <r>
    <x v="8"/>
    <x v="9"/>
    <x v="2"/>
    <x v="0"/>
    <x v="1"/>
    <x v="8"/>
    <x v="9"/>
    <x v="0"/>
    <x v="0"/>
    <x v="0"/>
    <x v="7"/>
    <x v="2"/>
    <x v="9"/>
    <x v="0"/>
    <x v="0"/>
  </r>
  <r>
    <x v="9"/>
    <x v="10"/>
    <x v="0"/>
    <x v="3"/>
    <x v="0"/>
    <x v="9"/>
    <x v="10"/>
    <x v="0"/>
    <x v="0"/>
    <x v="0"/>
    <x v="8"/>
    <x v="3"/>
    <x v="10"/>
    <x v="0"/>
    <x v="0"/>
  </r>
  <r>
    <x v="5"/>
    <x v="5"/>
    <x v="0"/>
    <x v="2"/>
    <x v="0"/>
    <x v="3"/>
    <x v="5"/>
    <x v="5"/>
    <x v="4"/>
    <x v="1"/>
    <x v="7"/>
    <x v="2"/>
    <x v="5"/>
    <x v="0"/>
    <x v="0"/>
  </r>
  <r>
    <x v="5"/>
    <x v="5"/>
    <x v="0"/>
    <x v="2"/>
    <x v="0"/>
    <x v="3"/>
    <x v="5"/>
    <x v="6"/>
    <x v="1"/>
    <x v="1"/>
    <x v="7"/>
    <x v="2"/>
    <x v="5"/>
    <x v="0"/>
    <x v="0"/>
  </r>
  <r>
    <x v="5"/>
    <x v="5"/>
    <x v="0"/>
    <x v="2"/>
    <x v="0"/>
    <x v="3"/>
    <x v="5"/>
    <x v="7"/>
    <x v="5"/>
    <x v="1"/>
    <x v="8"/>
    <x v="0"/>
    <x v="5"/>
    <x v="0"/>
    <x v="0"/>
  </r>
  <r>
    <x v="5"/>
    <x v="5"/>
    <x v="0"/>
    <x v="2"/>
    <x v="0"/>
    <x v="3"/>
    <x v="5"/>
    <x v="8"/>
    <x v="6"/>
    <x v="1"/>
    <x v="8"/>
    <x v="0"/>
    <x v="5"/>
    <x v="0"/>
    <x v="0"/>
  </r>
  <r>
    <x v="5"/>
    <x v="5"/>
    <x v="0"/>
    <x v="2"/>
    <x v="0"/>
    <x v="3"/>
    <x v="5"/>
    <x v="9"/>
    <x v="7"/>
    <x v="1"/>
    <x v="8"/>
    <x v="0"/>
    <x v="5"/>
    <x v="0"/>
    <x v="0"/>
  </r>
  <r>
    <x v="10"/>
    <x v="11"/>
    <x v="0"/>
    <x v="3"/>
    <x v="0"/>
    <x v="3"/>
    <x v="11"/>
    <x v="0"/>
    <x v="0"/>
    <x v="0"/>
    <x v="8"/>
    <x v="4"/>
    <x v="5"/>
    <x v="0"/>
    <x v="0"/>
  </r>
  <r>
    <x v="10"/>
    <x v="12"/>
    <x v="0"/>
    <x v="3"/>
    <x v="0"/>
    <x v="3"/>
    <x v="12"/>
    <x v="0"/>
    <x v="0"/>
    <x v="0"/>
    <x v="8"/>
    <x v="3"/>
    <x v="5"/>
    <x v="0"/>
    <x v="0"/>
  </r>
  <r>
    <x v="10"/>
    <x v="13"/>
    <x v="0"/>
    <x v="3"/>
    <x v="0"/>
    <x v="3"/>
    <x v="13"/>
    <x v="0"/>
    <x v="0"/>
    <x v="0"/>
    <x v="8"/>
    <x v="5"/>
    <x v="5"/>
    <x v="0"/>
    <x v="0"/>
  </r>
  <r>
    <x v="11"/>
    <x v="14"/>
    <x v="0"/>
    <x v="3"/>
    <x v="0"/>
    <x v="3"/>
    <x v="14"/>
    <x v="0"/>
    <x v="0"/>
    <x v="0"/>
    <x v="8"/>
    <x v="3"/>
    <x v="5"/>
    <x v="0"/>
    <x v="0"/>
  </r>
  <r>
    <x v="12"/>
    <x v="14"/>
    <x v="0"/>
    <x v="3"/>
    <x v="0"/>
    <x v="3"/>
    <x v="14"/>
    <x v="0"/>
    <x v="0"/>
    <x v="0"/>
    <x v="8"/>
    <x v="3"/>
    <x v="5"/>
    <x v="0"/>
    <x v="0"/>
  </r>
  <r>
    <x v="5"/>
    <x v="5"/>
    <x v="0"/>
    <x v="2"/>
    <x v="0"/>
    <x v="3"/>
    <x v="5"/>
    <x v="0"/>
    <x v="0"/>
    <x v="0"/>
    <x v="9"/>
    <x v="0"/>
    <x v="5"/>
    <x v="0"/>
    <x v="0"/>
  </r>
  <r>
    <x v="5"/>
    <x v="5"/>
    <x v="0"/>
    <x v="2"/>
    <x v="0"/>
    <x v="3"/>
    <x v="5"/>
    <x v="0"/>
    <x v="0"/>
    <x v="0"/>
    <x v="9"/>
    <x v="0"/>
    <x v="5"/>
    <x v="0"/>
    <x v="0"/>
  </r>
  <r>
    <x v="5"/>
    <x v="5"/>
    <x v="0"/>
    <x v="2"/>
    <x v="0"/>
    <x v="3"/>
    <x v="5"/>
    <x v="10"/>
    <x v="8"/>
    <x v="1"/>
    <x v="8"/>
    <x v="0"/>
    <x v="5"/>
    <x v="0"/>
    <x v="0"/>
  </r>
  <r>
    <x v="5"/>
    <x v="5"/>
    <x v="0"/>
    <x v="2"/>
    <x v="0"/>
    <x v="3"/>
    <x v="5"/>
    <x v="11"/>
    <x v="9"/>
    <x v="1"/>
    <x v="8"/>
    <x v="0"/>
    <x v="5"/>
    <x v="0"/>
    <x v="0"/>
  </r>
  <r>
    <x v="5"/>
    <x v="15"/>
    <x v="0"/>
    <x v="2"/>
    <x v="0"/>
    <x v="9"/>
    <x v="5"/>
    <x v="0"/>
    <x v="0"/>
    <x v="0"/>
    <x v="9"/>
    <x v="0"/>
    <x v="5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4" firstHeaderRow="0" firstDataRow="1" firstDataCol="1"/>
  <pivotFields count="15">
    <pivotField compact="0" showAll="0">
      <items count="14">
        <item x="0"/>
        <item x="1"/>
        <item x="2"/>
        <item x="6"/>
        <item x="4"/>
        <item x="3"/>
        <item x="7"/>
        <item x="8"/>
        <item x="9"/>
        <item x="10"/>
        <item x="11"/>
        <item x="12"/>
        <item x="5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16">
        <item x="2"/>
        <item x="1"/>
        <item x="13"/>
        <item x="0"/>
        <item x="8"/>
        <item x="10"/>
        <item x="12"/>
        <item x="3"/>
        <item x="9"/>
        <item x="6"/>
        <item x="4"/>
        <item x="14"/>
        <item x="11"/>
        <item x="7"/>
        <item x="5"/>
        <item t="default"/>
      </items>
    </pivotField>
    <pivotField compact="0" showAll="0"/>
    <pivotField dataField="1" compact="0" showAll="0">
      <items count="11">
        <item x="2"/>
        <item x="4"/>
        <item x="3"/>
        <item x="1"/>
        <item x="9"/>
        <item x="7"/>
        <item x="6"/>
        <item x="5"/>
        <item x="8"/>
        <item x="0"/>
        <item t="default"/>
      </items>
    </pivotField>
    <pivotField compact="0" showAll="0"/>
    <pivotField axis="axisRow" compact="0" showAll="0">
      <items count="11">
        <item x="6"/>
        <item x="3"/>
        <item x="4"/>
        <item x="0"/>
        <item x="8"/>
        <item x="5"/>
        <item x="7"/>
        <item x="1"/>
        <item x="2"/>
        <item x="9"/>
        <item t="default"/>
      </items>
    </pivotField>
    <pivotField compact="0" showAll="0"/>
    <pivotField compact="0" showAll="0"/>
    <pivotField compact="0" showAll="0"/>
    <pivotField compact="0" showAll="0"/>
  </pivotFields>
  <rowFields count="1">
    <field x="1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付款金额" fld="8" baseField="0" baseItem="0"/>
    <dataField name="求和项:价税合计" fld="6" baseField="0" baseItem="0"/>
  </dataFields>
  <pivotTableStyleInfo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1"/>
  <sheetViews>
    <sheetView tabSelected="1" topLeftCell="A37" workbookViewId="0">
      <selection activeCell="L54" sqref="L54"/>
    </sheetView>
  </sheetViews>
  <sheetFormatPr defaultColWidth="9" defaultRowHeight="11.25"/>
  <cols>
    <col min="1" max="1" width="10.75" style="41" customWidth="1"/>
    <col min="2" max="2" width="16.375" style="42" customWidth="1"/>
    <col min="3" max="3" width="6" style="43" customWidth="1"/>
    <col min="4" max="4" width="13.375" style="43" customWidth="1"/>
    <col min="5" max="5" width="6" style="43" customWidth="1"/>
    <col min="6" max="6" width="13.125" style="42" customWidth="1"/>
    <col min="7" max="7" width="14.125" style="42" customWidth="1"/>
    <col min="8" max="8" width="9.625" style="43" customWidth="1"/>
    <col min="9" max="9" width="13.875" style="42" customWidth="1"/>
    <col min="10" max="10" width="6.125" style="44" customWidth="1"/>
    <col min="11" max="11" width="27.25" style="45" customWidth="1"/>
    <col min="12" max="12" width="18.5" style="45" customWidth="1"/>
    <col min="13" max="13" width="18.75" style="1" customWidth="1"/>
    <col min="14" max="14" width="15.125" style="1" customWidth="1"/>
    <col min="15" max="15" width="13.25" style="1" customWidth="1"/>
    <col min="16" max="16" width="14.625" style="1" customWidth="1"/>
    <col min="17" max="16384" width="9" style="41"/>
  </cols>
  <sheetData>
    <row r="1" s="1" customFormat="1" ht="21.95" customHeight="1" spans="1:12">
      <c r="A1" s="46" t="s">
        <v>0</v>
      </c>
      <c r="B1" s="46"/>
      <c r="C1" s="46"/>
      <c r="D1" s="46"/>
      <c r="E1" s="46"/>
      <c r="F1" s="47"/>
      <c r="G1" s="47"/>
      <c r="H1" s="46"/>
      <c r="I1" s="47"/>
      <c r="J1" s="46"/>
      <c r="K1" s="67"/>
      <c r="L1" s="67"/>
    </row>
    <row r="2" s="1" customFormat="1" ht="18" customHeight="1" spans="1:12">
      <c r="A2" s="48" t="s">
        <v>1</v>
      </c>
      <c r="B2" s="49" t="s">
        <v>2</v>
      </c>
      <c r="C2" s="31"/>
      <c r="D2" s="50">
        <v>4357173</v>
      </c>
      <c r="E2" s="51"/>
      <c r="F2" s="52" t="s">
        <v>3</v>
      </c>
      <c r="G2" s="53"/>
      <c r="H2" s="54" t="s">
        <v>4</v>
      </c>
      <c r="I2" s="68"/>
      <c r="J2" s="69"/>
      <c r="K2" s="70"/>
      <c r="L2" s="67"/>
    </row>
    <row r="3" s="1" customFormat="1" ht="18" customHeight="1" spans="1:12">
      <c r="A3" s="48" t="s">
        <v>5</v>
      </c>
      <c r="B3" s="55" t="s">
        <v>6</v>
      </c>
      <c r="C3" s="31"/>
      <c r="D3" s="56">
        <v>4400286.29</v>
      </c>
      <c r="E3" s="43"/>
      <c r="F3" s="42"/>
      <c r="G3" s="42"/>
      <c r="H3" s="57"/>
      <c r="I3" s="71"/>
      <c r="J3" s="57"/>
      <c r="K3" s="67"/>
      <c r="L3" s="67"/>
    </row>
    <row r="4" s="1" customFormat="1" ht="18" customHeight="1" spans="1:12">
      <c r="A4" s="41" t="s">
        <v>7</v>
      </c>
      <c r="B4" s="42"/>
      <c r="C4" s="43"/>
      <c r="D4" s="43"/>
      <c r="E4" s="43"/>
      <c r="F4" s="42"/>
      <c r="G4" s="42"/>
      <c r="H4" s="57"/>
      <c r="I4" s="71"/>
      <c r="J4" s="57"/>
      <c r="K4" s="67"/>
      <c r="L4" s="67"/>
    </row>
    <row r="5" s="45" customFormat="1" ht="18" customHeight="1" spans="1:16">
      <c r="A5" s="5" t="s">
        <v>8</v>
      </c>
      <c r="B5" s="4" t="s">
        <v>9</v>
      </c>
      <c r="C5" s="5" t="s">
        <v>10</v>
      </c>
      <c r="D5" s="5"/>
      <c r="E5" s="5" t="s">
        <v>11</v>
      </c>
      <c r="F5" s="4"/>
      <c r="G5" s="4" t="s">
        <v>12</v>
      </c>
      <c r="H5" s="20" t="s">
        <v>13</v>
      </c>
      <c r="I5" s="4"/>
      <c r="J5" s="20"/>
      <c r="M5" s="1"/>
      <c r="N5" s="1"/>
      <c r="O5" s="1"/>
      <c r="P5" s="1"/>
    </row>
    <row r="6" s="45" customFormat="1" ht="18" customHeight="1" spans="1:16">
      <c r="A6" s="5"/>
      <c r="B6" s="4"/>
      <c r="C6" s="5" t="s">
        <v>14</v>
      </c>
      <c r="D6" s="5" t="s">
        <v>15</v>
      </c>
      <c r="E6" s="5" t="s">
        <v>14</v>
      </c>
      <c r="F6" s="4" t="s">
        <v>15</v>
      </c>
      <c r="G6" s="4"/>
      <c r="H6" s="20" t="s">
        <v>16</v>
      </c>
      <c r="I6" s="4" t="s">
        <v>17</v>
      </c>
      <c r="J6" s="20" t="s">
        <v>18</v>
      </c>
      <c r="M6" s="1"/>
      <c r="N6" s="1"/>
      <c r="O6" s="1"/>
      <c r="P6" s="1"/>
    </row>
    <row r="7" s="1" customFormat="1" ht="18" customHeight="1" spans="1:13">
      <c r="A7" s="13">
        <v>42683</v>
      </c>
      <c r="B7" s="31">
        <f t="shared" ref="B7:B12" si="0">G7/(1+C7+E7)</f>
        <v>1778090.09009009</v>
      </c>
      <c r="C7" s="58">
        <v>0.02</v>
      </c>
      <c r="D7" s="59">
        <f t="shared" ref="D7:D12" si="1">G7/(1+E7+C7)*C7</f>
        <v>35561.8018018018</v>
      </c>
      <c r="E7" s="58">
        <v>0.09</v>
      </c>
      <c r="F7" s="59">
        <f t="shared" ref="F7:F12" si="2">G7/(1+C7+E7)*E7</f>
        <v>160028.108108108</v>
      </c>
      <c r="G7" s="14">
        <v>1973680</v>
      </c>
      <c r="H7" s="13">
        <v>42696</v>
      </c>
      <c r="I7" s="31">
        <v>1973680</v>
      </c>
      <c r="J7" s="21" t="s">
        <v>19</v>
      </c>
      <c r="K7" s="45"/>
      <c r="L7" s="45"/>
      <c r="M7" s="43"/>
    </row>
    <row r="8" s="1" customFormat="1" ht="18" customHeight="1" spans="1:13">
      <c r="A8" s="13">
        <v>42720</v>
      </c>
      <c r="B8" s="31">
        <f t="shared" si="0"/>
        <v>891052.252252252</v>
      </c>
      <c r="C8" s="58">
        <v>0.02</v>
      </c>
      <c r="D8" s="59">
        <f t="shared" si="1"/>
        <v>17821.045045045</v>
      </c>
      <c r="E8" s="58">
        <v>0.09</v>
      </c>
      <c r="F8" s="59">
        <f t="shared" si="2"/>
        <v>80194.7027027027</v>
      </c>
      <c r="G8" s="14">
        <v>989068</v>
      </c>
      <c r="H8" s="13">
        <v>42727</v>
      </c>
      <c r="I8" s="31">
        <v>989068</v>
      </c>
      <c r="J8" s="21" t="s">
        <v>19</v>
      </c>
      <c r="K8" s="45"/>
      <c r="L8" s="45"/>
      <c r="M8" s="43"/>
    </row>
    <row r="9" s="1" customFormat="1" ht="18" customHeight="1" spans="1:13">
      <c r="A9" s="13">
        <v>42740</v>
      </c>
      <c r="B9" s="31">
        <f t="shared" si="0"/>
        <v>836944.144144144</v>
      </c>
      <c r="C9" s="58">
        <v>0.02</v>
      </c>
      <c r="D9" s="59">
        <f t="shared" si="1"/>
        <v>16738.8828828829</v>
      </c>
      <c r="E9" s="58">
        <v>0.09</v>
      </c>
      <c r="F9" s="59">
        <f t="shared" si="2"/>
        <v>75324.972972973</v>
      </c>
      <c r="G9" s="14">
        <v>929008</v>
      </c>
      <c r="H9" s="13">
        <v>42747</v>
      </c>
      <c r="I9" s="31">
        <v>929008</v>
      </c>
      <c r="J9" s="21" t="s">
        <v>19</v>
      </c>
      <c r="K9" s="45"/>
      <c r="L9" s="45"/>
      <c r="M9" s="43"/>
    </row>
    <row r="10" s="45" customFormat="1" ht="18" customHeight="1" spans="1:16">
      <c r="A10" s="13">
        <v>42951</v>
      </c>
      <c r="B10" s="31">
        <f t="shared" si="0"/>
        <v>263095.585585586</v>
      </c>
      <c r="C10" s="58">
        <v>0.02</v>
      </c>
      <c r="D10" s="59">
        <f t="shared" si="1"/>
        <v>5261.91171171171</v>
      </c>
      <c r="E10" s="58">
        <v>0.09</v>
      </c>
      <c r="F10" s="31">
        <f t="shared" si="2"/>
        <v>23678.6027027027</v>
      </c>
      <c r="G10" s="14">
        <v>292036.1</v>
      </c>
      <c r="H10" s="13">
        <v>42961</v>
      </c>
      <c r="I10" s="31">
        <v>292036.1</v>
      </c>
      <c r="J10" s="21" t="s">
        <v>19</v>
      </c>
      <c r="M10" s="1"/>
      <c r="N10" s="1"/>
      <c r="O10" s="1"/>
      <c r="P10" s="1"/>
    </row>
    <row r="11" s="45" customFormat="1" ht="18" customHeight="1" spans="1:16">
      <c r="A11" s="13">
        <v>44790</v>
      </c>
      <c r="B11" s="31">
        <f t="shared" si="0"/>
        <v>198618.52293578</v>
      </c>
      <c r="C11" s="58">
        <v>0.02</v>
      </c>
      <c r="D11" s="59">
        <f t="shared" si="1"/>
        <v>3972.3704587156</v>
      </c>
      <c r="E11" s="58">
        <v>0.07</v>
      </c>
      <c r="F11" s="31">
        <f t="shared" si="2"/>
        <v>13903.2966055046</v>
      </c>
      <c r="G11" s="12">
        <v>216494.19</v>
      </c>
      <c r="H11" s="13">
        <v>45155</v>
      </c>
      <c r="I11" s="31">
        <v>170000</v>
      </c>
      <c r="J11" s="21" t="s">
        <v>19</v>
      </c>
      <c r="M11" s="1"/>
      <c r="N11" s="1"/>
      <c r="O11" s="1"/>
      <c r="P11" s="1"/>
    </row>
    <row r="12" s="45" customFormat="1" ht="18" customHeight="1" spans="1:16">
      <c r="A12" s="13"/>
      <c r="B12" s="31">
        <f t="shared" si="0"/>
        <v>0</v>
      </c>
      <c r="C12" s="58"/>
      <c r="D12" s="59">
        <f t="shared" si="1"/>
        <v>0</v>
      </c>
      <c r="E12" s="58"/>
      <c r="F12" s="31">
        <f t="shared" si="2"/>
        <v>0</v>
      </c>
      <c r="G12" s="14"/>
      <c r="H12" s="13"/>
      <c r="I12" s="31"/>
      <c r="J12" s="21"/>
      <c r="M12" s="1"/>
      <c r="N12" s="1"/>
      <c r="O12" s="1"/>
      <c r="P12" s="1"/>
    </row>
    <row r="13" s="1" customFormat="1" ht="18" customHeight="1" spans="1:13">
      <c r="A13" s="60" t="s">
        <v>20</v>
      </c>
      <c r="B13" s="61">
        <f t="shared" ref="B13:G13" si="3">SUM(B7:B12)</f>
        <v>3967800.59500785</v>
      </c>
      <c r="C13" s="62"/>
      <c r="D13" s="62">
        <f t="shared" si="3"/>
        <v>79356.011900157</v>
      </c>
      <c r="E13" s="62"/>
      <c r="F13" s="63">
        <f t="shared" si="3"/>
        <v>353129.683091991</v>
      </c>
      <c r="G13" s="62">
        <f t="shared" si="3"/>
        <v>4400286.29</v>
      </c>
      <c r="H13" s="64"/>
      <c r="I13" s="62">
        <f>SUM(I7:I12)</f>
        <v>4353792.1</v>
      </c>
      <c r="J13" s="64"/>
      <c r="K13" s="45"/>
      <c r="L13" s="45"/>
      <c r="M13" s="43">
        <f>G13-I13</f>
        <v>46494.1900000004</v>
      </c>
    </row>
    <row r="14" s="1" customFormat="1" ht="18" customHeight="1" spans="1:12">
      <c r="A14" s="41" t="s">
        <v>21</v>
      </c>
      <c r="B14" s="42"/>
      <c r="C14" s="43"/>
      <c r="D14" s="43"/>
      <c r="E14" s="43"/>
      <c r="F14" s="42"/>
      <c r="G14" s="42">
        <f>D3-G13</f>
        <v>0</v>
      </c>
      <c r="H14" s="43"/>
      <c r="I14" s="42"/>
      <c r="J14" s="43"/>
      <c r="K14" s="72"/>
      <c r="L14" s="73"/>
    </row>
    <row r="15" s="1" customFormat="1" ht="18" customHeight="1" spans="1:15">
      <c r="A15" s="3" t="s">
        <v>22</v>
      </c>
      <c r="B15" s="4" t="s">
        <v>23</v>
      </c>
      <c r="C15" s="5" t="s">
        <v>24</v>
      </c>
      <c r="D15" s="5" t="s">
        <v>25</v>
      </c>
      <c r="E15" s="5" t="s">
        <v>14</v>
      </c>
      <c r="F15" s="4" t="s">
        <v>26</v>
      </c>
      <c r="G15" s="4" t="s">
        <v>12</v>
      </c>
      <c r="H15" s="5" t="s">
        <v>27</v>
      </c>
      <c r="I15" s="4" t="s">
        <v>28</v>
      </c>
      <c r="J15" s="5" t="s">
        <v>18</v>
      </c>
      <c r="K15" s="18" t="s">
        <v>29</v>
      </c>
      <c r="L15" s="19" t="s">
        <v>30</v>
      </c>
      <c r="M15" s="20" t="s">
        <v>31</v>
      </c>
      <c r="N15" s="20" t="s">
        <v>32</v>
      </c>
      <c r="O15" s="20" t="s">
        <v>33</v>
      </c>
    </row>
    <row r="16" s="2" customFormat="1" ht="18" customHeight="1" spans="1:17">
      <c r="A16" s="6">
        <v>42606</v>
      </c>
      <c r="B16" s="7">
        <v>25283.02</v>
      </c>
      <c r="C16" s="8"/>
      <c r="D16" s="9" t="s">
        <v>34</v>
      </c>
      <c r="E16" s="10"/>
      <c r="F16" s="11">
        <v>1516.98</v>
      </c>
      <c r="G16" s="12">
        <v>26800</v>
      </c>
      <c r="H16" s="13"/>
      <c r="I16" s="7"/>
      <c r="J16" s="21"/>
      <c r="K16" s="22" t="s">
        <v>35</v>
      </c>
      <c r="L16" s="23"/>
      <c r="M16" s="24" t="s">
        <v>36</v>
      </c>
      <c r="N16" s="24"/>
      <c r="O16" s="25"/>
      <c r="Q16" s="32"/>
    </row>
    <row r="17" s="2" customFormat="1" ht="18" customHeight="1" spans="1:17">
      <c r="A17" s="6">
        <v>42639</v>
      </c>
      <c r="B17" s="7">
        <v>10276.38</v>
      </c>
      <c r="C17" s="8"/>
      <c r="D17" s="9" t="s">
        <v>34</v>
      </c>
      <c r="E17" s="10"/>
      <c r="F17" s="11">
        <v>616.58</v>
      </c>
      <c r="G17" s="12">
        <v>10892.96</v>
      </c>
      <c r="H17" s="13"/>
      <c r="I17" s="7"/>
      <c r="J17" s="21"/>
      <c r="K17" s="22" t="s">
        <v>37</v>
      </c>
      <c r="L17" s="23"/>
      <c r="M17" s="24" t="s">
        <v>38</v>
      </c>
      <c r="N17" s="24"/>
      <c r="O17" s="25"/>
      <c r="Q17" s="32"/>
    </row>
    <row r="18" s="2" customFormat="1" ht="18" customHeight="1" spans="1:17">
      <c r="A18" s="6">
        <v>42640</v>
      </c>
      <c r="B18" s="7">
        <v>3773.58</v>
      </c>
      <c r="C18" s="8"/>
      <c r="D18" s="9" t="s">
        <v>34</v>
      </c>
      <c r="E18" s="10"/>
      <c r="F18" s="11">
        <v>226.42</v>
      </c>
      <c r="G18" s="12">
        <v>4000</v>
      </c>
      <c r="H18" s="13"/>
      <c r="I18" s="7"/>
      <c r="J18" s="21"/>
      <c r="K18" s="22" t="s">
        <v>37</v>
      </c>
      <c r="L18" s="23"/>
      <c r="M18" s="24" t="s">
        <v>39</v>
      </c>
      <c r="N18" s="24"/>
      <c r="O18" s="25"/>
      <c r="Q18" s="32"/>
    </row>
    <row r="19" s="2" customFormat="1" ht="18" customHeight="1" spans="1:17">
      <c r="A19" s="6">
        <v>42705</v>
      </c>
      <c r="B19" s="7">
        <f t="shared" ref="B19:B25" si="4">ROUND(G19/(1+E19),2)</f>
        <v>290000</v>
      </c>
      <c r="C19" s="8">
        <v>1</v>
      </c>
      <c r="D19" s="9" t="s">
        <v>40</v>
      </c>
      <c r="E19" s="10"/>
      <c r="F19" s="11">
        <f t="shared" ref="F19:F25" si="5">ROUND(G19/(1+E19)*E19,2)</f>
        <v>0</v>
      </c>
      <c r="G19" s="12">
        <v>290000</v>
      </c>
      <c r="H19" s="13"/>
      <c r="I19" s="7"/>
      <c r="J19" s="21"/>
      <c r="K19" s="26" t="s">
        <v>41</v>
      </c>
      <c r="L19" s="23" t="s">
        <v>42</v>
      </c>
      <c r="M19" s="24" t="s">
        <v>43</v>
      </c>
      <c r="N19" s="24"/>
      <c r="O19" s="25"/>
      <c r="Q19" s="32"/>
    </row>
    <row r="20" s="2" customFormat="1" ht="18" customHeight="1" spans="1:17">
      <c r="A20" s="6">
        <v>42702</v>
      </c>
      <c r="B20" s="7">
        <f t="shared" si="4"/>
        <v>341880.34</v>
      </c>
      <c r="C20" s="8">
        <v>3</v>
      </c>
      <c r="D20" s="9" t="s">
        <v>34</v>
      </c>
      <c r="E20" s="10">
        <v>0.17</v>
      </c>
      <c r="F20" s="11">
        <f t="shared" si="5"/>
        <v>58119.66</v>
      </c>
      <c r="G20" s="14">
        <f>110000+110000+110000+70000</f>
        <v>400000</v>
      </c>
      <c r="H20" s="13"/>
      <c r="I20" s="7"/>
      <c r="J20" s="21"/>
      <c r="K20" s="27" t="s">
        <v>44</v>
      </c>
      <c r="L20" s="23" t="s">
        <v>45</v>
      </c>
      <c r="M20" s="24" t="s">
        <v>46</v>
      </c>
      <c r="N20" s="24"/>
      <c r="O20" s="25"/>
      <c r="Q20" s="32"/>
    </row>
    <row r="21" s="2" customFormat="1" ht="18" customHeight="1" spans="1:17">
      <c r="A21" s="6"/>
      <c r="B21" s="7">
        <f t="shared" si="4"/>
        <v>0</v>
      </c>
      <c r="C21" s="8"/>
      <c r="D21" s="9"/>
      <c r="E21" s="10"/>
      <c r="F21" s="11">
        <f t="shared" si="5"/>
        <v>0</v>
      </c>
      <c r="G21" s="14"/>
      <c r="H21" s="15">
        <v>42702</v>
      </c>
      <c r="I21" s="28">
        <v>200000</v>
      </c>
      <c r="J21" s="21" t="s">
        <v>47</v>
      </c>
      <c r="K21" s="26" t="s">
        <v>44</v>
      </c>
      <c r="L21" s="23" t="s">
        <v>45</v>
      </c>
      <c r="M21" s="24"/>
      <c r="N21" s="24"/>
      <c r="O21" s="25"/>
      <c r="Q21" s="32"/>
    </row>
    <row r="22" s="2" customFormat="1" ht="18" customHeight="1" spans="1:17">
      <c r="A22" s="6"/>
      <c r="B22" s="7">
        <f t="shared" si="4"/>
        <v>0</v>
      </c>
      <c r="C22" s="8"/>
      <c r="D22" s="9"/>
      <c r="E22" s="10"/>
      <c r="F22" s="11">
        <f t="shared" si="5"/>
        <v>0</v>
      </c>
      <c r="G22" s="14"/>
      <c r="H22" s="15">
        <v>42710</v>
      </c>
      <c r="I22" s="28">
        <v>200000</v>
      </c>
      <c r="J22" s="21" t="s">
        <v>47</v>
      </c>
      <c r="K22" s="26" t="s">
        <v>44</v>
      </c>
      <c r="L22" s="23" t="s">
        <v>45</v>
      </c>
      <c r="M22" s="24"/>
      <c r="N22" s="24"/>
      <c r="O22" s="25"/>
      <c r="Q22" s="32"/>
    </row>
    <row r="23" s="2" customFormat="1" ht="18" customHeight="1" spans="1:17">
      <c r="A23" s="6">
        <v>42699</v>
      </c>
      <c r="B23" s="7">
        <f t="shared" si="4"/>
        <v>315956.17</v>
      </c>
      <c r="C23" s="8">
        <v>4</v>
      </c>
      <c r="D23" s="9" t="s">
        <v>34</v>
      </c>
      <c r="E23" s="10">
        <v>0.17</v>
      </c>
      <c r="F23" s="11">
        <f t="shared" si="5"/>
        <v>53712.55</v>
      </c>
      <c r="G23" s="14">
        <f>100775.22+108970.7+107785.5+52137.3</f>
        <v>369668.72</v>
      </c>
      <c r="H23" s="15"/>
      <c r="I23" s="28"/>
      <c r="J23" s="21"/>
      <c r="K23" s="26" t="s">
        <v>48</v>
      </c>
      <c r="L23" s="23" t="s">
        <v>45</v>
      </c>
      <c r="M23" s="24" t="s">
        <v>49</v>
      </c>
      <c r="N23" s="24"/>
      <c r="O23" s="25"/>
      <c r="Q23" s="32"/>
    </row>
    <row r="24" s="2" customFormat="1" ht="18" customHeight="1" spans="1:17">
      <c r="A24" s="6"/>
      <c r="B24" s="7">
        <f t="shared" si="4"/>
        <v>0</v>
      </c>
      <c r="C24" s="8"/>
      <c r="D24" s="9"/>
      <c r="E24" s="10"/>
      <c r="F24" s="11">
        <f t="shared" si="5"/>
        <v>0</v>
      </c>
      <c r="G24" s="14"/>
      <c r="H24" s="15">
        <v>42671</v>
      </c>
      <c r="I24" s="28">
        <v>80000</v>
      </c>
      <c r="J24" s="21" t="s">
        <v>47</v>
      </c>
      <c r="K24" s="26" t="s">
        <v>48</v>
      </c>
      <c r="L24" s="23" t="s">
        <v>45</v>
      </c>
      <c r="M24" s="24"/>
      <c r="N24" s="24"/>
      <c r="O24" s="25"/>
      <c r="Q24" s="32"/>
    </row>
    <row r="25" s="2" customFormat="1" ht="18" customHeight="1" spans="1:17">
      <c r="A25" s="6"/>
      <c r="B25" s="7">
        <f t="shared" si="4"/>
        <v>0</v>
      </c>
      <c r="C25" s="8"/>
      <c r="D25" s="9"/>
      <c r="E25" s="10"/>
      <c r="F25" s="11">
        <f t="shared" si="5"/>
        <v>0</v>
      </c>
      <c r="G25" s="14"/>
      <c r="H25" s="15">
        <v>42709</v>
      </c>
      <c r="I25" s="28">
        <v>169668.72</v>
      </c>
      <c r="J25" s="21" t="s">
        <v>47</v>
      </c>
      <c r="K25" s="26" t="s">
        <v>48</v>
      </c>
      <c r="L25" s="23" t="s">
        <v>45</v>
      </c>
      <c r="M25" s="24"/>
      <c r="N25" s="24"/>
      <c r="O25" s="25"/>
      <c r="Q25" s="32"/>
    </row>
    <row r="26" s="2" customFormat="1" ht="20.25" customHeight="1" spans="1:17">
      <c r="A26" s="6">
        <v>42702</v>
      </c>
      <c r="B26" s="7">
        <v>614062.82</v>
      </c>
      <c r="C26" s="8">
        <v>7</v>
      </c>
      <c r="D26" s="9" t="s">
        <v>34</v>
      </c>
      <c r="E26" s="10">
        <v>0.17</v>
      </c>
      <c r="F26" s="11">
        <v>104390.67</v>
      </c>
      <c r="G26" s="14">
        <v>718453.49</v>
      </c>
      <c r="H26" s="15"/>
      <c r="I26" s="28"/>
      <c r="J26" s="21"/>
      <c r="K26" s="26" t="s">
        <v>50</v>
      </c>
      <c r="L26" s="23"/>
      <c r="M26" s="24" t="s">
        <v>51</v>
      </c>
      <c r="N26" s="24"/>
      <c r="O26" s="25"/>
      <c r="Q26" s="32"/>
    </row>
    <row r="27" s="2" customFormat="1" ht="20.25" customHeight="1" spans="1:17">
      <c r="A27" s="6">
        <v>42714</v>
      </c>
      <c r="B27" s="7">
        <v>145299.15</v>
      </c>
      <c r="C27" s="8">
        <v>2</v>
      </c>
      <c r="D27" s="9" t="s">
        <v>34</v>
      </c>
      <c r="E27" s="10">
        <v>0.17</v>
      </c>
      <c r="F27" s="11">
        <v>24700.85</v>
      </c>
      <c r="G27" s="14">
        <v>170000</v>
      </c>
      <c r="H27" s="15"/>
      <c r="I27" s="28"/>
      <c r="J27" s="21"/>
      <c r="K27" s="26" t="s">
        <v>52</v>
      </c>
      <c r="L27" s="23"/>
      <c r="M27" s="24" t="s">
        <v>53</v>
      </c>
      <c r="N27" s="24"/>
      <c r="O27" s="25"/>
      <c r="Q27" s="32"/>
    </row>
    <row r="28" s="2" customFormat="1" ht="18" customHeight="1" spans="1:17">
      <c r="A28" s="6">
        <v>42724</v>
      </c>
      <c r="B28" s="7">
        <v>256041.03</v>
      </c>
      <c r="C28" s="8">
        <v>3</v>
      </c>
      <c r="D28" s="9" t="s">
        <v>34</v>
      </c>
      <c r="E28" s="10">
        <v>0.17</v>
      </c>
      <c r="F28" s="11">
        <v>43526.97</v>
      </c>
      <c r="G28" s="14">
        <v>299568</v>
      </c>
      <c r="H28" s="16"/>
      <c r="I28" s="29"/>
      <c r="J28" s="21"/>
      <c r="K28" s="26" t="s">
        <v>54</v>
      </c>
      <c r="L28" s="23" t="s">
        <v>45</v>
      </c>
      <c r="M28" s="24" t="s">
        <v>55</v>
      </c>
      <c r="N28" s="24"/>
      <c r="O28" s="25"/>
      <c r="Q28" s="32"/>
    </row>
    <row r="29" s="2" customFormat="1" ht="18" customHeight="1" spans="1:17">
      <c r="A29" s="6">
        <v>42734</v>
      </c>
      <c r="B29" s="7">
        <v>191040</v>
      </c>
      <c r="C29" s="8"/>
      <c r="D29" s="9" t="s">
        <v>56</v>
      </c>
      <c r="E29" s="10"/>
      <c r="F29" s="11"/>
      <c r="G29" s="14">
        <v>191040</v>
      </c>
      <c r="H29" s="16"/>
      <c r="I29" s="29"/>
      <c r="J29" s="21"/>
      <c r="K29" s="26" t="s">
        <v>57</v>
      </c>
      <c r="L29" s="23" t="s">
        <v>58</v>
      </c>
      <c r="M29" s="24" t="s">
        <v>59</v>
      </c>
      <c r="N29" s="24"/>
      <c r="O29" s="25"/>
      <c r="Q29" s="32"/>
    </row>
    <row r="30" s="2" customFormat="1" ht="18" customHeight="1" spans="1:17">
      <c r="A30" s="6"/>
      <c r="B30" s="7">
        <v>0</v>
      </c>
      <c r="C30" s="8"/>
      <c r="D30" s="9"/>
      <c r="E30" s="10"/>
      <c r="F30" s="7">
        <v>0</v>
      </c>
      <c r="G30" s="12"/>
      <c r="H30" s="15">
        <v>42703</v>
      </c>
      <c r="I30" s="28">
        <v>150000</v>
      </c>
      <c r="J30" s="21" t="s">
        <v>47</v>
      </c>
      <c r="K30" s="26" t="s">
        <v>54</v>
      </c>
      <c r="L30" s="23" t="s">
        <v>45</v>
      </c>
      <c r="M30" s="24"/>
      <c r="N30" s="24"/>
      <c r="O30" s="25"/>
      <c r="Q30" s="32"/>
    </row>
    <row r="31" s="2" customFormat="1" ht="18" customHeight="1" spans="1:17">
      <c r="A31" s="6"/>
      <c r="B31" s="7">
        <v>0</v>
      </c>
      <c r="C31" s="8"/>
      <c r="D31" s="9"/>
      <c r="E31" s="10"/>
      <c r="F31" s="7">
        <v>0</v>
      </c>
      <c r="G31" s="12"/>
      <c r="H31" s="15">
        <v>42717</v>
      </c>
      <c r="I31" s="28">
        <v>200000</v>
      </c>
      <c r="J31" s="21" t="s">
        <v>47</v>
      </c>
      <c r="K31" s="26" t="s">
        <v>54</v>
      </c>
      <c r="L31" s="23" t="s">
        <v>45</v>
      </c>
      <c r="M31" s="24"/>
      <c r="N31" s="24"/>
      <c r="O31" s="25"/>
      <c r="Q31" s="32"/>
    </row>
    <row r="32" s="2" customFormat="1" ht="18" customHeight="1" spans="1:17">
      <c r="A32" s="6"/>
      <c r="B32" s="7">
        <f t="shared" ref="B32:B44" si="6">ROUND(G32/(1+E32),2)</f>
        <v>0</v>
      </c>
      <c r="C32" s="8"/>
      <c r="D32" s="9"/>
      <c r="E32" s="10"/>
      <c r="F32" s="7">
        <f t="shared" ref="F32:F44" si="7">ROUND(G32/(1+E32)*E32,2)</f>
        <v>0</v>
      </c>
      <c r="G32" s="12"/>
      <c r="H32" s="13">
        <v>42699</v>
      </c>
      <c r="I32" s="7">
        <f>1269380-I21-I24-I30</f>
        <v>839380</v>
      </c>
      <c r="J32" s="21" t="s">
        <v>47</v>
      </c>
      <c r="K32" s="26" t="s">
        <v>57</v>
      </c>
      <c r="L32" s="23"/>
      <c r="M32" s="24"/>
      <c r="N32" s="24"/>
      <c r="O32" s="25"/>
      <c r="Q32" s="32"/>
    </row>
    <row r="33" s="2" customFormat="1" ht="18" customHeight="1" spans="1:17">
      <c r="A33" s="6"/>
      <c r="B33" s="7">
        <f t="shared" si="6"/>
        <v>0</v>
      </c>
      <c r="C33" s="8"/>
      <c r="D33" s="9"/>
      <c r="E33" s="10"/>
      <c r="F33" s="7">
        <f t="shared" si="7"/>
        <v>0</v>
      </c>
      <c r="G33" s="12"/>
      <c r="H33" s="13" t="s">
        <v>60</v>
      </c>
      <c r="I33" s="7">
        <v>700000</v>
      </c>
      <c r="J33" s="21" t="s">
        <v>47</v>
      </c>
      <c r="K33" s="26" t="s">
        <v>57</v>
      </c>
      <c r="L33" s="23"/>
      <c r="M33" s="24"/>
      <c r="N33" s="24"/>
      <c r="O33" s="25"/>
      <c r="Q33" s="32"/>
    </row>
    <row r="34" s="2" customFormat="1" ht="18" customHeight="1" spans="1:17">
      <c r="A34" s="6"/>
      <c r="B34" s="7">
        <f t="shared" si="6"/>
        <v>0</v>
      </c>
      <c r="C34" s="8"/>
      <c r="D34" s="9"/>
      <c r="E34" s="10"/>
      <c r="F34" s="7">
        <f t="shared" si="7"/>
        <v>0</v>
      </c>
      <c r="G34" s="12"/>
      <c r="H34" s="13" t="s">
        <v>61</v>
      </c>
      <c r="I34" s="7">
        <f>988179.18-I22-I25-I31</f>
        <v>418510.46</v>
      </c>
      <c r="J34" s="21" t="s">
        <v>47</v>
      </c>
      <c r="K34" s="26" t="s">
        <v>57</v>
      </c>
      <c r="L34" s="23"/>
      <c r="M34" s="24"/>
      <c r="N34" s="24"/>
      <c r="O34" s="25"/>
      <c r="Q34" s="32"/>
    </row>
    <row r="35" s="2" customFormat="1" ht="18" customHeight="1" spans="1:17">
      <c r="A35" s="6">
        <v>42736</v>
      </c>
      <c r="B35" s="7">
        <f t="shared" si="6"/>
        <v>630000</v>
      </c>
      <c r="C35" s="8"/>
      <c r="D35" s="9" t="s">
        <v>56</v>
      </c>
      <c r="E35" s="10"/>
      <c r="F35" s="7">
        <f t="shared" si="7"/>
        <v>0</v>
      </c>
      <c r="G35" s="12">
        <v>630000</v>
      </c>
      <c r="H35" s="13"/>
      <c r="I35" s="7"/>
      <c r="J35" s="21"/>
      <c r="K35" s="26" t="s">
        <v>57</v>
      </c>
      <c r="L35" s="26" t="s">
        <v>62</v>
      </c>
      <c r="M35" s="24"/>
      <c r="N35" s="24"/>
      <c r="O35" s="25"/>
      <c r="Q35" s="32"/>
    </row>
    <row r="36" s="2" customFormat="1" ht="18" customHeight="1" spans="1:17">
      <c r="A36" s="6">
        <v>42736</v>
      </c>
      <c r="B36" s="7">
        <f t="shared" si="6"/>
        <v>207720</v>
      </c>
      <c r="C36" s="8"/>
      <c r="D36" s="9" t="s">
        <v>56</v>
      </c>
      <c r="E36" s="10"/>
      <c r="F36" s="7">
        <f t="shared" si="7"/>
        <v>0</v>
      </c>
      <c r="G36" s="12">
        <v>207720</v>
      </c>
      <c r="H36" s="13"/>
      <c r="I36" s="7"/>
      <c r="J36" s="21"/>
      <c r="K36" s="26" t="s">
        <v>57</v>
      </c>
      <c r="L36" s="23" t="s">
        <v>58</v>
      </c>
      <c r="M36" s="24"/>
      <c r="N36" s="24"/>
      <c r="O36" s="25"/>
      <c r="Q36" s="32"/>
    </row>
    <row r="37" s="2" customFormat="1" ht="18" customHeight="1" spans="1:17">
      <c r="A37" s="6">
        <v>42736</v>
      </c>
      <c r="B37" s="7">
        <f t="shared" si="6"/>
        <v>21000</v>
      </c>
      <c r="C37" s="8"/>
      <c r="D37" s="9" t="s">
        <v>56</v>
      </c>
      <c r="E37" s="10"/>
      <c r="F37" s="7">
        <f t="shared" si="7"/>
        <v>0</v>
      </c>
      <c r="G37" s="12">
        <v>21000</v>
      </c>
      <c r="H37" s="13"/>
      <c r="I37" s="7"/>
      <c r="J37" s="21"/>
      <c r="K37" s="26" t="s">
        <v>57</v>
      </c>
      <c r="L37" s="23" t="s">
        <v>63</v>
      </c>
      <c r="M37" s="24"/>
      <c r="N37" s="24"/>
      <c r="O37" s="25"/>
      <c r="Q37" s="32"/>
    </row>
    <row r="38" s="2" customFormat="1" ht="18" customHeight="1" spans="1:17">
      <c r="A38" s="6">
        <v>42795</v>
      </c>
      <c r="B38" s="7">
        <f t="shared" si="6"/>
        <v>487920</v>
      </c>
      <c r="C38" s="8"/>
      <c r="D38" s="9" t="s">
        <v>56</v>
      </c>
      <c r="E38" s="10"/>
      <c r="F38" s="7">
        <f t="shared" si="7"/>
        <v>0</v>
      </c>
      <c r="G38" s="12">
        <v>487920</v>
      </c>
      <c r="H38" s="13"/>
      <c r="I38" s="7"/>
      <c r="J38" s="21"/>
      <c r="K38" s="26" t="s">
        <v>57</v>
      </c>
      <c r="L38" s="23" t="s">
        <v>58</v>
      </c>
      <c r="M38" s="24"/>
      <c r="N38" s="24"/>
      <c r="O38" s="25"/>
      <c r="Q38" s="32"/>
    </row>
    <row r="39" s="2" customFormat="1" ht="18" customHeight="1" spans="1:17">
      <c r="A39" s="6">
        <v>42826</v>
      </c>
      <c r="B39" s="7">
        <f t="shared" si="6"/>
        <v>487920</v>
      </c>
      <c r="C39" s="8"/>
      <c r="D39" s="9" t="s">
        <v>56</v>
      </c>
      <c r="E39" s="10"/>
      <c r="F39" s="7">
        <f t="shared" si="7"/>
        <v>0</v>
      </c>
      <c r="G39" s="12">
        <v>487920</v>
      </c>
      <c r="H39" s="13"/>
      <c r="I39" s="7"/>
      <c r="J39" s="21"/>
      <c r="K39" s="26" t="s">
        <v>57</v>
      </c>
      <c r="L39" s="23" t="s">
        <v>58</v>
      </c>
      <c r="M39" s="24"/>
      <c r="N39" s="24"/>
      <c r="O39" s="25"/>
      <c r="Q39" s="32"/>
    </row>
    <row r="40" s="2" customFormat="1" ht="18" customHeight="1" spans="1:17">
      <c r="A40" s="6"/>
      <c r="B40" s="7">
        <f t="shared" si="6"/>
        <v>0</v>
      </c>
      <c r="C40" s="8"/>
      <c r="D40" s="9"/>
      <c r="E40" s="10"/>
      <c r="F40" s="7">
        <f t="shared" si="7"/>
        <v>0</v>
      </c>
      <c r="G40" s="12"/>
      <c r="H40" s="13"/>
      <c r="I40" s="7"/>
      <c r="J40" s="21"/>
      <c r="K40" s="26"/>
      <c r="L40" s="23"/>
      <c r="M40" s="24"/>
      <c r="N40" s="24"/>
      <c r="O40" s="25"/>
      <c r="Q40" s="32"/>
    </row>
    <row r="41" s="2" customFormat="1" ht="18" customHeight="1" spans="1:17">
      <c r="A41" s="6"/>
      <c r="B41" s="7">
        <f t="shared" si="6"/>
        <v>0</v>
      </c>
      <c r="C41" s="8"/>
      <c r="D41" s="9"/>
      <c r="E41" s="10"/>
      <c r="F41" s="7">
        <f t="shared" si="7"/>
        <v>0</v>
      </c>
      <c r="G41" s="17"/>
      <c r="H41" s="13"/>
      <c r="I41" s="7"/>
      <c r="J41" s="21"/>
      <c r="K41" s="30"/>
      <c r="L41" s="23"/>
      <c r="M41" s="24"/>
      <c r="N41" s="24"/>
      <c r="O41" s="25"/>
      <c r="Q41" s="32"/>
    </row>
    <row r="42" s="2" customFormat="1" ht="18" customHeight="1" spans="1:17">
      <c r="A42" s="6"/>
      <c r="B42" s="7">
        <f t="shared" si="6"/>
        <v>0</v>
      </c>
      <c r="C42" s="8"/>
      <c r="D42" s="9"/>
      <c r="E42" s="10"/>
      <c r="F42" s="7">
        <f t="shared" si="7"/>
        <v>0</v>
      </c>
      <c r="G42" s="12"/>
      <c r="H42" s="13" t="s">
        <v>64</v>
      </c>
      <c r="I42" s="7">
        <v>887397.21</v>
      </c>
      <c r="J42" s="21" t="s">
        <v>47</v>
      </c>
      <c r="K42" s="26" t="s">
        <v>57</v>
      </c>
      <c r="L42" s="23"/>
      <c r="M42" s="24"/>
      <c r="N42" s="24"/>
      <c r="O42" s="25"/>
      <c r="Q42" s="32"/>
    </row>
    <row r="43" s="2" customFormat="1" ht="18" customHeight="1" spans="1:15">
      <c r="A43" s="6"/>
      <c r="B43" s="7">
        <f t="shared" si="6"/>
        <v>0</v>
      </c>
      <c r="C43" s="8"/>
      <c r="D43" s="9"/>
      <c r="E43" s="10"/>
      <c r="F43" s="7">
        <f t="shared" si="7"/>
        <v>0</v>
      </c>
      <c r="G43" s="12"/>
      <c r="H43" s="13" t="s">
        <v>65</v>
      </c>
      <c r="I43" s="31">
        <v>274902.02</v>
      </c>
      <c r="J43" s="21" t="s">
        <v>47</v>
      </c>
      <c r="K43" s="26" t="s">
        <v>57</v>
      </c>
      <c r="L43" s="23"/>
      <c r="M43" s="24"/>
      <c r="N43" s="24"/>
      <c r="O43" s="25"/>
    </row>
    <row r="44" s="2" customFormat="1" ht="18" customHeight="1" spans="1:15">
      <c r="A44" s="6"/>
      <c r="B44" s="7">
        <f t="shared" si="6"/>
        <v>0</v>
      </c>
      <c r="C44" s="8"/>
      <c r="D44" s="9"/>
      <c r="E44" s="10"/>
      <c r="F44" s="7">
        <f t="shared" si="7"/>
        <v>0</v>
      </c>
      <c r="G44" s="12"/>
      <c r="H44" s="13"/>
      <c r="I44" s="31"/>
      <c r="J44" s="21"/>
      <c r="K44" s="30"/>
      <c r="L44" s="23"/>
      <c r="M44" s="24"/>
      <c r="N44" s="24"/>
      <c r="O44" s="25"/>
    </row>
    <row r="45" s="2" customFormat="1" ht="18" customHeight="1" spans="1:15">
      <c r="A45" s="6"/>
      <c r="B45" s="7"/>
      <c r="C45" s="8"/>
      <c r="D45" s="9"/>
      <c r="E45" s="10"/>
      <c r="F45" s="7"/>
      <c r="G45" s="12"/>
      <c r="H45" s="13"/>
      <c r="I45" s="31"/>
      <c r="J45" s="21"/>
      <c r="K45" s="30"/>
      <c r="L45" s="23"/>
      <c r="M45" s="24"/>
      <c r="N45" s="24"/>
      <c r="O45" s="25"/>
    </row>
    <row r="46" s="2" customFormat="1" ht="18" customHeight="1" spans="1:15">
      <c r="A46" s="6"/>
      <c r="B46" s="7"/>
      <c r="C46" s="8"/>
      <c r="D46" s="9"/>
      <c r="E46" s="10"/>
      <c r="F46" s="7"/>
      <c r="G46" s="12"/>
      <c r="H46" s="13"/>
      <c r="I46" s="31"/>
      <c r="J46" s="21"/>
      <c r="K46" s="30"/>
      <c r="L46" s="23"/>
      <c r="M46" s="24"/>
      <c r="N46" s="24"/>
      <c r="O46" s="25"/>
    </row>
    <row r="47" s="2" customFormat="1" ht="18" customHeight="1" spans="1:15">
      <c r="A47" s="6"/>
      <c r="B47" s="7"/>
      <c r="C47" s="8"/>
      <c r="D47" s="9"/>
      <c r="E47" s="10"/>
      <c r="F47" s="7"/>
      <c r="G47" s="12"/>
      <c r="H47" s="13"/>
      <c r="I47" s="111">
        <v>278.71</v>
      </c>
      <c r="J47" s="112" t="s">
        <v>66</v>
      </c>
      <c r="K47" s="113" t="s">
        <v>67</v>
      </c>
      <c r="L47" s="23"/>
      <c r="M47" s="24"/>
      <c r="N47" s="24"/>
      <c r="O47" s="25"/>
    </row>
    <row r="48" s="2" customFormat="1" ht="18" customHeight="1" spans="1:15">
      <c r="A48" s="6"/>
      <c r="B48" s="7"/>
      <c r="C48" s="8"/>
      <c r="D48" s="9"/>
      <c r="E48" s="10"/>
      <c r="F48" s="7"/>
      <c r="G48" s="12"/>
      <c r="H48" s="13"/>
      <c r="I48" s="105">
        <v>1167.9</v>
      </c>
      <c r="J48" s="106" t="s">
        <v>66</v>
      </c>
      <c r="K48" s="108" t="s">
        <v>68</v>
      </c>
      <c r="L48" s="23"/>
      <c r="M48" s="24"/>
      <c r="N48" s="24"/>
      <c r="O48" s="25"/>
    </row>
    <row r="49" s="2" customFormat="1" ht="18" customHeight="1" spans="1:15">
      <c r="A49" s="6"/>
      <c r="B49" s="7"/>
      <c r="C49" s="8"/>
      <c r="D49" s="9"/>
      <c r="E49" s="10"/>
      <c r="F49" s="7"/>
      <c r="G49" s="12"/>
      <c r="H49" s="13"/>
      <c r="I49" s="105">
        <v>15571.6921981651</v>
      </c>
      <c r="J49" s="106" t="s">
        <v>66</v>
      </c>
      <c r="K49" s="108" t="s">
        <v>69</v>
      </c>
      <c r="L49" s="23"/>
      <c r="M49" s="24"/>
      <c r="N49" s="24"/>
      <c r="O49" s="25"/>
    </row>
    <row r="50" s="2" customFormat="1" ht="18" customHeight="1" spans="1:15">
      <c r="A50" s="6"/>
      <c r="B50" s="7">
        <f t="shared" ref="B50:B60" si="8">ROUND(G50/(1+E50),2)</f>
        <v>0</v>
      </c>
      <c r="C50" s="8"/>
      <c r="D50" s="9"/>
      <c r="E50" s="10"/>
      <c r="F50" s="7">
        <f t="shared" ref="F50:F60" si="9">ROUND(G50/(1+E50)*E50,2)</f>
        <v>0</v>
      </c>
      <c r="G50" s="12"/>
      <c r="H50" s="13"/>
      <c r="I50" s="105">
        <v>500</v>
      </c>
      <c r="J50" s="106" t="s">
        <v>66</v>
      </c>
      <c r="K50" s="108" t="s">
        <v>70</v>
      </c>
      <c r="L50" s="23"/>
      <c r="M50" s="24"/>
      <c r="N50" s="24"/>
      <c r="O50" s="25"/>
    </row>
    <row r="51" s="2" customFormat="1" ht="18" customHeight="1" spans="1:15">
      <c r="A51" s="6"/>
      <c r="B51" s="7">
        <f t="shared" si="8"/>
        <v>0</v>
      </c>
      <c r="C51" s="8"/>
      <c r="D51" s="9"/>
      <c r="E51" s="10"/>
      <c r="F51" s="7">
        <f t="shared" si="9"/>
        <v>0</v>
      </c>
      <c r="G51" s="12"/>
      <c r="H51" s="13" t="s">
        <v>71</v>
      </c>
      <c r="I51" s="31">
        <v>1000</v>
      </c>
      <c r="J51" s="21" t="s">
        <v>66</v>
      </c>
      <c r="K51" s="30" t="s">
        <v>72</v>
      </c>
      <c r="L51" s="23"/>
      <c r="M51" s="24"/>
      <c r="N51" s="24"/>
      <c r="O51" s="25"/>
    </row>
    <row r="52" s="2" customFormat="1" ht="18" customHeight="1" spans="1:15">
      <c r="A52" s="6"/>
      <c r="B52" s="7">
        <f t="shared" si="8"/>
        <v>0</v>
      </c>
      <c r="C52" s="8"/>
      <c r="D52" s="9"/>
      <c r="E52" s="10"/>
      <c r="F52" s="7">
        <f t="shared" si="9"/>
        <v>0</v>
      </c>
      <c r="G52" s="12"/>
      <c r="H52" s="13" t="s">
        <v>71</v>
      </c>
      <c r="I52" s="31">
        <v>87.61</v>
      </c>
      <c r="J52" s="21" t="s">
        <v>66</v>
      </c>
      <c r="K52" s="26" t="s">
        <v>73</v>
      </c>
      <c r="L52" s="23"/>
      <c r="M52" s="24"/>
      <c r="N52" s="24"/>
      <c r="O52" s="25"/>
    </row>
    <row r="53" s="2" customFormat="1" ht="18" customHeight="1" spans="1:15">
      <c r="A53" s="6"/>
      <c r="B53" s="7">
        <f t="shared" si="8"/>
        <v>0</v>
      </c>
      <c r="C53" s="8"/>
      <c r="D53" s="9"/>
      <c r="E53" s="10"/>
      <c r="F53" s="7">
        <f t="shared" si="9"/>
        <v>0</v>
      </c>
      <c r="G53" s="12"/>
      <c r="H53" s="13" t="s">
        <v>71</v>
      </c>
      <c r="I53" s="31">
        <v>26046.47</v>
      </c>
      <c r="J53" s="21" t="s">
        <v>66</v>
      </c>
      <c r="K53" s="26" t="s">
        <v>74</v>
      </c>
      <c r="L53" s="23"/>
      <c r="M53" s="24"/>
      <c r="N53" s="24"/>
      <c r="O53" s="25"/>
    </row>
    <row r="54" s="2" customFormat="1" ht="18" customHeight="1" spans="1:15">
      <c r="A54" s="6"/>
      <c r="B54" s="7">
        <f t="shared" si="8"/>
        <v>0</v>
      </c>
      <c r="C54" s="8"/>
      <c r="D54" s="9"/>
      <c r="E54" s="10"/>
      <c r="F54" s="7">
        <f t="shared" si="9"/>
        <v>0</v>
      </c>
      <c r="G54" s="12"/>
      <c r="H54" s="13" t="s">
        <v>71</v>
      </c>
      <c r="I54" s="31">
        <v>-10000</v>
      </c>
      <c r="J54" s="21" t="s">
        <v>75</v>
      </c>
      <c r="K54" s="26" t="s">
        <v>76</v>
      </c>
      <c r="L54" s="23"/>
      <c r="M54" s="24"/>
      <c r="N54" s="24"/>
      <c r="O54" s="25"/>
    </row>
    <row r="55" s="2" customFormat="1" ht="18" customHeight="1" spans="1:15">
      <c r="A55" s="6"/>
      <c r="B55" s="7">
        <f t="shared" si="8"/>
        <v>0</v>
      </c>
      <c r="C55" s="8"/>
      <c r="D55" s="9"/>
      <c r="E55" s="10"/>
      <c r="F55" s="7">
        <f t="shared" si="9"/>
        <v>0</v>
      </c>
      <c r="G55" s="12"/>
      <c r="H55" s="13" t="s">
        <v>77</v>
      </c>
      <c r="I55" s="31">
        <v>10000</v>
      </c>
      <c r="J55" s="21" t="s">
        <v>78</v>
      </c>
      <c r="K55" s="26" t="s">
        <v>79</v>
      </c>
      <c r="L55" s="23"/>
      <c r="M55" s="24"/>
      <c r="N55" s="24"/>
      <c r="O55" s="25"/>
    </row>
    <row r="56" s="2" customFormat="1" ht="18" customHeight="1" spans="1:15">
      <c r="A56" s="6"/>
      <c r="B56" s="7">
        <f t="shared" si="8"/>
        <v>0</v>
      </c>
      <c r="C56" s="8"/>
      <c r="D56" s="9"/>
      <c r="E56" s="10"/>
      <c r="F56" s="7">
        <f t="shared" si="9"/>
        <v>0</v>
      </c>
      <c r="G56" s="12"/>
      <c r="H56" s="13" t="s">
        <v>77</v>
      </c>
      <c r="I56" s="31">
        <v>31610.79</v>
      </c>
      <c r="J56" s="21" t="s">
        <v>66</v>
      </c>
      <c r="K56" s="26" t="s">
        <v>74</v>
      </c>
      <c r="L56" s="23"/>
      <c r="M56" s="24"/>
      <c r="N56" s="24"/>
      <c r="O56" s="25"/>
    </row>
    <row r="57" s="2" customFormat="1" ht="18" customHeight="1" spans="1:15">
      <c r="A57" s="6"/>
      <c r="B57" s="7">
        <f t="shared" si="8"/>
        <v>0</v>
      </c>
      <c r="C57" s="8"/>
      <c r="D57" s="9"/>
      <c r="E57" s="10"/>
      <c r="F57" s="7">
        <f t="shared" si="9"/>
        <v>0</v>
      </c>
      <c r="G57" s="12"/>
      <c r="H57" s="13" t="s">
        <v>80</v>
      </c>
      <c r="I57" s="31">
        <v>888.82</v>
      </c>
      <c r="J57" s="21" t="s">
        <v>66</v>
      </c>
      <c r="K57" s="26" t="s">
        <v>73</v>
      </c>
      <c r="L57" s="23"/>
      <c r="M57" s="24"/>
      <c r="N57" s="24"/>
      <c r="O57" s="25"/>
    </row>
    <row r="58" s="2" customFormat="1" ht="18" customHeight="1" spans="1:15">
      <c r="A58" s="6"/>
      <c r="B58" s="7">
        <f t="shared" si="8"/>
        <v>0</v>
      </c>
      <c r="C58" s="8"/>
      <c r="D58" s="9"/>
      <c r="E58" s="10"/>
      <c r="F58" s="7">
        <f t="shared" si="9"/>
        <v>0</v>
      </c>
      <c r="G58" s="12"/>
      <c r="H58" s="13" t="s">
        <v>81</v>
      </c>
      <c r="I58" s="31">
        <v>-700000</v>
      </c>
      <c r="J58" s="21" t="s">
        <v>75</v>
      </c>
      <c r="K58" s="26" t="s">
        <v>82</v>
      </c>
      <c r="L58" s="23"/>
      <c r="M58" s="24"/>
      <c r="N58" s="24"/>
      <c r="O58" s="25"/>
    </row>
    <row r="59" s="2" customFormat="1" ht="21" customHeight="1" spans="1:15">
      <c r="A59" s="6"/>
      <c r="B59" s="7">
        <f t="shared" si="8"/>
        <v>0</v>
      </c>
      <c r="C59" s="8"/>
      <c r="D59" s="9"/>
      <c r="E59" s="10"/>
      <c r="F59" s="7">
        <f t="shared" si="9"/>
        <v>0</v>
      </c>
      <c r="G59" s="12"/>
      <c r="H59" s="13" t="s">
        <v>81</v>
      </c>
      <c r="I59" s="31">
        <v>4300</v>
      </c>
      <c r="J59" s="21" t="s">
        <v>66</v>
      </c>
      <c r="K59" s="26" t="s">
        <v>83</v>
      </c>
      <c r="L59" s="23"/>
      <c r="M59" s="24"/>
      <c r="N59" s="24"/>
      <c r="O59" s="25"/>
    </row>
    <row r="60" s="2" customFormat="1" ht="21" customHeight="1" spans="1:15">
      <c r="A60" s="6"/>
      <c r="B60" s="7">
        <f t="shared" si="8"/>
        <v>0</v>
      </c>
      <c r="C60" s="8"/>
      <c r="D60" s="9"/>
      <c r="E60" s="10"/>
      <c r="F60" s="7">
        <f t="shared" si="9"/>
        <v>0</v>
      </c>
      <c r="G60" s="31"/>
      <c r="H60" s="13" t="s">
        <v>81</v>
      </c>
      <c r="I60" s="31">
        <v>700000</v>
      </c>
      <c r="J60" s="21" t="s">
        <v>78</v>
      </c>
      <c r="K60" s="26" t="s">
        <v>82</v>
      </c>
      <c r="L60" s="23"/>
      <c r="M60" s="24"/>
      <c r="N60" s="24"/>
      <c r="O60" s="25"/>
    </row>
    <row r="61" s="2" customFormat="1" ht="18" customHeight="1" spans="1:15">
      <c r="A61" s="62" t="s">
        <v>20</v>
      </c>
      <c r="B61" s="61">
        <f t="shared" ref="B61:G61" si="10">SUM(B16:B60)</f>
        <v>4028172.49</v>
      </c>
      <c r="C61" s="62"/>
      <c r="D61" s="75"/>
      <c r="E61" s="75"/>
      <c r="F61" s="63">
        <f t="shared" si="10"/>
        <v>286810.68</v>
      </c>
      <c r="G61" s="76">
        <f t="shared" si="10"/>
        <v>4314983.17</v>
      </c>
      <c r="H61" s="77"/>
      <c r="I61" s="62">
        <f>SUM(I16:I60)</f>
        <v>4201310.40219816</v>
      </c>
      <c r="J61" s="90"/>
      <c r="K61" s="91"/>
      <c r="L61" s="92"/>
      <c r="M61" s="21"/>
      <c r="N61" s="21"/>
      <c r="O61" s="64"/>
    </row>
    <row r="62" s="2" customFormat="1" ht="18" customHeight="1" spans="1:15">
      <c r="A62" s="78" t="s">
        <v>84</v>
      </c>
      <c r="B62" s="78">
        <f>B13-B61</f>
        <v>-60371.8949921485</v>
      </c>
      <c r="C62" s="78"/>
      <c r="D62" s="79"/>
      <c r="E62" s="79"/>
      <c r="F62" s="80"/>
      <c r="G62" s="78">
        <f>G13-G61</f>
        <v>85303.1200000001</v>
      </c>
      <c r="H62" s="20" t="s">
        <v>85</v>
      </c>
      <c r="I62" s="93">
        <f>I13-I61</f>
        <v>152481.69780184</v>
      </c>
      <c r="J62" s="1"/>
      <c r="K62" s="94"/>
      <c r="L62" s="45"/>
      <c r="M62" s="95"/>
      <c r="N62" s="95"/>
      <c r="O62" s="1"/>
    </row>
    <row r="63" s="2" customFormat="1" ht="18" customHeight="1" spans="1:15">
      <c r="A63" s="41" t="s">
        <v>86</v>
      </c>
      <c r="B63" s="42"/>
      <c r="C63" s="41"/>
      <c r="D63" s="43"/>
      <c r="E63" s="43"/>
      <c r="F63" s="42"/>
      <c r="G63" s="42"/>
      <c r="H63" s="43"/>
      <c r="I63" s="42"/>
      <c r="J63" s="44"/>
      <c r="K63" s="45"/>
      <c r="L63" s="45"/>
      <c r="M63" s="96"/>
      <c r="N63" s="96"/>
      <c r="O63" s="96"/>
    </row>
    <row r="64" s="2" customFormat="1" ht="18" customHeight="1" spans="1:15">
      <c r="A64" s="20" t="s">
        <v>87</v>
      </c>
      <c r="B64" s="4" t="s">
        <v>88</v>
      </c>
      <c r="C64" s="64"/>
      <c r="D64" s="20" t="s">
        <v>87</v>
      </c>
      <c r="E64" s="5" t="s">
        <v>14</v>
      </c>
      <c r="F64" s="4" t="s">
        <v>88</v>
      </c>
      <c r="G64" s="81" t="s">
        <v>89</v>
      </c>
      <c r="H64" s="82"/>
      <c r="I64" s="97"/>
      <c r="J64" s="98"/>
      <c r="K64" s="92" t="s">
        <v>90</v>
      </c>
      <c r="L64" s="81" t="s">
        <v>91</v>
      </c>
      <c r="M64" s="97"/>
      <c r="N64" s="82"/>
      <c r="O64" s="82"/>
    </row>
    <row r="65" s="2" customFormat="1" ht="18" customHeight="1" spans="1:15">
      <c r="A65" s="64" t="s">
        <v>92</v>
      </c>
      <c r="B65" s="7">
        <f>(B13-B61)*0.25</f>
        <v>-15092.9737480371</v>
      </c>
      <c r="C65" s="64"/>
      <c r="D65" s="60" t="s">
        <v>93</v>
      </c>
      <c r="E65" s="20" t="s">
        <v>94</v>
      </c>
      <c r="F65" s="63">
        <f>F13-F61</f>
        <v>66319.003091991</v>
      </c>
      <c r="G65" s="63">
        <f>SUM(F7:F9)-SUM(F16:F28)</f>
        <v>28737.1037837837</v>
      </c>
      <c r="H65" s="83"/>
      <c r="I65" s="83"/>
      <c r="J65" s="98"/>
      <c r="K65" s="63">
        <f>F10</f>
        <v>23678.6027027027</v>
      </c>
      <c r="L65" s="109">
        <f>F11</f>
        <v>13903.2966055046</v>
      </c>
      <c r="M65" s="83"/>
      <c r="N65" s="83"/>
      <c r="O65" s="83"/>
    </row>
    <row r="66" s="2" customFormat="1" ht="18" customHeight="1" spans="1:15">
      <c r="A66" s="64" t="s">
        <v>73</v>
      </c>
      <c r="B66" s="84">
        <f>G7*0.0003</f>
        <v>592.104</v>
      </c>
      <c r="C66" s="64"/>
      <c r="D66" s="85" t="s">
        <v>95</v>
      </c>
      <c r="E66" s="51">
        <v>0.05</v>
      </c>
      <c r="F66" s="31">
        <f>F65*E66</f>
        <v>3315.95015459955</v>
      </c>
      <c r="G66" s="86">
        <f>G65*E66</f>
        <v>1436.85518918919</v>
      </c>
      <c r="H66" s="82"/>
      <c r="I66" s="82"/>
      <c r="J66" s="98"/>
      <c r="K66" s="100">
        <f>K65*0.05</f>
        <v>1183.93013513514</v>
      </c>
      <c r="L66" s="100">
        <f>L65*0.07</f>
        <v>973.230762385321</v>
      </c>
      <c r="M66" s="82"/>
      <c r="N66" s="82"/>
      <c r="O66" s="82"/>
    </row>
    <row r="67" s="2" customFormat="1" ht="18" customHeight="1" spans="1:15">
      <c r="A67" s="64" t="s">
        <v>96</v>
      </c>
      <c r="B67" s="84">
        <f>B7*0.0006</f>
        <v>1066.85405405405</v>
      </c>
      <c r="C67" s="64"/>
      <c r="D67" s="85" t="s">
        <v>97</v>
      </c>
      <c r="E67" s="51">
        <v>0.03</v>
      </c>
      <c r="F67" s="31">
        <f>F65*E67</f>
        <v>1989.57009275973</v>
      </c>
      <c r="G67" s="86">
        <f>G65*E67</f>
        <v>862.113113513512</v>
      </c>
      <c r="H67" s="82"/>
      <c r="I67" s="82"/>
      <c r="J67" s="98"/>
      <c r="K67" s="100">
        <f>K65*0.03</f>
        <v>710.358081081081</v>
      </c>
      <c r="L67" s="100">
        <f>L65*0.03</f>
        <v>417.098898165138</v>
      </c>
      <c r="M67" s="82"/>
      <c r="N67" s="82"/>
      <c r="O67" s="82"/>
    </row>
    <row r="68" s="2" customFormat="1" ht="18" customHeight="1" spans="1:15">
      <c r="A68" s="64"/>
      <c r="B68" s="31"/>
      <c r="C68" s="64"/>
      <c r="D68" s="85" t="s">
        <v>98</v>
      </c>
      <c r="E68" s="51">
        <v>0.02</v>
      </c>
      <c r="F68" s="31">
        <f>F65*E68</f>
        <v>1326.38006183982</v>
      </c>
      <c r="G68" s="86">
        <f>G65*E68</f>
        <v>574.742075675675</v>
      </c>
      <c r="H68" s="82"/>
      <c r="I68" s="82"/>
      <c r="J68" s="98"/>
      <c r="K68" s="100">
        <f>K65*0.02</f>
        <v>473.572054054054</v>
      </c>
      <c r="L68" s="100">
        <f>L65*0.02</f>
        <v>278.065932110092</v>
      </c>
      <c r="M68" s="82"/>
      <c r="N68" s="82"/>
      <c r="O68" s="82"/>
    </row>
    <row r="69" s="2" customFormat="1" ht="18" customHeight="1" spans="1:15">
      <c r="A69" s="60" t="s">
        <v>99</v>
      </c>
      <c r="B69" s="61">
        <f t="shared" ref="B69:G69" si="11">SUM(B65:B68)</f>
        <v>-13434.0156939831</v>
      </c>
      <c r="C69" s="64"/>
      <c r="D69" s="3" t="s">
        <v>99</v>
      </c>
      <c r="E69" s="60"/>
      <c r="F69" s="63">
        <f t="shared" si="11"/>
        <v>72950.9034011901</v>
      </c>
      <c r="G69" s="63">
        <f t="shared" si="11"/>
        <v>31610.8141621621</v>
      </c>
      <c r="H69" s="83"/>
      <c r="I69" s="83"/>
      <c r="J69" s="98"/>
      <c r="K69" s="63">
        <f>SUM(K65:K68)</f>
        <v>26046.462972973</v>
      </c>
      <c r="L69" s="109">
        <f>SUM(L65:L68)</f>
        <v>15571.6921981651</v>
      </c>
      <c r="M69" s="83"/>
      <c r="N69" s="83"/>
      <c r="O69" s="83"/>
    </row>
    <row r="70" s="2" customFormat="1" ht="18" customHeight="1" spans="1:15">
      <c r="A70" s="41"/>
      <c r="B70" s="42"/>
      <c r="C70" s="41"/>
      <c r="D70" s="31" t="s">
        <v>73</v>
      </c>
      <c r="E70" s="87">
        <v>0.0003</v>
      </c>
      <c r="F70" s="31">
        <f>G13*E70</f>
        <v>1320.085887</v>
      </c>
      <c r="G70" s="88">
        <f>SUM(G7:G9)*E70</f>
        <v>1167.5268</v>
      </c>
      <c r="H70" s="43"/>
      <c r="I70" s="97"/>
      <c r="J70" s="98"/>
      <c r="K70" s="100">
        <f>G10*0.0003</f>
        <v>87.61083</v>
      </c>
      <c r="L70" s="100">
        <v>0</v>
      </c>
      <c r="M70" s="82"/>
      <c r="N70" s="82"/>
      <c r="O70" s="82"/>
    </row>
    <row r="71" s="2" customFormat="1" ht="18" customHeight="1" spans="1:15">
      <c r="A71" s="41"/>
      <c r="B71" s="42"/>
      <c r="C71" s="41"/>
      <c r="D71" s="31" t="s">
        <v>96</v>
      </c>
      <c r="E71" s="87">
        <v>0.0006</v>
      </c>
      <c r="F71" s="31">
        <f>B13*E71</f>
        <v>2380.68035700471</v>
      </c>
      <c r="G71" s="88">
        <v>0</v>
      </c>
      <c r="H71" s="43"/>
      <c r="I71" s="97"/>
      <c r="J71" s="98"/>
      <c r="K71" s="100">
        <v>0</v>
      </c>
      <c r="L71" s="100">
        <v>0</v>
      </c>
      <c r="N71" s="82"/>
      <c r="O71" s="82"/>
    </row>
    <row r="72" s="2" customFormat="1" ht="18" customHeight="1" spans="1:15">
      <c r="A72" s="41"/>
      <c r="B72" s="42"/>
      <c r="C72" s="41"/>
      <c r="D72" s="5" t="s">
        <v>99</v>
      </c>
      <c r="E72" s="75"/>
      <c r="F72" s="62">
        <f>F71+F70</f>
        <v>3700.76624400471</v>
      </c>
      <c r="G72" s="89">
        <f t="shared" ref="G72:L72" si="12">SUM(G70:G71)</f>
        <v>1167.5268</v>
      </c>
      <c r="H72" s="43"/>
      <c r="I72" s="102"/>
      <c r="J72" s="98"/>
      <c r="K72" s="103">
        <f t="shared" si="12"/>
        <v>87.61083</v>
      </c>
      <c r="L72" s="103">
        <f t="shared" si="12"/>
        <v>0</v>
      </c>
      <c r="M72" s="82"/>
      <c r="N72" s="83"/>
      <c r="O72" s="83"/>
    </row>
    <row r="73" s="2" customFormat="1" ht="18" customHeight="1" spans="1:15">
      <c r="A73" s="41"/>
      <c r="B73" s="42"/>
      <c r="C73" s="41"/>
      <c r="D73" s="5" t="s">
        <v>20</v>
      </c>
      <c r="E73" s="62"/>
      <c r="F73" s="62">
        <f t="shared" ref="F73:L73" si="13">F69+F72</f>
        <v>76651.6696451948</v>
      </c>
      <c r="G73" s="89">
        <f t="shared" si="13"/>
        <v>32778.3409621621</v>
      </c>
      <c r="H73" s="43"/>
      <c r="I73" s="102"/>
      <c r="J73" s="98"/>
      <c r="K73" s="103">
        <f t="shared" si="13"/>
        <v>26134.073802973</v>
      </c>
      <c r="L73" s="103">
        <f t="shared" si="13"/>
        <v>15571.6921981651</v>
      </c>
      <c r="M73" s="83"/>
      <c r="N73" s="83"/>
      <c r="O73" s="83"/>
    </row>
    <row r="74" s="43" customFormat="1" ht="18" customHeight="1" spans="1:16">
      <c r="A74" s="41"/>
      <c r="B74" s="42"/>
      <c r="C74" s="41"/>
      <c r="F74" s="42"/>
      <c r="G74" s="42">
        <f>G70-I57</f>
        <v>278.7068</v>
      </c>
      <c r="I74" s="42"/>
      <c r="J74" s="44"/>
      <c r="K74" s="45"/>
      <c r="L74" s="45"/>
      <c r="M74" s="1"/>
      <c r="N74" s="1"/>
      <c r="O74" s="1"/>
      <c r="P74" s="1"/>
    </row>
    <row r="75" s="43" customFormat="1" ht="18" customHeight="1" spans="1:16">
      <c r="A75" s="41"/>
      <c r="B75" s="42"/>
      <c r="C75" s="41"/>
      <c r="F75" s="42"/>
      <c r="G75" s="42"/>
      <c r="I75" s="42"/>
      <c r="J75" s="44"/>
      <c r="K75" s="45"/>
      <c r="L75" s="45"/>
      <c r="M75" s="1"/>
      <c r="N75" s="1"/>
      <c r="O75" s="1"/>
      <c r="P75" s="1"/>
    </row>
    <row r="76" s="43" customFormat="1" ht="18" customHeight="1" spans="1:16">
      <c r="A76" s="41"/>
      <c r="B76" s="42"/>
      <c r="C76" s="41"/>
      <c r="F76" s="42"/>
      <c r="G76" s="42"/>
      <c r="I76" s="42"/>
      <c r="J76" s="44"/>
      <c r="K76" s="45"/>
      <c r="L76" s="45"/>
      <c r="M76" s="1"/>
      <c r="N76" s="1"/>
      <c r="O76" s="1"/>
      <c r="P76" s="1"/>
    </row>
    <row r="77" s="43" customFormat="1" ht="18" customHeight="1" spans="1:16">
      <c r="A77" s="41"/>
      <c r="B77" s="42"/>
      <c r="C77" s="41"/>
      <c r="F77" s="42"/>
      <c r="G77" s="42"/>
      <c r="I77" s="42"/>
      <c r="J77" s="44"/>
      <c r="K77" s="45"/>
      <c r="L77" s="45"/>
      <c r="M77" s="1"/>
      <c r="N77" s="1"/>
      <c r="O77" s="1"/>
      <c r="P77" s="1"/>
    </row>
    <row r="78" s="43" customFormat="1" ht="18" customHeight="1" spans="1:16">
      <c r="A78" s="41"/>
      <c r="B78" s="42"/>
      <c r="C78" s="41"/>
      <c r="F78" s="42"/>
      <c r="G78" s="42"/>
      <c r="I78" s="42"/>
      <c r="J78" s="44"/>
      <c r="K78" s="45"/>
      <c r="L78" s="45"/>
      <c r="M78" s="1"/>
      <c r="N78" s="1"/>
      <c r="O78" s="1"/>
      <c r="P78" s="1"/>
    </row>
    <row r="79" s="43" customFormat="1" ht="18" customHeight="1" spans="1:16">
      <c r="A79" s="41"/>
      <c r="B79" s="42"/>
      <c r="C79" s="41"/>
      <c r="F79" s="42"/>
      <c r="G79" s="42"/>
      <c r="I79" s="42"/>
      <c r="J79" s="44"/>
      <c r="K79" s="45"/>
      <c r="L79" s="45"/>
      <c r="M79" s="1"/>
      <c r="N79" s="1"/>
      <c r="O79" s="1"/>
      <c r="P79" s="1"/>
    </row>
    <row r="80" s="43" customFormat="1" ht="18" customHeight="1" spans="1:16">
      <c r="A80" s="41"/>
      <c r="B80" s="42"/>
      <c r="C80" s="41"/>
      <c r="F80" s="42"/>
      <c r="G80" s="42"/>
      <c r="I80" s="42"/>
      <c r="J80" s="44"/>
      <c r="K80" s="45"/>
      <c r="L80" s="45"/>
      <c r="M80" s="1"/>
      <c r="N80" s="1"/>
      <c r="O80" s="1"/>
      <c r="P80" s="1"/>
    </row>
    <row r="81" s="43" customFormat="1" ht="18" customHeight="1" spans="1:16">
      <c r="A81" s="41"/>
      <c r="B81" s="42"/>
      <c r="C81" s="41"/>
      <c r="F81" s="42"/>
      <c r="G81" s="42"/>
      <c r="I81" s="42"/>
      <c r="J81" s="44"/>
      <c r="K81" s="45"/>
      <c r="L81" s="45"/>
      <c r="M81" s="1"/>
      <c r="N81" s="1"/>
      <c r="O81" s="1"/>
      <c r="P81" s="1"/>
    </row>
    <row r="82" s="43" customFormat="1" ht="18" customHeight="1" spans="1:16">
      <c r="A82" s="41"/>
      <c r="B82" s="42"/>
      <c r="C82" s="41"/>
      <c r="F82" s="42"/>
      <c r="G82" s="42"/>
      <c r="I82" s="42"/>
      <c r="J82" s="44"/>
      <c r="K82" s="45"/>
      <c r="L82" s="45"/>
      <c r="M82" s="1"/>
      <c r="N82" s="1"/>
      <c r="O82" s="1"/>
      <c r="P82" s="1"/>
    </row>
    <row r="83" s="43" customFormat="1" ht="18" customHeight="1" spans="1:16">
      <c r="A83" s="41"/>
      <c r="B83" s="42"/>
      <c r="C83" s="41"/>
      <c r="F83" s="42"/>
      <c r="G83" s="42"/>
      <c r="I83" s="42"/>
      <c r="J83" s="44"/>
      <c r="K83" s="45"/>
      <c r="L83" s="45"/>
      <c r="M83" s="1"/>
      <c r="N83" s="1"/>
      <c r="O83" s="1"/>
      <c r="P83" s="1"/>
    </row>
    <row r="84" s="43" customFormat="1" ht="18" customHeight="1" spans="1:16">
      <c r="A84" s="41"/>
      <c r="B84" s="42"/>
      <c r="C84" s="41"/>
      <c r="F84" s="42"/>
      <c r="G84" s="42"/>
      <c r="I84" s="42"/>
      <c r="J84" s="44"/>
      <c r="K84" s="45"/>
      <c r="L84" s="45"/>
      <c r="M84" s="1"/>
      <c r="N84" s="1"/>
      <c r="O84" s="1"/>
      <c r="P84" s="1"/>
    </row>
    <row r="85" s="43" customFormat="1" ht="18" customHeight="1" spans="1:17">
      <c r="A85" s="41"/>
      <c r="B85" s="42"/>
      <c r="C85" s="41"/>
      <c r="F85" s="42"/>
      <c r="G85" s="42"/>
      <c r="I85" s="42"/>
      <c r="J85" s="44"/>
      <c r="K85" s="45"/>
      <c r="L85" s="45"/>
      <c r="M85" s="1"/>
      <c r="N85" s="1"/>
      <c r="O85" s="1"/>
      <c r="P85" s="1"/>
      <c r="Q85" s="1"/>
    </row>
    <row r="86" s="43" customFormat="1" ht="18" customHeight="1" spans="1:17">
      <c r="A86" s="41"/>
      <c r="B86" s="42"/>
      <c r="C86" s="41"/>
      <c r="F86" s="42"/>
      <c r="G86" s="42"/>
      <c r="I86" s="42"/>
      <c r="J86" s="44"/>
      <c r="K86" s="45"/>
      <c r="L86" s="45"/>
      <c r="M86" s="1"/>
      <c r="N86" s="1"/>
      <c r="O86" s="1"/>
      <c r="P86" s="1"/>
      <c r="Q86" s="1"/>
    </row>
    <row r="87" s="43" customFormat="1" ht="18" customHeight="1" spans="1:17">
      <c r="A87" s="41"/>
      <c r="B87" s="42"/>
      <c r="C87" s="41"/>
      <c r="F87" s="42"/>
      <c r="G87" s="42"/>
      <c r="I87" s="42"/>
      <c r="J87" s="44"/>
      <c r="K87" s="45"/>
      <c r="L87" s="45"/>
      <c r="M87" s="1"/>
      <c r="N87" s="1"/>
      <c r="O87" s="1"/>
      <c r="P87" s="1"/>
      <c r="Q87" s="1"/>
    </row>
    <row r="88" s="43" customFormat="1" ht="18" customHeight="1" spans="1:17">
      <c r="A88" s="41"/>
      <c r="B88" s="42"/>
      <c r="C88" s="41"/>
      <c r="F88" s="42"/>
      <c r="G88" s="42"/>
      <c r="I88" s="42"/>
      <c r="J88" s="44"/>
      <c r="K88" s="45"/>
      <c r="L88" s="45"/>
      <c r="M88" s="1"/>
      <c r="N88" s="1"/>
      <c r="O88" s="1"/>
      <c r="P88" s="1"/>
      <c r="Q88" s="1"/>
    </row>
    <row r="89" s="43" customFormat="1" ht="18" customHeight="1" spans="1:17">
      <c r="A89" s="41"/>
      <c r="B89" s="42"/>
      <c r="C89" s="41"/>
      <c r="F89" s="42"/>
      <c r="G89" s="42"/>
      <c r="I89" s="42"/>
      <c r="J89" s="44"/>
      <c r="K89" s="45"/>
      <c r="L89" s="45"/>
      <c r="M89" s="1"/>
      <c r="N89" s="1"/>
      <c r="O89" s="1"/>
      <c r="P89" s="1"/>
      <c r="Q89" s="1"/>
    </row>
    <row r="90" s="43" customFormat="1" spans="1:17">
      <c r="A90" s="41"/>
      <c r="B90" s="42"/>
      <c r="C90" s="41"/>
      <c r="F90" s="42"/>
      <c r="G90" s="42"/>
      <c r="I90" s="42"/>
      <c r="J90" s="44"/>
      <c r="K90" s="45"/>
      <c r="L90" s="45"/>
      <c r="M90" s="1"/>
      <c r="N90" s="1"/>
      <c r="O90" s="1"/>
      <c r="P90" s="1"/>
      <c r="Q90" s="1"/>
    </row>
    <row r="91" s="43" customFormat="1" spans="1:17">
      <c r="A91" s="41"/>
      <c r="B91" s="42"/>
      <c r="C91" s="41"/>
      <c r="F91" s="42"/>
      <c r="G91" s="42"/>
      <c r="I91" s="42"/>
      <c r="J91" s="44"/>
      <c r="K91" s="45"/>
      <c r="L91" s="45"/>
      <c r="M91" s="1"/>
      <c r="N91" s="1"/>
      <c r="O91" s="1"/>
      <c r="P91" s="1"/>
      <c r="Q91" s="1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5" right="0.75" top="1" bottom="1" header="0.511805555555556" footer="0.511805555555556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7"/>
  <sheetViews>
    <sheetView topLeftCell="A19" workbookViewId="0">
      <selection activeCell="O7" sqref="O7"/>
    </sheetView>
  </sheetViews>
  <sheetFormatPr defaultColWidth="9" defaultRowHeight="11.25"/>
  <cols>
    <col min="1" max="1" width="10.75" style="41" customWidth="1"/>
    <col min="2" max="2" width="16.375" style="42" customWidth="1"/>
    <col min="3" max="3" width="6" style="43" customWidth="1"/>
    <col min="4" max="4" width="13.375" style="43" customWidth="1"/>
    <col min="5" max="5" width="6" style="43" customWidth="1"/>
    <col min="6" max="6" width="13.125" style="42" customWidth="1"/>
    <col min="7" max="7" width="14.125" style="42" customWidth="1"/>
    <col min="8" max="8" width="9.625" style="43" customWidth="1"/>
    <col min="9" max="9" width="13.875" style="42" customWidth="1"/>
    <col min="10" max="10" width="6.125" style="44" customWidth="1"/>
    <col min="11" max="11" width="27.25" style="45" customWidth="1"/>
    <col min="12" max="12" width="18.5" style="45" customWidth="1"/>
    <col min="13" max="13" width="18.75" style="1" customWidth="1"/>
    <col min="14" max="14" width="15.125" style="1" customWidth="1"/>
    <col min="15" max="15" width="13.25" style="1" customWidth="1"/>
    <col min="16" max="16" width="14.625" style="1" customWidth="1"/>
    <col min="17" max="16384" width="9" style="1"/>
  </cols>
  <sheetData>
    <row r="1" ht="21.95" customHeight="1" spans="1:12">
      <c r="A1" s="46" t="s">
        <v>0</v>
      </c>
      <c r="B1" s="46"/>
      <c r="C1" s="46"/>
      <c r="D1" s="46"/>
      <c r="E1" s="46"/>
      <c r="F1" s="47"/>
      <c r="G1" s="47"/>
      <c r="H1" s="46"/>
      <c r="I1" s="47"/>
      <c r="J1" s="46"/>
      <c r="K1" s="67"/>
      <c r="L1" s="67"/>
    </row>
    <row r="2" ht="18" customHeight="1" spans="1:12">
      <c r="A2" s="48" t="s">
        <v>1</v>
      </c>
      <c r="B2" s="49" t="s">
        <v>2</v>
      </c>
      <c r="C2" s="31"/>
      <c r="D2" s="50">
        <v>4357173</v>
      </c>
      <c r="E2" s="51"/>
      <c r="F2" s="52" t="s">
        <v>3</v>
      </c>
      <c r="G2" s="53"/>
      <c r="H2" s="54" t="s">
        <v>4</v>
      </c>
      <c r="I2" s="68"/>
      <c r="J2" s="69"/>
      <c r="K2" s="70"/>
      <c r="L2" s="67"/>
    </row>
    <row r="3" ht="18" customHeight="1" spans="1:12">
      <c r="A3" s="48" t="s">
        <v>5</v>
      </c>
      <c r="B3" s="55" t="s">
        <v>6</v>
      </c>
      <c r="C3" s="31"/>
      <c r="D3" s="56">
        <v>4400286.29</v>
      </c>
      <c r="H3" s="57"/>
      <c r="I3" s="71"/>
      <c r="J3" s="57"/>
      <c r="K3" s="67"/>
      <c r="L3" s="67"/>
    </row>
    <row r="4" ht="18" customHeight="1" spans="1:12">
      <c r="A4" s="41" t="s">
        <v>7</v>
      </c>
      <c r="H4" s="57"/>
      <c r="I4" s="71"/>
      <c r="J4" s="57"/>
      <c r="K4" s="67"/>
      <c r="L4" s="67"/>
    </row>
    <row r="5" ht="18" customHeight="1" spans="1:10">
      <c r="A5" s="5" t="s">
        <v>8</v>
      </c>
      <c r="B5" s="4" t="s">
        <v>9</v>
      </c>
      <c r="C5" s="5" t="s">
        <v>10</v>
      </c>
      <c r="D5" s="5"/>
      <c r="E5" s="5" t="s">
        <v>11</v>
      </c>
      <c r="F5" s="4"/>
      <c r="G5" s="4" t="s">
        <v>12</v>
      </c>
      <c r="H5" s="20" t="s">
        <v>13</v>
      </c>
      <c r="I5" s="4"/>
      <c r="J5" s="20"/>
    </row>
    <row r="6" ht="18" customHeight="1" spans="1:10">
      <c r="A6" s="5"/>
      <c r="B6" s="4"/>
      <c r="C6" s="5" t="s">
        <v>14</v>
      </c>
      <c r="D6" s="5" t="s">
        <v>15</v>
      </c>
      <c r="E6" s="5" t="s">
        <v>14</v>
      </c>
      <c r="F6" s="4" t="s">
        <v>15</v>
      </c>
      <c r="G6" s="4"/>
      <c r="H6" s="20" t="s">
        <v>16</v>
      </c>
      <c r="I6" s="4" t="s">
        <v>17</v>
      </c>
      <c r="J6" s="20" t="s">
        <v>18</v>
      </c>
    </row>
    <row r="7" ht="18" customHeight="1" spans="1:10">
      <c r="A7" s="13">
        <v>42683</v>
      </c>
      <c r="B7" s="31">
        <f t="shared" ref="B7:B12" si="0">G7/(1+C7+E7)</f>
        <v>1778090.09009009</v>
      </c>
      <c r="C7" s="58">
        <v>0.02</v>
      </c>
      <c r="D7" s="59">
        <f t="shared" ref="D7:D12" si="1">G7/(1+E7+C7)*C7</f>
        <v>35561.8018018018</v>
      </c>
      <c r="E7" s="58">
        <v>0.09</v>
      </c>
      <c r="F7" s="31">
        <f t="shared" ref="F7:F12" si="2">G7/(1+C7+E7)*E7</f>
        <v>160028.108108108</v>
      </c>
      <c r="G7" s="14">
        <v>1973680</v>
      </c>
      <c r="H7" s="13">
        <v>42696</v>
      </c>
      <c r="I7" s="31">
        <v>1973680</v>
      </c>
      <c r="J7" s="21" t="s">
        <v>19</v>
      </c>
    </row>
    <row r="8" ht="18" customHeight="1" spans="1:10">
      <c r="A8" s="13">
        <v>42720</v>
      </c>
      <c r="B8" s="31">
        <f t="shared" si="0"/>
        <v>891052.252252252</v>
      </c>
      <c r="C8" s="58">
        <v>0.02</v>
      </c>
      <c r="D8" s="59">
        <f t="shared" si="1"/>
        <v>17821.045045045</v>
      </c>
      <c r="E8" s="58">
        <v>0.09</v>
      </c>
      <c r="F8" s="31">
        <f t="shared" si="2"/>
        <v>80194.7027027027</v>
      </c>
      <c r="G8" s="14">
        <v>989068</v>
      </c>
      <c r="H8" s="13">
        <v>42727</v>
      </c>
      <c r="I8" s="31">
        <v>989068</v>
      </c>
      <c r="J8" s="21" t="s">
        <v>19</v>
      </c>
    </row>
    <row r="9" ht="18" customHeight="1" spans="1:14">
      <c r="A9" s="13">
        <v>42740</v>
      </c>
      <c r="B9" s="31">
        <f t="shared" si="0"/>
        <v>836944.144144144</v>
      </c>
      <c r="C9" s="58">
        <v>0.02</v>
      </c>
      <c r="D9" s="59">
        <f t="shared" si="1"/>
        <v>16738.8828828829</v>
      </c>
      <c r="E9" s="58">
        <v>0.09</v>
      </c>
      <c r="F9" s="31">
        <f t="shared" si="2"/>
        <v>75324.972972973</v>
      </c>
      <c r="G9" s="14">
        <v>929008</v>
      </c>
      <c r="H9" s="13">
        <v>42747</v>
      </c>
      <c r="I9" s="31">
        <v>929008</v>
      </c>
      <c r="J9" s="21" t="s">
        <v>19</v>
      </c>
      <c r="N9" s="1">
        <f>G7+O11</f>
        <v>1973680</v>
      </c>
    </row>
    <row r="10" ht="18" customHeight="1" spans="1:14">
      <c r="A10" s="13">
        <v>42951</v>
      </c>
      <c r="B10" s="31">
        <f t="shared" si="0"/>
        <v>263095.585585586</v>
      </c>
      <c r="C10" s="58">
        <v>0.02</v>
      </c>
      <c r="D10" s="59">
        <f t="shared" si="1"/>
        <v>5261.91171171171</v>
      </c>
      <c r="E10" s="58">
        <v>0.09</v>
      </c>
      <c r="F10" s="31">
        <f t="shared" si="2"/>
        <v>23678.6027027027</v>
      </c>
      <c r="G10" s="14">
        <v>292036.1</v>
      </c>
      <c r="H10" s="13">
        <v>42961</v>
      </c>
      <c r="I10" s="31">
        <v>292036.1</v>
      </c>
      <c r="J10" s="21" t="s">
        <v>19</v>
      </c>
      <c r="N10" s="1">
        <f>N9*0.0003</f>
        <v>592.104</v>
      </c>
    </row>
    <row r="11" ht="18" customHeight="1" spans="1:14">
      <c r="A11" s="13">
        <v>44790</v>
      </c>
      <c r="B11" s="31">
        <f t="shared" si="0"/>
        <v>198618.52293578</v>
      </c>
      <c r="C11" s="58">
        <v>0.02</v>
      </c>
      <c r="D11" s="59">
        <f t="shared" si="1"/>
        <v>3972.3704587156</v>
      </c>
      <c r="E11" s="58">
        <v>0.07</v>
      </c>
      <c r="F11" s="31">
        <f t="shared" si="2"/>
        <v>13903.2966055046</v>
      </c>
      <c r="G11" s="12">
        <v>216494.19</v>
      </c>
      <c r="H11" s="13"/>
      <c r="I11" s="105">
        <v>46494.19</v>
      </c>
      <c r="J11" s="106" t="s">
        <v>19</v>
      </c>
      <c r="N11" s="1">
        <f>G9*0.0003</f>
        <v>278.7024</v>
      </c>
    </row>
    <row r="12" ht="18" customHeight="1" spans="1:10">
      <c r="A12" s="13"/>
      <c r="B12" s="31">
        <f t="shared" si="0"/>
        <v>0</v>
      </c>
      <c r="C12" s="58"/>
      <c r="D12" s="59">
        <f t="shared" si="1"/>
        <v>0</v>
      </c>
      <c r="E12" s="58"/>
      <c r="F12" s="31">
        <f t="shared" si="2"/>
        <v>0</v>
      </c>
      <c r="G12" s="14"/>
      <c r="H12" s="13"/>
      <c r="I12" s="31"/>
      <c r="J12" s="21"/>
    </row>
    <row r="13" ht="18" customHeight="1" spans="1:14">
      <c r="A13" s="60" t="s">
        <v>20</v>
      </c>
      <c r="B13" s="61">
        <f t="shared" ref="B13:G13" si="3">SUM(B7:B12)</f>
        <v>3967800.59500785</v>
      </c>
      <c r="C13" s="62"/>
      <c r="D13" s="62">
        <f t="shared" si="3"/>
        <v>79356.011900157</v>
      </c>
      <c r="E13" s="62"/>
      <c r="F13" s="63">
        <f t="shared" si="3"/>
        <v>353129.683091991</v>
      </c>
      <c r="G13" s="62">
        <f t="shared" si="3"/>
        <v>4400286.29</v>
      </c>
      <c r="H13" s="64"/>
      <c r="I13" s="62">
        <f>SUM(I7:I12)</f>
        <v>4230286.29</v>
      </c>
      <c r="J13" s="64"/>
      <c r="N13" s="1">
        <f>SUM(G7:G9)</f>
        <v>3891756</v>
      </c>
    </row>
    <row r="14" ht="18" customHeight="1" spans="1:14">
      <c r="A14" s="41" t="s">
        <v>21</v>
      </c>
      <c r="G14" s="42">
        <f>D3-G13</f>
        <v>0</v>
      </c>
      <c r="J14" s="43"/>
      <c r="K14" s="72"/>
      <c r="L14" s="73"/>
      <c r="N14" s="1">
        <f>N13*0.0003</f>
        <v>1167.5268</v>
      </c>
    </row>
    <row r="15" ht="18" customHeight="1" spans="1:15">
      <c r="A15" s="3" t="s">
        <v>22</v>
      </c>
      <c r="B15" s="4" t="s">
        <v>23</v>
      </c>
      <c r="C15" s="5" t="s">
        <v>24</v>
      </c>
      <c r="D15" s="5" t="s">
        <v>25</v>
      </c>
      <c r="E15" s="5" t="s">
        <v>14</v>
      </c>
      <c r="F15" s="4" t="s">
        <v>26</v>
      </c>
      <c r="G15" s="4" t="s">
        <v>12</v>
      </c>
      <c r="H15" s="5" t="s">
        <v>27</v>
      </c>
      <c r="I15" s="4" t="s">
        <v>28</v>
      </c>
      <c r="J15" s="5" t="s">
        <v>18</v>
      </c>
      <c r="K15" s="18" t="s">
        <v>29</v>
      </c>
      <c r="L15" s="19" t="s">
        <v>30</v>
      </c>
      <c r="M15" s="20" t="s">
        <v>100</v>
      </c>
      <c r="N15" s="20" t="s">
        <v>32</v>
      </c>
      <c r="O15" s="20" t="s">
        <v>33</v>
      </c>
    </row>
    <row r="16" s="2" customFormat="1" ht="18" customHeight="1" spans="1:17">
      <c r="A16" s="6">
        <v>42487</v>
      </c>
      <c r="B16" s="7">
        <f t="shared" ref="B16:B18" si="4">ROUND(G16/(1+E16),2)</f>
        <v>1721200</v>
      </c>
      <c r="C16" s="8">
        <v>1</v>
      </c>
      <c r="D16" s="9" t="s">
        <v>40</v>
      </c>
      <c r="E16" s="65"/>
      <c r="F16" s="7">
        <f t="shared" ref="F16:F18" si="5">ROUND(G16/(1+E16)*E16,2)</f>
        <v>0</v>
      </c>
      <c r="G16" s="12">
        <v>1721200</v>
      </c>
      <c r="H16" s="13"/>
      <c r="I16" s="7"/>
      <c r="J16" s="21"/>
      <c r="K16" s="26" t="s">
        <v>101</v>
      </c>
      <c r="L16" s="23" t="s">
        <v>102</v>
      </c>
      <c r="M16" s="24"/>
      <c r="N16" s="24"/>
      <c r="O16" s="25"/>
      <c r="Q16" s="32"/>
    </row>
    <row r="17" s="2" customFormat="1" ht="18" customHeight="1" spans="1:17">
      <c r="A17" s="6">
        <v>42487</v>
      </c>
      <c r="B17" s="7">
        <f t="shared" si="4"/>
        <v>280000</v>
      </c>
      <c r="C17" s="8">
        <v>1</v>
      </c>
      <c r="D17" s="9" t="s">
        <v>40</v>
      </c>
      <c r="E17" s="65"/>
      <c r="F17" s="7">
        <f t="shared" si="5"/>
        <v>0</v>
      </c>
      <c r="G17" s="12">
        <v>280000</v>
      </c>
      <c r="H17" s="13"/>
      <c r="I17" s="7"/>
      <c r="J17" s="21"/>
      <c r="K17" s="26" t="s">
        <v>103</v>
      </c>
      <c r="L17" s="23" t="s">
        <v>102</v>
      </c>
      <c r="M17" s="24"/>
      <c r="N17" s="24"/>
      <c r="O17" s="25"/>
      <c r="Q17" s="32"/>
    </row>
    <row r="18" s="2" customFormat="1" ht="18" customHeight="1" spans="1:17">
      <c r="A18" s="6">
        <v>42705</v>
      </c>
      <c r="B18" s="7">
        <f t="shared" si="4"/>
        <v>290000</v>
      </c>
      <c r="C18" s="8">
        <v>1</v>
      </c>
      <c r="D18" s="9" t="s">
        <v>40</v>
      </c>
      <c r="E18" s="65"/>
      <c r="F18" s="7">
        <f t="shared" si="5"/>
        <v>0</v>
      </c>
      <c r="G18" s="12">
        <v>290000</v>
      </c>
      <c r="H18" s="13"/>
      <c r="I18" s="7"/>
      <c r="J18" s="21"/>
      <c r="K18" s="26" t="s">
        <v>41</v>
      </c>
      <c r="L18" s="23" t="s">
        <v>42</v>
      </c>
      <c r="M18" s="24"/>
      <c r="N18" s="24"/>
      <c r="O18" s="25"/>
      <c r="Q18" s="32"/>
    </row>
    <row r="19" s="2" customFormat="1" ht="18" customHeight="1" spans="1:17">
      <c r="A19" s="6">
        <v>42705</v>
      </c>
      <c r="B19" s="7">
        <f t="shared" ref="B19:B41" si="6">ROUND(G19/(1+E19),2)</f>
        <v>341880.34</v>
      </c>
      <c r="C19" s="8">
        <v>3</v>
      </c>
      <c r="D19" s="9" t="s">
        <v>34</v>
      </c>
      <c r="E19" s="65">
        <v>0.17</v>
      </c>
      <c r="F19" s="7">
        <f t="shared" ref="F19:F41" si="7">ROUND(G19/(1+E19)*E19,2)</f>
        <v>58119.66</v>
      </c>
      <c r="G19" s="12">
        <f>110000+110000+110000+70000</f>
        <v>400000</v>
      </c>
      <c r="H19" s="13"/>
      <c r="I19" s="7"/>
      <c r="J19" s="21"/>
      <c r="K19" s="26" t="s">
        <v>44</v>
      </c>
      <c r="L19" s="23" t="s">
        <v>45</v>
      </c>
      <c r="M19" s="24"/>
      <c r="N19" s="24"/>
      <c r="O19" s="25"/>
      <c r="Q19" s="32"/>
    </row>
    <row r="20" s="2" customFormat="1" ht="18" customHeight="1" spans="1:17">
      <c r="A20" s="6"/>
      <c r="B20" s="7">
        <f t="shared" si="6"/>
        <v>0</v>
      </c>
      <c r="C20" s="8"/>
      <c r="D20" s="9"/>
      <c r="E20" s="65"/>
      <c r="F20" s="7">
        <f t="shared" si="7"/>
        <v>0</v>
      </c>
      <c r="G20" s="12"/>
      <c r="H20" s="104">
        <v>42702</v>
      </c>
      <c r="I20" s="107">
        <v>200000</v>
      </c>
      <c r="J20" s="21" t="s">
        <v>47</v>
      </c>
      <c r="K20" s="26" t="s">
        <v>44</v>
      </c>
      <c r="L20" s="23" t="s">
        <v>45</v>
      </c>
      <c r="M20" s="24"/>
      <c r="N20" s="24"/>
      <c r="O20" s="25"/>
      <c r="Q20" s="32"/>
    </row>
    <row r="21" s="2" customFormat="1" ht="18" customHeight="1" spans="1:17">
      <c r="A21" s="6"/>
      <c r="B21" s="7">
        <f t="shared" si="6"/>
        <v>0</v>
      </c>
      <c r="C21" s="8"/>
      <c r="D21" s="9"/>
      <c r="E21" s="65"/>
      <c r="F21" s="7">
        <f t="shared" si="7"/>
        <v>0</v>
      </c>
      <c r="G21" s="12"/>
      <c r="H21" s="104">
        <v>42710</v>
      </c>
      <c r="I21" s="107">
        <v>200000</v>
      </c>
      <c r="J21" s="21" t="s">
        <v>47</v>
      </c>
      <c r="K21" s="26" t="s">
        <v>44</v>
      </c>
      <c r="L21" s="23" t="s">
        <v>45</v>
      </c>
      <c r="M21" s="24"/>
      <c r="N21" s="24"/>
      <c r="O21" s="25"/>
      <c r="Q21" s="32"/>
    </row>
    <row r="22" s="2" customFormat="1" ht="18" customHeight="1" spans="1:17">
      <c r="A22" s="6">
        <v>42705</v>
      </c>
      <c r="B22" s="7">
        <f t="shared" si="6"/>
        <v>315956.17</v>
      </c>
      <c r="C22" s="8">
        <v>4</v>
      </c>
      <c r="D22" s="9" t="s">
        <v>34</v>
      </c>
      <c r="E22" s="65">
        <v>0.17</v>
      </c>
      <c r="F22" s="7">
        <f t="shared" si="7"/>
        <v>53712.55</v>
      </c>
      <c r="G22" s="12">
        <f>100775.22+108970.7+107785.5+52137.3</f>
        <v>369668.72</v>
      </c>
      <c r="H22" s="104"/>
      <c r="I22" s="107"/>
      <c r="J22" s="21"/>
      <c r="K22" s="26" t="s">
        <v>48</v>
      </c>
      <c r="L22" s="23" t="s">
        <v>45</v>
      </c>
      <c r="M22" s="24"/>
      <c r="N22" s="24"/>
      <c r="O22" s="25"/>
      <c r="Q22" s="32"/>
    </row>
    <row r="23" s="2" customFormat="1" ht="18" customHeight="1" spans="1:17">
      <c r="A23" s="6"/>
      <c r="B23" s="7">
        <f t="shared" si="6"/>
        <v>0</v>
      </c>
      <c r="C23" s="8"/>
      <c r="D23" s="9"/>
      <c r="E23" s="65"/>
      <c r="F23" s="7">
        <f t="shared" si="7"/>
        <v>0</v>
      </c>
      <c r="G23" s="12"/>
      <c r="H23" s="104">
        <v>42671</v>
      </c>
      <c r="I23" s="107">
        <v>80000</v>
      </c>
      <c r="J23" s="21" t="s">
        <v>47</v>
      </c>
      <c r="K23" s="26" t="s">
        <v>48</v>
      </c>
      <c r="L23" s="23" t="s">
        <v>45</v>
      </c>
      <c r="M23" s="24"/>
      <c r="N23" s="24"/>
      <c r="O23" s="25"/>
      <c r="Q23" s="32"/>
    </row>
    <row r="24" s="2" customFormat="1" ht="18" customHeight="1" spans="1:17">
      <c r="A24" s="6"/>
      <c r="B24" s="7">
        <f t="shared" si="6"/>
        <v>0</v>
      </c>
      <c r="C24" s="8"/>
      <c r="D24" s="9"/>
      <c r="E24" s="65"/>
      <c r="F24" s="7">
        <f t="shared" si="7"/>
        <v>0</v>
      </c>
      <c r="G24" s="12"/>
      <c r="H24" s="104">
        <v>42709</v>
      </c>
      <c r="I24" s="107">
        <v>169668.72</v>
      </c>
      <c r="J24" s="21" t="s">
        <v>47</v>
      </c>
      <c r="K24" s="26" t="s">
        <v>48</v>
      </c>
      <c r="L24" s="23" t="s">
        <v>45</v>
      </c>
      <c r="M24" s="24"/>
      <c r="N24" s="24"/>
      <c r="O24" s="25"/>
      <c r="Q24" s="32"/>
    </row>
    <row r="25" s="2" customFormat="1" ht="18" customHeight="1" spans="1:17">
      <c r="A25" s="6">
        <v>42705</v>
      </c>
      <c r="B25" s="7">
        <v>256041.03</v>
      </c>
      <c r="C25" s="8">
        <v>3</v>
      </c>
      <c r="D25" s="9" t="s">
        <v>34</v>
      </c>
      <c r="E25" s="65">
        <v>0.17</v>
      </c>
      <c r="F25" s="7">
        <v>43526.97</v>
      </c>
      <c r="G25" s="12">
        <v>299568</v>
      </c>
      <c r="H25" s="16"/>
      <c r="I25" s="29"/>
      <c r="J25" s="21"/>
      <c r="K25" s="26" t="s">
        <v>54</v>
      </c>
      <c r="L25" s="23" t="s">
        <v>45</v>
      </c>
      <c r="M25" s="24"/>
      <c r="N25" s="24"/>
      <c r="O25" s="25"/>
      <c r="Q25" s="32"/>
    </row>
    <row r="26" s="2" customFormat="1" ht="18" customHeight="1" spans="1:17">
      <c r="A26" s="6"/>
      <c r="B26" s="7">
        <v>0</v>
      </c>
      <c r="C26" s="8"/>
      <c r="D26" s="9"/>
      <c r="E26" s="65"/>
      <c r="F26" s="7">
        <v>0</v>
      </c>
      <c r="G26" s="12"/>
      <c r="H26" s="104">
        <v>42703</v>
      </c>
      <c r="I26" s="107">
        <v>150000</v>
      </c>
      <c r="J26" s="21" t="s">
        <v>47</v>
      </c>
      <c r="K26" s="26" t="s">
        <v>54</v>
      </c>
      <c r="L26" s="23" t="s">
        <v>45</v>
      </c>
      <c r="M26" s="24"/>
      <c r="N26" s="24"/>
      <c r="O26" s="25"/>
      <c r="Q26" s="32"/>
    </row>
    <row r="27" s="2" customFormat="1" ht="18" customHeight="1" spans="1:17">
      <c r="A27" s="6"/>
      <c r="B27" s="7">
        <v>0</v>
      </c>
      <c r="C27" s="8"/>
      <c r="D27" s="9"/>
      <c r="E27" s="65"/>
      <c r="F27" s="7">
        <v>0</v>
      </c>
      <c r="G27" s="12"/>
      <c r="H27" s="104">
        <v>42717</v>
      </c>
      <c r="I27" s="107">
        <v>200000</v>
      </c>
      <c r="J27" s="21" t="s">
        <v>47</v>
      </c>
      <c r="K27" s="26" t="s">
        <v>54</v>
      </c>
      <c r="L27" s="23" t="s">
        <v>45</v>
      </c>
      <c r="M27" s="24"/>
      <c r="N27" s="24"/>
      <c r="O27" s="25"/>
      <c r="Q27" s="32"/>
    </row>
    <row r="28" s="2" customFormat="1" ht="18" customHeight="1" spans="1:17">
      <c r="A28" s="6"/>
      <c r="B28" s="7">
        <f t="shared" si="6"/>
        <v>0</v>
      </c>
      <c r="C28" s="8"/>
      <c r="D28" s="9"/>
      <c r="E28" s="65"/>
      <c r="F28" s="7">
        <f t="shared" si="7"/>
        <v>0</v>
      </c>
      <c r="G28" s="12"/>
      <c r="H28" s="13">
        <v>42699</v>
      </c>
      <c r="I28" s="7">
        <f>1269380-I20-I23-I26</f>
        <v>839380</v>
      </c>
      <c r="J28" s="21" t="s">
        <v>47</v>
      </c>
      <c r="K28" s="26" t="s">
        <v>57</v>
      </c>
      <c r="L28" s="23"/>
      <c r="M28" s="24"/>
      <c r="N28" s="24"/>
      <c r="O28" s="25"/>
      <c r="Q28" s="32"/>
    </row>
    <row r="29" s="2" customFormat="1" ht="18" customHeight="1" spans="1:17">
      <c r="A29" s="6"/>
      <c r="B29" s="7">
        <f t="shared" si="6"/>
        <v>0</v>
      </c>
      <c r="C29" s="8"/>
      <c r="D29" s="9"/>
      <c r="E29" s="65"/>
      <c r="F29" s="7">
        <f t="shared" si="7"/>
        <v>0</v>
      </c>
      <c r="G29" s="12"/>
      <c r="H29" s="13" t="s">
        <v>60</v>
      </c>
      <c r="I29" s="7">
        <v>700000</v>
      </c>
      <c r="J29" s="21" t="s">
        <v>47</v>
      </c>
      <c r="K29" s="26" t="s">
        <v>57</v>
      </c>
      <c r="L29" s="23"/>
      <c r="M29" s="24"/>
      <c r="N29" s="24"/>
      <c r="O29" s="25"/>
      <c r="Q29" s="32"/>
    </row>
    <row r="30" s="2" customFormat="1" ht="18" customHeight="1" spans="1:17">
      <c r="A30" s="6"/>
      <c r="B30" s="7">
        <f t="shared" si="6"/>
        <v>0</v>
      </c>
      <c r="C30" s="8"/>
      <c r="D30" s="9"/>
      <c r="E30" s="65"/>
      <c r="F30" s="7">
        <f t="shared" si="7"/>
        <v>0</v>
      </c>
      <c r="G30" s="12"/>
      <c r="H30" s="13" t="s">
        <v>61</v>
      </c>
      <c r="I30" s="7">
        <f>988179.18-I21-I24-I27</f>
        <v>418510.46</v>
      </c>
      <c r="J30" s="21" t="s">
        <v>47</v>
      </c>
      <c r="K30" s="26" t="s">
        <v>57</v>
      </c>
      <c r="L30" s="23"/>
      <c r="M30" s="24"/>
      <c r="N30" s="24"/>
      <c r="O30" s="25"/>
      <c r="Q30" s="32"/>
    </row>
    <row r="31" s="2" customFormat="1" ht="18" customHeight="1" spans="1:17">
      <c r="A31" s="6">
        <v>42736</v>
      </c>
      <c r="B31" s="7">
        <f t="shared" si="6"/>
        <v>630000</v>
      </c>
      <c r="C31" s="8"/>
      <c r="D31" s="9" t="s">
        <v>56</v>
      </c>
      <c r="E31" s="65"/>
      <c r="F31" s="7">
        <f t="shared" si="7"/>
        <v>0</v>
      </c>
      <c r="G31" s="12">
        <v>630000</v>
      </c>
      <c r="H31" s="13"/>
      <c r="I31" s="7"/>
      <c r="J31" s="21"/>
      <c r="K31" s="26" t="s">
        <v>57</v>
      </c>
      <c r="L31" s="26" t="s">
        <v>62</v>
      </c>
      <c r="M31" s="24"/>
      <c r="N31" s="24"/>
      <c r="O31" s="25"/>
      <c r="Q31" s="32"/>
    </row>
    <row r="32" s="2" customFormat="1" ht="18" customHeight="1" spans="1:17">
      <c r="A32" s="6">
        <v>42736</v>
      </c>
      <c r="B32" s="7">
        <f t="shared" si="6"/>
        <v>207720</v>
      </c>
      <c r="C32" s="8"/>
      <c r="D32" s="9" t="s">
        <v>56</v>
      </c>
      <c r="E32" s="65"/>
      <c r="F32" s="7">
        <f t="shared" si="7"/>
        <v>0</v>
      </c>
      <c r="G32" s="12">
        <v>207720</v>
      </c>
      <c r="H32" s="13"/>
      <c r="I32" s="7"/>
      <c r="J32" s="21"/>
      <c r="K32" s="26" t="s">
        <v>57</v>
      </c>
      <c r="L32" s="23" t="s">
        <v>58</v>
      </c>
      <c r="M32" s="24"/>
      <c r="N32" s="24"/>
      <c r="O32" s="25"/>
      <c r="Q32" s="32"/>
    </row>
    <row r="33" s="2" customFormat="1" ht="18" customHeight="1" spans="1:17">
      <c r="A33" s="6">
        <v>42736</v>
      </c>
      <c r="B33" s="7">
        <f t="shared" si="6"/>
        <v>2100</v>
      </c>
      <c r="C33" s="8"/>
      <c r="D33" s="9" t="s">
        <v>56</v>
      </c>
      <c r="E33" s="65"/>
      <c r="F33" s="7">
        <f t="shared" si="7"/>
        <v>0</v>
      </c>
      <c r="G33" s="12">
        <v>2100</v>
      </c>
      <c r="H33" s="13"/>
      <c r="I33" s="7"/>
      <c r="J33" s="21"/>
      <c r="K33" s="26" t="s">
        <v>57</v>
      </c>
      <c r="L33" s="23" t="s">
        <v>63</v>
      </c>
      <c r="M33" s="24"/>
      <c r="N33" s="24"/>
      <c r="O33" s="25"/>
      <c r="Q33" s="32"/>
    </row>
    <row r="34" s="2" customFormat="1" ht="18" customHeight="1" spans="1:17">
      <c r="A34" s="6">
        <v>42795</v>
      </c>
      <c r="B34" s="7">
        <f t="shared" si="6"/>
        <v>487920</v>
      </c>
      <c r="C34" s="8"/>
      <c r="D34" s="9" t="s">
        <v>56</v>
      </c>
      <c r="E34" s="65"/>
      <c r="F34" s="7">
        <f t="shared" si="7"/>
        <v>0</v>
      </c>
      <c r="G34" s="12">
        <v>487920</v>
      </c>
      <c r="H34" s="13"/>
      <c r="I34" s="7"/>
      <c r="J34" s="21"/>
      <c r="K34" s="26" t="s">
        <v>57</v>
      </c>
      <c r="L34" s="23" t="s">
        <v>58</v>
      </c>
      <c r="M34" s="24"/>
      <c r="N34" s="24"/>
      <c r="O34" s="25"/>
      <c r="Q34" s="32"/>
    </row>
    <row r="35" s="2" customFormat="1" ht="18" customHeight="1" spans="1:17">
      <c r="A35" s="6">
        <v>42826</v>
      </c>
      <c r="B35" s="7">
        <f t="shared" si="6"/>
        <v>487920</v>
      </c>
      <c r="C35" s="8"/>
      <c r="D35" s="9" t="s">
        <v>56</v>
      </c>
      <c r="E35" s="65"/>
      <c r="F35" s="7">
        <f t="shared" si="7"/>
        <v>0</v>
      </c>
      <c r="G35" s="12">
        <v>487920</v>
      </c>
      <c r="H35" s="13"/>
      <c r="I35" s="7"/>
      <c r="J35" s="21"/>
      <c r="K35" s="26" t="s">
        <v>57</v>
      </c>
      <c r="L35" s="23" t="s">
        <v>58</v>
      </c>
      <c r="M35" s="24"/>
      <c r="N35" s="24"/>
      <c r="O35" s="25"/>
      <c r="Q35" s="32"/>
    </row>
    <row r="36" s="2" customFormat="1" ht="18" customHeight="1" spans="1:17">
      <c r="A36" s="6"/>
      <c r="B36" s="7">
        <f t="shared" si="6"/>
        <v>0</v>
      </c>
      <c r="C36" s="8"/>
      <c r="D36" s="9"/>
      <c r="E36" s="65"/>
      <c r="F36" s="7">
        <f t="shared" si="7"/>
        <v>0</v>
      </c>
      <c r="G36" s="12"/>
      <c r="H36" s="13"/>
      <c r="I36" s="7"/>
      <c r="J36" s="21"/>
      <c r="K36" s="26"/>
      <c r="L36" s="23"/>
      <c r="M36" s="24"/>
      <c r="N36" s="24"/>
      <c r="O36" s="25"/>
      <c r="Q36" s="32"/>
    </row>
    <row r="37" s="2" customFormat="1" ht="18" customHeight="1" spans="1:17">
      <c r="A37" s="6"/>
      <c r="B37" s="7">
        <f t="shared" si="6"/>
        <v>0</v>
      </c>
      <c r="C37" s="8"/>
      <c r="D37" s="9"/>
      <c r="E37" s="65"/>
      <c r="F37" s="7">
        <f t="shared" si="7"/>
        <v>0</v>
      </c>
      <c r="G37" s="17"/>
      <c r="H37" s="13"/>
      <c r="I37" s="7"/>
      <c r="J37" s="21"/>
      <c r="K37" s="30"/>
      <c r="L37" s="23"/>
      <c r="M37" s="24"/>
      <c r="N37" s="24"/>
      <c r="O37" s="25"/>
      <c r="Q37" s="32"/>
    </row>
    <row r="38" s="2" customFormat="1" ht="18" customHeight="1" spans="1:17">
      <c r="A38" s="6"/>
      <c r="B38" s="7">
        <f t="shared" si="6"/>
        <v>0</v>
      </c>
      <c r="C38" s="8"/>
      <c r="D38" s="9"/>
      <c r="E38" s="65"/>
      <c r="F38" s="7">
        <f t="shared" si="7"/>
        <v>0</v>
      </c>
      <c r="G38" s="12"/>
      <c r="H38" s="13" t="s">
        <v>64</v>
      </c>
      <c r="I38" s="7">
        <v>887397.21</v>
      </c>
      <c r="J38" s="21" t="s">
        <v>47</v>
      </c>
      <c r="K38" s="26" t="s">
        <v>57</v>
      </c>
      <c r="L38" s="23"/>
      <c r="M38" s="24"/>
      <c r="N38" s="24"/>
      <c r="O38" s="25"/>
      <c r="Q38" s="32"/>
    </row>
    <row r="39" s="2" customFormat="1" ht="18" customHeight="1" spans="1:15">
      <c r="A39" s="6"/>
      <c r="B39" s="7">
        <f t="shared" si="6"/>
        <v>0</v>
      </c>
      <c r="C39" s="8"/>
      <c r="D39" s="9"/>
      <c r="E39" s="65"/>
      <c r="F39" s="7">
        <f t="shared" si="7"/>
        <v>0</v>
      </c>
      <c r="G39" s="12"/>
      <c r="H39" s="13" t="s">
        <v>65</v>
      </c>
      <c r="I39" s="31">
        <v>274902.02</v>
      </c>
      <c r="J39" s="21" t="s">
        <v>47</v>
      </c>
      <c r="K39" s="26" t="s">
        <v>57</v>
      </c>
      <c r="L39" s="23"/>
      <c r="M39" s="24"/>
      <c r="N39" s="24"/>
      <c r="O39" s="25"/>
    </row>
    <row r="40" s="2" customFormat="1" ht="18" customHeight="1" spans="1:15">
      <c r="A40" s="6"/>
      <c r="B40" s="7">
        <f t="shared" si="6"/>
        <v>0</v>
      </c>
      <c r="C40" s="8"/>
      <c r="D40" s="9"/>
      <c r="E40" s="65"/>
      <c r="F40" s="7">
        <f t="shared" si="7"/>
        <v>0</v>
      </c>
      <c r="G40" s="12"/>
      <c r="H40" s="13"/>
      <c r="I40" s="31"/>
      <c r="J40" s="21"/>
      <c r="K40" s="30"/>
      <c r="L40" s="23"/>
      <c r="M40" s="24"/>
      <c r="N40" s="24"/>
      <c r="O40" s="25"/>
    </row>
    <row r="41" s="2" customFormat="1" ht="18" customHeight="1" spans="1:15">
      <c r="A41" s="6"/>
      <c r="B41" s="7"/>
      <c r="C41" s="8"/>
      <c r="D41" s="9"/>
      <c r="E41" s="65"/>
      <c r="F41" s="7"/>
      <c r="G41" s="12"/>
      <c r="H41" s="13"/>
      <c r="I41" s="31"/>
      <c r="J41" s="21"/>
      <c r="K41" s="30"/>
      <c r="L41" s="23"/>
      <c r="M41" s="24"/>
      <c r="N41" s="24"/>
      <c r="O41" s="25"/>
    </row>
    <row r="42" s="2" customFormat="1" ht="18" customHeight="1" spans="1:15">
      <c r="A42" s="6"/>
      <c r="B42" s="7"/>
      <c r="C42" s="8"/>
      <c r="D42" s="9"/>
      <c r="E42" s="65"/>
      <c r="F42" s="7"/>
      <c r="G42" s="12"/>
      <c r="H42" s="13"/>
      <c r="I42" s="31"/>
      <c r="J42" s="21"/>
      <c r="K42" s="30"/>
      <c r="L42" s="23"/>
      <c r="M42" s="24"/>
      <c r="N42" s="24"/>
      <c r="O42" s="25"/>
    </row>
    <row r="43" s="2" customFormat="1" ht="18" customHeight="1" spans="1:15">
      <c r="A43" s="6"/>
      <c r="B43" s="7"/>
      <c r="C43" s="8"/>
      <c r="D43" s="9"/>
      <c r="E43" s="65"/>
      <c r="F43" s="7"/>
      <c r="G43" s="12"/>
      <c r="H43" s="13"/>
      <c r="I43" s="31"/>
      <c r="J43" s="21"/>
      <c r="K43" s="30"/>
      <c r="L43" s="23"/>
      <c r="M43" s="24"/>
      <c r="N43" s="24"/>
      <c r="O43" s="25"/>
    </row>
    <row r="44" s="2" customFormat="1" ht="18" customHeight="1" spans="1:15">
      <c r="A44" s="6"/>
      <c r="B44" s="7"/>
      <c r="C44" s="8"/>
      <c r="D44" s="9"/>
      <c r="E44" s="65"/>
      <c r="F44" s="7"/>
      <c r="G44" s="12"/>
      <c r="H44" s="13"/>
      <c r="I44" s="105">
        <v>1167.9</v>
      </c>
      <c r="J44" s="106" t="s">
        <v>66</v>
      </c>
      <c r="K44" s="108" t="s">
        <v>68</v>
      </c>
      <c r="L44" s="23"/>
      <c r="M44" s="24"/>
      <c r="N44" s="24"/>
      <c r="O44" s="25"/>
    </row>
    <row r="45" s="2" customFormat="1" ht="18" customHeight="1" spans="1:15">
      <c r="A45" s="6"/>
      <c r="B45" s="7"/>
      <c r="C45" s="8"/>
      <c r="D45" s="9"/>
      <c r="E45" s="65"/>
      <c r="F45" s="7"/>
      <c r="G45" s="12"/>
      <c r="H45" s="13"/>
      <c r="I45" s="105">
        <v>15571.6921981651</v>
      </c>
      <c r="J45" s="106" t="s">
        <v>66</v>
      </c>
      <c r="K45" s="108" t="s">
        <v>69</v>
      </c>
      <c r="L45" s="23"/>
      <c r="M45" s="24"/>
      <c r="N45" s="24"/>
      <c r="O45" s="25"/>
    </row>
    <row r="46" s="2" customFormat="1" ht="18" customHeight="1" spans="1:15">
      <c r="A46" s="6"/>
      <c r="B46" s="7">
        <f t="shared" ref="B46:B56" si="8">ROUND(G46/(1+E46),2)</f>
        <v>0</v>
      </c>
      <c r="C46" s="8"/>
      <c r="D46" s="9"/>
      <c r="E46" s="65"/>
      <c r="F46" s="7">
        <f t="shared" ref="F46:F56" si="9">ROUND(G46/(1+E46)*E46,2)</f>
        <v>0</v>
      </c>
      <c r="G46" s="12"/>
      <c r="H46" s="13"/>
      <c r="I46" s="105">
        <v>500</v>
      </c>
      <c r="J46" s="106" t="s">
        <v>66</v>
      </c>
      <c r="K46" s="108" t="s">
        <v>70</v>
      </c>
      <c r="L46" s="23"/>
      <c r="M46" s="24"/>
      <c r="N46" s="24"/>
      <c r="O46" s="25"/>
    </row>
    <row r="47" s="2" customFormat="1" ht="18" customHeight="1" spans="1:15">
      <c r="A47" s="6"/>
      <c r="B47" s="7">
        <f t="shared" si="8"/>
        <v>0</v>
      </c>
      <c r="C47" s="8"/>
      <c r="D47" s="9"/>
      <c r="E47" s="65"/>
      <c r="F47" s="7">
        <f t="shared" si="9"/>
        <v>0</v>
      </c>
      <c r="G47" s="12"/>
      <c r="H47" s="13" t="s">
        <v>71</v>
      </c>
      <c r="I47" s="31">
        <v>1000</v>
      </c>
      <c r="J47" s="21" t="s">
        <v>66</v>
      </c>
      <c r="K47" s="30" t="s">
        <v>72</v>
      </c>
      <c r="L47" s="23"/>
      <c r="M47" s="24"/>
      <c r="N47" s="24"/>
      <c r="O47" s="25"/>
    </row>
    <row r="48" s="2" customFormat="1" ht="18" customHeight="1" spans="1:15">
      <c r="A48" s="6"/>
      <c r="B48" s="7">
        <f t="shared" si="8"/>
        <v>0</v>
      </c>
      <c r="C48" s="8"/>
      <c r="D48" s="9"/>
      <c r="E48" s="65"/>
      <c r="F48" s="7">
        <f t="shared" si="9"/>
        <v>0</v>
      </c>
      <c r="G48" s="12"/>
      <c r="H48" s="13" t="s">
        <v>71</v>
      </c>
      <c r="I48" s="31">
        <v>87.61</v>
      </c>
      <c r="J48" s="21" t="s">
        <v>66</v>
      </c>
      <c r="K48" s="26" t="s">
        <v>73</v>
      </c>
      <c r="L48" s="23"/>
      <c r="M48" s="24"/>
      <c r="N48" s="24"/>
      <c r="O48" s="25"/>
    </row>
    <row r="49" s="2" customFormat="1" ht="18" customHeight="1" spans="1:15">
      <c r="A49" s="6"/>
      <c r="B49" s="7">
        <f t="shared" si="8"/>
        <v>0</v>
      </c>
      <c r="C49" s="8"/>
      <c r="D49" s="9"/>
      <c r="E49" s="65"/>
      <c r="F49" s="7">
        <f t="shared" si="9"/>
        <v>0</v>
      </c>
      <c r="G49" s="12"/>
      <c r="H49" s="13" t="s">
        <v>71</v>
      </c>
      <c r="I49" s="31">
        <v>26046.47</v>
      </c>
      <c r="J49" s="21" t="s">
        <v>66</v>
      </c>
      <c r="K49" s="26" t="s">
        <v>74</v>
      </c>
      <c r="L49" s="23"/>
      <c r="M49" s="24"/>
      <c r="N49" s="24"/>
      <c r="O49" s="25"/>
    </row>
    <row r="50" s="2" customFormat="1" ht="18" customHeight="1" spans="1:15">
      <c r="A50" s="6"/>
      <c r="B50" s="7">
        <f t="shared" si="8"/>
        <v>0</v>
      </c>
      <c r="C50" s="8"/>
      <c r="D50" s="9"/>
      <c r="E50" s="65"/>
      <c r="F50" s="7">
        <f t="shared" si="9"/>
        <v>0</v>
      </c>
      <c r="G50" s="12"/>
      <c r="H50" s="13" t="s">
        <v>71</v>
      </c>
      <c r="I50" s="31">
        <v>-10000</v>
      </c>
      <c r="J50" s="21" t="s">
        <v>75</v>
      </c>
      <c r="K50" s="26" t="s">
        <v>76</v>
      </c>
      <c r="L50" s="23"/>
      <c r="M50" s="24"/>
      <c r="N50" s="24"/>
      <c r="O50" s="25"/>
    </row>
    <row r="51" s="2" customFormat="1" ht="18" customHeight="1" spans="1:15">
      <c r="A51" s="6"/>
      <c r="B51" s="7">
        <f t="shared" si="8"/>
        <v>0</v>
      </c>
      <c r="C51" s="8"/>
      <c r="D51" s="9"/>
      <c r="E51" s="65"/>
      <c r="F51" s="7">
        <f t="shared" si="9"/>
        <v>0</v>
      </c>
      <c r="G51" s="12"/>
      <c r="H51" s="13" t="s">
        <v>77</v>
      </c>
      <c r="I51" s="31">
        <v>10000</v>
      </c>
      <c r="J51" s="21" t="s">
        <v>78</v>
      </c>
      <c r="K51" s="26" t="s">
        <v>79</v>
      </c>
      <c r="L51" s="23"/>
      <c r="M51" s="24"/>
      <c r="N51" s="24"/>
      <c r="O51" s="25"/>
    </row>
    <row r="52" s="2" customFormat="1" ht="18" customHeight="1" spans="1:15">
      <c r="A52" s="6"/>
      <c r="B52" s="7">
        <f t="shared" si="8"/>
        <v>0</v>
      </c>
      <c r="C52" s="8"/>
      <c r="D52" s="9"/>
      <c r="E52" s="65"/>
      <c r="F52" s="7">
        <f t="shared" si="9"/>
        <v>0</v>
      </c>
      <c r="G52" s="12"/>
      <c r="H52" s="13" t="s">
        <v>77</v>
      </c>
      <c r="I52" s="31">
        <v>31610.79</v>
      </c>
      <c r="J52" s="21" t="s">
        <v>66</v>
      </c>
      <c r="K52" s="26" t="s">
        <v>74</v>
      </c>
      <c r="L52" s="23"/>
      <c r="M52" s="24"/>
      <c r="N52" s="24"/>
      <c r="O52" s="25"/>
    </row>
    <row r="53" s="2" customFormat="1" ht="18" customHeight="1" spans="1:15">
      <c r="A53" s="6"/>
      <c r="B53" s="7">
        <f t="shared" si="8"/>
        <v>0</v>
      </c>
      <c r="C53" s="8"/>
      <c r="D53" s="9"/>
      <c r="E53" s="65"/>
      <c r="F53" s="7">
        <f t="shared" si="9"/>
        <v>0</v>
      </c>
      <c r="G53" s="12"/>
      <c r="H53" s="13" t="s">
        <v>80</v>
      </c>
      <c r="I53" s="31">
        <v>888.82</v>
      </c>
      <c r="J53" s="21" t="s">
        <v>66</v>
      </c>
      <c r="K53" s="26" t="s">
        <v>73</v>
      </c>
      <c r="L53" s="23"/>
      <c r="M53" s="24"/>
      <c r="N53" s="24"/>
      <c r="O53" s="25"/>
    </row>
    <row r="54" s="2" customFormat="1" ht="18" customHeight="1" spans="1:15">
      <c r="A54" s="6"/>
      <c r="B54" s="7">
        <f t="shared" si="8"/>
        <v>0</v>
      </c>
      <c r="C54" s="8"/>
      <c r="D54" s="9"/>
      <c r="E54" s="65"/>
      <c r="F54" s="7">
        <f t="shared" si="9"/>
        <v>0</v>
      </c>
      <c r="G54" s="12"/>
      <c r="H54" s="13" t="s">
        <v>81</v>
      </c>
      <c r="I54" s="31">
        <v>-700000</v>
      </c>
      <c r="J54" s="21" t="s">
        <v>75</v>
      </c>
      <c r="K54" s="26" t="s">
        <v>82</v>
      </c>
      <c r="L54" s="23"/>
      <c r="M54" s="24"/>
      <c r="N54" s="24"/>
      <c r="O54" s="25"/>
    </row>
    <row r="55" s="2" customFormat="1" ht="21" customHeight="1" spans="1:15">
      <c r="A55" s="6"/>
      <c r="B55" s="7">
        <f t="shared" si="8"/>
        <v>0</v>
      </c>
      <c r="C55" s="8"/>
      <c r="D55" s="9"/>
      <c r="E55" s="65"/>
      <c r="F55" s="7">
        <f t="shared" si="9"/>
        <v>0</v>
      </c>
      <c r="G55" s="12"/>
      <c r="H55" s="13" t="s">
        <v>81</v>
      </c>
      <c r="I55" s="31">
        <v>4300</v>
      </c>
      <c r="J55" s="21" t="s">
        <v>66</v>
      </c>
      <c r="K55" s="26" t="s">
        <v>83</v>
      </c>
      <c r="L55" s="23"/>
      <c r="M55" s="24"/>
      <c r="N55" s="24"/>
      <c r="O55" s="25"/>
    </row>
    <row r="56" s="2" customFormat="1" ht="21" customHeight="1" spans="1:15">
      <c r="A56" s="6"/>
      <c r="B56" s="7">
        <f t="shared" si="8"/>
        <v>0</v>
      </c>
      <c r="C56" s="8"/>
      <c r="D56" s="9"/>
      <c r="E56" s="65"/>
      <c r="F56" s="7">
        <f t="shared" si="9"/>
        <v>0</v>
      </c>
      <c r="G56" s="31"/>
      <c r="H56" s="13" t="s">
        <v>81</v>
      </c>
      <c r="I56" s="31">
        <v>700000</v>
      </c>
      <c r="J56" s="21" t="s">
        <v>78</v>
      </c>
      <c r="K56" s="26" t="s">
        <v>82</v>
      </c>
      <c r="L56" s="23"/>
      <c r="M56" s="24"/>
      <c r="N56" s="24"/>
      <c r="O56" s="25"/>
    </row>
    <row r="57" s="2" customFormat="1" ht="18" customHeight="1" spans="1:15">
      <c r="A57" s="62" t="s">
        <v>20</v>
      </c>
      <c r="B57" s="61">
        <f t="shared" ref="B57:G57" si="10">SUM(B16:B56)</f>
        <v>5020737.54</v>
      </c>
      <c r="C57" s="62"/>
      <c r="D57" s="75"/>
      <c r="E57" s="75"/>
      <c r="F57" s="63">
        <f t="shared" si="10"/>
        <v>155359.18</v>
      </c>
      <c r="G57" s="76">
        <f t="shared" si="10"/>
        <v>5176096.72</v>
      </c>
      <c r="H57" s="77"/>
      <c r="I57" s="62">
        <f>SUM(I16:I56)</f>
        <v>4201031.69219816</v>
      </c>
      <c r="J57" s="90"/>
      <c r="K57" s="91"/>
      <c r="L57" s="92"/>
      <c r="M57" s="21"/>
      <c r="N57" s="21"/>
      <c r="O57" s="64"/>
    </row>
    <row r="58" s="2" customFormat="1" ht="18" customHeight="1" spans="1:15">
      <c r="A58" s="78" t="s">
        <v>84</v>
      </c>
      <c r="B58" s="78">
        <f>B13-B57</f>
        <v>-1052936.94499215</v>
      </c>
      <c r="C58" s="78"/>
      <c r="D58" s="79"/>
      <c r="E58" s="79"/>
      <c r="F58" s="80"/>
      <c r="G58" s="78">
        <f>G13-G57</f>
        <v>-775810.43</v>
      </c>
      <c r="H58" s="20" t="s">
        <v>85</v>
      </c>
      <c r="I58" s="93">
        <f>I13-I57</f>
        <v>29254.5978018353</v>
      </c>
      <c r="J58" s="1"/>
      <c r="K58" s="94"/>
      <c r="L58" s="45"/>
      <c r="M58" s="95"/>
      <c r="N58" s="95"/>
      <c r="O58" s="1"/>
    </row>
    <row r="59" s="2" customFormat="1" ht="18" customHeight="1" spans="1:15">
      <c r="A59" s="41" t="s">
        <v>86</v>
      </c>
      <c r="B59" s="42"/>
      <c r="C59" s="41"/>
      <c r="D59" s="43"/>
      <c r="E59" s="43"/>
      <c r="F59" s="42"/>
      <c r="G59" s="42"/>
      <c r="H59" s="43"/>
      <c r="I59" s="42"/>
      <c r="J59" s="44"/>
      <c r="K59" s="45"/>
      <c r="L59" s="45"/>
      <c r="M59" s="96"/>
      <c r="N59" s="96"/>
      <c r="O59" s="96"/>
    </row>
    <row r="60" s="2" customFormat="1" ht="18" customHeight="1" spans="1:15">
      <c r="A60" s="20" t="s">
        <v>87</v>
      </c>
      <c r="B60" s="4" t="s">
        <v>88</v>
      </c>
      <c r="C60" s="64"/>
      <c r="D60" s="20" t="s">
        <v>87</v>
      </c>
      <c r="E60" s="5" t="s">
        <v>14</v>
      </c>
      <c r="F60" s="4" t="s">
        <v>88</v>
      </c>
      <c r="G60" s="81"/>
      <c r="H60" s="82"/>
      <c r="I60" s="97">
        <f>I49+I52</f>
        <v>57657.26</v>
      </c>
      <c r="J60" s="98"/>
      <c r="K60" s="92" t="s">
        <v>90</v>
      </c>
      <c r="L60" s="81" t="s">
        <v>91</v>
      </c>
      <c r="M60" s="97"/>
      <c r="N60" s="82"/>
      <c r="O60" s="82"/>
    </row>
    <row r="61" s="2" customFormat="1" ht="18" customHeight="1" spans="1:15">
      <c r="A61" s="64" t="s">
        <v>92</v>
      </c>
      <c r="B61" s="7">
        <f>(B13-B57)*0.25</f>
        <v>-263234.236248037</v>
      </c>
      <c r="C61" s="64"/>
      <c r="D61" s="60" t="s">
        <v>93</v>
      </c>
      <c r="E61" s="20" t="s">
        <v>94</v>
      </c>
      <c r="F61" s="63">
        <f>F13-F57</f>
        <v>197770.503091991</v>
      </c>
      <c r="G61" s="63">
        <f>(F7+F8+F9)-(F19+F22+F25)</f>
        <v>160188.603783784</v>
      </c>
      <c r="H61" s="83"/>
      <c r="I61" s="83"/>
      <c r="J61" s="98"/>
      <c r="K61" s="63">
        <f>F10</f>
        <v>23678.6027027027</v>
      </c>
      <c r="L61" s="109">
        <f>F11</f>
        <v>13903.2966055046</v>
      </c>
      <c r="M61" s="83"/>
      <c r="N61" s="83"/>
      <c r="O61" s="83"/>
    </row>
    <row r="62" s="2" customFormat="1" ht="18" customHeight="1" spans="1:15">
      <c r="A62" s="64" t="s">
        <v>73</v>
      </c>
      <c r="B62" s="84">
        <f>G7*0.0003</f>
        <v>592.104</v>
      </c>
      <c r="C62" s="64"/>
      <c r="D62" s="85" t="s">
        <v>95</v>
      </c>
      <c r="E62" s="51">
        <v>0.05</v>
      </c>
      <c r="F62" s="31">
        <f>F61*E62</f>
        <v>9888.52515459955</v>
      </c>
      <c r="G62" s="86">
        <f>G61*E62</f>
        <v>8009.43018918919</v>
      </c>
      <c r="H62" s="82"/>
      <c r="I62" s="82"/>
      <c r="J62" s="98"/>
      <c r="K62" s="100">
        <f>K61*0.05</f>
        <v>1183.93013513514</v>
      </c>
      <c r="L62" s="100">
        <f>L61*0.07</f>
        <v>973.230762385321</v>
      </c>
      <c r="M62" s="82"/>
      <c r="N62" s="82"/>
      <c r="O62" s="82"/>
    </row>
    <row r="63" s="2" customFormat="1" ht="18" customHeight="1" spans="1:15">
      <c r="A63" s="64" t="s">
        <v>96</v>
      </c>
      <c r="B63" s="84">
        <f>B7*0.0006</f>
        <v>1066.85405405405</v>
      </c>
      <c r="C63" s="64"/>
      <c r="D63" s="85" t="s">
        <v>97</v>
      </c>
      <c r="E63" s="51">
        <v>0.03</v>
      </c>
      <c r="F63" s="31">
        <f>F61*E63</f>
        <v>5933.11509275973</v>
      </c>
      <c r="G63" s="86">
        <f>G61*E63</f>
        <v>4805.65811351351</v>
      </c>
      <c r="H63" s="82"/>
      <c r="I63" s="82"/>
      <c r="J63" s="98"/>
      <c r="K63" s="100">
        <f>K61*0.03</f>
        <v>710.358081081081</v>
      </c>
      <c r="L63" s="100">
        <f>L61*0.03</f>
        <v>417.098898165138</v>
      </c>
      <c r="M63" s="82"/>
      <c r="N63" s="82"/>
      <c r="O63" s="82"/>
    </row>
    <row r="64" s="2" customFormat="1" ht="18" customHeight="1" spans="1:15">
      <c r="A64" s="64"/>
      <c r="B64" s="31"/>
      <c r="C64" s="64"/>
      <c r="D64" s="85" t="s">
        <v>98</v>
      </c>
      <c r="E64" s="51">
        <v>0.02</v>
      </c>
      <c r="F64" s="31">
        <f>F61*E64</f>
        <v>3955.41006183982</v>
      </c>
      <c r="G64" s="86">
        <f>G61*E64</f>
        <v>3203.77207567567</v>
      </c>
      <c r="H64" s="82"/>
      <c r="I64" s="82"/>
      <c r="J64" s="98"/>
      <c r="K64" s="100">
        <f>K61*0.02</f>
        <v>473.572054054054</v>
      </c>
      <c r="L64" s="100">
        <f>L61*0.02</f>
        <v>278.065932110092</v>
      </c>
      <c r="M64" s="82"/>
      <c r="N64" s="82"/>
      <c r="O64" s="82"/>
    </row>
    <row r="65" s="2" customFormat="1" ht="18" customHeight="1" spans="1:15">
      <c r="A65" s="60" t="s">
        <v>99</v>
      </c>
      <c r="B65" s="61">
        <f t="shared" ref="B65:G65" si="11">SUM(B61:B64)</f>
        <v>-261575.278193983</v>
      </c>
      <c r="C65" s="64"/>
      <c r="D65" s="3" t="s">
        <v>99</v>
      </c>
      <c r="E65" s="60"/>
      <c r="F65" s="63">
        <f t="shared" si="11"/>
        <v>217547.55340119</v>
      </c>
      <c r="G65" s="63">
        <f t="shared" si="11"/>
        <v>176207.464162162</v>
      </c>
      <c r="H65" s="83"/>
      <c r="I65" s="83"/>
      <c r="J65" s="98"/>
      <c r="K65" s="63">
        <f>SUM(K61:K64)</f>
        <v>26046.462972973</v>
      </c>
      <c r="L65" s="109">
        <f>SUM(L61:L64)</f>
        <v>15571.6921981651</v>
      </c>
      <c r="M65" s="83"/>
      <c r="N65" s="83"/>
      <c r="O65" s="83"/>
    </row>
    <row r="66" s="2" customFormat="1" ht="18" customHeight="1" spans="1:15">
      <c r="A66" s="41"/>
      <c r="B66" s="42"/>
      <c r="C66" s="41"/>
      <c r="D66" s="31" t="s">
        <v>73</v>
      </c>
      <c r="E66" s="87">
        <v>0.0003</v>
      </c>
      <c r="F66" s="31">
        <f>G13*E66</f>
        <v>1320.085887</v>
      </c>
      <c r="G66" s="88">
        <f>G7*E66</f>
        <v>592.104</v>
      </c>
      <c r="H66" s="43">
        <f>G8*E66</f>
        <v>296.7204</v>
      </c>
      <c r="I66" s="110">
        <f>G9*E66</f>
        <v>278.7024</v>
      </c>
      <c r="J66" s="98"/>
      <c r="K66" s="100">
        <f>G10*0.0003</f>
        <v>87.61083</v>
      </c>
      <c r="L66" s="100">
        <v>0</v>
      </c>
      <c r="M66" s="82"/>
      <c r="N66" s="82"/>
      <c r="O66" s="82"/>
    </row>
    <row r="67" s="2" customFormat="1" ht="18" customHeight="1" spans="1:15">
      <c r="A67" s="41"/>
      <c r="B67" s="42"/>
      <c r="C67" s="41"/>
      <c r="D67" s="31" t="s">
        <v>96</v>
      </c>
      <c r="E67" s="87">
        <v>0.0006</v>
      </c>
      <c r="F67" s="31">
        <f>B13*E67</f>
        <v>2380.68035700471</v>
      </c>
      <c r="G67" s="88">
        <f>B7*E67</f>
        <v>1066.85405405405</v>
      </c>
      <c r="H67" s="43"/>
      <c r="I67" s="97"/>
      <c r="J67" s="98"/>
      <c r="K67" s="100">
        <v>0</v>
      </c>
      <c r="L67" s="100">
        <v>0</v>
      </c>
      <c r="N67" s="82"/>
      <c r="O67" s="82"/>
    </row>
    <row r="68" s="2" customFormat="1" ht="18" customHeight="1" spans="1:15">
      <c r="A68" s="41"/>
      <c r="B68" s="42"/>
      <c r="C68" s="41"/>
      <c r="D68" s="5" t="s">
        <v>99</v>
      </c>
      <c r="E68" s="75"/>
      <c r="F68" s="62">
        <f>F67+F66</f>
        <v>3700.76624400471</v>
      </c>
      <c r="G68" s="89">
        <f t="shared" ref="G68:L68" si="12">SUM(G66:G67)</f>
        <v>1658.95805405405</v>
      </c>
      <c r="H68" s="43"/>
      <c r="I68" s="102"/>
      <c r="J68" s="98"/>
      <c r="K68" s="103">
        <f t="shared" si="12"/>
        <v>87.61083</v>
      </c>
      <c r="L68" s="103">
        <f t="shared" si="12"/>
        <v>0</v>
      </c>
      <c r="M68" s="82"/>
      <c r="N68" s="83"/>
      <c r="O68" s="83"/>
    </row>
    <row r="69" s="2" customFormat="1" ht="18" customHeight="1" spans="1:15">
      <c r="A69" s="41"/>
      <c r="B69" s="42"/>
      <c r="C69" s="41"/>
      <c r="D69" s="5" t="s">
        <v>20</v>
      </c>
      <c r="E69" s="62"/>
      <c r="F69" s="62">
        <f t="shared" ref="F69:L69" si="13">F65+F68</f>
        <v>221248.319645195</v>
      </c>
      <c r="G69" s="89">
        <f t="shared" si="13"/>
        <v>177866.422216216</v>
      </c>
      <c r="H69" s="43"/>
      <c r="I69" s="102"/>
      <c r="J69" s="98"/>
      <c r="K69" s="103">
        <f t="shared" si="13"/>
        <v>26134.073802973</v>
      </c>
      <c r="L69" s="103">
        <f t="shared" si="13"/>
        <v>15571.6921981651</v>
      </c>
      <c r="M69" s="83"/>
      <c r="N69" s="83"/>
      <c r="O69" s="83"/>
    </row>
    <row r="70" ht="18" customHeight="1" spans="3:8">
      <c r="C70" s="41"/>
      <c r="H70" s="43">
        <f>F8+F9-F19-F22-F25</f>
        <v>160.495675675702</v>
      </c>
    </row>
    <row r="71" ht="18" customHeight="1" spans="3:3">
      <c r="C71" s="41"/>
    </row>
    <row r="72" ht="18" customHeight="1" spans="3:3">
      <c r="C72" s="41"/>
    </row>
    <row r="73" ht="18" customHeight="1" spans="3:3">
      <c r="C73" s="41"/>
    </row>
    <row r="74" ht="18" customHeight="1" spans="3:3">
      <c r="C74" s="41"/>
    </row>
    <row r="75" ht="18" customHeight="1" spans="3:3">
      <c r="C75" s="41"/>
    </row>
    <row r="76" ht="18" customHeight="1" spans="3:3">
      <c r="C76" s="41"/>
    </row>
    <row r="77" ht="18" customHeight="1" spans="3:3">
      <c r="C77" s="41"/>
    </row>
    <row r="78" ht="18" customHeight="1" spans="3:3">
      <c r="C78" s="41"/>
    </row>
    <row r="79" ht="18" customHeight="1" spans="3:3">
      <c r="C79" s="41"/>
    </row>
    <row r="80" ht="18" customHeight="1" spans="3:3">
      <c r="C80" s="41"/>
    </row>
    <row r="81" ht="18" customHeight="1" spans="3:3">
      <c r="C81" s="41"/>
    </row>
    <row r="82" ht="18" customHeight="1" spans="3:3">
      <c r="C82" s="41"/>
    </row>
    <row r="83" ht="18" customHeight="1" spans="3:3">
      <c r="C83" s="41"/>
    </row>
    <row r="84" ht="18" customHeight="1" spans="3:3">
      <c r="C84" s="41"/>
    </row>
    <row r="85" ht="18" customHeight="1" spans="3:3">
      <c r="C85" s="41"/>
    </row>
    <row r="86" spans="3:3">
      <c r="C86" s="41"/>
    </row>
    <row r="87" spans="3:3">
      <c r="C87" s="41"/>
    </row>
  </sheetData>
  <autoFilter ref="A15:O40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8"/>
  <sheetViews>
    <sheetView topLeftCell="A17" workbookViewId="0">
      <selection activeCell="A23" sqref="A23:L25"/>
    </sheetView>
  </sheetViews>
  <sheetFormatPr defaultColWidth="9" defaultRowHeight="11.25"/>
  <cols>
    <col min="1" max="1" width="10.75" style="41" customWidth="1"/>
    <col min="2" max="2" width="16.375" style="42" customWidth="1"/>
    <col min="3" max="3" width="6" style="43" customWidth="1"/>
    <col min="4" max="4" width="13.375" style="43" customWidth="1"/>
    <col min="5" max="5" width="6" style="43" customWidth="1"/>
    <col min="6" max="6" width="13.125" style="42" customWidth="1"/>
    <col min="7" max="7" width="14.125" style="42" customWidth="1"/>
    <col min="8" max="8" width="9.625" style="43" customWidth="1"/>
    <col min="9" max="9" width="13.875" style="42" customWidth="1"/>
    <col min="10" max="10" width="6.125" style="44" customWidth="1"/>
    <col min="11" max="11" width="27.25" style="45" customWidth="1"/>
    <col min="12" max="12" width="18.5" style="45" customWidth="1"/>
    <col min="13" max="13" width="18.75" style="1" customWidth="1"/>
    <col min="14" max="14" width="15.125" style="1" customWidth="1"/>
    <col min="15" max="15" width="13.25" style="1" customWidth="1"/>
    <col min="16" max="16" width="14.625" style="1" customWidth="1"/>
    <col min="17" max="16384" width="9" style="1"/>
  </cols>
  <sheetData>
    <row r="1" ht="21.95" customHeight="1" spans="1:12">
      <c r="A1" s="46" t="s">
        <v>0</v>
      </c>
      <c r="B1" s="46"/>
      <c r="C1" s="46"/>
      <c r="D1" s="46"/>
      <c r="E1" s="46"/>
      <c r="F1" s="47"/>
      <c r="G1" s="47"/>
      <c r="H1" s="46"/>
      <c r="I1" s="47"/>
      <c r="J1" s="46"/>
      <c r="K1" s="67"/>
      <c r="L1" s="67"/>
    </row>
    <row r="2" ht="18" customHeight="1" spans="1:12">
      <c r="A2" s="48" t="s">
        <v>1</v>
      </c>
      <c r="B2" s="49" t="s">
        <v>2</v>
      </c>
      <c r="C2" s="31"/>
      <c r="D2" s="50">
        <v>4357173</v>
      </c>
      <c r="E2" s="51"/>
      <c r="F2" s="52" t="s">
        <v>3</v>
      </c>
      <c r="G2" s="53"/>
      <c r="H2" s="54" t="s">
        <v>4</v>
      </c>
      <c r="I2" s="68"/>
      <c r="J2" s="69"/>
      <c r="K2" s="70"/>
      <c r="L2" s="67"/>
    </row>
    <row r="3" ht="18" customHeight="1" spans="1:12">
      <c r="A3" s="48" t="s">
        <v>5</v>
      </c>
      <c r="B3" s="55" t="s">
        <v>6</v>
      </c>
      <c r="C3" s="31"/>
      <c r="D3" s="56">
        <v>4400286.29</v>
      </c>
      <c r="H3" s="57"/>
      <c r="I3" s="71"/>
      <c r="J3" s="57"/>
      <c r="K3" s="67"/>
      <c r="L3" s="67"/>
    </row>
    <row r="4" ht="18" customHeight="1" spans="1:12">
      <c r="A4" s="41" t="s">
        <v>7</v>
      </c>
      <c r="H4" s="57"/>
      <c r="I4" s="71"/>
      <c r="J4" s="57"/>
      <c r="K4" s="67"/>
      <c r="L4" s="67"/>
    </row>
    <row r="5" ht="18" customHeight="1" spans="1:10">
      <c r="A5" s="5" t="s">
        <v>8</v>
      </c>
      <c r="B5" s="4" t="s">
        <v>9</v>
      </c>
      <c r="C5" s="5" t="s">
        <v>10</v>
      </c>
      <c r="D5" s="5"/>
      <c r="E5" s="5" t="s">
        <v>11</v>
      </c>
      <c r="F5" s="4"/>
      <c r="G5" s="4" t="s">
        <v>12</v>
      </c>
      <c r="H5" s="20" t="s">
        <v>13</v>
      </c>
      <c r="I5" s="4"/>
      <c r="J5" s="20"/>
    </row>
    <row r="6" ht="18" customHeight="1" spans="1:10">
      <c r="A6" s="5"/>
      <c r="B6" s="4"/>
      <c r="C6" s="5" t="s">
        <v>14</v>
      </c>
      <c r="D6" s="5" t="s">
        <v>15</v>
      </c>
      <c r="E6" s="5" t="s">
        <v>14</v>
      </c>
      <c r="F6" s="4" t="s">
        <v>15</v>
      </c>
      <c r="G6" s="4"/>
      <c r="H6" s="20" t="s">
        <v>16</v>
      </c>
      <c r="I6" s="4" t="s">
        <v>17</v>
      </c>
      <c r="J6" s="20" t="s">
        <v>18</v>
      </c>
    </row>
    <row r="7" ht="18" customHeight="1" spans="1:10">
      <c r="A7" s="13">
        <v>42683</v>
      </c>
      <c r="B7" s="31">
        <f t="shared" ref="B7:B12" si="0">G7/(1+C7+E7)</f>
        <v>1778090.09009009</v>
      </c>
      <c r="C7" s="58">
        <v>0.02</v>
      </c>
      <c r="D7" s="59">
        <f t="shared" ref="D7:D12" si="1">G7/(1+E7+C7)*C7</f>
        <v>35561.8018018018</v>
      </c>
      <c r="E7" s="58">
        <v>0.09</v>
      </c>
      <c r="F7" s="31">
        <f t="shared" ref="F7:F12" si="2">G7/(1+C7+E7)*E7</f>
        <v>160028.108108108</v>
      </c>
      <c r="G7" s="14">
        <v>1973680</v>
      </c>
      <c r="H7" s="13">
        <v>42696</v>
      </c>
      <c r="I7" s="31">
        <v>1973680</v>
      </c>
      <c r="J7" s="21" t="s">
        <v>19</v>
      </c>
    </row>
    <row r="8" ht="18" customHeight="1" spans="1:10">
      <c r="A8" s="13">
        <v>42720</v>
      </c>
      <c r="B8" s="31">
        <f t="shared" si="0"/>
        <v>891052.252252252</v>
      </c>
      <c r="C8" s="58">
        <v>0.02</v>
      </c>
      <c r="D8" s="59">
        <f t="shared" si="1"/>
        <v>17821.045045045</v>
      </c>
      <c r="E8" s="58">
        <v>0.09</v>
      </c>
      <c r="F8" s="31">
        <f t="shared" si="2"/>
        <v>80194.7027027027</v>
      </c>
      <c r="G8" s="14">
        <v>989068</v>
      </c>
      <c r="H8" s="13">
        <v>42727</v>
      </c>
      <c r="I8" s="31">
        <v>989068</v>
      </c>
      <c r="J8" s="21" t="s">
        <v>19</v>
      </c>
    </row>
    <row r="9" ht="18" customHeight="1" spans="1:10">
      <c r="A9" s="13">
        <v>42740</v>
      </c>
      <c r="B9" s="31">
        <f t="shared" si="0"/>
        <v>836944.144144144</v>
      </c>
      <c r="C9" s="58">
        <v>0.02</v>
      </c>
      <c r="D9" s="59">
        <f t="shared" si="1"/>
        <v>16738.8828828829</v>
      </c>
      <c r="E9" s="58">
        <v>0.09</v>
      </c>
      <c r="F9" s="31">
        <f t="shared" si="2"/>
        <v>75324.972972973</v>
      </c>
      <c r="G9" s="14">
        <v>929008</v>
      </c>
      <c r="H9" s="13">
        <v>42747</v>
      </c>
      <c r="I9" s="31">
        <v>929008</v>
      </c>
      <c r="J9" s="21" t="s">
        <v>19</v>
      </c>
    </row>
    <row r="10" ht="18" customHeight="1" spans="1:10">
      <c r="A10" s="13">
        <v>42951</v>
      </c>
      <c r="B10" s="31">
        <f t="shared" si="0"/>
        <v>263095.585585586</v>
      </c>
      <c r="C10" s="58">
        <v>0.02</v>
      </c>
      <c r="D10" s="59">
        <f t="shared" si="1"/>
        <v>5261.91171171171</v>
      </c>
      <c r="E10" s="58">
        <v>0.09</v>
      </c>
      <c r="F10" s="31">
        <f t="shared" si="2"/>
        <v>23678.6027027027</v>
      </c>
      <c r="G10" s="14">
        <v>292036.1</v>
      </c>
      <c r="H10" s="13">
        <v>42961</v>
      </c>
      <c r="I10" s="31">
        <v>292036.1</v>
      </c>
      <c r="J10" s="21" t="s">
        <v>19</v>
      </c>
    </row>
    <row r="11" ht="18" customHeight="1" spans="1:10">
      <c r="A11" s="13"/>
      <c r="B11" s="31">
        <f t="shared" si="0"/>
        <v>0</v>
      </c>
      <c r="C11" s="58"/>
      <c r="D11" s="59">
        <f t="shared" si="1"/>
        <v>0</v>
      </c>
      <c r="E11" s="58"/>
      <c r="F11" s="31">
        <f t="shared" si="2"/>
        <v>0</v>
      </c>
      <c r="G11" s="14"/>
      <c r="H11" s="13"/>
      <c r="I11" s="31"/>
      <c r="J11" s="21"/>
    </row>
    <row r="12" ht="18" customHeight="1" spans="1:10">
      <c r="A12" s="13"/>
      <c r="B12" s="31">
        <f t="shared" si="0"/>
        <v>0</v>
      </c>
      <c r="C12" s="58"/>
      <c r="D12" s="59">
        <f t="shared" si="1"/>
        <v>0</v>
      </c>
      <c r="E12" s="58"/>
      <c r="F12" s="31">
        <f t="shared" si="2"/>
        <v>0</v>
      </c>
      <c r="G12" s="14"/>
      <c r="H12" s="13"/>
      <c r="I12" s="31"/>
      <c r="J12" s="21"/>
    </row>
    <row r="13" ht="18" customHeight="1" spans="1:10">
      <c r="A13" s="60" t="s">
        <v>20</v>
      </c>
      <c r="B13" s="61">
        <f t="shared" ref="B13:G13" si="3">SUM(B7:B12)</f>
        <v>3769182.07207207</v>
      </c>
      <c r="C13" s="62"/>
      <c r="D13" s="62">
        <f t="shared" si="3"/>
        <v>75383.6414414414</v>
      </c>
      <c r="E13" s="62"/>
      <c r="F13" s="63">
        <f t="shared" si="3"/>
        <v>339226.386486486</v>
      </c>
      <c r="G13" s="62">
        <f t="shared" si="3"/>
        <v>4183792.1</v>
      </c>
      <c r="H13" s="64"/>
      <c r="I13" s="62">
        <f>SUM(I7:I12)</f>
        <v>4183792.1</v>
      </c>
      <c r="J13" s="64"/>
    </row>
    <row r="14" ht="18" customHeight="1" spans="1:12">
      <c r="A14" s="41" t="s">
        <v>21</v>
      </c>
      <c r="F14" s="42">
        <f>G16-G17</f>
        <v>-5087.69999999995</v>
      </c>
      <c r="J14" s="43"/>
      <c r="K14" s="72"/>
      <c r="L14" s="73"/>
    </row>
    <row r="15" ht="18" customHeight="1" spans="1:15">
      <c r="A15" s="3" t="s">
        <v>22</v>
      </c>
      <c r="B15" s="4" t="s">
        <v>23</v>
      </c>
      <c r="C15" s="5" t="s">
        <v>24</v>
      </c>
      <c r="D15" s="5" t="s">
        <v>25</v>
      </c>
      <c r="E15" s="5" t="s">
        <v>14</v>
      </c>
      <c r="F15" s="4" t="s">
        <v>26</v>
      </c>
      <c r="G15" s="4" t="s">
        <v>12</v>
      </c>
      <c r="H15" s="5" t="s">
        <v>27</v>
      </c>
      <c r="I15" s="4" t="s">
        <v>28</v>
      </c>
      <c r="J15" s="5" t="s">
        <v>18</v>
      </c>
      <c r="K15" s="18" t="s">
        <v>29</v>
      </c>
      <c r="L15" s="19" t="s">
        <v>30</v>
      </c>
      <c r="M15" s="20" t="s">
        <v>100</v>
      </c>
      <c r="N15" s="20" t="s">
        <v>32</v>
      </c>
      <c r="O15" s="20" t="s">
        <v>33</v>
      </c>
    </row>
    <row r="16" s="2" customFormat="1" ht="18" customHeight="1" spans="1:17">
      <c r="A16" s="6"/>
      <c r="B16" s="7">
        <f t="shared" ref="B16:B37" si="4">ROUND(G16/(1+E16),2)</f>
        <v>1716112.3</v>
      </c>
      <c r="C16" s="8">
        <v>1</v>
      </c>
      <c r="D16" s="9"/>
      <c r="E16" s="65"/>
      <c r="F16" s="7">
        <f t="shared" ref="F16:F39" si="5">ROUND(G16/(1+E16)*E16,2)</f>
        <v>0</v>
      </c>
      <c r="G16" s="17">
        <v>1716112.3</v>
      </c>
      <c r="H16" s="13"/>
      <c r="I16" s="7"/>
      <c r="J16" s="21"/>
      <c r="K16" s="26"/>
      <c r="L16" s="23"/>
      <c r="M16" s="24"/>
      <c r="N16" s="24"/>
      <c r="O16" s="25"/>
      <c r="Q16" s="32"/>
    </row>
    <row r="17" s="2" customFormat="1" ht="18" customHeight="1" spans="1:17">
      <c r="A17" s="6">
        <v>42487</v>
      </c>
      <c r="B17" s="7">
        <f t="shared" si="4"/>
        <v>1721200</v>
      </c>
      <c r="C17" s="8">
        <v>1</v>
      </c>
      <c r="D17" s="9" t="s">
        <v>40</v>
      </c>
      <c r="E17" s="65"/>
      <c r="F17" s="7">
        <f t="shared" si="5"/>
        <v>0</v>
      </c>
      <c r="G17" s="12">
        <v>1721200</v>
      </c>
      <c r="H17" s="13"/>
      <c r="I17" s="7"/>
      <c r="J17" s="21"/>
      <c r="K17" s="26" t="s">
        <v>101</v>
      </c>
      <c r="L17" s="23" t="s">
        <v>102</v>
      </c>
      <c r="M17" s="24"/>
      <c r="N17" s="24"/>
      <c r="O17" s="25"/>
      <c r="Q17" s="32"/>
    </row>
    <row r="18" s="2" customFormat="1" ht="18" customHeight="1" spans="1:17">
      <c r="A18" s="6">
        <v>42487</v>
      </c>
      <c r="B18" s="7">
        <f t="shared" si="4"/>
        <v>280000</v>
      </c>
      <c r="C18" s="8">
        <v>1</v>
      </c>
      <c r="D18" s="9" t="s">
        <v>40</v>
      </c>
      <c r="E18" s="65"/>
      <c r="F18" s="7">
        <f t="shared" si="5"/>
        <v>0</v>
      </c>
      <c r="G18" s="12">
        <v>280000</v>
      </c>
      <c r="H18" s="13"/>
      <c r="I18" s="7"/>
      <c r="J18" s="21"/>
      <c r="K18" s="26" t="s">
        <v>103</v>
      </c>
      <c r="L18" s="23" t="s">
        <v>102</v>
      </c>
      <c r="M18" s="24"/>
      <c r="N18" s="24"/>
      <c r="O18" s="25"/>
      <c r="Q18" s="32"/>
    </row>
    <row r="19" s="2" customFormat="1" ht="18" customHeight="1" spans="1:17">
      <c r="A19" s="6">
        <v>42487</v>
      </c>
      <c r="B19" s="7">
        <f t="shared" si="4"/>
        <v>121400</v>
      </c>
      <c r="C19" s="8"/>
      <c r="D19" s="9"/>
      <c r="E19" s="65"/>
      <c r="F19" s="7">
        <f t="shared" si="5"/>
        <v>0</v>
      </c>
      <c r="G19" s="12">
        <v>121400</v>
      </c>
      <c r="H19" s="13"/>
      <c r="I19" s="7"/>
      <c r="J19" s="21"/>
      <c r="K19" s="26" t="s">
        <v>57</v>
      </c>
      <c r="L19" s="23" t="s">
        <v>58</v>
      </c>
      <c r="M19" s="24"/>
      <c r="N19" s="24"/>
      <c r="O19" s="25"/>
      <c r="Q19" s="32"/>
    </row>
    <row r="20" s="2" customFormat="1" ht="18" customHeight="1" spans="1:17">
      <c r="A20" s="6">
        <v>42487</v>
      </c>
      <c r="B20" s="7">
        <f t="shared" si="4"/>
        <v>99120</v>
      </c>
      <c r="C20" s="8">
        <v>1</v>
      </c>
      <c r="D20" s="9" t="s">
        <v>56</v>
      </c>
      <c r="E20" s="65"/>
      <c r="F20" s="7">
        <f t="shared" si="5"/>
        <v>0</v>
      </c>
      <c r="G20" s="12">
        <v>99120</v>
      </c>
      <c r="H20" s="13"/>
      <c r="I20" s="7"/>
      <c r="J20" s="21"/>
      <c r="K20" s="26" t="s">
        <v>104</v>
      </c>
      <c r="L20" s="23" t="s">
        <v>105</v>
      </c>
      <c r="M20" s="24"/>
      <c r="N20" s="24"/>
      <c r="O20" s="25"/>
      <c r="Q20" s="32"/>
    </row>
    <row r="21" s="2" customFormat="1" ht="18" customHeight="1" spans="1:17">
      <c r="A21" s="6">
        <v>42705</v>
      </c>
      <c r="B21" s="7">
        <f t="shared" si="4"/>
        <v>208440</v>
      </c>
      <c r="C21" s="8"/>
      <c r="D21" s="9"/>
      <c r="E21" s="65"/>
      <c r="F21" s="7">
        <f t="shared" si="5"/>
        <v>0</v>
      </c>
      <c r="G21" s="12">
        <v>208440</v>
      </c>
      <c r="H21" s="13"/>
      <c r="I21" s="7"/>
      <c r="J21" s="21"/>
      <c r="K21" s="26" t="s">
        <v>57</v>
      </c>
      <c r="L21" s="23" t="s">
        <v>58</v>
      </c>
      <c r="M21" s="24"/>
      <c r="N21" s="24"/>
      <c r="O21" s="25"/>
      <c r="Q21" s="32"/>
    </row>
    <row r="22" s="2" customFormat="1" ht="18" customHeight="1" spans="1:17">
      <c r="A22" s="6">
        <v>42705</v>
      </c>
      <c r="B22" s="7">
        <f t="shared" si="4"/>
        <v>290000</v>
      </c>
      <c r="C22" s="8">
        <v>1</v>
      </c>
      <c r="D22" s="9" t="s">
        <v>40</v>
      </c>
      <c r="E22" s="65"/>
      <c r="F22" s="7">
        <f t="shared" si="5"/>
        <v>0</v>
      </c>
      <c r="G22" s="12">
        <v>290000</v>
      </c>
      <c r="H22" s="13"/>
      <c r="I22" s="7"/>
      <c r="J22" s="21"/>
      <c r="K22" s="26" t="s">
        <v>41</v>
      </c>
      <c r="L22" s="23" t="s">
        <v>42</v>
      </c>
      <c r="M22" s="24"/>
      <c r="N22" s="24"/>
      <c r="O22" s="25"/>
      <c r="Q22" s="32"/>
    </row>
    <row r="23" s="2" customFormat="1" ht="18" customHeight="1" spans="1:17">
      <c r="A23" s="6">
        <v>42705</v>
      </c>
      <c r="B23" s="7">
        <f t="shared" si="4"/>
        <v>256041.03</v>
      </c>
      <c r="C23" s="8">
        <v>3</v>
      </c>
      <c r="D23" s="9" t="s">
        <v>34</v>
      </c>
      <c r="E23" s="65">
        <v>0.17</v>
      </c>
      <c r="F23" s="7">
        <f t="shared" si="5"/>
        <v>43526.97</v>
      </c>
      <c r="G23" s="12">
        <f>100014+100014+99540</f>
        <v>299568</v>
      </c>
      <c r="H23" s="13"/>
      <c r="I23" s="7"/>
      <c r="J23" s="21"/>
      <c r="K23" s="26" t="s">
        <v>54</v>
      </c>
      <c r="L23" s="23" t="s">
        <v>45</v>
      </c>
      <c r="M23" s="24"/>
      <c r="N23" s="24"/>
      <c r="O23" s="25"/>
      <c r="Q23" s="32"/>
    </row>
    <row r="24" s="2" customFormat="1" ht="18" customHeight="1" spans="1:17">
      <c r="A24" s="6"/>
      <c r="B24" s="7">
        <f t="shared" si="4"/>
        <v>0</v>
      </c>
      <c r="C24" s="8"/>
      <c r="D24" s="9"/>
      <c r="E24" s="65"/>
      <c r="F24" s="7">
        <f t="shared" si="5"/>
        <v>0</v>
      </c>
      <c r="G24" s="12"/>
      <c r="H24" s="66">
        <v>42703</v>
      </c>
      <c r="I24" s="74">
        <v>150000</v>
      </c>
      <c r="J24" s="21" t="s">
        <v>47</v>
      </c>
      <c r="K24" s="26" t="s">
        <v>54</v>
      </c>
      <c r="L24" s="23" t="s">
        <v>45</v>
      </c>
      <c r="M24" s="24"/>
      <c r="N24" s="24"/>
      <c r="O24" s="25"/>
      <c r="Q24" s="32"/>
    </row>
    <row r="25" s="2" customFormat="1" ht="18" customHeight="1" spans="1:17">
      <c r="A25" s="6"/>
      <c r="B25" s="7">
        <f t="shared" si="4"/>
        <v>0</v>
      </c>
      <c r="C25" s="8"/>
      <c r="D25" s="9"/>
      <c r="E25" s="65"/>
      <c r="F25" s="7">
        <f t="shared" si="5"/>
        <v>0</v>
      </c>
      <c r="G25" s="12"/>
      <c r="H25" s="66">
        <v>42717</v>
      </c>
      <c r="I25" s="74">
        <v>200000</v>
      </c>
      <c r="J25" s="21" t="s">
        <v>47</v>
      </c>
      <c r="K25" s="26" t="s">
        <v>54</v>
      </c>
      <c r="L25" s="23" t="s">
        <v>45</v>
      </c>
      <c r="M25" s="24"/>
      <c r="N25" s="24"/>
      <c r="O25" s="25"/>
      <c r="Q25" s="32"/>
    </row>
    <row r="26" s="2" customFormat="1" ht="18" customHeight="1" spans="1:17">
      <c r="A26" s="6">
        <v>42705</v>
      </c>
      <c r="B26" s="7">
        <f t="shared" si="4"/>
        <v>145299.15</v>
      </c>
      <c r="C26" s="8">
        <v>2</v>
      </c>
      <c r="D26" s="9" t="s">
        <v>34</v>
      </c>
      <c r="E26" s="65">
        <v>0.17</v>
      </c>
      <c r="F26" s="7">
        <f t="shared" si="5"/>
        <v>24700.85</v>
      </c>
      <c r="G26" s="12">
        <f>112800+57200</f>
        <v>170000</v>
      </c>
      <c r="H26" s="13"/>
      <c r="I26" s="7"/>
      <c r="J26" s="21"/>
      <c r="K26" s="26" t="s">
        <v>52</v>
      </c>
      <c r="L26" s="23" t="s">
        <v>45</v>
      </c>
      <c r="M26" s="24"/>
      <c r="N26" s="24"/>
      <c r="O26" s="25"/>
      <c r="Q26" s="32"/>
    </row>
    <row r="27" s="2" customFormat="1" ht="18" customHeight="1" spans="1:17">
      <c r="A27" s="6"/>
      <c r="B27" s="7">
        <f t="shared" si="4"/>
        <v>0</v>
      </c>
      <c r="C27" s="8"/>
      <c r="D27" s="9"/>
      <c r="E27" s="65"/>
      <c r="F27" s="7">
        <f t="shared" si="5"/>
        <v>0</v>
      </c>
      <c r="G27" s="12"/>
      <c r="H27" s="66">
        <v>42683</v>
      </c>
      <c r="I27" s="74">
        <v>50000</v>
      </c>
      <c r="J27" s="21" t="s">
        <v>47</v>
      </c>
      <c r="K27" s="26" t="s">
        <v>52</v>
      </c>
      <c r="L27" s="23" t="s">
        <v>45</v>
      </c>
      <c r="M27" s="24"/>
      <c r="N27" s="24"/>
      <c r="O27" s="25"/>
      <c r="Q27" s="32"/>
    </row>
    <row r="28" s="2" customFormat="1" ht="18" customHeight="1" spans="1:17">
      <c r="A28" s="6"/>
      <c r="B28" s="7">
        <f t="shared" si="4"/>
        <v>0</v>
      </c>
      <c r="C28" s="8"/>
      <c r="D28" s="9"/>
      <c r="E28" s="65"/>
      <c r="F28" s="7">
        <f t="shared" si="5"/>
        <v>0</v>
      </c>
      <c r="G28" s="12"/>
      <c r="H28" s="66">
        <v>42681</v>
      </c>
      <c r="I28" s="74">
        <v>120000</v>
      </c>
      <c r="J28" s="21" t="s">
        <v>47</v>
      </c>
      <c r="K28" s="26" t="s">
        <v>52</v>
      </c>
      <c r="L28" s="23" t="s">
        <v>45</v>
      </c>
      <c r="M28" s="24"/>
      <c r="N28" s="24"/>
      <c r="O28" s="25"/>
      <c r="Q28" s="32"/>
    </row>
    <row r="29" s="2" customFormat="1" ht="18" customHeight="1" spans="1:17">
      <c r="A29" s="6">
        <v>42705</v>
      </c>
      <c r="B29" s="7">
        <f t="shared" si="4"/>
        <v>341880.34</v>
      </c>
      <c r="C29" s="8">
        <v>3</v>
      </c>
      <c r="D29" s="9" t="s">
        <v>34</v>
      </c>
      <c r="E29" s="65">
        <v>0.17</v>
      </c>
      <c r="F29" s="7">
        <f t="shared" si="5"/>
        <v>58119.66</v>
      </c>
      <c r="G29" s="12">
        <f>110000+110000+110000+70000</f>
        <v>400000</v>
      </c>
      <c r="H29" s="13"/>
      <c r="I29" s="7"/>
      <c r="J29" s="21"/>
      <c r="K29" s="26" t="s">
        <v>44</v>
      </c>
      <c r="L29" s="23" t="s">
        <v>45</v>
      </c>
      <c r="M29" s="24"/>
      <c r="N29" s="24"/>
      <c r="O29" s="25"/>
      <c r="Q29" s="32"/>
    </row>
    <row r="30" s="2" customFormat="1" ht="18" customHeight="1" spans="1:17">
      <c r="A30" s="6"/>
      <c r="B30" s="7">
        <f t="shared" si="4"/>
        <v>0</v>
      </c>
      <c r="C30" s="8"/>
      <c r="D30" s="9"/>
      <c r="E30" s="65"/>
      <c r="F30" s="7">
        <f t="shared" si="5"/>
        <v>0</v>
      </c>
      <c r="G30" s="12"/>
      <c r="H30" s="66">
        <v>42702</v>
      </c>
      <c r="I30" s="74">
        <v>200000</v>
      </c>
      <c r="J30" s="21" t="s">
        <v>47</v>
      </c>
      <c r="K30" s="26" t="s">
        <v>44</v>
      </c>
      <c r="L30" s="23" t="s">
        <v>45</v>
      </c>
      <c r="M30" s="24"/>
      <c r="N30" s="24"/>
      <c r="O30" s="25"/>
      <c r="Q30" s="32"/>
    </row>
    <row r="31" s="2" customFormat="1" ht="18" customHeight="1" spans="1:17">
      <c r="A31" s="6"/>
      <c r="B31" s="7">
        <f t="shared" si="4"/>
        <v>0</v>
      </c>
      <c r="C31" s="8"/>
      <c r="D31" s="9"/>
      <c r="E31" s="65"/>
      <c r="F31" s="7">
        <f t="shared" si="5"/>
        <v>0</v>
      </c>
      <c r="G31" s="12"/>
      <c r="H31" s="66">
        <v>42710</v>
      </c>
      <c r="I31" s="74">
        <v>200000</v>
      </c>
      <c r="J31" s="21" t="s">
        <v>47</v>
      </c>
      <c r="K31" s="26" t="s">
        <v>44</v>
      </c>
      <c r="L31" s="23" t="s">
        <v>45</v>
      </c>
      <c r="M31" s="24"/>
      <c r="N31" s="24"/>
      <c r="O31" s="25"/>
      <c r="Q31" s="32"/>
    </row>
    <row r="32" s="2" customFormat="1" ht="18" customHeight="1" spans="1:17">
      <c r="A32" s="6">
        <v>42705</v>
      </c>
      <c r="B32" s="7">
        <f t="shared" si="4"/>
        <v>315956.17</v>
      </c>
      <c r="C32" s="8">
        <v>4</v>
      </c>
      <c r="D32" s="9" t="s">
        <v>34</v>
      </c>
      <c r="E32" s="65">
        <v>0.17</v>
      </c>
      <c r="F32" s="7">
        <f t="shared" si="5"/>
        <v>53712.55</v>
      </c>
      <c r="G32" s="12">
        <f>100775.22+108970.7+107785.5+52137.3</f>
        <v>369668.72</v>
      </c>
      <c r="H32" s="16"/>
      <c r="I32" s="29"/>
      <c r="J32" s="21"/>
      <c r="K32" s="26" t="s">
        <v>48</v>
      </c>
      <c r="L32" s="23" t="s">
        <v>45</v>
      </c>
      <c r="M32" s="24"/>
      <c r="N32" s="24"/>
      <c r="O32" s="25"/>
      <c r="Q32" s="32"/>
    </row>
    <row r="33" s="2" customFormat="1" ht="18" customHeight="1" spans="1:17">
      <c r="A33" s="6"/>
      <c r="B33" s="7">
        <f t="shared" si="4"/>
        <v>0</v>
      </c>
      <c r="C33" s="8"/>
      <c r="D33" s="9"/>
      <c r="E33" s="65"/>
      <c r="F33" s="7">
        <f t="shared" si="5"/>
        <v>0</v>
      </c>
      <c r="G33" s="12"/>
      <c r="H33" s="66">
        <v>42671</v>
      </c>
      <c r="I33" s="74">
        <v>80000</v>
      </c>
      <c r="J33" s="21" t="s">
        <v>47</v>
      </c>
      <c r="K33" s="26" t="s">
        <v>48</v>
      </c>
      <c r="L33" s="23" t="s">
        <v>45</v>
      </c>
      <c r="M33" s="24"/>
      <c r="N33" s="24"/>
      <c r="O33" s="25"/>
      <c r="Q33" s="32"/>
    </row>
    <row r="34" s="2" customFormat="1" ht="18" customHeight="1" spans="1:17">
      <c r="A34" s="6"/>
      <c r="B34" s="7">
        <f t="shared" si="4"/>
        <v>0</v>
      </c>
      <c r="C34" s="8"/>
      <c r="D34" s="9"/>
      <c r="E34" s="65"/>
      <c r="F34" s="7">
        <f t="shared" si="5"/>
        <v>0</v>
      </c>
      <c r="G34" s="12"/>
      <c r="H34" s="66">
        <v>42709</v>
      </c>
      <c r="I34" s="74">
        <v>169668.72</v>
      </c>
      <c r="J34" s="21" t="s">
        <v>47</v>
      </c>
      <c r="K34" s="26" t="s">
        <v>48</v>
      </c>
      <c r="L34" s="23" t="s">
        <v>45</v>
      </c>
      <c r="M34" s="24"/>
      <c r="N34" s="24"/>
      <c r="O34" s="25"/>
      <c r="Q34" s="32"/>
    </row>
    <row r="35" s="2" customFormat="1" ht="18" customHeight="1" spans="1:17">
      <c r="A35" s="6"/>
      <c r="B35" s="7">
        <f t="shared" si="4"/>
        <v>0</v>
      </c>
      <c r="C35" s="8"/>
      <c r="D35" s="9"/>
      <c r="E35" s="65"/>
      <c r="F35" s="7">
        <f t="shared" si="5"/>
        <v>0</v>
      </c>
      <c r="G35" s="12"/>
      <c r="H35" s="16"/>
      <c r="I35" s="29"/>
      <c r="J35" s="21"/>
      <c r="K35" s="26"/>
      <c r="L35" s="23"/>
      <c r="M35" s="24"/>
      <c r="N35" s="24"/>
      <c r="O35" s="25"/>
      <c r="Q35" s="32"/>
    </row>
    <row r="36" s="2" customFormat="1" ht="18" customHeight="1" spans="1:17">
      <c r="A36" s="6"/>
      <c r="B36" s="7">
        <f t="shared" si="4"/>
        <v>0</v>
      </c>
      <c r="C36" s="8"/>
      <c r="D36" s="9"/>
      <c r="E36" s="65"/>
      <c r="F36" s="7">
        <f t="shared" si="5"/>
        <v>0</v>
      </c>
      <c r="G36" s="12"/>
      <c r="H36" s="13"/>
      <c r="I36" s="7"/>
      <c r="J36" s="21"/>
      <c r="K36" s="26"/>
      <c r="L36" s="23"/>
      <c r="M36" s="24"/>
      <c r="N36" s="24"/>
      <c r="O36" s="25"/>
      <c r="Q36" s="32"/>
    </row>
    <row r="37" s="2" customFormat="1" ht="18" customHeight="1" spans="1:17">
      <c r="A37" s="6"/>
      <c r="B37" s="7">
        <f t="shared" si="4"/>
        <v>0</v>
      </c>
      <c r="C37" s="8"/>
      <c r="D37" s="9"/>
      <c r="E37" s="65"/>
      <c r="F37" s="7">
        <f t="shared" si="5"/>
        <v>0</v>
      </c>
      <c r="G37" s="12"/>
      <c r="H37" s="13"/>
      <c r="I37" s="7"/>
      <c r="J37" s="21"/>
      <c r="K37" s="26"/>
      <c r="L37" s="23"/>
      <c r="M37" s="24"/>
      <c r="N37" s="24"/>
      <c r="O37" s="25"/>
      <c r="Q37" s="32"/>
    </row>
    <row r="38" s="2" customFormat="1" ht="18" customHeight="1" spans="1:17">
      <c r="A38" s="6"/>
      <c r="B38" s="7">
        <f t="shared" ref="B38:B51" si="6">ROUND(G38/(1+E38),2)</f>
        <v>0</v>
      </c>
      <c r="C38" s="8"/>
      <c r="D38" s="9"/>
      <c r="E38" s="65"/>
      <c r="F38" s="7">
        <f t="shared" si="5"/>
        <v>0</v>
      </c>
      <c r="G38" s="12"/>
      <c r="H38" s="13">
        <v>42699</v>
      </c>
      <c r="I38" s="7">
        <v>1269380</v>
      </c>
      <c r="J38" s="21"/>
      <c r="K38" s="30"/>
      <c r="L38" s="23"/>
      <c r="M38" s="24"/>
      <c r="N38" s="24"/>
      <c r="O38" s="25"/>
      <c r="Q38" s="32"/>
    </row>
    <row r="39" s="2" customFormat="1" ht="18" customHeight="1" spans="1:17">
      <c r="A39" s="6"/>
      <c r="B39" s="7">
        <f t="shared" si="6"/>
        <v>0</v>
      </c>
      <c r="C39" s="8"/>
      <c r="D39" s="9"/>
      <c r="E39" s="65"/>
      <c r="F39" s="7">
        <f t="shared" si="5"/>
        <v>0</v>
      </c>
      <c r="G39" s="12"/>
      <c r="H39" s="13" t="s">
        <v>60</v>
      </c>
      <c r="I39" s="7">
        <v>700000</v>
      </c>
      <c r="J39" s="21"/>
      <c r="K39" s="30"/>
      <c r="L39" s="23"/>
      <c r="M39" s="24"/>
      <c r="N39" s="24"/>
      <c r="O39" s="25"/>
      <c r="Q39" s="32"/>
    </row>
    <row r="40" s="2" customFormat="1" ht="18" customHeight="1" spans="1:17">
      <c r="A40" s="6"/>
      <c r="B40" s="7">
        <f t="shared" si="6"/>
        <v>0</v>
      </c>
      <c r="C40" s="8"/>
      <c r="D40" s="9"/>
      <c r="E40" s="65"/>
      <c r="F40" s="7">
        <f t="shared" ref="F38:F47" si="7">ROUND(G40/(1+E40)*E40,2)</f>
        <v>0</v>
      </c>
      <c r="G40" s="12"/>
      <c r="H40" s="13" t="s">
        <v>61</v>
      </c>
      <c r="I40" s="7">
        <v>988179.18</v>
      </c>
      <c r="J40" s="21"/>
      <c r="K40" s="26"/>
      <c r="L40" s="23"/>
      <c r="M40" s="24"/>
      <c r="N40" s="24"/>
      <c r="O40" s="25"/>
      <c r="Q40" s="32"/>
    </row>
    <row r="41" s="2" customFormat="1" ht="18" customHeight="1" spans="1:17">
      <c r="A41" s="6">
        <v>42736</v>
      </c>
      <c r="B41" s="7">
        <f t="shared" si="6"/>
        <v>630000</v>
      </c>
      <c r="C41" s="8"/>
      <c r="D41" s="9" t="s">
        <v>56</v>
      </c>
      <c r="E41" s="65"/>
      <c r="F41" s="7">
        <f t="shared" si="7"/>
        <v>0</v>
      </c>
      <c r="G41" s="12">
        <v>630000</v>
      </c>
      <c r="H41" s="13"/>
      <c r="I41" s="7"/>
      <c r="J41" s="21"/>
      <c r="K41" s="26" t="s">
        <v>57</v>
      </c>
      <c r="L41" s="26" t="s">
        <v>62</v>
      </c>
      <c r="M41" s="24"/>
      <c r="N41" s="24"/>
      <c r="O41" s="25"/>
      <c r="Q41" s="32"/>
    </row>
    <row r="42" s="2" customFormat="1" ht="18" customHeight="1" spans="1:17">
      <c r="A42" s="6">
        <v>42736</v>
      </c>
      <c r="B42" s="7">
        <f t="shared" si="6"/>
        <v>207720</v>
      </c>
      <c r="C42" s="8"/>
      <c r="D42" s="9" t="s">
        <v>56</v>
      </c>
      <c r="E42" s="65"/>
      <c r="F42" s="7">
        <f t="shared" si="7"/>
        <v>0</v>
      </c>
      <c r="G42" s="12">
        <v>207720</v>
      </c>
      <c r="H42" s="13"/>
      <c r="I42" s="7"/>
      <c r="J42" s="21"/>
      <c r="K42" s="26" t="s">
        <v>57</v>
      </c>
      <c r="L42" s="23" t="s">
        <v>58</v>
      </c>
      <c r="M42" s="24"/>
      <c r="N42" s="24"/>
      <c r="O42" s="25"/>
      <c r="Q42" s="32"/>
    </row>
    <row r="43" s="2" customFormat="1" ht="18" customHeight="1" spans="1:17">
      <c r="A43" s="6">
        <v>42736</v>
      </c>
      <c r="B43" s="7">
        <f t="shared" si="6"/>
        <v>2100</v>
      </c>
      <c r="C43" s="8"/>
      <c r="D43" s="9" t="s">
        <v>56</v>
      </c>
      <c r="E43" s="65"/>
      <c r="F43" s="7">
        <f t="shared" si="7"/>
        <v>0</v>
      </c>
      <c r="G43" s="12">
        <v>2100</v>
      </c>
      <c r="H43" s="13"/>
      <c r="I43" s="7"/>
      <c r="J43" s="21"/>
      <c r="K43" s="26" t="s">
        <v>57</v>
      </c>
      <c r="L43" s="23" t="s">
        <v>63</v>
      </c>
      <c r="M43" s="24"/>
      <c r="N43" s="24"/>
      <c r="O43" s="25"/>
      <c r="Q43" s="32"/>
    </row>
    <row r="44" s="2" customFormat="1" ht="18" customHeight="1" spans="1:17">
      <c r="A44" s="6">
        <v>42795</v>
      </c>
      <c r="B44" s="7">
        <f t="shared" si="6"/>
        <v>487920</v>
      </c>
      <c r="C44" s="8"/>
      <c r="D44" s="9" t="s">
        <v>56</v>
      </c>
      <c r="E44" s="65"/>
      <c r="F44" s="7">
        <f t="shared" si="7"/>
        <v>0</v>
      </c>
      <c r="G44" s="12">
        <v>487920</v>
      </c>
      <c r="H44" s="13"/>
      <c r="I44" s="7"/>
      <c r="J44" s="21"/>
      <c r="K44" s="26" t="s">
        <v>57</v>
      </c>
      <c r="L44" s="23" t="s">
        <v>58</v>
      </c>
      <c r="M44" s="24"/>
      <c r="N44" s="24"/>
      <c r="O44" s="25"/>
      <c r="Q44" s="32"/>
    </row>
    <row r="45" s="2" customFormat="1" ht="18" customHeight="1" spans="1:17">
      <c r="A45" s="6">
        <v>42826</v>
      </c>
      <c r="B45" s="7">
        <f t="shared" si="6"/>
        <v>487920</v>
      </c>
      <c r="C45" s="8"/>
      <c r="D45" s="9" t="s">
        <v>56</v>
      </c>
      <c r="E45" s="65"/>
      <c r="F45" s="7">
        <f t="shared" si="7"/>
        <v>0</v>
      </c>
      <c r="G45" s="12">
        <v>487920</v>
      </c>
      <c r="H45" s="13"/>
      <c r="I45" s="7"/>
      <c r="J45" s="21"/>
      <c r="K45" s="26" t="s">
        <v>57</v>
      </c>
      <c r="L45" s="23" t="s">
        <v>58</v>
      </c>
      <c r="M45" s="24"/>
      <c r="N45" s="24"/>
      <c r="O45" s="25"/>
      <c r="Q45" s="32"/>
    </row>
    <row r="46" s="2" customFormat="1" ht="18" customHeight="1" spans="1:17">
      <c r="A46" s="6"/>
      <c r="B46" s="7">
        <f t="shared" si="6"/>
        <v>0</v>
      </c>
      <c r="C46" s="8"/>
      <c r="D46" s="9"/>
      <c r="E46" s="65"/>
      <c r="F46" s="7">
        <f t="shared" si="7"/>
        <v>0</v>
      </c>
      <c r="G46" s="12"/>
      <c r="H46" s="13"/>
      <c r="I46" s="7"/>
      <c r="J46" s="21"/>
      <c r="K46" s="26"/>
      <c r="L46" s="23"/>
      <c r="M46" s="24"/>
      <c r="N46" s="24"/>
      <c r="O46" s="25"/>
      <c r="Q46" s="32"/>
    </row>
    <row r="47" s="2" customFormat="1" ht="18" customHeight="1" spans="1:17">
      <c r="A47" s="6"/>
      <c r="B47" s="7">
        <f t="shared" si="6"/>
        <v>2013510.87</v>
      </c>
      <c r="C47" s="8"/>
      <c r="D47" s="9"/>
      <c r="E47" s="65"/>
      <c r="F47" s="7">
        <f t="shared" si="7"/>
        <v>0</v>
      </c>
      <c r="G47" s="17">
        <v>2013510.87</v>
      </c>
      <c r="H47" s="13"/>
      <c r="I47" s="7"/>
      <c r="J47" s="21"/>
      <c r="K47" s="30"/>
      <c r="L47" s="23"/>
      <c r="M47" s="24"/>
      <c r="N47" s="24"/>
      <c r="O47" s="25"/>
      <c r="Q47" s="32"/>
    </row>
    <row r="48" s="2" customFormat="1" ht="18" customHeight="1" spans="1:17">
      <c r="A48" s="6"/>
      <c r="B48" s="7">
        <f t="shared" si="6"/>
        <v>0</v>
      </c>
      <c r="C48" s="8"/>
      <c r="D48" s="9"/>
      <c r="E48" s="65"/>
      <c r="F48" s="7">
        <f t="shared" ref="F47:F52" si="8">ROUND(G48/(1+E48)*E48,2)</f>
        <v>0</v>
      </c>
      <c r="G48" s="12"/>
      <c r="H48" s="13" t="s">
        <v>64</v>
      </c>
      <c r="I48" s="7">
        <v>887397.21</v>
      </c>
      <c r="J48" s="21"/>
      <c r="K48" s="30"/>
      <c r="L48" s="23"/>
      <c r="M48" s="24"/>
      <c r="N48" s="24"/>
      <c r="O48" s="25"/>
      <c r="Q48" s="32"/>
    </row>
    <row r="49" s="2" customFormat="1" ht="18" customHeight="1" spans="1:15">
      <c r="A49" s="6"/>
      <c r="B49" s="7">
        <f t="shared" si="6"/>
        <v>508920</v>
      </c>
      <c r="C49" s="8"/>
      <c r="D49" s="9"/>
      <c r="E49" s="65"/>
      <c r="F49" s="7">
        <f t="shared" si="8"/>
        <v>0</v>
      </c>
      <c r="G49" s="17">
        <v>508920</v>
      </c>
      <c r="H49" s="13"/>
      <c r="I49" s="31"/>
      <c r="J49" s="21"/>
      <c r="K49" s="30"/>
      <c r="L49" s="23"/>
      <c r="M49" s="24"/>
      <c r="N49" s="24"/>
      <c r="O49" s="25"/>
    </row>
    <row r="50" s="2" customFormat="1" ht="18" customHeight="1" spans="1:15">
      <c r="A50" s="6"/>
      <c r="B50" s="7">
        <f t="shared" si="6"/>
        <v>0</v>
      </c>
      <c r="C50" s="8"/>
      <c r="D50" s="9"/>
      <c r="E50" s="65"/>
      <c r="F50" s="7">
        <f t="shared" si="8"/>
        <v>0</v>
      </c>
      <c r="G50" s="12"/>
      <c r="H50" s="13" t="s">
        <v>65</v>
      </c>
      <c r="I50" s="31">
        <v>274902.02</v>
      </c>
      <c r="J50" s="21"/>
      <c r="K50" s="30"/>
      <c r="L50" s="23"/>
      <c r="M50" s="24"/>
      <c r="N50" s="24"/>
      <c r="O50" s="25"/>
    </row>
    <row r="51" s="2" customFormat="1" ht="18" customHeight="1" spans="1:15">
      <c r="A51" s="6"/>
      <c r="B51" s="7">
        <f t="shared" si="6"/>
        <v>0</v>
      </c>
      <c r="C51" s="8"/>
      <c r="D51" s="9"/>
      <c r="E51" s="65"/>
      <c r="F51" s="7">
        <f t="shared" si="8"/>
        <v>0</v>
      </c>
      <c r="G51" s="12"/>
      <c r="H51" s="13"/>
      <c r="I51" s="31"/>
      <c r="J51" s="21"/>
      <c r="K51" s="30"/>
      <c r="L51" s="23"/>
      <c r="M51" s="24"/>
      <c r="N51" s="24"/>
      <c r="O51" s="25"/>
    </row>
    <row r="52" s="2" customFormat="1" ht="18" customHeight="1" spans="1:15">
      <c r="A52" s="6"/>
      <c r="B52" s="7"/>
      <c r="C52" s="8"/>
      <c r="D52" s="9"/>
      <c r="E52" s="65"/>
      <c r="F52" s="7"/>
      <c r="G52" s="12"/>
      <c r="H52" s="13"/>
      <c r="I52" s="31"/>
      <c r="J52" s="21"/>
      <c r="K52" s="30"/>
      <c r="L52" s="23"/>
      <c r="M52" s="24"/>
      <c r="N52" s="24"/>
      <c r="O52" s="25"/>
    </row>
    <row r="53" s="2" customFormat="1" ht="18" customHeight="1" spans="1:15">
      <c r="A53" s="6"/>
      <c r="B53" s="7"/>
      <c r="C53" s="8"/>
      <c r="D53" s="9"/>
      <c r="E53" s="65"/>
      <c r="F53" s="7"/>
      <c r="G53" s="12"/>
      <c r="H53" s="13"/>
      <c r="I53" s="31"/>
      <c r="J53" s="21"/>
      <c r="K53" s="30"/>
      <c r="L53" s="23"/>
      <c r="M53" s="24"/>
      <c r="N53" s="24"/>
      <c r="O53" s="25"/>
    </row>
    <row r="54" s="2" customFormat="1" ht="18" customHeight="1" spans="1:15">
      <c r="A54" s="6"/>
      <c r="B54" s="7"/>
      <c r="C54" s="8"/>
      <c r="D54" s="9"/>
      <c r="E54" s="65"/>
      <c r="F54" s="7"/>
      <c r="G54" s="12"/>
      <c r="H54" s="13"/>
      <c r="I54" s="31"/>
      <c r="J54" s="21"/>
      <c r="K54" s="30"/>
      <c r="L54" s="23"/>
      <c r="M54" s="24"/>
      <c r="N54" s="24"/>
      <c r="O54" s="25"/>
    </row>
    <row r="55" s="2" customFormat="1" ht="18" customHeight="1" spans="1:15">
      <c r="A55" s="6"/>
      <c r="B55" s="7"/>
      <c r="C55" s="8"/>
      <c r="D55" s="9"/>
      <c r="E55" s="65"/>
      <c r="F55" s="7"/>
      <c r="G55" s="12"/>
      <c r="H55" s="13"/>
      <c r="I55" s="31"/>
      <c r="J55" s="21"/>
      <c r="K55" s="30"/>
      <c r="L55" s="23"/>
      <c r="M55" s="24"/>
      <c r="N55" s="24"/>
      <c r="O55" s="25"/>
    </row>
    <row r="56" s="2" customFormat="1" ht="18" customHeight="1" spans="1:15">
      <c r="A56" s="6"/>
      <c r="B56" s="7"/>
      <c r="C56" s="8"/>
      <c r="D56" s="9"/>
      <c r="E56" s="65"/>
      <c r="F56" s="7"/>
      <c r="G56" s="12"/>
      <c r="H56" s="13"/>
      <c r="I56" s="31"/>
      <c r="J56" s="21"/>
      <c r="K56" s="30"/>
      <c r="L56" s="23"/>
      <c r="M56" s="24"/>
      <c r="N56" s="24"/>
      <c r="O56" s="25"/>
    </row>
    <row r="57" s="2" customFormat="1" ht="18" customHeight="1" spans="1:15">
      <c r="A57" s="6"/>
      <c r="B57" s="7">
        <f t="shared" ref="B57:B66" si="9">ROUND(G57/(1+E57),2)</f>
        <v>0</v>
      </c>
      <c r="C57" s="8"/>
      <c r="D57" s="9"/>
      <c r="E57" s="65"/>
      <c r="F57" s="7">
        <f>ROUND(G57/(1+E57)*E57,2)</f>
        <v>0</v>
      </c>
      <c r="G57" s="12"/>
      <c r="H57" s="13"/>
      <c r="I57" s="31"/>
      <c r="J57" s="21"/>
      <c r="K57" s="30"/>
      <c r="L57" s="23"/>
      <c r="M57" s="24"/>
      <c r="N57" s="24"/>
      <c r="O57" s="25"/>
    </row>
    <row r="58" s="2" customFormat="1" ht="18" customHeight="1" spans="1:15">
      <c r="A58" s="6"/>
      <c r="B58" s="7">
        <f t="shared" si="9"/>
        <v>0</v>
      </c>
      <c r="C58" s="8"/>
      <c r="D58" s="9"/>
      <c r="E58" s="65"/>
      <c r="F58" s="7">
        <f t="shared" ref="F58:F68" si="10">ROUND(G58/(1+E58)*E58,2)</f>
        <v>0</v>
      </c>
      <c r="G58" s="12"/>
      <c r="H58" s="13" t="s">
        <v>71</v>
      </c>
      <c r="I58" s="31">
        <v>1000</v>
      </c>
      <c r="J58" s="21" t="s">
        <v>66</v>
      </c>
      <c r="K58" s="30" t="s">
        <v>72</v>
      </c>
      <c r="L58" s="23"/>
      <c r="M58" s="24"/>
      <c r="N58" s="24"/>
      <c r="O58" s="25"/>
    </row>
    <row r="59" s="2" customFormat="1" ht="18" customHeight="1" spans="1:15">
      <c r="A59" s="6"/>
      <c r="B59" s="7">
        <f t="shared" si="9"/>
        <v>0</v>
      </c>
      <c r="C59" s="8"/>
      <c r="D59" s="9"/>
      <c r="E59" s="65"/>
      <c r="F59" s="7">
        <f t="shared" si="10"/>
        <v>0</v>
      </c>
      <c r="G59" s="12"/>
      <c r="H59" s="13" t="s">
        <v>71</v>
      </c>
      <c r="I59" s="31">
        <v>87.61</v>
      </c>
      <c r="J59" s="21" t="s">
        <v>66</v>
      </c>
      <c r="K59" s="26" t="s">
        <v>73</v>
      </c>
      <c r="L59" s="23"/>
      <c r="M59" s="24"/>
      <c r="N59" s="24"/>
      <c r="O59" s="25"/>
    </row>
    <row r="60" s="2" customFormat="1" ht="18" customHeight="1" spans="1:15">
      <c r="A60" s="6"/>
      <c r="B60" s="7">
        <f t="shared" ref="B60:B68" si="11">ROUND(G60/(1+E60),2)</f>
        <v>0</v>
      </c>
      <c r="C60" s="8"/>
      <c r="D60" s="9"/>
      <c r="E60" s="65"/>
      <c r="F60" s="7">
        <f t="shared" si="10"/>
        <v>0</v>
      </c>
      <c r="G60" s="12"/>
      <c r="H60" s="13" t="s">
        <v>71</v>
      </c>
      <c r="I60" s="31">
        <v>26046.47</v>
      </c>
      <c r="J60" s="21" t="s">
        <v>66</v>
      </c>
      <c r="K60" s="26" t="s">
        <v>74</v>
      </c>
      <c r="L60" s="23"/>
      <c r="M60" s="24"/>
      <c r="N60" s="24"/>
      <c r="O60" s="25"/>
    </row>
    <row r="61" s="2" customFormat="1" ht="18" customHeight="1" spans="1:15">
      <c r="A61" s="6"/>
      <c r="B61" s="7">
        <f t="shared" si="11"/>
        <v>0</v>
      </c>
      <c r="C61" s="8"/>
      <c r="D61" s="9"/>
      <c r="E61" s="65"/>
      <c r="F61" s="7">
        <f t="shared" si="10"/>
        <v>0</v>
      </c>
      <c r="G61" s="12"/>
      <c r="H61" s="13" t="s">
        <v>71</v>
      </c>
      <c r="I61" s="31">
        <v>-10000</v>
      </c>
      <c r="J61" s="21" t="s">
        <v>75</v>
      </c>
      <c r="K61" s="26" t="s">
        <v>76</v>
      </c>
      <c r="L61" s="23"/>
      <c r="M61" s="24"/>
      <c r="N61" s="24"/>
      <c r="O61" s="25"/>
    </row>
    <row r="62" s="2" customFormat="1" ht="18" customHeight="1" spans="1:15">
      <c r="A62" s="6"/>
      <c r="B62" s="7">
        <f t="shared" si="11"/>
        <v>0</v>
      </c>
      <c r="C62" s="8"/>
      <c r="D62" s="9"/>
      <c r="E62" s="65"/>
      <c r="F62" s="7">
        <f t="shared" si="10"/>
        <v>0</v>
      </c>
      <c r="G62" s="12"/>
      <c r="H62" s="13" t="s">
        <v>77</v>
      </c>
      <c r="I62" s="31">
        <v>10000</v>
      </c>
      <c r="J62" s="21" t="s">
        <v>78</v>
      </c>
      <c r="K62" s="26" t="s">
        <v>79</v>
      </c>
      <c r="L62" s="23"/>
      <c r="M62" s="24"/>
      <c r="N62" s="24"/>
      <c r="O62" s="25"/>
    </row>
    <row r="63" s="2" customFormat="1" ht="18" customHeight="1" spans="1:15">
      <c r="A63" s="6"/>
      <c r="B63" s="7">
        <f t="shared" si="11"/>
        <v>0</v>
      </c>
      <c r="C63" s="8"/>
      <c r="D63" s="9"/>
      <c r="E63" s="65"/>
      <c r="F63" s="7">
        <f t="shared" si="10"/>
        <v>0</v>
      </c>
      <c r="G63" s="12"/>
      <c r="H63" s="13" t="s">
        <v>77</v>
      </c>
      <c r="I63" s="31">
        <v>31610.79</v>
      </c>
      <c r="J63" s="21" t="s">
        <v>66</v>
      </c>
      <c r="K63" s="26" t="s">
        <v>74</v>
      </c>
      <c r="L63" s="23"/>
      <c r="M63" s="24"/>
      <c r="N63" s="24"/>
      <c r="O63" s="25"/>
    </row>
    <row r="64" s="2" customFormat="1" ht="18" customHeight="1" spans="1:15">
      <c r="A64" s="6"/>
      <c r="B64" s="7">
        <f t="shared" si="11"/>
        <v>0</v>
      </c>
      <c r="C64" s="8"/>
      <c r="D64" s="9"/>
      <c r="E64" s="65"/>
      <c r="F64" s="7">
        <f t="shared" si="10"/>
        <v>0</v>
      </c>
      <c r="G64" s="12"/>
      <c r="H64" s="13" t="s">
        <v>80</v>
      </c>
      <c r="I64" s="31">
        <v>888.82</v>
      </c>
      <c r="J64" s="21" t="s">
        <v>66</v>
      </c>
      <c r="K64" s="26" t="s">
        <v>73</v>
      </c>
      <c r="L64" s="23"/>
      <c r="M64" s="24"/>
      <c r="N64" s="24"/>
      <c r="O64" s="25"/>
    </row>
    <row r="65" s="2" customFormat="1" ht="18" customHeight="1" spans="1:15">
      <c r="A65" s="6"/>
      <c r="B65" s="7">
        <f t="shared" si="11"/>
        <v>0</v>
      </c>
      <c r="C65" s="8"/>
      <c r="D65" s="9"/>
      <c r="E65" s="65"/>
      <c r="F65" s="7">
        <f t="shared" si="10"/>
        <v>0</v>
      </c>
      <c r="G65" s="12"/>
      <c r="H65" s="13" t="s">
        <v>81</v>
      </c>
      <c r="I65" s="31">
        <v>-700000</v>
      </c>
      <c r="J65" s="21" t="s">
        <v>75</v>
      </c>
      <c r="K65" s="26" t="s">
        <v>82</v>
      </c>
      <c r="L65" s="23"/>
      <c r="M65" s="24"/>
      <c r="N65" s="24"/>
      <c r="O65" s="25"/>
    </row>
    <row r="66" s="2" customFormat="1" ht="21" customHeight="1" spans="1:15">
      <c r="A66" s="6"/>
      <c r="B66" s="7">
        <f t="shared" si="11"/>
        <v>0</v>
      </c>
      <c r="C66" s="8"/>
      <c r="D66" s="9"/>
      <c r="E66" s="65"/>
      <c r="F66" s="7">
        <f t="shared" si="10"/>
        <v>0</v>
      </c>
      <c r="G66" s="12"/>
      <c r="H66" s="13" t="s">
        <v>81</v>
      </c>
      <c r="I66" s="31">
        <v>4300</v>
      </c>
      <c r="J66" s="21" t="s">
        <v>66</v>
      </c>
      <c r="K66" s="26" t="s">
        <v>83</v>
      </c>
      <c r="L66" s="23"/>
      <c r="M66" s="24"/>
      <c r="N66" s="24"/>
      <c r="O66" s="25"/>
    </row>
    <row r="67" s="2" customFormat="1" ht="21" customHeight="1" spans="1:15">
      <c r="A67" s="6"/>
      <c r="B67" s="7">
        <f t="shared" si="11"/>
        <v>0</v>
      </c>
      <c r="C67" s="8"/>
      <c r="D67" s="9"/>
      <c r="E67" s="65"/>
      <c r="F67" s="7">
        <f t="shared" si="10"/>
        <v>0</v>
      </c>
      <c r="G67" s="31"/>
      <c r="H67" s="13" t="s">
        <v>81</v>
      </c>
      <c r="I67" s="31">
        <v>700000</v>
      </c>
      <c r="J67" s="21" t="s">
        <v>78</v>
      </c>
      <c r="K67" s="26" t="s">
        <v>82</v>
      </c>
      <c r="L67" s="23"/>
      <c r="M67" s="24"/>
      <c r="N67" s="24"/>
      <c r="O67" s="25"/>
    </row>
    <row r="68" s="2" customFormat="1" ht="18" customHeight="1" spans="1:15">
      <c r="A68" s="62" t="s">
        <v>20</v>
      </c>
      <c r="B68" s="61">
        <f t="shared" ref="B68:G68" si="12">SUM(B16:B67)</f>
        <v>9833539.86</v>
      </c>
      <c r="C68" s="62"/>
      <c r="D68" s="75"/>
      <c r="E68" s="75"/>
      <c r="F68" s="63">
        <f t="shared" si="12"/>
        <v>180060.03</v>
      </c>
      <c r="G68" s="76">
        <f t="shared" si="12"/>
        <v>10013599.89</v>
      </c>
      <c r="H68" s="77"/>
      <c r="I68" s="62">
        <f>SUM(I16:I67)</f>
        <v>5353460.82</v>
      </c>
      <c r="J68" s="90"/>
      <c r="K68" s="91"/>
      <c r="L68" s="92"/>
      <c r="M68" s="21"/>
      <c r="N68" s="21"/>
      <c r="O68" s="64"/>
    </row>
    <row r="69" s="2" customFormat="1" ht="18" customHeight="1" spans="1:15">
      <c r="A69" s="78" t="s">
        <v>84</v>
      </c>
      <c r="B69" s="78">
        <f>B13-B68</f>
        <v>-6064357.78792793</v>
      </c>
      <c r="C69" s="78"/>
      <c r="D69" s="79"/>
      <c r="E69" s="79"/>
      <c r="F69" s="80"/>
      <c r="G69" s="78">
        <f>G13-G68</f>
        <v>-5829807.79</v>
      </c>
      <c r="H69" s="20" t="s">
        <v>85</v>
      </c>
      <c r="I69" s="93">
        <f>I13-I68</f>
        <v>-1169668.72</v>
      </c>
      <c r="J69" s="1"/>
      <c r="K69" s="94"/>
      <c r="L69" s="45"/>
      <c r="M69" s="95"/>
      <c r="N69" s="95"/>
      <c r="O69" s="1"/>
    </row>
    <row r="70" s="2" customFormat="1" ht="18" customHeight="1" spans="1:15">
      <c r="A70" s="41" t="s">
        <v>86</v>
      </c>
      <c r="B70" s="42"/>
      <c r="C70" s="41"/>
      <c r="D70" s="43"/>
      <c r="E70" s="43"/>
      <c r="F70" s="42"/>
      <c r="G70" s="42"/>
      <c r="H70" s="43"/>
      <c r="I70" s="42"/>
      <c r="J70" s="44"/>
      <c r="K70" s="45"/>
      <c r="L70" s="45"/>
      <c r="M70" s="96"/>
      <c r="N70" s="96"/>
      <c r="O70" s="96"/>
    </row>
    <row r="71" s="2" customFormat="1" ht="18" customHeight="1" spans="1:15">
      <c r="A71" s="20" t="s">
        <v>87</v>
      </c>
      <c r="B71" s="4" t="s">
        <v>88</v>
      </c>
      <c r="C71" s="64"/>
      <c r="D71" s="20" t="s">
        <v>87</v>
      </c>
      <c r="E71" s="5" t="s">
        <v>14</v>
      </c>
      <c r="F71" s="4" t="s">
        <v>88</v>
      </c>
      <c r="G71" s="81"/>
      <c r="H71" s="82"/>
      <c r="I71" s="97"/>
      <c r="J71" s="98"/>
      <c r="K71" s="92" t="s">
        <v>90</v>
      </c>
      <c r="L71" s="97"/>
      <c r="M71" s="97"/>
      <c r="N71" s="82"/>
      <c r="O71" s="82"/>
    </row>
    <row r="72" s="2" customFormat="1" ht="18" customHeight="1" spans="1:15">
      <c r="A72" s="64" t="s">
        <v>92</v>
      </c>
      <c r="B72" s="7">
        <f>(B13-B68)*0.25</f>
        <v>-1516089.44698198</v>
      </c>
      <c r="C72" s="64"/>
      <c r="D72" s="60" t="s">
        <v>93</v>
      </c>
      <c r="E72" s="20" t="s">
        <v>94</v>
      </c>
      <c r="F72" s="63">
        <f>F13-F68</f>
        <v>159166.356486486</v>
      </c>
      <c r="G72" s="63"/>
      <c r="H72" s="83"/>
      <c r="I72" s="83"/>
      <c r="J72" s="98"/>
      <c r="K72" s="63">
        <f>F10</f>
        <v>23678.6027027027</v>
      </c>
      <c r="L72" s="99"/>
      <c r="M72" s="83"/>
      <c r="N72" s="83"/>
      <c r="O72" s="83"/>
    </row>
    <row r="73" s="2" customFormat="1" ht="18" customHeight="1" spans="1:15">
      <c r="A73" s="64" t="s">
        <v>73</v>
      </c>
      <c r="B73" s="84">
        <f>G7*0.0003</f>
        <v>592.104</v>
      </c>
      <c r="C73" s="64"/>
      <c r="D73" s="85" t="s">
        <v>95</v>
      </c>
      <c r="E73" s="51">
        <v>0.05</v>
      </c>
      <c r="F73" s="31">
        <f>F72*E73</f>
        <v>7958.3178243243</v>
      </c>
      <c r="G73" s="86">
        <f>G72*E73</f>
        <v>0</v>
      </c>
      <c r="H73" s="82"/>
      <c r="I73" s="82"/>
      <c r="J73" s="98"/>
      <c r="K73" s="100">
        <f>K72*0.05</f>
        <v>1183.93013513514</v>
      </c>
      <c r="L73" s="101"/>
      <c r="M73" s="82"/>
      <c r="N73" s="82"/>
      <c r="O73" s="82"/>
    </row>
    <row r="74" s="2" customFormat="1" ht="18" customHeight="1" spans="1:15">
      <c r="A74" s="64" t="s">
        <v>96</v>
      </c>
      <c r="B74" s="84">
        <f>B7*0.0006</f>
        <v>1066.85405405405</v>
      </c>
      <c r="C74" s="64"/>
      <c r="D74" s="85" t="s">
        <v>97</v>
      </c>
      <c r="E74" s="51">
        <v>0.03</v>
      </c>
      <c r="F74" s="31">
        <f>F72*E74</f>
        <v>4774.99069459458</v>
      </c>
      <c r="G74" s="86">
        <f>G72*E74</f>
        <v>0</v>
      </c>
      <c r="H74" s="82"/>
      <c r="I74" s="82"/>
      <c r="J74" s="98"/>
      <c r="K74" s="100">
        <f>K72*0.03</f>
        <v>710.358081081081</v>
      </c>
      <c r="L74" s="101"/>
      <c r="M74" s="82"/>
      <c r="N74" s="82"/>
      <c r="O74" s="82"/>
    </row>
    <row r="75" s="2" customFormat="1" ht="18" customHeight="1" spans="1:15">
      <c r="A75" s="64"/>
      <c r="B75" s="31"/>
      <c r="C75" s="64"/>
      <c r="D75" s="85" t="s">
        <v>98</v>
      </c>
      <c r="E75" s="51">
        <v>0.02</v>
      </c>
      <c r="F75" s="31">
        <f>F72*E75</f>
        <v>3183.32712972972</v>
      </c>
      <c r="G75" s="86">
        <f>G72*E75</f>
        <v>0</v>
      </c>
      <c r="H75" s="82"/>
      <c r="I75" s="82"/>
      <c r="J75" s="98"/>
      <c r="K75" s="100">
        <f>K72*0.02</f>
        <v>473.572054054054</v>
      </c>
      <c r="L75" s="101"/>
      <c r="M75" s="82"/>
      <c r="N75" s="82"/>
      <c r="O75" s="82"/>
    </row>
    <row r="76" s="2" customFormat="1" ht="18" customHeight="1" spans="1:15">
      <c r="A76" s="60" t="s">
        <v>99</v>
      </c>
      <c r="B76" s="61">
        <f t="shared" ref="B76:G76" si="13">SUM(B72:B75)</f>
        <v>-1514430.48892793</v>
      </c>
      <c r="C76" s="64"/>
      <c r="D76" s="3" t="s">
        <v>99</v>
      </c>
      <c r="E76" s="60"/>
      <c r="F76" s="63">
        <f t="shared" si="13"/>
        <v>175082.992135135</v>
      </c>
      <c r="G76" s="63">
        <f t="shared" si="13"/>
        <v>0</v>
      </c>
      <c r="H76" s="83"/>
      <c r="I76" s="83"/>
      <c r="J76" s="98"/>
      <c r="K76" s="63">
        <f>SUM(K72:K75)</f>
        <v>26046.462972973</v>
      </c>
      <c r="L76" s="99"/>
      <c r="M76" s="83"/>
      <c r="N76" s="83"/>
      <c r="O76" s="83"/>
    </row>
    <row r="77" s="2" customFormat="1" ht="18" customHeight="1" spans="1:15">
      <c r="A77" s="41"/>
      <c r="B77" s="42"/>
      <c r="C77" s="41"/>
      <c r="D77" s="31" t="s">
        <v>73</v>
      </c>
      <c r="E77" s="87">
        <v>0.0003</v>
      </c>
      <c r="F77" s="31">
        <f>G13*E77</f>
        <v>1255.13763</v>
      </c>
      <c r="G77" s="88">
        <f>G7*E77</f>
        <v>592.104</v>
      </c>
      <c r="H77" s="43"/>
      <c r="I77" s="97"/>
      <c r="J77" s="98"/>
      <c r="K77" s="100">
        <f>G10*0.0003</f>
        <v>87.61083</v>
      </c>
      <c r="L77" s="101"/>
      <c r="M77" s="82"/>
      <c r="N77" s="82"/>
      <c r="O77" s="82"/>
    </row>
    <row r="78" s="2" customFormat="1" ht="18" customHeight="1" spans="1:15">
      <c r="A78" s="41"/>
      <c r="B78" s="42"/>
      <c r="C78" s="41"/>
      <c r="D78" s="31" t="s">
        <v>96</v>
      </c>
      <c r="E78" s="87">
        <v>0.0006</v>
      </c>
      <c r="F78" s="31">
        <f>B13*E78</f>
        <v>2261.50924324324</v>
      </c>
      <c r="G78" s="88">
        <f>B7*E78</f>
        <v>1066.85405405405</v>
      </c>
      <c r="H78" s="43"/>
      <c r="I78" s="97"/>
      <c r="J78" s="98"/>
      <c r="K78" s="100">
        <v>0</v>
      </c>
      <c r="L78" s="101"/>
      <c r="M78" s="82"/>
      <c r="N78" s="82"/>
      <c r="O78" s="82"/>
    </row>
    <row r="79" s="2" customFormat="1" ht="18" customHeight="1" spans="1:15">
      <c r="A79" s="41"/>
      <c r="B79" s="42"/>
      <c r="C79" s="41"/>
      <c r="D79" s="5" t="s">
        <v>99</v>
      </c>
      <c r="E79" s="75"/>
      <c r="F79" s="62">
        <f>F78+F77</f>
        <v>3516.64687324324</v>
      </c>
      <c r="G79" s="89">
        <f>SUM(G77:G78)</f>
        <v>1658.95805405405</v>
      </c>
      <c r="H79" s="43"/>
      <c r="I79" s="102"/>
      <c r="J79" s="98"/>
      <c r="K79" s="103">
        <f>SUM(K77:K78)</f>
        <v>87.61083</v>
      </c>
      <c r="L79" s="99"/>
      <c r="M79" s="83"/>
      <c r="N79" s="83"/>
      <c r="O79" s="83"/>
    </row>
    <row r="80" s="2" customFormat="1" ht="18" customHeight="1" spans="1:15">
      <c r="A80" s="41"/>
      <c r="B80" s="42"/>
      <c r="C80" s="41"/>
      <c r="D80" s="5" t="s">
        <v>20</v>
      </c>
      <c r="E80" s="62"/>
      <c r="F80" s="62">
        <f t="shared" ref="F80:K80" si="14">F76+F79</f>
        <v>178599.639008378</v>
      </c>
      <c r="G80" s="89">
        <f t="shared" si="14"/>
        <v>1658.95805405405</v>
      </c>
      <c r="H80" s="43"/>
      <c r="I80" s="102"/>
      <c r="J80" s="98"/>
      <c r="K80" s="103">
        <f t="shared" si="14"/>
        <v>26134.073802973</v>
      </c>
      <c r="L80" s="99"/>
      <c r="M80" s="83"/>
      <c r="N80" s="83"/>
      <c r="O80" s="83"/>
    </row>
    <row r="81" ht="18" customHeight="1" spans="3:3">
      <c r="C81" s="41"/>
    </row>
    <row r="82" ht="18" customHeight="1" spans="3:3">
      <c r="C82" s="41"/>
    </row>
    <row r="83" ht="18" customHeight="1" spans="3:3">
      <c r="C83" s="41"/>
    </row>
    <row r="84" ht="18" customHeight="1" spans="3:3">
      <c r="C84" s="41"/>
    </row>
    <row r="85" ht="18" customHeight="1" spans="3:3">
      <c r="C85" s="41"/>
    </row>
    <row r="86" ht="18" customHeight="1" spans="3:3">
      <c r="C86" s="41"/>
    </row>
    <row r="87" ht="18" customHeight="1" spans="3:3">
      <c r="C87" s="41"/>
    </row>
    <row r="88" ht="18" customHeight="1" spans="3:3">
      <c r="C88" s="41"/>
    </row>
    <row r="89" ht="18" customHeight="1" spans="3:3">
      <c r="C89" s="41"/>
    </row>
    <row r="90" ht="18" customHeight="1" spans="3:3">
      <c r="C90" s="41"/>
    </row>
    <row r="91" ht="18" customHeight="1" spans="3:3">
      <c r="C91" s="41"/>
    </row>
    <row r="92" ht="18" customHeight="1" spans="3:3">
      <c r="C92" s="41"/>
    </row>
    <row r="93" ht="18" customHeight="1" spans="3:3">
      <c r="C93" s="41"/>
    </row>
    <row r="94" ht="18" customHeight="1" spans="3:3">
      <c r="C94" s="41"/>
    </row>
    <row r="95" ht="18" customHeight="1" spans="3:3">
      <c r="C95" s="41"/>
    </row>
    <row r="96" ht="18" customHeight="1" spans="3:3">
      <c r="C96" s="41"/>
    </row>
    <row r="97" spans="3:3">
      <c r="C97" s="41"/>
    </row>
    <row r="98" spans="3:3">
      <c r="C98" s="41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E34" sqref="E34"/>
    </sheetView>
  </sheetViews>
  <sheetFormatPr defaultColWidth="9" defaultRowHeight="13.5"/>
  <cols>
    <col min="1" max="4" width="24.25" customWidth="1"/>
    <col min="6" max="6" width="12.625"/>
  </cols>
  <sheetData>
    <row r="1" spans="1:4">
      <c r="A1" s="39" t="s">
        <v>29</v>
      </c>
      <c r="B1" s="39" t="s">
        <v>106</v>
      </c>
      <c r="C1" s="39" t="s">
        <v>107</v>
      </c>
      <c r="D1" s="39"/>
    </row>
    <row r="2" spans="1:4">
      <c r="A2" s="39" t="s">
        <v>52</v>
      </c>
      <c r="B2" s="39"/>
      <c r="C2" s="39">
        <v>170000</v>
      </c>
      <c r="D2" s="39">
        <f>B2-C2</f>
        <v>-170000</v>
      </c>
    </row>
    <row r="3" spans="1:4">
      <c r="A3" s="39" t="s">
        <v>44</v>
      </c>
      <c r="B3" s="39">
        <v>400000</v>
      </c>
      <c r="C3" s="39">
        <v>400000</v>
      </c>
      <c r="D3" s="39">
        <f t="shared" ref="D3:D12" si="0">B3-C3</f>
        <v>0</v>
      </c>
    </row>
    <row r="4" spans="1:4">
      <c r="A4" s="39" t="s">
        <v>48</v>
      </c>
      <c r="B4" s="39">
        <v>249668.72</v>
      </c>
      <c r="C4" s="39">
        <v>369668.72</v>
      </c>
      <c r="D4" s="39">
        <f t="shared" si="0"/>
        <v>-120000</v>
      </c>
    </row>
    <row r="5" spans="1:4">
      <c r="A5" s="39" t="s">
        <v>35</v>
      </c>
      <c r="B5" s="39"/>
      <c r="C5" s="39">
        <v>26800</v>
      </c>
      <c r="D5" s="40">
        <f t="shared" si="0"/>
        <v>-26800</v>
      </c>
    </row>
    <row r="6" spans="1:4">
      <c r="A6" s="39" t="s">
        <v>57</v>
      </c>
      <c r="B6" s="39">
        <v>3120189.69</v>
      </c>
      <c r="C6" s="39">
        <v>2025600</v>
      </c>
      <c r="D6" s="39">
        <f t="shared" si="0"/>
        <v>1094589.69</v>
      </c>
    </row>
    <row r="7" spans="1:4">
      <c r="A7" s="39" t="s">
        <v>50</v>
      </c>
      <c r="B7" s="39"/>
      <c r="C7" s="39">
        <v>718453.49</v>
      </c>
      <c r="D7" s="40">
        <f t="shared" si="0"/>
        <v>-718453.49</v>
      </c>
    </row>
    <row r="8" spans="1:4">
      <c r="A8" s="39" t="s">
        <v>54</v>
      </c>
      <c r="B8" s="39">
        <v>350000</v>
      </c>
      <c r="C8" s="39">
        <v>299568</v>
      </c>
      <c r="D8" s="39">
        <f t="shared" si="0"/>
        <v>50432</v>
      </c>
    </row>
    <row r="9" spans="1:4">
      <c r="A9" s="39" t="s">
        <v>37</v>
      </c>
      <c r="B9" s="39"/>
      <c r="C9" s="39">
        <v>14892.96</v>
      </c>
      <c r="D9" s="40">
        <f t="shared" si="0"/>
        <v>-14892.96</v>
      </c>
    </row>
    <row r="10" spans="1:4">
      <c r="A10" s="39" t="s">
        <v>41</v>
      </c>
      <c r="B10" s="39"/>
      <c r="C10" s="39">
        <v>290000</v>
      </c>
      <c r="D10" s="40">
        <f t="shared" si="0"/>
        <v>-290000</v>
      </c>
    </row>
    <row r="11" spans="1:6">
      <c r="A11" s="39" t="s">
        <v>108</v>
      </c>
      <c r="B11" s="39"/>
      <c r="C11" s="39"/>
      <c r="D11" s="39">
        <f t="shared" si="0"/>
        <v>0</v>
      </c>
      <c r="F11">
        <f>D7+D9+D10+D5</f>
        <v>-1050146.45</v>
      </c>
    </row>
    <row r="12" spans="1:4">
      <c r="A12" s="39" t="s">
        <v>109</v>
      </c>
      <c r="B12" s="39">
        <v>4119858.41</v>
      </c>
      <c r="C12" s="39">
        <v>4314983.17</v>
      </c>
      <c r="D12" s="39">
        <f t="shared" si="0"/>
        <v>-195124.76</v>
      </c>
    </row>
    <row r="18" spans="10:10">
      <c r="J18" t="s">
        <v>110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14"/>
  <sheetViews>
    <sheetView workbookViewId="0">
      <selection activeCell="A3" sqref="A3:C14"/>
    </sheetView>
  </sheetViews>
  <sheetFormatPr defaultColWidth="9" defaultRowHeight="13.5" outlineLevelCol="3"/>
  <cols>
    <col min="1" max="1" width="37.875"/>
    <col min="2" max="3" width="16.125"/>
  </cols>
  <sheetData>
    <row r="3" spans="1:3">
      <c r="A3" s="33" t="s">
        <v>29</v>
      </c>
      <c r="B3" s="33" t="s">
        <v>106</v>
      </c>
      <c r="C3" s="34" t="s">
        <v>107</v>
      </c>
    </row>
    <row r="4" spans="1:4">
      <c r="A4" s="33" t="s">
        <v>52</v>
      </c>
      <c r="B4" s="33"/>
      <c r="C4" s="34">
        <v>170000</v>
      </c>
      <c r="D4">
        <f ca="1">GETPIVOTDATA("求和项:付款金额",$A$3,"销货单位","安徽众联水泥有限公司")-GETPIVOTDATA("求和项:价税合计",$A$3,"销货单位","安徽众联水泥有限公司")</f>
        <v>-170000</v>
      </c>
    </row>
    <row r="5" spans="1:4">
      <c r="A5" s="35" t="s">
        <v>44</v>
      </c>
      <c r="B5" s="35">
        <v>400000</v>
      </c>
      <c r="C5" s="36">
        <v>400000</v>
      </c>
      <c r="D5">
        <f ca="1" t="shared" ref="D5:D14" si="0">GETPIVOTDATA("求和项:付款金额",$A$3,"销货单位","安徽众联水泥有限公司")-GETPIVOTDATA("求和项:价税合计",$A$3,"销货单位","安徽众联水泥有限公司")</f>
        <v>-170000</v>
      </c>
    </row>
    <row r="6" spans="1:4">
      <c r="A6" s="35" t="s">
        <v>48</v>
      </c>
      <c r="B6" s="35">
        <v>249668.72</v>
      </c>
      <c r="C6" s="36">
        <v>369668.72</v>
      </c>
      <c r="D6">
        <f ca="1" t="shared" si="0"/>
        <v>-170000</v>
      </c>
    </row>
    <row r="7" spans="1:4">
      <c r="A7" s="35" t="s">
        <v>35</v>
      </c>
      <c r="B7" s="35"/>
      <c r="C7" s="36">
        <v>26800</v>
      </c>
      <c r="D7">
        <f ca="1" t="shared" si="0"/>
        <v>-170000</v>
      </c>
    </row>
    <row r="8" spans="1:4">
      <c r="A8" s="35" t="s">
        <v>57</v>
      </c>
      <c r="B8" s="35">
        <v>3120189.69</v>
      </c>
      <c r="C8" s="36">
        <v>2025600</v>
      </c>
      <c r="D8">
        <f ca="1" t="shared" si="0"/>
        <v>-170000</v>
      </c>
    </row>
    <row r="9" spans="1:4">
      <c r="A9" s="35" t="s">
        <v>50</v>
      </c>
      <c r="B9" s="35"/>
      <c r="C9" s="36">
        <v>718453.49</v>
      </c>
      <c r="D9">
        <f ca="1" t="shared" si="0"/>
        <v>-170000</v>
      </c>
    </row>
    <row r="10" spans="1:4">
      <c r="A10" s="35" t="s">
        <v>54</v>
      </c>
      <c r="B10" s="35">
        <v>350000</v>
      </c>
      <c r="C10" s="36">
        <v>299568</v>
      </c>
      <c r="D10">
        <f ca="1" t="shared" si="0"/>
        <v>-170000</v>
      </c>
    </row>
    <row r="11" spans="1:4">
      <c r="A11" s="35" t="s">
        <v>37</v>
      </c>
      <c r="B11" s="35"/>
      <c r="C11" s="36">
        <v>14892.96</v>
      </c>
      <c r="D11">
        <f ca="1" t="shared" si="0"/>
        <v>-170000</v>
      </c>
    </row>
    <row r="12" spans="1:4">
      <c r="A12" s="35" t="s">
        <v>41</v>
      </c>
      <c r="B12" s="35"/>
      <c r="C12" s="36">
        <v>290000</v>
      </c>
      <c r="D12">
        <f ca="1" t="shared" si="0"/>
        <v>-170000</v>
      </c>
    </row>
    <row r="13" spans="1:4">
      <c r="A13" s="35" t="s">
        <v>108</v>
      </c>
      <c r="B13" s="35"/>
      <c r="C13" s="36"/>
      <c r="D13">
        <f ca="1" t="shared" si="0"/>
        <v>-170000</v>
      </c>
    </row>
    <row r="14" spans="1:4">
      <c r="A14" s="37" t="s">
        <v>109</v>
      </c>
      <c r="B14" s="37">
        <v>4119858.41</v>
      </c>
      <c r="C14" s="38">
        <v>4314983.17</v>
      </c>
      <c r="D14">
        <f ca="1" t="shared" si="0"/>
        <v>-170000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A1" sqref="$A1:$XFD1048576"/>
    </sheetView>
  </sheetViews>
  <sheetFormatPr defaultColWidth="9" defaultRowHeight="13.5"/>
  <sheetData>
    <row r="1" s="1" customFormat="1" ht="18" customHeight="1" spans="1:15">
      <c r="A1" s="3" t="s">
        <v>22</v>
      </c>
      <c r="B1" s="4" t="s">
        <v>23</v>
      </c>
      <c r="C1" s="5" t="s">
        <v>24</v>
      </c>
      <c r="D1" s="5" t="s">
        <v>25</v>
      </c>
      <c r="E1" s="5" t="s">
        <v>14</v>
      </c>
      <c r="F1" s="4" t="s">
        <v>26</v>
      </c>
      <c r="G1" s="4" t="s">
        <v>12</v>
      </c>
      <c r="H1" s="5" t="s">
        <v>27</v>
      </c>
      <c r="I1" s="4" t="s">
        <v>28</v>
      </c>
      <c r="J1" s="5" t="s">
        <v>18</v>
      </c>
      <c r="K1" s="18" t="s">
        <v>29</v>
      </c>
      <c r="L1" s="19" t="s">
        <v>30</v>
      </c>
      <c r="M1" s="20" t="s">
        <v>31</v>
      </c>
      <c r="N1" s="20" t="s">
        <v>32</v>
      </c>
      <c r="O1" s="20" t="s">
        <v>33</v>
      </c>
    </row>
    <row r="2" s="2" customFormat="1" ht="18" customHeight="1" spans="1:17">
      <c r="A2" s="6">
        <v>42606</v>
      </c>
      <c r="B2" s="7">
        <v>25283.02</v>
      </c>
      <c r="C2" s="8"/>
      <c r="D2" s="9" t="s">
        <v>34</v>
      </c>
      <c r="E2" s="10"/>
      <c r="F2" s="11">
        <v>1516.98</v>
      </c>
      <c r="G2" s="12">
        <v>26800</v>
      </c>
      <c r="H2" s="13"/>
      <c r="I2" s="7"/>
      <c r="J2" s="21"/>
      <c r="K2" s="22" t="s">
        <v>35</v>
      </c>
      <c r="L2" s="23"/>
      <c r="M2" s="24" t="s">
        <v>36</v>
      </c>
      <c r="N2" s="24"/>
      <c r="O2" s="25"/>
      <c r="Q2" s="32"/>
    </row>
    <row r="3" s="2" customFormat="1" ht="18" customHeight="1" spans="1:17">
      <c r="A3" s="6">
        <v>42639</v>
      </c>
      <c r="B3" s="7">
        <v>10276.38</v>
      </c>
      <c r="C3" s="8"/>
      <c r="D3" s="9" t="s">
        <v>34</v>
      </c>
      <c r="E3" s="10"/>
      <c r="F3" s="11">
        <v>616.58</v>
      </c>
      <c r="G3" s="12">
        <v>10892.96</v>
      </c>
      <c r="H3" s="13"/>
      <c r="I3" s="7"/>
      <c r="J3" s="21"/>
      <c r="K3" s="22" t="s">
        <v>37</v>
      </c>
      <c r="L3" s="23"/>
      <c r="M3" s="24" t="s">
        <v>38</v>
      </c>
      <c r="N3" s="24"/>
      <c r="O3" s="25"/>
      <c r="Q3" s="32"/>
    </row>
    <row r="4" s="2" customFormat="1" ht="18" customHeight="1" spans="1:17">
      <c r="A4" s="6">
        <v>42640</v>
      </c>
      <c r="B4" s="7">
        <v>3773.58</v>
      </c>
      <c r="C4" s="8"/>
      <c r="D4" s="9" t="s">
        <v>34</v>
      </c>
      <c r="E4" s="10"/>
      <c r="F4" s="11">
        <v>226.42</v>
      </c>
      <c r="G4" s="12">
        <v>4000</v>
      </c>
      <c r="H4" s="13"/>
      <c r="I4" s="7"/>
      <c r="J4" s="21"/>
      <c r="K4" s="22" t="s">
        <v>37</v>
      </c>
      <c r="L4" s="23"/>
      <c r="M4" s="24" t="s">
        <v>39</v>
      </c>
      <c r="N4" s="24"/>
      <c r="O4" s="25"/>
      <c r="Q4" s="32"/>
    </row>
    <row r="5" s="2" customFormat="1" ht="18" customHeight="1" spans="1:17">
      <c r="A5" s="6">
        <v>42705</v>
      </c>
      <c r="B5" s="7">
        <f t="shared" ref="B5:B11" si="0">ROUND(G5/(1+E5),2)</f>
        <v>290000</v>
      </c>
      <c r="C5" s="8">
        <v>1</v>
      </c>
      <c r="D5" s="9" t="s">
        <v>40</v>
      </c>
      <c r="E5" s="10"/>
      <c r="F5" s="11">
        <f t="shared" ref="F5:F11" si="1">ROUND(G5/(1+E5)*E5,2)</f>
        <v>0</v>
      </c>
      <c r="G5" s="12">
        <v>290000</v>
      </c>
      <c r="H5" s="13"/>
      <c r="I5" s="7"/>
      <c r="J5" s="21"/>
      <c r="K5" s="26" t="s">
        <v>41</v>
      </c>
      <c r="L5" s="23" t="s">
        <v>42</v>
      </c>
      <c r="M5" s="24" t="s">
        <v>43</v>
      </c>
      <c r="N5" s="24"/>
      <c r="O5" s="25"/>
      <c r="Q5" s="32"/>
    </row>
    <row r="6" s="2" customFormat="1" ht="18" customHeight="1" spans="1:17">
      <c r="A6" s="6">
        <v>42702</v>
      </c>
      <c r="B6" s="7">
        <f t="shared" si="0"/>
        <v>341880.34</v>
      </c>
      <c r="C6" s="8">
        <v>3</v>
      </c>
      <c r="D6" s="9" t="s">
        <v>34</v>
      </c>
      <c r="E6" s="10">
        <v>0.17</v>
      </c>
      <c r="F6" s="11">
        <f t="shared" si="1"/>
        <v>58119.66</v>
      </c>
      <c r="G6" s="14">
        <f>110000+110000+110000+70000</f>
        <v>400000</v>
      </c>
      <c r="H6" s="13"/>
      <c r="I6" s="7"/>
      <c r="J6" s="21"/>
      <c r="K6" s="27" t="s">
        <v>44</v>
      </c>
      <c r="L6" s="23" t="s">
        <v>45</v>
      </c>
      <c r="M6" s="24" t="s">
        <v>46</v>
      </c>
      <c r="N6" s="24"/>
      <c r="O6" s="25"/>
      <c r="Q6" s="32"/>
    </row>
    <row r="7" s="2" customFormat="1" ht="18" customHeight="1" spans="1:17">
      <c r="A7" s="6"/>
      <c r="B7" s="7">
        <f t="shared" si="0"/>
        <v>0</v>
      </c>
      <c r="C7" s="8"/>
      <c r="D7" s="9"/>
      <c r="E7" s="10"/>
      <c r="F7" s="11">
        <f t="shared" si="1"/>
        <v>0</v>
      </c>
      <c r="G7" s="14"/>
      <c r="H7" s="15">
        <v>42702</v>
      </c>
      <c r="I7" s="28">
        <v>200000</v>
      </c>
      <c r="J7" s="21" t="s">
        <v>47</v>
      </c>
      <c r="K7" s="26" t="s">
        <v>44</v>
      </c>
      <c r="L7" s="23" t="s">
        <v>45</v>
      </c>
      <c r="M7" s="24"/>
      <c r="N7" s="24"/>
      <c r="O7" s="25"/>
      <c r="Q7" s="32"/>
    </row>
    <row r="8" s="2" customFormat="1" ht="18" customHeight="1" spans="1:17">
      <c r="A8" s="6"/>
      <c r="B8" s="7">
        <f t="shared" si="0"/>
        <v>0</v>
      </c>
      <c r="C8" s="8"/>
      <c r="D8" s="9"/>
      <c r="E8" s="10"/>
      <c r="F8" s="11">
        <f t="shared" si="1"/>
        <v>0</v>
      </c>
      <c r="G8" s="14"/>
      <c r="H8" s="15">
        <v>42710</v>
      </c>
      <c r="I8" s="28">
        <v>200000</v>
      </c>
      <c r="J8" s="21" t="s">
        <v>47</v>
      </c>
      <c r="K8" s="26" t="s">
        <v>44</v>
      </c>
      <c r="L8" s="23" t="s">
        <v>45</v>
      </c>
      <c r="M8" s="24"/>
      <c r="N8" s="24"/>
      <c r="O8" s="25"/>
      <c r="Q8" s="32"/>
    </row>
    <row r="9" s="2" customFormat="1" ht="18" customHeight="1" spans="1:17">
      <c r="A9" s="6">
        <v>42699</v>
      </c>
      <c r="B9" s="7">
        <f t="shared" si="0"/>
        <v>315956.17</v>
      </c>
      <c r="C9" s="8">
        <v>4</v>
      </c>
      <c r="D9" s="9" t="s">
        <v>34</v>
      </c>
      <c r="E9" s="10">
        <v>0.17</v>
      </c>
      <c r="F9" s="11">
        <f t="shared" si="1"/>
        <v>53712.55</v>
      </c>
      <c r="G9" s="14">
        <f>100775.22+108970.7+107785.5+52137.3</f>
        <v>369668.72</v>
      </c>
      <c r="H9" s="15"/>
      <c r="I9" s="28"/>
      <c r="J9" s="21"/>
      <c r="K9" s="26" t="s">
        <v>48</v>
      </c>
      <c r="L9" s="23" t="s">
        <v>45</v>
      </c>
      <c r="M9" s="24" t="s">
        <v>49</v>
      </c>
      <c r="N9" s="24"/>
      <c r="O9" s="25"/>
      <c r="Q9" s="32"/>
    </row>
    <row r="10" s="2" customFormat="1" ht="18" customHeight="1" spans="1:17">
      <c r="A10" s="6"/>
      <c r="B10" s="7">
        <f t="shared" si="0"/>
        <v>0</v>
      </c>
      <c r="C10" s="8"/>
      <c r="D10" s="9"/>
      <c r="E10" s="10"/>
      <c r="F10" s="11">
        <f t="shared" si="1"/>
        <v>0</v>
      </c>
      <c r="G10" s="14"/>
      <c r="H10" s="15">
        <v>42671</v>
      </c>
      <c r="I10" s="28">
        <v>80000</v>
      </c>
      <c r="J10" s="21" t="s">
        <v>47</v>
      </c>
      <c r="K10" s="26" t="s">
        <v>48</v>
      </c>
      <c r="L10" s="23" t="s">
        <v>45</v>
      </c>
      <c r="M10" s="24"/>
      <c r="N10" s="24"/>
      <c r="O10" s="25"/>
      <c r="Q10" s="32"/>
    </row>
    <row r="11" s="2" customFormat="1" ht="18" customHeight="1" spans="1:17">
      <c r="A11" s="6"/>
      <c r="B11" s="7">
        <f t="shared" si="0"/>
        <v>0</v>
      </c>
      <c r="C11" s="8"/>
      <c r="D11" s="9"/>
      <c r="E11" s="10"/>
      <c r="F11" s="11">
        <f t="shared" si="1"/>
        <v>0</v>
      </c>
      <c r="G11" s="14"/>
      <c r="H11" s="15">
        <v>42709</v>
      </c>
      <c r="I11" s="28">
        <v>169668.72</v>
      </c>
      <c r="J11" s="21" t="s">
        <v>47</v>
      </c>
      <c r="K11" s="26" t="s">
        <v>48</v>
      </c>
      <c r="L11" s="23" t="s">
        <v>45</v>
      </c>
      <c r="M11" s="24"/>
      <c r="N11" s="24"/>
      <c r="O11" s="25"/>
      <c r="Q11" s="32"/>
    </row>
    <row r="12" s="2" customFormat="1" ht="20.25" customHeight="1" spans="1:17">
      <c r="A12" s="6">
        <v>42702</v>
      </c>
      <c r="B12" s="7">
        <v>614062.82</v>
      </c>
      <c r="C12" s="8">
        <v>7</v>
      </c>
      <c r="D12" s="9" t="s">
        <v>34</v>
      </c>
      <c r="E12" s="10">
        <v>0.17</v>
      </c>
      <c r="F12" s="11">
        <v>104390.67</v>
      </c>
      <c r="G12" s="14">
        <v>718453.49</v>
      </c>
      <c r="H12" s="15"/>
      <c r="I12" s="28"/>
      <c r="J12" s="21"/>
      <c r="K12" s="26" t="s">
        <v>50</v>
      </c>
      <c r="L12" s="23"/>
      <c r="M12" s="24" t="s">
        <v>51</v>
      </c>
      <c r="N12" s="24"/>
      <c r="O12" s="25"/>
      <c r="Q12" s="32"/>
    </row>
    <row r="13" s="2" customFormat="1" ht="20.25" customHeight="1" spans="1:17">
      <c r="A13" s="6">
        <v>42714</v>
      </c>
      <c r="B13" s="7">
        <v>145299.15</v>
      </c>
      <c r="C13" s="8">
        <v>2</v>
      </c>
      <c r="D13" s="9" t="s">
        <v>34</v>
      </c>
      <c r="E13" s="10">
        <v>0.17</v>
      </c>
      <c r="F13" s="11">
        <v>24700.85</v>
      </c>
      <c r="G13" s="14">
        <v>170000</v>
      </c>
      <c r="H13" s="15"/>
      <c r="I13" s="28"/>
      <c r="J13" s="21"/>
      <c r="K13" s="26" t="s">
        <v>52</v>
      </c>
      <c r="L13" s="23"/>
      <c r="M13" s="24" t="s">
        <v>53</v>
      </c>
      <c r="N13" s="24"/>
      <c r="O13" s="25"/>
      <c r="Q13" s="32"/>
    </row>
    <row r="14" s="2" customFormat="1" ht="18" customHeight="1" spans="1:17">
      <c r="A14" s="6">
        <v>42724</v>
      </c>
      <c r="B14" s="7">
        <v>256041.03</v>
      </c>
      <c r="C14" s="8">
        <v>3</v>
      </c>
      <c r="D14" s="9" t="s">
        <v>34</v>
      </c>
      <c r="E14" s="10">
        <v>0.17</v>
      </c>
      <c r="F14" s="11">
        <v>43526.97</v>
      </c>
      <c r="G14" s="14">
        <v>299568</v>
      </c>
      <c r="H14" s="16"/>
      <c r="I14" s="29"/>
      <c r="J14" s="21"/>
      <c r="K14" s="26" t="s">
        <v>54</v>
      </c>
      <c r="L14" s="23" t="s">
        <v>45</v>
      </c>
      <c r="M14" s="24" t="s">
        <v>55</v>
      </c>
      <c r="N14" s="24"/>
      <c r="O14" s="25"/>
      <c r="Q14" s="32"/>
    </row>
    <row r="15" s="2" customFormat="1" ht="18" customHeight="1" spans="1:17">
      <c r="A15" s="6">
        <v>42734</v>
      </c>
      <c r="B15" s="7">
        <v>191040</v>
      </c>
      <c r="C15" s="8"/>
      <c r="D15" s="9" t="s">
        <v>56</v>
      </c>
      <c r="E15" s="10"/>
      <c r="F15" s="11"/>
      <c r="G15" s="14">
        <v>191040</v>
      </c>
      <c r="H15" s="16"/>
      <c r="I15" s="29"/>
      <c r="J15" s="21"/>
      <c r="K15" s="26" t="s">
        <v>57</v>
      </c>
      <c r="L15" s="23" t="s">
        <v>58</v>
      </c>
      <c r="M15" s="24" t="s">
        <v>59</v>
      </c>
      <c r="N15" s="24"/>
      <c r="O15" s="25"/>
      <c r="Q15" s="32"/>
    </row>
    <row r="16" s="2" customFormat="1" ht="18" customHeight="1" spans="1:17">
      <c r="A16" s="6"/>
      <c r="B16" s="7">
        <v>0</v>
      </c>
      <c r="C16" s="8"/>
      <c r="D16" s="9"/>
      <c r="E16" s="10"/>
      <c r="F16" s="7">
        <v>0</v>
      </c>
      <c r="G16" s="12"/>
      <c r="H16" s="15">
        <v>42703</v>
      </c>
      <c r="I16" s="28">
        <v>150000</v>
      </c>
      <c r="J16" s="21" t="s">
        <v>47</v>
      </c>
      <c r="K16" s="26" t="s">
        <v>54</v>
      </c>
      <c r="L16" s="23" t="s">
        <v>45</v>
      </c>
      <c r="M16" s="24"/>
      <c r="N16" s="24"/>
      <c r="O16" s="25"/>
      <c r="Q16" s="32"/>
    </row>
    <row r="17" s="2" customFormat="1" ht="18" customHeight="1" spans="1:17">
      <c r="A17" s="6"/>
      <c r="B17" s="7">
        <v>0</v>
      </c>
      <c r="C17" s="8"/>
      <c r="D17" s="9"/>
      <c r="E17" s="10"/>
      <c r="F17" s="7">
        <v>0</v>
      </c>
      <c r="G17" s="12"/>
      <c r="H17" s="15">
        <v>42717</v>
      </c>
      <c r="I17" s="28">
        <v>200000</v>
      </c>
      <c r="J17" s="21" t="s">
        <v>47</v>
      </c>
      <c r="K17" s="26" t="s">
        <v>54</v>
      </c>
      <c r="L17" s="23" t="s">
        <v>45</v>
      </c>
      <c r="M17" s="24"/>
      <c r="N17" s="24"/>
      <c r="O17" s="25"/>
      <c r="Q17" s="32"/>
    </row>
    <row r="18" s="2" customFormat="1" ht="18" customHeight="1" spans="1:17">
      <c r="A18" s="6"/>
      <c r="B18" s="7">
        <f t="shared" ref="B18:B29" si="2">ROUND(G18/(1+E18),2)</f>
        <v>0</v>
      </c>
      <c r="C18" s="8"/>
      <c r="D18" s="9"/>
      <c r="E18" s="10"/>
      <c r="F18" s="7">
        <f t="shared" ref="F18:F29" si="3">ROUND(G18/(1+E18)*E18,2)</f>
        <v>0</v>
      </c>
      <c r="G18" s="12"/>
      <c r="H18" s="13">
        <v>42699</v>
      </c>
      <c r="I18" s="7">
        <f>1269380-I7-I10-I16</f>
        <v>839380</v>
      </c>
      <c r="J18" s="21" t="s">
        <v>47</v>
      </c>
      <c r="K18" s="26" t="s">
        <v>57</v>
      </c>
      <c r="L18" s="23"/>
      <c r="M18" s="24"/>
      <c r="N18" s="24"/>
      <c r="O18" s="25"/>
      <c r="Q18" s="32"/>
    </row>
    <row r="19" s="2" customFormat="1" ht="18" customHeight="1" spans="1:17">
      <c r="A19" s="6"/>
      <c r="B19" s="7">
        <f t="shared" si="2"/>
        <v>0</v>
      </c>
      <c r="C19" s="8"/>
      <c r="D19" s="9"/>
      <c r="E19" s="10"/>
      <c r="F19" s="7">
        <f t="shared" si="3"/>
        <v>0</v>
      </c>
      <c r="G19" s="12"/>
      <c r="H19" s="13" t="s">
        <v>60</v>
      </c>
      <c r="I19" s="7">
        <v>700000</v>
      </c>
      <c r="J19" s="21" t="s">
        <v>47</v>
      </c>
      <c r="K19" s="26" t="s">
        <v>57</v>
      </c>
      <c r="L19" s="23"/>
      <c r="M19" s="24"/>
      <c r="N19" s="24"/>
      <c r="O19" s="25"/>
      <c r="Q19" s="32"/>
    </row>
    <row r="20" s="2" customFormat="1" ht="18" customHeight="1" spans="1:17">
      <c r="A20" s="6"/>
      <c r="B20" s="7">
        <f t="shared" si="2"/>
        <v>0</v>
      </c>
      <c r="C20" s="8"/>
      <c r="D20" s="9"/>
      <c r="E20" s="10"/>
      <c r="F20" s="7">
        <f t="shared" si="3"/>
        <v>0</v>
      </c>
      <c r="G20" s="12"/>
      <c r="H20" s="13" t="s">
        <v>61</v>
      </c>
      <c r="I20" s="7">
        <f>988179.18-I8-I11-I17</f>
        <v>418510.46</v>
      </c>
      <c r="J20" s="21" t="s">
        <v>47</v>
      </c>
      <c r="K20" s="26" t="s">
        <v>57</v>
      </c>
      <c r="L20" s="23"/>
      <c r="M20" s="24"/>
      <c r="N20" s="24"/>
      <c r="O20" s="25"/>
      <c r="Q20" s="32"/>
    </row>
    <row r="21" s="2" customFormat="1" ht="18" customHeight="1" spans="1:17">
      <c r="A21" s="6">
        <v>42736</v>
      </c>
      <c r="B21" s="7">
        <f t="shared" si="2"/>
        <v>630000</v>
      </c>
      <c r="C21" s="8"/>
      <c r="D21" s="9" t="s">
        <v>56</v>
      </c>
      <c r="E21" s="10"/>
      <c r="F21" s="7">
        <f t="shared" si="3"/>
        <v>0</v>
      </c>
      <c r="G21" s="12">
        <v>630000</v>
      </c>
      <c r="H21" s="13"/>
      <c r="I21" s="7"/>
      <c r="J21" s="21"/>
      <c r="K21" s="26" t="s">
        <v>57</v>
      </c>
      <c r="L21" s="26" t="s">
        <v>62</v>
      </c>
      <c r="M21" s="24"/>
      <c r="N21" s="24"/>
      <c r="O21" s="25"/>
      <c r="Q21" s="32"/>
    </row>
    <row r="22" s="2" customFormat="1" ht="18" customHeight="1" spans="1:17">
      <c r="A22" s="6">
        <v>42736</v>
      </c>
      <c r="B22" s="7">
        <f t="shared" si="2"/>
        <v>207720</v>
      </c>
      <c r="C22" s="8"/>
      <c r="D22" s="9" t="s">
        <v>56</v>
      </c>
      <c r="E22" s="10"/>
      <c r="F22" s="7">
        <f t="shared" si="3"/>
        <v>0</v>
      </c>
      <c r="G22" s="12">
        <v>207720</v>
      </c>
      <c r="H22" s="13"/>
      <c r="I22" s="7"/>
      <c r="J22" s="21"/>
      <c r="K22" s="26" t="s">
        <v>57</v>
      </c>
      <c r="L22" s="23" t="s">
        <v>58</v>
      </c>
      <c r="M22" s="24"/>
      <c r="N22" s="24"/>
      <c r="O22" s="25"/>
      <c r="Q22" s="32"/>
    </row>
    <row r="23" s="2" customFormat="1" ht="18" customHeight="1" spans="1:17">
      <c r="A23" s="6">
        <v>42736</v>
      </c>
      <c r="B23" s="7">
        <f t="shared" si="2"/>
        <v>21000</v>
      </c>
      <c r="C23" s="8"/>
      <c r="D23" s="9" t="s">
        <v>56</v>
      </c>
      <c r="E23" s="10"/>
      <c r="F23" s="7">
        <f t="shared" si="3"/>
        <v>0</v>
      </c>
      <c r="G23" s="12">
        <v>21000</v>
      </c>
      <c r="H23" s="13"/>
      <c r="I23" s="7"/>
      <c r="J23" s="21"/>
      <c r="K23" s="26" t="s">
        <v>57</v>
      </c>
      <c r="L23" s="23" t="s">
        <v>63</v>
      </c>
      <c r="M23" s="24"/>
      <c r="N23" s="24"/>
      <c r="O23" s="25"/>
      <c r="Q23" s="32"/>
    </row>
    <row r="24" s="2" customFormat="1" ht="18" customHeight="1" spans="1:17">
      <c r="A24" s="6">
        <v>42795</v>
      </c>
      <c r="B24" s="7">
        <f t="shared" si="2"/>
        <v>487920</v>
      </c>
      <c r="C24" s="8"/>
      <c r="D24" s="9" t="s">
        <v>56</v>
      </c>
      <c r="E24" s="10"/>
      <c r="F24" s="7">
        <f t="shared" si="3"/>
        <v>0</v>
      </c>
      <c r="G24" s="12">
        <v>487920</v>
      </c>
      <c r="H24" s="13"/>
      <c r="I24" s="7"/>
      <c r="J24" s="21"/>
      <c r="K24" s="26" t="s">
        <v>57</v>
      </c>
      <c r="L24" s="23" t="s">
        <v>58</v>
      </c>
      <c r="M24" s="24"/>
      <c r="N24" s="24"/>
      <c r="O24" s="25"/>
      <c r="Q24" s="32"/>
    </row>
    <row r="25" s="2" customFormat="1" ht="18" customHeight="1" spans="1:17">
      <c r="A25" s="6">
        <v>42826</v>
      </c>
      <c r="B25" s="7">
        <f t="shared" si="2"/>
        <v>487920</v>
      </c>
      <c r="C25" s="8"/>
      <c r="D25" s="9" t="s">
        <v>56</v>
      </c>
      <c r="E25" s="10"/>
      <c r="F25" s="7">
        <f t="shared" si="3"/>
        <v>0</v>
      </c>
      <c r="G25" s="12">
        <v>487920</v>
      </c>
      <c r="H25" s="13"/>
      <c r="I25" s="7"/>
      <c r="J25" s="21"/>
      <c r="K25" s="26" t="s">
        <v>57</v>
      </c>
      <c r="L25" s="23" t="s">
        <v>58</v>
      </c>
      <c r="M25" s="24"/>
      <c r="N25" s="24"/>
      <c r="O25" s="25"/>
      <c r="Q25" s="32"/>
    </row>
    <row r="26" s="2" customFormat="1" ht="18" customHeight="1" spans="1:17">
      <c r="A26" s="6"/>
      <c r="B26" s="7">
        <f t="shared" si="2"/>
        <v>0</v>
      </c>
      <c r="C26" s="8"/>
      <c r="D26" s="9"/>
      <c r="E26" s="10"/>
      <c r="F26" s="7">
        <f t="shared" si="3"/>
        <v>0</v>
      </c>
      <c r="G26" s="12"/>
      <c r="H26" s="13"/>
      <c r="I26" s="7"/>
      <c r="J26" s="21"/>
      <c r="K26" s="26"/>
      <c r="L26" s="23"/>
      <c r="M26" s="24"/>
      <c r="N26" s="24"/>
      <c r="O26" s="25"/>
      <c r="Q26" s="32"/>
    </row>
    <row r="27" s="2" customFormat="1" ht="18" customHeight="1" spans="1:17">
      <c r="A27" s="6"/>
      <c r="B27" s="7">
        <f t="shared" si="2"/>
        <v>0</v>
      </c>
      <c r="C27" s="8"/>
      <c r="D27" s="9"/>
      <c r="E27" s="10"/>
      <c r="F27" s="7">
        <f t="shared" si="3"/>
        <v>0</v>
      </c>
      <c r="G27" s="17"/>
      <c r="H27" s="13"/>
      <c r="I27" s="7"/>
      <c r="J27" s="21"/>
      <c r="K27" s="30"/>
      <c r="L27" s="23"/>
      <c r="M27" s="24"/>
      <c r="N27" s="24"/>
      <c r="O27" s="25"/>
      <c r="Q27" s="32"/>
    </row>
    <row r="28" s="2" customFormat="1" ht="18" customHeight="1" spans="1:17">
      <c r="A28" s="6"/>
      <c r="B28" s="7">
        <f t="shared" si="2"/>
        <v>0</v>
      </c>
      <c r="C28" s="8"/>
      <c r="D28" s="9"/>
      <c r="E28" s="10"/>
      <c r="F28" s="7">
        <f t="shared" si="3"/>
        <v>0</v>
      </c>
      <c r="G28" s="12"/>
      <c r="H28" s="13" t="s">
        <v>64</v>
      </c>
      <c r="I28" s="7">
        <v>887397.21</v>
      </c>
      <c r="J28" s="21" t="s">
        <v>47</v>
      </c>
      <c r="K28" s="26" t="s">
        <v>57</v>
      </c>
      <c r="L28" s="23"/>
      <c r="M28" s="24"/>
      <c r="N28" s="24"/>
      <c r="O28" s="25"/>
      <c r="Q28" s="32"/>
    </row>
    <row r="29" s="2" customFormat="1" ht="18" customHeight="1" spans="1:15">
      <c r="A29" s="6"/>
      <c r="B29" s="7">
        <f t="shared" si="2"/>
        <v>0</v>
      </c>
      <c r="C29" s="8"/>
      <c r="D29" s="9"/>
      <c r="E29" s="10"/>
      <c r="F29" s="7">
        <f t="shared" si="3"/>
        <v>0</v>
      </c>
      <c r="G29" s="12"/>
      <c r="H29" s="13" t="s">
        <v>65</v>
      </c>
      <c r="I29" s="31">
        <v>274902.02</v>
      </c>
      <c r="J29" s="21" t="s">
        <v>47</v>
      </c>
      <c r="K29" s="26" t="s">
        <v>57</v>
      </c>
      <c r="L29" s="23"/>
      <c r="M29" s="24"/>
      <c r="N29" s="24"/>
      <c r="O29" s="25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A 6 2 "   r g b C l r = " 8 F 9 B 0 4 " / > < c o m m e n t   s : r e f = " A 6 3 "   r g b C l r = " 8 F 9 B 0 4 " / > < c o m m e n t   s : r e f = " K 6 7 "   r g b C l r = " 8 F 9 B 0 4 " / > < / c o m m e n t L i s t > < c o m m e n t L i s t   s h e e t S t i d = " 7 " /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孙核对新表</vt:lpstr>
      <vt:lpstr>谯城区2016年农村公路 (新)</vt:lpstr>
      <vt:lpstr>谯城区2016年农村公路（旧）</vt:lpstr>
      <vt:lpstr>Sheet3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童</cp:lastModifiedBy>
  <dcterms:created xsi:type="dcterms:W3CDTF">2016-07-12T06:03:00Z</dcterms:created>
  <cp:lastPrinted>2016-11-23T10:22:00Z</cp:lastPrinted>
  <dcterms:modified xsi:type="dcterms:W3CDTF">2023-09-12T02:46:22Z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EEABF7D6EA0B427F8535CB1CA7EFB43B</vt:lpwstr>
  </property>
</Properties>
</file>