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C4468 (新)" sheetId="6" r:id="rId1"/>
    <sheet name="C4468（旧)" sheetId="4" r:id="rId2"/>
    <sheet name="C3808 (新)" sheetId="7" r:id="rId3"/>
    <sheet name="C3808（旧）" sheetId="5" r:id="rId4"/>
  </sheets>
  <definedNames>
    <definedName name="_xlnm._FilterDatabase" localSheetId="2" hidden="1">'C3808 (新)'!$A$13:$O$51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  <author>qyr</author>
  </authors>
  <commentList>
    <comment ref="A4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5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税款未收，在结算工程款中代扣</t>
        </r>
      </text>
    </comment>
  </commentList>
</comments>
</file>

<file path=xl/comments4.xml><?xml version="1.0" encoding="utf-8"?>
<comments xmlns="http://schemas.openxmlformats.org/spreadsheetml/2006/main">
  <authors>
    <author>cw05</author>
  </authors>
  <commentLis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<sst xmlns="http://schemas.openxmlformats.org/spreadsheetml/2006/main" count="412" uniqueCount="100">
  <si>
    <t>C4468  巢湖市坝镇2016年农村道路畅通工程（老村级道路加宽改造工程）</t>
  </si>
  <si>
    <t>中标日期</t>
  </si>
  <si>
    <t>中标价</t>
  </si>
  <si>
    <t>负责人</t>
  </si>
  <si>
    <t>唐兴</t>
  </si>
  <si>
    <t>建设单位</t>
  </si>
  <si>
    <t>巢湖市坝镇人民政府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</si>
  <si>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</si>
  <si>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</si>
  <si>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</si>
  <si>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</si>
  <si>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</si>
  <si>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</si>
  <si>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</si>
  <si>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</si>
  <si>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</si>
  <si>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</si>
  <si>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</si>
  <si>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</si>
  <si>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</si>
  <si>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</si>
  <si>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17-1-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</si>
  <si>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</si>
  <si>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</si>
  <si>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</si>
  <si>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</si>
  <si>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</si>
  <si>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</si>
  <si>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</si>
  <si>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</si>
  <si>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</si>
  <si>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</si>
  <si>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</si>
  <si>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</si>
  <si>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</si>
  <si>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</si>
  <si>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</si>
  <si>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17-12-</t>
  </si>
  <si>
    <t>普</t>
  </si>
  <si>
    <t>石子/黄砂</t>
  </si>
  <si>
    <t>普代</t>
  </si>
  <si>
    <t>曹德加</t>
  </si>
  <si>
    <t>施工费</t>
  </si>
  <si>
    <t>有</t>
  </si>
  <si>
    <t>王必玉</t>
  </si>
  <si>
    <t>挖机、吊车</t>
  </si>
  <si>
    <t>王宏年</t>
  </si>
  <si>
    <t>水泥171.4吨</t>
  </si>
  <si>
    <t>徽行</t>
  </si>
  <si>
    <t>陈玉宝</t>
  </si>
  <si>
    <t>退</t>
  </si>
  <si>
    <t>暂扣企税</t>
  </si>
  <si>
    <t>扣</t>
  </si>
  <si>
    <t>补扣增值税及附加</t>
  </si>
  <si>
    <t>手续费</t>
  </si>
  <si>
    <t>暂扣</t>
  </si>
  <si>
    <t>企税</t>
  </si>
  <si>
    <t>外经证</t>
  </si>
  <si>
    <t>增值税及附加</t>
  </si>
  <si>
    <t>管理费</t>
  </si>
  <si>
    <t>尚需提供成本</t>
  </si>
  <si>
    <t>可支付金额</t>
  </si>
  <si>
    <t>公司代缴税金：</t>
  </si>
  <si>
    <t>税种</t>
  </si>
  <si>
    <t>税额</t>
  </si>
  <si>
    <t>2020年4月开票扣税</t>
  </si>
  <si>
    <t>企业所得税</t>
  </si>
  <si>
    <t>增值税</t>
  </si>
  <si>
    <t>差额</t>
  </si>
  <si>
    <t>交卡</t>
  </si>
  <si>
    <t>印花税</t>
  </si>
  <si>
    <t>城市维护建设税</t>
  </si>
  <si>
    <t>水利基金</t>
  </si>
  <si>
    <t>教育费附加</t>
  </si>
  <si>
    <t>地方教育费附加</t>
  </si>
  <si>
    <t>小计</t>
  </si>
  <si>
    <t>巢湖市坝镇2016年农村道路畅通工程（老村级道路加宽改造工程）</t>
  </si>
  <si>
    <t>17-2-</t>
  </si>
  <si>
    <t>合肥金丝柳生态建设有限公司</t>
  </si>
  <si>
    <t>其他费用</t>
  </si>
  <si>
    <t>C3808  巢湖市坝镇农村公路畅通工程（贫困村内较大自然村道路硬化工程）</t>
  </si>
  <si>
    <t>开票与到账差额</t>
  </si>
  <si>
    <t>专</t>
  </si>
  <si>
    <t>中材安徽水泥有限公司</t>
  </si>
  <si>
    <t>水泥</t>
  </si>
  <si>
    <t>17-4-</t>
  </si>
  <si>
    <t>石料</t>
  </si>
  <si>
    <t>17-5-</t>
  </si>
  <si>
    <t>17-9-</t>
  </si>
  <si>
    <t>曹 德加</t>
  </si>
  <si>
    <t>郑井鹤</t>
  </si>
  <si>
    <t>砂石</t>
  </si>
  <si>
    <t>挖机、压路机、洒水车</t>
  </si>
  <si>
    <t>陈玉宝交材料款</t>
  </si>
  <si>
    <t>徽行未做账</t>
  </si>
  <si>
    <t>计入ERP4468</t>
  </si>
  <si>
    <t>徽行已做账</t>
  </si>
  <si>
    <t>退垫付前期材料款</t>
  </si>
  <si>
    <t>补扣增值税及附加   （按总的算，没有分次）</t>
  </si>
  <si>
    <t>巢湖市坝镇农村公路畅通工程（贫困村内较大自然村道路硬化工程）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</si>
</sst>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yy/m/d;@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4" fillId="0" borderId="0" xfId="0" applyNumberFormat="1" applyFont="1"/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9" fontId="1" fillId="6" borderId="2" xfId="0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vertical="center"/>
    </xf>
    <xf numFmtId="180" fontId="1" fillId="6" borderId="2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vertical="center"/>
    </xf>
    <xf numFmtId="178" fontId="5" fillId="7" borderId="2" xfId="0" applyNumberFormat="1" applyFont="1" applyFill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348615</xdr:colOff>
      <xdr:row>36</xdr:row>
      <xdr:rowOff>172085</xdr:rowOff>
    </xdr:from>
    <xdr:to>
      <xdr:col>10</xdr:col>
      <xdr:colOff>1489710</xdr:colOff>
      <xdr:row>53</xdr:row>
      <xdr:rowOff>7620</xdr:rowOff>
    </xdr:to>
    <xdr:pic>
      <xdr:nvPicPr>
        <xdr:cNvPr id="2" name="图片 1" descr="1SR%]A4F9ZXN(N59V2~@N`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835" y="8451215"/>
          <a:ext cx="3401060" cy="312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62"/>
  <sheetViews>
    <sheetView workbookViewId="0">
      <selection activeCell="D19" sqref="D19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3" style="2" customWidth="1"/>
    <col min="12" max="12" width="12.775" style="2" customWidth="1"/>
    <col min="13" max="13" width="6" style="2" customWidth="1"/>
    <col min="14" max="14" width="5.66666666666667" style="2" customWidth="1"/>
    <col min="15" max="16384" width="9" style="2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42579</v>
      </c>
      <c r="C2" s="11" t="s">
        <v>2</v>
      </c>
      <c r="D2" s="11">
        <v>2064049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>
        <v>1837915.37</v>
      </c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1">
        <f t="shared" ref="B7:B10" si="0">G7/(1+C7+E7)</f>
        <v>1000000</v>
      </c>
      <c r="C7" s="61">
        <v>0.02</v>
      </c>
      <c r="D7" s="59">
        <f>G7/(1+E7+C7)*C7</f>
        <v>20000</v>
      </c>
      <c r="E7" s="61">
        <v>0.09</v>
      </c>
      <c r="F7" s="11">
        <f>G7/1.11*0.09</f>
        <v>90000</v>
      </c>
      <c r="G7" s="60">
        <v>1110000</v>
      </c>
      <c r="H7" s="22" t="s">
        <v>21</v>
      </c>
      <c r="I7" s="11">
        <v>1110000</v>
      </c>
      <c r="J7" s="43" t="s">
        <v>22</v>
      </c>
    </row>
    <row r="8" ht="18" customHeight="1" spans="1:10">
      <c r="A8" s="22">
        <v>43963</v>
      </c>
      <c r="B8" s="11">
        <f t="shared" si="0"/>
        <v>580641.605504587</v>
      </c>
      <c r="C8" s="61">
        <v>0.02</v>
      </c>
      <c r="D8" s="59">
        <f>G8/(1+E8+C8)*C8</f>
        <v>11612.8321100917</v>
      </c>
      <c r="E8" s="61">
        <v>0.07</v>
      </c>
      <c r="F8" s="11">
        <f>G8/1.09*0.09</f>
        <v>52257.7444954128</v>
      </c>
      <c r="G8" s="60">
        <f>458000+174899.35</f>
        <v>632899.35</v>
      </c>
      <c r="H8" s="22">
        <v>43972</v>
      </c>
      <c r="I8" s="11">
        <v>632899.35</v>
      </c>
      <c r="J8" s="43" t="s">
        <v>22</v>
      </c>
    </row>
    <row r="9" ht="18" customHeight="1" spans="1:10">
      <c r="A9" s="22"/>
      <c r="B9" s="11">
        <f t="shared" si="0"/>
        <v>0</v>
      </c>
      <c r="C9" s="23">
        <v>0.02</v>
      </c>
      <c r="D9" s="59">
        <f t="shared" ref="D9:D10" si="1">G9/(1+E9+C9)*C9</f>
        <v>0</v>
      </c>
      <c r="E9" s="61">
        <v>0.07</v>
      </c>
      <c r="F9" s="11">
        <f t="shared" ref="F9:F10" si="2">G9/(1+C9+E9)*E9</f>
        <v>0</v>
      </c>
      <c r="G9" s="60"/>
      <c r="H9" s="22"/>
      <c r="I9" s="11"/>
      <c r="J9" s="43"/>
    </row>
    <row r="10" ht="18" customHeight="1" spans="1:10">
      <c r="A10" s="22"/>
      <c r="B10" s="11">
        <f t="shared" si="0"/>
        <v>0</v>
      </c>
      <c r="C10" s="23">
        <v>0.02</v>
      </c>
      <c r="D10" s="59">
        <f t="shared" si="1"/>
        <v>0</v>
      </c>
      <c r="E10" s="23">
        <v>0.08</v>
      </c>
      <c r="F10" s="11">
        <f t="shared" si="2"/>
        <v>0</v>
      </c>
      <c r="G10" s="60"/>
      <c r="H10" s="22"/>
      <c r="I10" s="11"/>
      <c r="J10" s="43"/>
    </row>
    <row r="11" ht="18" customHeight="1" spans="1:10">
      <c r="A11" s="26" t="s">
        <v>23</v>
      </c>
      <c r="B11" s="62">
        <f>SUM(B7:B10)</f>
        <v>1580641.60550459</v>
      </c>
      <c r="C11" s="28"/>
      <c r="D11" s="28">
        <f>SUM(D7:D10)</f>
        <v>31612.8321100917</v>
      </c>
      <c r="E11" s="28"/>
      <c r="F11" s="63">
        <f>SUM(F7:F10)</f>
        <v>142257.744495413</v>
      </c>
      <c r="G11" s="28">
        <f>SUM(G7:G10)</f>
        <v>1742899.35</v>
      </c>
      <c r="H11" s="31"/>
      <c r="I11" s="28">
        <f>SUM(I7:I10)</f>
        <v>1742899.35</v>
      </c>
      <c r="J11" s="31"/>
    </row>
    <row r="12" ht="18" customHeight="1" spans="1:12">
      <c r="A12" s="3" t="s">
        <v>24</v>
      </c>
      <c r="I12" s="4">
        <f>D3-I11</f>
        <v>95016.02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 t="s">
        <v>37</v>
      </c>
      <c r="B14" s="64">
        <f t="shared" ref="B14:B19" si="3">ROUND(G14/(1+E14),2)</f>
        <v>1390000</v>
      </c>
      <c r="C14" s="34"/>
      <c r="D14" s="35" t="s">
        <v>38</v>
      </c>
      <c r="E14" s="36"/>
      <c r="F14" s="64">
        <f t="shared" ref="F14:F19" si="4">ROUND(G14/(1+E14)*E14,2)</f>
        <v>0</v>
      </c>
      <c r="G14" s="60">
        <v>1390000</v>
      </c>
      <c r="H14" s="22"/>
      <c r="I14" s="11"/>
      <c r="J14" s="43"/>
      <c r="K14" s="52"/>
      <c r="L14" s="53" t="s">
        <v>39</v>
      </c>
      <c r="M14" s="54"/>
      <c r="N14" s="54"/>
      <c r="O14" s="53"/>
    </row>
    <row r="15" s="1" customFormat="1" ht="18" customHeight="1" spans="1:15">
      <c r="A15" s="33">
        <v>43983</v>
      </c>
      <c r="B15" s="64">
        <f t="shared" si="3"/>
        <v>59995</v>
      </c>
      <c r="C15" s="34"/>
      <c r="D15" s="35" t="s">
        <v>40</v>
      </c>
      <c r="E15" s="36"/>
      <c r="F15" s="64">
        <f t="shared" si="4"/>
        <v>0</v>
      </c>
      <c r="G15" s="60">
        <v>59995</v>
      </c>
      <c r="H15" s="22"/>
      <c r="I15" s="11"/>
      <c r="J15" s="43"/>
      <c r="K15" s="52" t="s">
        <v>41</v>
      </c>
      <c r="L15" s="53" t="s">
        <v>42</v>
      </c>
      <c r="M15" s="54" t="s">
        <v>43</v>
      </c>
      <c r="N15" s="54"/>
      <c r="O15" s="53"/>
    </row>
    <row r="16" s="1" customFormat="1" ht="18" customHeight="1" spans="1:15">
      <c r="A16" s="33">
        <v>43983</v>
      </c>
      <c r="B16" s="64">
        <f t="shared" si="3"/>
        <v>30000</v>
      </c>
      <c r="C16" s="34"/>
      <c r="D16" s="35" t="s">
        <v>40</v>
      </c>
      <c r="E16" s="36"/>
      <c r="F16" s="64">
        <f t="shared" si="4"/>
        <v>0</v>
      </c>
      <c r="G16" s="60">
        <v>30000</v>
      </c>
      <c r="H16" s="22"/>
      <c r="I16" s="11"/>
      <c r="J16" s="43"/>
      <c r="K16" s="52" t="s">
        <v>44</v>
      </c>
      <c r="L16" s="53" t="s">
        <v>45</v>
      </c>
      <c r="M16" s="54" t="s">
        <v>43</v>
      </c>
      <c r="N16" s="54"/>
      <c r="O16" s="53"/>
    </row>
    <row r="17" s="1" customFormat="1" ht="18" customHeight="1" spans="1:15">
      <c r="A17" s="33">
        <v>43983</v>
      </c>
      <c r="B17" s="64">
        <f t="shared" si="3"/>
        <v>60000</v>
      </c>
      <c r="C17" s="34"/>
      <c r="D17" s="35" t="s">
        <v>40</v>
      </c>
      <c r="E17" s="36"/>
      <c r="F17" s="64">
        <f t="shared" si="4"/>
        <v>0</v>
      </c>
      <c r="G17" s="60">
        <v>60000</v>
      </c>
      <c r="H17" s="22"/>
      <c r="I17" s="11"/>
      <c r="J17" s="43"/>
      <c r="K17" s="52" t="s">
        <v>46</v>
      </c>
      <c r="L17" s="53" t="s">
        <v>47</v>
      </c>
      <c r="M17" s="54" t="s">
        <v>43</v>
      </c>
      <c r="N17" s="54"/>
      <c r="O17" s="53"/>
    </row>
    <row r="18" s="1" customFormat="1" ht="18" customHeight="1" spans="1:15">
      <c r="A18" s="33"/>
      <c r="B18" s="64">
        <f t="shared" si="3"/>
        <v>0</v>
      </c>
      <c r="C18" s="34"/>
      <c r="D18" s="35"/>
      <c r="E18" s="36"/>
      <c r="F18" s="64">
        <f t="shared" si="4"/>
        <v>0</v>
      </c>
      <c r="G18" s="60"/>
      <c r="H18" s="22" t="s">
        <v>21</v>
      </c>
      <c r="I18" s="11">
        <v>919219.02</v>
      </c>
      <c r="J18" s="43" t="s">
        <v>48</v>
      </c>
      <c r="K18" s="52" t="s">
        <v>49</v>
      </c>
      <c r="L18" s="53"/>
      <c r="M18" s="54"/>
      <c r="N18" s="54"/>
      <c r="O18" s="53"/>
    </row>
    <row r="19" s="1" customFormat="1" ht="18" customHeight="1" spans="1:15">
      <c r="A19" s="33"/>
      <c r="B19" s="64">
        <f t="shared" si="3"/>
        <v>0</v>
      </c>
      <c r="C19" s="34"/>
      <c r="D19" s="35"/>
      <c r="E19" s="36"/>
      <c r="F19" s="64">
        <f t="shared" si="4"/>
        <v>0</v>
      </c>
      <c r="G19" s="60"/>
      <c r="H19" s="10">
        <v>44000</v>
      </c>
      <c r="I19" s="64">
        <v>668948.35</v>
      </c>
      <c r="J19" s="54" t="s">
        <v>48</v>
      </c>
      <c r="K19" s="52" t="s">
        <v>49</v>
      </c>
      <c r="L19" s="53"/>
      <c r="M19" s="54"/>
      <c r="N19" s="54"/>
      <c r="O19" s="53"/>
    </row>
    <row r="20" s="1" customFormat="1" ht="18" customHeight="1" spans="1:15">
      <c r="A20" s="33"/>
      <c r="B20" s="64"/>
      <c r="C20" s="34"/>
      <c r="D20" s="35"/>
      <c r="E20" s="36"/>
      <c r="F20" s="64"/>
      <c r="G20" s="60"/>
      <c r="H20" s="10"/>
      <c r="I20" s="64"/>
      <c r="J20" s="54"/>
      <c r="K20" s="52"/>
      <c r="L20" s="53"/>
      <c r="M20" s="54"/>
      <c r="N20" s="54"/>
      <c r="O20" s="53"/>
    </row>
    <row r="21" s="1" customFormat="1" ht="18" customHeight="1" spans="1:15">
      <c r="A21" s="33"/>
      <c r="B21" s="64"/>
      <c r="C21" s="34"/>
      <c r="D21" s="35"/>
      <c r="E21" s="36"/>
      <c r="F21" s="64"/>
      <c r="G21" s="60"/>
      <c r="H21" s="10"/>
      <c r="I21" s="64"/>
      <c r="J21" s="54"/>
      <c r="K21" s="52"/>
      <c r="L21" s="53"/>
      <c r="M21" s="54"/>
      <c r="N21" s="54"/>
      <c r="O21" s="53"/>
    </row>
    <row r="22" s="1" customFormat="1" ht="18" customHeight="1" spans="1:15">
      <c r="A22" s="33"/>
      <c r="B22" s="64"/>
      <c r="C22" s="34"/>
      <c r="D22" s="35"/>
      <c r="E22" s="36"/>
      <c r="F22" s="64"/>
      <c r="G22" s="60"/>
      <c r="H22" s="10"/>
      <c r="I22" s="64"/>
      <c r="J22" s="54"/>
      <c r="K22" s="52"/>
      <c r="L22" s="53"/>
      <c r="M22" s="54"/>
      <c r="N22" s="54"/>
      <c r="O22" s="53"/>
    </row>
    <row r="23" s="1" customFormat="1" ht="18" customHeight="1" spans="1:15">
      <c r="A23" s="33"/>
      <c r="B23" s="64">
        <f t="shared" ref="B23:B30" si="5">ROUND(G23/(1+E23),2)</f>
        <v>0</v>
      </c>
      <c r="C23" s="34"/>
      <c r="D23" s="35"/>
      <c r="E23" s="36"/>
      <c r="F23" s="64">
        <f t="shared" ref="F23:F30" si="6">ROUND(G23/(1+E23)*E23,2)</f>
        <v>0</v>
      </c>
      <c r="G23" s="60"/>
      <c r="H23" s="10"/>
      <c r="I23" s="64"/>
      <c r="J23" s="54"/>
      <c r="K23" s="52"/>
      <c r="L23" s="53"/>
      <c r="M23" s="54"/>
      <c r="N23" s="54"/>
      <c r="O23" s="53"/>
    </row>
    <row r="24" s="1" customFormat="1" ht="18" customHeight="1" spans="1:15">
      <c r="A24" s="33"/>
      <c r="B24" s="64">
        <f t="shared" si="5"/>
        <v>0</v>
      </c>
      <c r="C24" s="34"/>
      <c r="D24" s="35"/>
      <c r="E24" s="36"/>
      <c r="F24" s="64">
        <f t="shared" si="6"/>
        <v>0</v>
      </c>
      <c r="G24" s="60"/>
      <c r="H24" s="10"/>
      <c r="I24" s="64">
        <v>-50000</v>
      </c>
      <c r="J24" s="54" t="s">
        <v>50</v>
      </c>
      <c r="K24" s="52" t="s">
        <v>51</v>
      </c>
      <c r="L24" s="53"/>
      <c r="M24" s="54"/>
      <c r="N24" s="54"/>
      <c r="O24" s="53"/>
    </row>
    <row r="25" s="1" customFormat="1" ht="18" customHeight="1" spans="1:15">
      <c r="A25" s="33"/>
      <c r="B25" s="64">
        <f t="shared" si="5"/>
        <v>0</v>
      </c>
      <c r="C25" s="34"/>
      <c r="D25" s="35"/>
      <c r="E25" s="36"/>
      <c r="F25" s="64">
        <f t="shared" si="6"/>
        <v>0</v>
      </c>
      <c r="G25" s="60"/>
      <c r="H25" s="10"/>
      <c r="I25" s="64">
        <v>13701</v>
      </c>
      <c r="J25" s="54" t="s">
        <v>52</v>
      </c>
      <c r="K25" s="52" t="s">
        <v>53</v>
      </c>
      <c r="L25" s="53"/>
      <c r="M25" s="54"/>
      <c r="N25" s="54"/>
      <c r="O25" s="53"/>
    </row>
    <row r="26" s="1" customFormat="1" ht="18" customHeight="1" spans="1:15">
      <c r="A26" s="33"/>
      <c r="B26" s="64">
        <f t="shared" si="5"/>
        <v>0</v>
      </c>
      <c r="C26" s="34"/>
      <c r="D26" s="35"/>
      <c r="E26" s="36"/>
      <c r="F26" s="64">
        <f t="shared" si="6"/>
        <v>0</v>
      </c>
      <c r="G26" s="60"/>
      <c r="I26" s="1">
        <v>250</v>
      </c>
      <c r="J26" s="54" t="s">
        <v>52</v>
      </c>
      <c r="K26" s="1" t="s">
        <v>54</v>
      </c>
      <c r="L26" s="53"/>
      <c r="M26" s="54"/>
      <c r="N26" s="54"/>
      <c r="O26" s="53"/>
    </row>
    <row r="27" s="1" customFormat="1" ht="18" customHeight="1" spans="1:15">
      <c r="A27" s="33"/>
      <c r="B27" s="64">
        <f t="shared" si="5"/>
        <v>0</v>
      </c>
      <c r="C27" s="34"/>
      <c r="D27" s="35"/>
      <c r="E27" s="36"/>
      <c r="F27" s="64">
        <f t="shared" si="6"/>
        <v>0</v>
      </c>
      <c r="G27" s="60"/>
      <c r="H27" s="22"/>
      <c r="I27" s="64">
        <v>50000</v>
      </c>
      <c r="J27" s="43" t="s">
        <v>55</v>
      </c>
      <c r="K27" s="52" t="s">
        <v>56</v>
      </c>
      <c r="L27" s="53"/>
      <c r="M27" s="54"/>
      <c r="N27" s="54"/>
      <c r="O27" s="53"/>
    </row>
    <row r="28" s="1" customFormat="1" ht="18" customHeight="1" spans="1:15">
      <c r="A28" s="33"/>
      <c r="B28" s="64">
        <f t="shared" si="5"/>
        <v>0</v>
      </c>
      <c r="C28" s="34"/>
      <c r="D28" s="35"/>
      <c r="E28" s="36"/>
      <c r="F28" s="64">
        <f t="shared" si="6"/>
        <v>0</v>
      </c>
      <c r="G28" s="60"/>
      <c r="H28" s="22"/>
      <c r="I28" s="64">
        <v>500</v>
      </c>
      <c r="J28" s="43" t="s">
        <v>52</v>
      </c>
      <c r="K28" s="52" t="s">
        <v>57</v>
      </c>
      <c r="L28" s="53"/>
      <c r="M28" s="54"/>
      <c r="N28" s="54"/>
      <c r="O28" s="53"/>
    </row>
    <row r="29" s="1" customFormat="1" ht="18" customHeight="1" spans="1:15">
      <c r="A29" s="33"/>
      <c r="B29" s="64">
        <f t="shared" si="5"/>
        <v>0</v>
      </c>
      <c r="C29" s="34"/>
      <c r="D29" s="35"/>
      <c r="E29" s="36"/>
      <c r="F29" s="64">
        <f t="shared" si="6"/>
        <v>0</v>
      </c>
      <c r="G29" s="60"/>
      <c r="H29" s="22"/>
      <c r="I29" s="64">
        <v>99000</v>
      </c>
      <c r="J29" s="43" t="s">
        <v>52</v>
      </c>
      <c r="K29" s="52" t="s">
        <v>58</v>
      </c>
      <c r="L29" s="53"/>
      <c r="M29" s="54"/>
      <c r="N29" s="54"/>
      <c r="O29" s="53"/>
    </row>
    <row r="30" s="1" customFormat="1" ht="18" customHeight="1" spans="1:15">
      <c r="A30" s="33"/>
      <c r="B30" s="64">
        <f t="shared" si="5"/>
        <v>41280.98</v>
      </c>
      <c r="C30" s="34"/>
      <c r="D30" s="35"/>
      <c r="E30" s="36"/>
      <c r="F30" s="64">
        <f t="shared" si="6"/>
        <v>0</v>
      </c>
      <c r="G30" s="60">
        <v>41280.98</v>
      </c>
      <c r="H30" s="22"/>
      <c r="I30" s="64">
        <v>41280.98</v>
      </c>
      <c r="J30" s="43" t="s">
        <v>52</v>
      </c>
      <c r="K30" s="52" t="s">
        <v>59</v>
      </c>
      <c r="L30" s="53"/>
      <c r="M30" s="54"/>
      <c r="N30" s="54"/>
      <c r="O30" s="53"/>
    </row>
    <row r="31" ht="18" customHeight="1" spans="1:15">
      <c r="A31" s="28" t="s">
        <v>23</v>
      </c>
      <c r="B31" s="62">
        <f>SUM(B14:B30)</f>
        <v>1581275.98</v>
      </c>
      <c r="C31" s="28"/>
      <c r="D31" s="37"/>
      <c r="E31" s="37"/>
      <c r="F31" s="63">
        <f>SUM(F14:F30)</f>
        <v>0</v>
      </c>
      <c r="G31" s="70">
        <f>SUM(G14:G30)</f>
        <v>1581275.98</v>
      </c>
      <c r="H31" s="39"/>
      <c r="I31" s="28">
        <f>SUM(I14:I30)</f>
        <v>1742899.35</v>
      </c>
      <c r="J31" s="55"/>
      <c r="K31" s="37"/>
      <c r="L31" s="31"/>
      <c r="M31" s="43"/>
      <c r="N31" s="43"/>
      <c r="O31" s="31"/>
    </row>
    <row r="32" ht="18" customHeight="1" spans="1:14">
      <c r="A32" s="40" t="s">
        <v>60</v>
      </c>
      <c r="B32" s="40">
        <f>B11-B31</f>
        <v>-634.374495413154</v>
      </c>
      <c r="C32" s="40"/>
      <c r="D32" s="42"/>
      <c r="E32" s="42"/>
      <c r="F32" s="41"/>
      <c r="G32" s="40">
        <f>G11-G31</f>
        <v>161623.37</v>
      </c>
      <c r="H32" s="21" t="s">
        <v>61</v>
      </c>
      <c r="I32" s="28">
        <f>I11-I31</f>
        <v>0</v>
      </c>
      <c r="J32" s="2"/>
      <c r="K32" s="56"/>
      <c r="M32" s="57"/>
      <c r="N32" s="57"/>
    </row>
    <row r="33" ht="18" customHeight="1" spans="1:3">
      <c r="A33" s="3" t="s">
        <v>62</v>
      </c>
      <c r="C33" s="3"/>
    </row>
    <row r="34" s="2" customFormat="1" ht="18" customHeight="1" spans="1:9">
      <c r="A34" s="21" t="s">
        <v>63</v>
      </c>
      <c r="B34" s="20" t="s">
        <v>64</v>
      </c>
      <c r="C34" s="31"/>
      <c r="D34" s="21" t="s">
        <v>63</v>
      </c>
      <c r="E34" s="19" t="s">
        <v>16</v>
      </c>
      <c r="F34" s="20" t="s">
        <v>64</v>
      </c>
      <c r="G34" s="39" t="s">
        <v>65</v>
      </c>
      <c r="I34" s="4"/>
    </row>
    <row r="35" s="2" customFormat="1" ht="18" customHeight="1" spans="1:9">
      <c r="A35" s="31" t="s">
        <v>66</v>
      </c>
      <c r="B35" s="17">
        <f>(B11-B31)*0.25</f>
        <v>-158.593623853289</v>
      </c>
      <c r="C35" s="31"/>
      <c r="D35" s="9" t="s">
        <v>67</v>
      </c>
      <c r="E35" s="43" t="s">
        <v>68</v>
      </c>
      <c r="F35" s="63">
        <f>F11-F31</f>
        <v>142257.744495413</v>
      </c>
      <c r="G35" s="63">
        <f>F8</f>
        <v>52257.7444954128</v>
      </c>
      <c r="H35" s="78" t="s">
        <v>69</v>
      </c>
      <c r="I35" s="78">
        <v>45247.66</v>
      </c>
    </row>
    <row r="36" s="2" customFormat="1" ht="18" customHeight="1" spans="1:7">
      <c r="A36" s="31" t="s">
        <v>70</v>
      </c>
      <c r="B36" s="45"/>
      <c r="C36" s="31"/>
      <c r="D36" s="46" t="s">
        <v>71</v>
      </c>
      <c r="E36" s="13">
        <v>0.07</v>
      </c>
      <c r="F36" s="11">
        <f>F35*E36</f>
        <v>9958.04211467891</v>
      </c>
      <c r="G36" s="11">
        <f>G35*0.07</f>
        <v>3658.0421146789</v>
      </c>
    </row>
    <row r="37" s="2" customFormat="1" ht="18" customHeight="1" spans="1:9">
      <c r="A37" s="31" t="s">
        <v>72</v>
      </c>
      <c r="B37" s="45"/>
      <c r="C37" s="31"/>
      <c r="D37" s="46" t="s">
        <v>73</v>
      </c>
      <c r="E37" s="13">
        <v>0.03</v>
      </c>
      <c r="F37" s="11">
        <f>F35*E37</f>
        <v>4267.73233486239</v>
      </c>
      <c r="G37" s="11">
        <f>G35*E37</f>
        <v>1567.73233486238</v>
      </c>
      <c r="I37" s="5"/>
    </row>
    <row r="38" s="2" customFormat="1" ht="18" customHeight="1" spans="1:7">
      <c r="A38" s="31"/>
      <c r="B38" s="14"/>
      <c r="C38" s="31"/>
      <c r="D38" s="46" t="s">
        <v>74</v>
      </c>
      <c r="E38" s="13">
        <v>0.02</v>
      </c>
      <c r="F38" s="11">
        <f>F35*E38</f>
        <v>2845.15488990826</v>
      </c>
      <c r="G38" s="11">
        <f>G35*E38</f>
        <v>1045.15488990826</v>
      </c>
    </row>
    <row r="39" s="2" customFormat="1" ht="18" customHeight="1" spans="1:7">
      <c r="A39" s="26" t="s">
        <v>75</v>
      </c>
      <c r="B39" s="27">
        <f>SUM(B35:B38)</f>
        <v>-158.593623853289</v>
      </c>
      <c r="C39" s="31"/>
      <c r="D39" s="26" t="s">
        <v>75</v>
      </c>
      <c r="E39" s="26"/>
      <c r="F39" s="63">
        <f>SUM(F35:F38)</f>
        <v>159328.673834863</v>
      </c>
      <c r="G39" s="63">
        <f>SUM(G35:G38)</f>
        <v>58528.6738348623</v>
      </c>
    </row>
    <row r="40" s="2" customFormat="1" ht="18" customHeight="1" spans="1:7">
      <c r="A40" s="3"/>
      <c r="B40" s="4"/>
      <c r="C40" s="3"/>
      <c r="D40" s="11" t="s">
        <v>70</v>
      </c>
      <c r="E40" s="47">
        <v>0.0003</v>
      </c>
      <c r="F40" s="11">
        <f>G11*E40</f>
        <v>522.869805</v>
      </c>
      <c r="G40" s="11">
        <f>G8*E40</f>
        <v>189.869805</v>
      </c>
    </row>
    <row r="41" s="2" customFormat="1" ht="18" customHeight="1" spans="1:7">
      <c r="A41" s="3"/>
      <c r="B41" s="4"/>
      <c r="C41" s="3"/>
      <c r="D41" s="11" t="s">
        <v>72</v>
      </c>
      <c r="E41" s="47">
        <v>0.0006</v>
      </c>
      <c r="F41" s="11">
        <f>B11*E41</f>
        <v>948.384963302752</v>
      </c>
      <c r="G41" s="11">
        <f>B8*E41</f>
        <v>348.384963302752</v>
      </c>
    </row>
    <row r="42" s="2" customFormat="1" ht="18" customHeight="1" spans="1:7">
      <c r="A42" s="3"/>
      <c r="B42" s="4"/>
      <c r="C42" s="3"/>
      <c r="D42" s="28" t="s">
        <v>23</v>
      </c>
      <c r="E42" s="28"/>
      <c r="F42" s="28">
        <f>F39+F40+F41</f>
        <v>160799.928603166</v>
      </c>
      <c r="G42" s="28">
        <f>SUM(G39:G41)</f>
        <v>59066.928603165</v>
      </c>
    </row>
    <row r="43" s="2" customFormat="1" ht="18" customHeight="1" spans="1:6">
      <c r="A43" s="3"/>
      <c r="B43" s="4"/>
      <c r="C43" s="3"/>
      <c r="D43" s="5"/>
      <c r="E43" s="5"/>
      <c r="F43" s="4"/>
    </row>
    <row r="44" s="2" customFormat="1" ht="18" customHeight="1" spans="1:6">
      <c r="A44" s="3"/>
      <c r="B44" s="4"/>
      <c r="C44" s="3"/>
      <c r="D44" s="5"/>
      <c r="E44" s="5"/>
      <c r="F44" s="4"/>
    </row>
    <row r="45" s="2" customFormat="1" ht="18" customHeight="1" spans="1:6">
      <c r="A45" s="3"/>
      <c r="B45" s="4"/>
      <c r="C45" s="3"/>
      <c r="D45" s="5"/>
      <c r="E45" s="5"/>
      <c r="F45" s="4"/>
    </row>
    <row r="46" s="2" customFormat="1" ht="18" customHeight="1" spans="1:6">
      <c r="A46" s="3"/>
      <c r="B46" s="4"/>
      <c r="C46" s="3"/>
      <c r="D46" s="5"/>
      <c r="E46" s="5"/>
      <c r="F46" s="4"/>
    </row>
    <row r="47" s="2" customFormat="1" spans="1:6">
      <c r="A47" s="3"/>
      <c r="B47" s="4"/>
      <c r="C47" s="3"/>
      <c r="D47" s="5"/>
      <c r="E47" s="5"/>
      <c r="F47" s="4"/>
    </row>
    <row r="48" s="2" customFormat="1" spans="1:6">
      <c r="A48" s="3"/>
      <c r="B48" s="4"/>
      <c r="C48" s="3"/>
      <c r="D48" s="5"/>
      <c r="E48" s="5"/>
      <c r="F48" s="4"/>
    </row>
    <row r="49" s="2" customFormat="1" spans="1:6">
      <c r="A49" s="3"/>
      <c r="B49" s="4"/>
      <c r="C49" s="3"/>
      <c r="D49" s="5"/>
      <c r="E49" s="5"/>
      <c r="F49" s="4"/>
    </row>
    <row r="50" s="2" customFormat="1" spans="3:3">
      <c r="C50" s="3"/>
    </row>
    <row r="51" s="2" customFormat="1" spans="3:3">
      <c r="C51" s="3"/>
    </row>
    <row r="52" s="2" customFormat="1" spans="3:3">
      <c r="C52" s="3"/>
    </row>
    <row r="53" s="2" customFormat="1" spans="3:3">
      <c r="C53" s="3"/>
    </row>
    <row r="54" s="2" customFormat="1" spans="3:3">
      <c r="C54" s="3"/>
    </row>
    <row r="55" s="2" customFormat="1" spans="3:3">
      <c r="C55" s="3"/>
    </row>
    <row r="56" s="2" customFormat="1" spans="3:3">
      <c r="C56" s="3"/>
    </row>
    <row r="57" s="2" customFormat="1" spans="3:3">
      <c r="C57" s="3"/>
    </row>
    <row r="58" s="2" customFormat="1" spans="3:3">
      <c r="C58" s="3"/>
    </row>
    <row r="59" s="2" customFormat="1" spans="3:3">
      <c r="C59" s="3"/>
    </row>
    <row r="60" s="2" customFormat="1" spans="3:3">
      <c r="C60" s="3"/>
    </row>
    <row r="61" s="2" customFormat="1" spans="3:3">
      <c r="C61" s="3"/>
    </row>
    <row r="62" s="2" customFormat="1" spans="3:3">
      <c r="C62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61"/>
  <sheetViews>
    <sheetView workbookViewId="0">
      <selection activeCell="H31" sqref="H31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1.4416666666667" style="2" customWidth="1"/>
    <col min="12" max="12" width="12.775" style="2" customWidth="1"/>
    <col min="13" max="13" width="6" style="2" customWidth="1"/>
    <col min="14" max="14" width="5.66666666666667" style="2" customWidth="1"/>
    <col min="15" max="16384" width="9" style="2"/>
  </cols>
  <sheetData>
    <row r="1" ht="21.9" customHeight="1" spans="1:12">
      <c r="A1" s="7" t="s">
        <v>76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42579</v>
      </c>
      <c r="C2" s="11" t="s">
        <v>2</v>
      </c>
      <c r="D2" s="14">
        <v>2064049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4">
        <f>G7/(1+C7+E7)</f>
        <v>1000000</v>
      </c>
      <c r="C7" s="23">
        <v>0.02</v>
      </c>
      <c r="D7" s="24">
        <f>G7/(1+E7+C7)*C7</f>
        <v>20000</v>
      </c>
      <c r="E7" s="23">
        <v>0.09</v>
      </c>
      <c r="F7" s="14">
        <f>G7/(1+C7+E7)*E7</f>
        <v>90000</v>
      </c>
      <c r="G7" s="25">
        <v>1110000</v>
      </c>
      <c r="H7" s="22" t="s">
        <v>21</v>
      </c>
      <c r="I7" s="14">
        <v>1110000</v>
      </c>
      <c r="J7" s="43" t="s">
        <v>22</v>
      </c>
    </row>
    <row r="8" ht="18" customHeight="1" spans="1:10">
      <c r="A8" s="22"/>
      <c r="B8" s="14">
        <f t="shared" ref="B8:B10" si="0">G8/(1+C8+E8)</f>
        <v>0</v>
      </c>
      <c r="C8" s="23">
        <v>0.02</v>
      </c>
      <c r="D8" s="24">
        <f t="shared" ref="D8:D10" si="1">G8/(1+E8+C8)*C8</f>
        <v>0</v>
      </c>
      <c r="E8" s="23">
        <v>0.08</v>
      </c>
      <c r="F8" s="14">
        <f t="shared" ref="F8:F10" si="2">G8/(1+C8+E8)*E8</f>
        <v>0</v>
      </c>
      <c r="G8" s="25"/>
      <c r="H8" s="22"/>
      <c r="I8" s="14"/>
      <c r="J8" s="43"/>
    </row>
    <row r="9" ht="18" customHeight="1" spans="1:10">
      <c r="A9" s="22"/>
      <c r="B9" s="14">
        <f t="shared" si="0"/>
        <v>0</v>
      </c>
      <c r="C9" s="23">
        <v>0.02</v>
      </c>
      <c r="D9" s="24">
        <f t="shared" si="1"/>
        <v>0</v>
      </c>
      <c r="E9" s="23">
        <v>0.08</v>
      </c>
      <c r="F9" s="14">
        <f t="shared" si="2"/>
        <v>0</v>
      </c>
      <c r="G9" s="25"/>
      <c r="H9" s="22"/>
      <c r="I9" s="14"/>
      <c r="J9" s="43"/>
    </row>
    <row r="10" ht="18" customHeight="1" spans="1:10">
      <c r="A10" s="22"/>
      <c r="B10" s="14">
        <f t="shared" si="0"/>
        <v>0</v>
      </c>
      <c r="C10" s="23">
        <v>0.02</v>
      </c>
      <c r="D10" s="24">
        <f t="shared" si="1"/>
        <v>0</v>
      </c>
      <c r="E10" s="23">
        <v>0.08</v>
      </c>
      <c r="F10" s="14">
        <f t="shared" si="2"/>
        <v>0</v>
      </c>
      <c r="G10" s="25"/>
      <c r="H10" s="22"/>
      <c r="I10" s="14"/>
      <c r="J10" s="43"/>
    </row>
    <row r="11" ht="18" customHeight="1" spans="1:10">
      <c r="A11" s="26" t="s">
        <v>23</v>
      </c>
      <c r="B11" s="27">
        <f>SUM(B7:B10)</f>
        <v>1000000</v>
      </c>
      <c r="C11" s="28"/>
      <c r="D11" s="29">
        <f t="shared" ref="D11:G11" si="3">SUM(D7:D10)</f>
        <v>20000</v>
      </c>
      <c r="E11" s="28"/>
      <c r="F11" s="30">
        <f t="shared" si="3"/>
        <v>90000</v>
      </c>
      <c r="G11" s="29">
        <f t="shared" si="3"/>
        <v>1110000</v>
      </c>
      <c r="H11" s="31"/>
      <c r="I11" s="29">
        <f>SUM(I7:I10)</f>
        <v>1110000</v>
      </c>
      <c r="J11" s="31"/>
    </row>
    <row r="12" ht="18" customHeight="1" spans="1:12">
      <c r="A12" s="3" t="s">
        <v>24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 t="s">
        <v>37</v>
      </c>
      <c r="B14" s="17">
        <f>ROUND(G14/(1+E14),2)</f>
        <v>1390000</v>
      </c>
      <c r="C14" s="34"/>
      <c r="D14" s="35" t="s">
        <v>38</v>
      </c>
      <c r="E14" s="36"/>
      <c r="F14" s="17">
        <f>ROUND(G14/(1+E14)*E14,2)</f>
        <v>0</v>
      </c>
      <c r="G14" s="25">
        <v>1390000</v>
      </c>
      <c r="H14" s="22"/>
      <c r="I14" s="14"/>
      <c r="J14" s="43"/>
      <c r="K14" s="52"/>
      <c r="L14" s="53" t="s">
        <v>39</v>
      </c>
      <c r="M14" s="54"/>
      <c r="N14" s="54"/>
      <c r="O14" s="53"/>
    </row>
    <row r="15" s="1" customFormat="1" ht="18" customHeight="1" spans="1:15">
      <c r="A15" s="33"/>
      <c r="B15" s="17">
        <f t="shared" ref="B15:B29" si="4">ROUND(G15/(1+E15),2)</f>
        <v>0</v>
      </c>
      <c r="C15" s="34"/>
      <c r="D15" s="35"/>
      <c r="E15" s="36"/>
      <c r="F15" s="17">
        <f t="shared" ref="F15:F29" si="5">ROUND(G15/(1+E15)*E15,2)</f>
        <v>0</v>
      </c>
      <c r="G15" s="25"/>
      <c r="H15" s="22"/>
      <c r="I15" s="14"/>
      <c r="J15" s="43"/>
      <c r="K15" s="52"/>
      <c r="L15" s="53"/>
      <c r="M15" s="54"/>
      <c r="N15" s="54"/>
      <c r="O15" s="53"/>
    </row>
    <row r="16" s="1" customFormat="1" ht="18" customHeight="1" spans="1:15">
      <c r="A16" s="33"/>
      <c r="B16" s="17">
        <f t="shared" si="4"/>
        <v>0</v>
      </c>
      <c r="C16" s="34"/>
      <c r="D16" s="35"/>
      <c r="E16" s="36"/>
      <c r="F16" s="17">
        <f t="shared" si="5"/>
        <v>0</v>
      </c>
      <c r="G16" s="25"/>
      <c r="H16" s="22"/>
      <c r="I16" s="14"/>
      <c r="J16" s="43"/>
      <c r="K16" s="52"/>
      <c r="L16" s="53"/>
      <c r="M16" s="54"/>
      <c r="N16" s="54"/>
      <c r="O16" s="53"/>
    </row>
    <row r="17" s="1" customFormat="1" ht="18" customHeight="1" spans="1:15">
      <c r="A17" s="33"/>
      <c r="B17" s="17">
        <f t="shared" si="4"/>
        <v>0</v>
      </c>
      <c r="C17" s="34"/>
      <c r="D17" s="35"/>
      <c r="E17" s="36"/>
      <c r="F17" s="17">
        <f t="shared" si="5"/>
        <v>0</v>
      </c>
      <c r="G17" s="25"/>
      <c r="H17" s="22"/>
      <c r="I17" s="14"/>
      <c r="J17" s="43"/>
      <c r="K17" s="52"/>
      <c r="L17" s="53"/>
      <c r="M17" s="54"/>
      <c r="N17" s="54"/>
      <c r="O17" s="53"/>
    </row>
    <row r="18" s="1" customFormat="1" ht="18" customHeight="1" spans="1:15">
      <c r="A18" s="33"/>
      <c r="B18" s="17">
        <f t="shared" si="4"/>
        <v>0</v>
      </c>
      <c r="C18" s="34"/>
      <c r="D18" s="35"/>
      <c r="E18" s="36"/>
      <c r="F18" s="17">
        <f t="shared" si="5"/>
        <v>0</v>
      </c>
      <c r="G18" s="25"/>
      <c r="H18" s="22"/>
      <c r="I18" s="14"/>
      <c r="J18" s="43"/>
      <c r="K18" s="52"/>
      <c r="L18" s="53"/>
      <c r="M18" s="54"/>
      <c r="N18" s="54"/>
      <c r="O18" s="53"/>
    </row>
    <row r="19" s="1" customFormat="1" ht="18" customHeight="1" spans="1:15">
      <c r="A19" s="33"/>
      <c r="B19" s="17">
        <f t="shared" si="4"/>
        <v>0</v>
      </c>
      <c r="C19" s="34"/>
      <c r="D19" s="35"/>
      <c r="E19" s="36"/>
      <c r="F19" s="17">
        <f t="shared" si="5"/>
        <v>0</v>
      </c>
      <c r="G19" s="25"/>
      <c r="H19" s="22"/>
      <c r="I19" s="14"/>
      <c r="J19" s="43"/>
      <c r="K19" s="52"/>
      <c r="L19" s="53"/>
      <c r="M19" s="54"/>
      <c r="N19" s="54"/>
      <c r="O19" s="53"/>
    </row>
    <row r="20" s="1" customFormat="1" ht="18" customHeight="1" spans="1:15">
      <c r="A20" s="33"/>
      <c r="B20" s="17">
        <f t="shared" si="4"/>
        <v>0</v>
      </c>
      <c r="C20" s="34"/>
      <c r="D20" s="35"/>
      <c r="E20" s="36"/>
      <c r="F20" s="17">
        <f t="shared" si="5"/>
        <v>0</v>
      </c>
      <c r="G20" s="25"/>
      <c r="H20" s="22"/>
      <c r="I20" s="14"/>
      <c r="J20" s="43"/>
      <c r="K20" s="52"/>
      <c r="L20" s="53"/>
      <c r="M20" s="54"/>
      <c r="N20" s="54"/>
      <c r="O20" s="53"/>
    </row>
    <row r="21" s="1" customFormat="1" ht="18" customHeight="1" spans="1:15">
      <c r="A21" s="33"/>
      <c r="B21" s="17">
        <f t="shared" si="4"/>
        <v>0</v>
      </c>
      <c r="C21" s="34"/>
      <c r="D21" s="35"/>
      <c r="E21" s="36"/>
      <c r="F21" s="17">
        <f t="shared" si="5"/>
        <v>0</v>
      </c>
      <c r="G21" s="25"/>
      <c r="H21" s="22"/>
      <c r="I21" s="14"/>
      <c r="J21" s="43"/>
      <c r="K21" s="52"/>
      <c r="L21" s="53"/>
      <c r="M21" s="54"/>
      <c r="N21" s="54"/>
      <c r="O21" s="53"/>
    </row>
    <row r="22" s="1" customFormat="1" ht="18" customHeight="1" spans="1:15">
      <c r="A22" s="33"/>
      <c r="B22" s="17">
        <f t="shared" si="4"/>
        <v>0</v>
      </c>
      <c r="C22" s="34"/>
      <c r="D22" s="35"/>
      <c r="E22" s="36"/>
      <c r="F22" s="17">
        <f t="shared" si="5"/>
        <v>0</v>
      </c>
      <c r="G22" s="25"/>
      <c r="H22" s="22"/>
      <c r="I22" s="14"/>
      <c r="J22" s="43"/>
      <c r="K22" s="52"/>
      <c r="L22" s="53"/>
      <c r="M22" s="54"/>
      <c r="N22" s="54"/>
      <c r="O22" s="53"/>
    </row>
    <row r="23" s="1" customFormat="1" ht="18" customHeight="1" spans="1:15">
      <c r="A23" s="33"/>
      <c r="B23" s="17">
        <f t="shared" si="4"/>
        <v>0</v>
      </c>
      <c r="C23" s="34"/>
      <c r="D23" s="35"/>
      <c r="E23" s="36"/>
      <c r="F23" s="17">
        <f t="shared" si="5"/>
        <v>0</v>
      </c>
      <c r="G23" s="25"/>
      <c r="H23" s="22"/>
      <c r="I23" s="14"/>
      <c r="J23" s="43"/>
      <c r="K23" s="52"/>
      <c r="L23" s="53"/>
      <c r="M23" s="54"/>
      <c r="N23" s="54"/>
      <c r="O23" s="53"/>
    </row>
    <row r="24" s="1" customFormat="1" ht="18" customHeight="1" spans="1:15">
      <c r="A24" s="33"/>
      <c r="B24" s="17">
        <f t="shared" si="4"/>
        <v>0</v>
      </c>
      <c r="C24" s="34"/>
      <c r="D24" s="35"/>
      <c r="E24" s="36"/>
      <c r="F24" s="17">
        <f t="shared" si="5"/>
        <v>0</v>
      </c>
      <c r="G24" s="25"/>
      <c r="H24" s="22" t="s">
        <v>77</v>
      </c>
      <c r="I24" s="14">
        <v>190000</v>
      </c>
      <c r="J24" s="43" t="s">
        <v>22</v>
      </c>
      <c r="K24" s="52" t="s">
        <v>78</v>
      </c>
      <c r="L24" s="53"/>
      <c r="M24" s="54"/>
      <c r="N24" s="54"/>
      <c r="O24" s="53"/>
    </row>
    <row r="25" s="1" customFormat="1" ht="18" customHeight="1" spans="1:15">
      <c r="A25" s="33"/>
      <c r="B25" s="17">
        <f t="shared" si="4"/>
        <v>0</v>
      </c>
      <c r="C25" s="34"/>
      <c r="D25" s="35"/>
      <c r="E25" s="36"/>
      <c r="F25" s="17">
        <f t="shared" si="5"/>
        <v>0</v>
      </c>
      <c r="G25" s="25"/>
      <c r="H25" s="22" t="s">
        <v>21</v>
      </c>
      <c r="I25" s="14">
        <v>919219.02</v>
      </c>
      <c r="J25" s="43" t="s">
        <v>48</v>
      </c>
      <c r="K25" s="52" t="s">
        <v>49</v>
      </c>
      <c r="L25" s="53"/>
      <c r="M25" s="54"/>
      <c r="N25" s="54"/>
      <c r="O25" s="53"/>
    </row>
    <row r="26" s="1" customFormat="1" ht="18" customHeight="1" spans="1:15">
      <c r="A26" s="33"/>
      <c r="B26" s="17">
        <f t="shared" si="4"/>
        <v>0</v>
      </c>
      <c r="C26" s="34"/>
      <c r="D26" s="35"/>
      <c r="E26" s="36"/>
      <c r="F26" s="17">
        <f t="shared" si="5"/>
        <v>0</v>
      </c>
      <c r="G26" s="25"/>
      <c r="H26" s="22"/>
      <c r="I26" s="14">
        <v>50000</v>
      </c>
      <c r="J26" s="43" t="s">
        <v>55</v>
      </c>
      <c r="K26" s="52" t="s">
        <v>56</v>
      </c>
      <c r="L26" s="53"/>
      <c r="M26" s="54"/>
      <c r="N26" s="54"/>
      <c r="O26" s="53"/>
    </row>
    <row r="27" s="1" customFormat="1" ht="18" customHeight="1" spans="1:15">
      <c r="A27" s="33"/>
      <c r="B27" s="17">
        <f t="shared" si="4"/>
        <v>0</v>
      </c>
      <c r="C27" s="34"/>
      <c r="D27" s="35"/>
      <c r="E27" s="36"/>
      <c r="F27" s="17">
        <f t="shared" si="5"/>
        <v>0</v>
      </c>
      <c r="G27" s="25"/>
      <c r="H27" s="22"/>
      <c r="I27" s="14">
        <v>500</v>
      </c>
      <c r="J27" s="43" t="s">
        <v>52</v>
      </c>
      <c r="K27" s="52" t="s">
        <v>79</v>
      </c>
      <c r="L27" s="53"/>
      <c r="M27" s="54"/>
      <c r="N27" s="54"/>
      <c r="O27" s="53"/>
    </row>
    <row r="28" s="1" customFormat="1" ht="18" customHeight="1" spans="1:15">
      <c r="A28" s="33"/>
      <c r="B28" s="17">
        <f t="shared" si="4"/>
        <v>0</v>
      </c>
      <c r="C28" s="34"/>
      <c r="D28" s="35"/>
      <c r="E28" s="36"/>
      <c r="F28" s="17">
        <f t="shared" si="5"/>
        <v>0</v>
      </c>
      <c r="G28" s="25"/>
      <c r="H28" s="22"/>
      <c r="I28" s="14">
        <v>99000</v>
      </c>
      <c r="J28" s="43" t="s">
        <v>52</v>
      </c>
      <c r="K28" s="52" t="s">
        <v>58</v>
      </c>
      <c r="L28" s="53"/>
      <c r="M28" s="54"/>
      <c r="N28" s="54"/>
      <c r="O28" s="53"/>
    </row>
    <row r="29" s="1" customFormat="1" ht="18" customHeight="1" spans="1:15">
      <c r="A29" s="33"/>
      <c r="B29" s="17">
        <f t="shared" si="4"/>
        <v>41280.98</v>
      </c>
      <c r="C29" s="34"/>
      <c r="D29" s="35"/>
      <c r="E29" s="36"/>
      <c r="F29" s="17">
        <f t="shared" si="5"/>
        <v>0</v>
      </c>
      <c r="G29" s="25">
        <v>41280.98</v>
      </c>
      <c r="H29" s="22"/>
      <c r="I29" s="14">
        <v>41280.98</v>
      </c>
      <c r="J29" s="43" t="s">
        <v>52</v>
      </c>
      <c r="K29" s="52" t="s">
        <v>59</v>
      </c>
      <c r="L29" s="53"/>
      <c r="M29" s="54"/>
      <c r="N29" s="54"/>
      <c r="O29" s="53"/>
    </row>
    <row r="30" ht="18" customHeight="1" spans="1:15">
      <c r="A30" s="28" t="s">
        <v>23</v>
      </c>
      <c r="B30" s="27">
        <f>SUM(B14:B29)</f>
        <v>1431280.98</v>
      </c>
      <c r="C30" s="28"/>
      <c r="D30" s="37"/>
      <c r="E30" s="37"/>
      <c r="F30" s="30">
        <f>SUM(F14:F29)</f>
        <v>0</v>
      </c>
      <c r="G30" s="38">
        <f>SUM(G14:G29)</f>
        <v>1431280.98</v>
      </c>
      <c r="H30" s="39"/>
      <c r="I30" s="29">
        <f>SUM(I14:I29)</f>
        <v>1300000</v>
      </c>
      <c r="J30" s="55"/>
      <c r="K30" s="37"/>
      <c r="L30" s="31"/>
      <c r="M30" s="43"/>
      <c r="N30" s="43"/>
      <c r="O30" s="31"/>
    </row>
    <row r="31" ht="18" customHeight="1" spans="1:14">
      <c r="A31" s="40" t="s">
        <v>60</v>
      </c>
      <c r="B31" s="41">
        <f>B11-B30</f>
        <v>-431280.98</v>
      </c>
      <c r="C31" s="40"/>
      <c r="D31" s="42"/>
      <c r="E31" s="42"/>
      <c r="F31" s="41"/>
      <c r="G31" s="41">
        <f>G11-G30</f>
        <v>-321280.98</v>
      </c>
      <c r="H31" s="21" t="s">
        <v>61</v>
      </c>
      <c r="I31" s="29">
        <f>I11-I30</f>
        <v>-190000</v>
      </c>
      <c r="J31" s="2"/>
      <c r="K31" s="56"/>
      <c r="M31" s="57"/>
      <c r="N31" s="57"/>
    </row>
    <row r="32" ht="18" customHeight="1" spans="1:3">
      <c r="A32" s="3" t="s">
        <v>62</v>
      </c>
      <c r="C32" s="3"/>
    </row>
    <row r="33" s="2" customFormat="1" ht="18" customHeight="1" spans="1:6">
      <c r="A33" s="21" t="s">
        <v>63</v>
      </c>
      <c r="B33" s="20" t="s">
        <v>64</v>
      </c>
      <c r="C33" s="31"/>
      <c r="D33" s="21" t="s">
        <v>63</v>
      </c>
      <c r="E33" s="19" t="s">
        <v>16</v>
      </c>
      <c r="F33" s="20" t="s">
        <v>64</v>
      </c>
    </row>
    <row r="34" s="2" customFormat="1" ht="18" customHeight="1" spans="1:6">
      <c r="A34" s="31" t="s">
        <v>66</v>
      </c>
      <c r="B34" s="17">
        <f>(B11-B30)*0.25</f>
        <v>-107820.245</v>
      </c>
      <c r="C34" s="31"/>
      <c r="D34" s="9" t="s">
        <v>67</v>
      </c>
      <c r="E34" s="43" t="s">
        <v>68</v>
      </c>
      <c r="F34" s="44">
        <f>F11-F30</f>
        <v>90000</v>
      </c>
    </row>
    <row r="35" s="2" customFormat="1" ht="18" customHeight="1" spans="1:6">
      <c r="A35" s="31" t="s">
        <v>70</v>
      </c>
      <c r="B35" s="45"/>
      <c r="C35" s="31"/>
      <c r="D35" s="46" t="s">
        <v>71</v>
      </c>
      <c r="E35" s="13">
        <v>0.05</v>
      </c>
      <c r="F35" s="14">
        <f>F34*E35</f>
        <v>4500</v>
      </c>
    </row>
    <row r="36" s="2" customFormat="1" ht="18" customHeight="1" spans="1:6">
      <c r="A36" s="31" t="s">
        <v>72</v>
      </c>
      <c r="B36" s="45"/>
      <c r="C36" s="31"/>
      <c r="D36" s="46" t="s">
        <v>73</v>
      </c>
      <c r="E36" s="13">
        <v>0.03</v>
      </c>
      <c r="F36" s="14">
        <f>F34*E36</f>
        <v>2700</v>
      </c>
    </row>
    <row r="37" s="2" customFormat="1" ht="18" customHeight="1" spans="1:6">
      <c r="A37" s="31"/>
      <c r="B37" s="14"/>
      <c r="C37" s="31"/>
      <c r="D37" s="46" t="s">
        <v>74</v>
      </c>
      <c r="E37" s="13">
        <v>0.02</v>
      </c>
      <c r="F37" s="14">
        <f>F34*E37</f>
        <v>1800</v>
      </c>
    </row>
    <row r="38" s="2" customFormat="1" ht="18" customHeight="1" spans="1:6">
      <c r="A38" s="26" t="s">
        <v>75</v>
      </c>
      <c r="B38" s="27">
        <f>SUM(B34:B37)</f>
        <v>-107820.245</v>
      </c>
      <c r="C38" s="31"/>
      <c r="D38" s="26" t="s">
        <v>75</v>
      </c>
      <c r="E38" s="26"/>
      <c r="F38" s="30">
        <f>SUM(F34:F37)</f>
        <v>99000</v>
      </c>
    </row>
    <row r="39" s="2" customFormat="1" ht="18" customHeight="1" spans="1:6">
      <c r="A39" s="3"/>
      <c r="B39" s="4"/>
      <c r="C39" s="3"/>
      <c r="D39" s="11" t="s">
        <v>70</v>
      </c>
      <c r="E39" s="47">
        <v>0.0003</v>
      </c>
      <c r="F39" s="14">
        <f>G11*E39</f>
        <v>333</v>
      </c>
    </row>
    <row r="40" s="2" customFormat="1" ht="18" customHeight="1" spans="1:6">
      <c r="A40" s="3"/>
      <c r="B40" s="4"/>
      <c r="C40" s="3"/>
      <c r="D40" s="11" t="s">
        <v>72</v>
      </c>
      <c r="E40" s="47">
        <v>0.0006</v>
      </c>
      <c r="F40" s="14">
        <f>B11*E40</f>
        <v>600</v>
      </c>
    </row>
    <row r="41" s="2" customFormat="1" ht="18" customHeight="1" spans="1:6">
      <c r="A41" s="3"/>
      <c r="B41" s="4"/>
      <c r="C41" s="3"/>
      <c r="D41" s="28" t="s">
        <v>23</v>
      </c>
      <c r="E41" s="28"/>
      <c r="F41" s="29">
        <f>F38+F39+F40</f>
        <v>99933</v>
      </c>
    </row>
    <row r="42" s="2" customFormat="1" ht="18" customHeight="1" spans="1:6">
      <c r="A42" s="3"/>
      <c r="B42" s="4"/>
      <c r="C42" s="3"/>
      <c r="D42" s="5"/>
      <c r="E42" s="5"/>
      <c r="F42" s="4"/>
    </row>
    <row r="43" s="2" customFormat="1" ht="18" customHeight="1" spans="1:6">
      <c r="A43" s="3"/>
      <c r="B43" s="4"/>
      <c r="C43" s="3"/>
      <c r="D43" s="5"/>
      <c r="E43" s="5"/>
      <c r="F43" s="4"/>
    </row>
    <row r="44" s="2" customFormat="1" ht="18" customHeight="1" spans="1:6">
      <c r="A44" s="3"/>
      <c r="B44" s="4"/>
      <c r="C44" s="3"/>
      <c r="D44" s="5"/>
      <c r="E44" s="5"/>
      <c r="F44" s="4"/>
    </row>
    <row r="45" s="2" customFormat="1" ht="18" customHeight="1" spans="1:6">
      <c r="A45" s="3"/>
      <c r="B45" s="4"/>
      <c r="C45" s="3"/>
      <c r="D45" s="5"/>
      <c r="E45" s="5"/>
      <c r="F45" s="4"/>
    </row>
    <row r="46" s="2" customFormat="1" spans="1:6">
      <c r="A46" s="3"/>
      <c r="B46" s="4"/>
      <c r="C46" s="3"/>
      <c r="D46" s="5"/>
      <c r="E46" s="5"/>
      <c r="F46" s="4"/>
    </row>
    <row r="47" s="2" customFormat="1" spans="1:6">
      <c r="A47" s="3"/>
      <c r="B47" s="4"/>
      <c r="C47" s="3"/>
      <c r="D47" s="5"/>
      <c r="E47" s="5"/>
      <c r="F47" s="4"/>
    </row>
    <row r="48" s="2" customFormat="1" spans="1:6">
      <c r="A48" s="3"/>
      <c r="B48" s="4"/>
      <c r="C48" s="3"/>
      <c r="D48" s="5"/>
      <c r="E48" s="5"/>
      <c r="F48" s="4"/>
    </row>
    <row r="49" s="2" customFormat="1" spans="3:3">
      <c r="C49" s="3"/>
    </row>
    <row r="50" s="2" customFormat="1" spans="3:3">
      <c r="C50" s="3"/>
    </row>
    <row r="51" s="2" customFormat="1" spans="3:3">
      <c r="C51" s="3"/>
    </row>
    <row r="52" s="2" customFormat="1" spans="3:3">
      <c r="C52" s="3"/>
    </row>
    <row r="53" s="2" customFormat="1" spans="3:3">
      <c r="C53" s="3"/>
    </row>
    <row r="54" s="2" customFormat="1" spans="3:3">
      <c r="C54" s="3"/>
    </row>
    <row r="55" s="2" customFormat="1" spans="3:3">
      <c r="C55" s="3"/>
    </row>
    <row r="56" s="2" customFormat="1" spans="3:3">
      <c r="C56" s="3"/>
    </row>
    <row r="57" s="2" customFormat="1" spans="3:3">
      <c r="C57" s="3"/>
    </row>
    <row r="58" s="2" customFormat="1" spans="3:3">
      <c r="C58" s="3"/>
    </row>
    <row r="59" s="2" customFormat="1" spans="3:3">
      <c r="C59" s="3"/>
    </row>
    <row r="60" s="2" customFormat="1" spans="3:3">
      <c r="C60" s="3"/>
    </row>
    <row r="61" s="2" customFormat="1" spans="3:3">
      <c r="C61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71"/>
  <sheetViews>
    <sheetView tabSelected="1" topLeftCell="A25" workbookViewId="0">
      <selection activeCell="K50" sqref="K50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6.6666666666667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1.4416666666667" style="2" customWidth="1"/>
    <col min="12" max="12" width="17" style="2" customWidth="1"/>
    <col min="13" max="13" width="6" style="2" customWidth="1"/>
    <col min="14" max="14" width="5.66666666666667" style="2" customWidth="1"/>
    <col min="15" max="15" width="17.875" style="2" customWidth="1"/>
    <col min="16" max="16384" width="9" style="2"/>
  </cols>
  <sheetData>
    <row r="1" ht="21.9" customHeight="1" spans="1:12">
      <c r="A1" s="7" t="s">
        <v>80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42529</v>
      </c>
      <c r="C2" s="11" t="s">
        <v>2</v>
      </c>
      <c r="D2" s="58">
        <v>3290000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>
        <v>3024902.02</v>
      </c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1">
        <f t="shared" ref="B7:B10" si="0">G7/(1+C7+E7)</f>
        <v>1891891.89189189</v>
      </c>
      <c r="C7" s="23">
        <v>0.02</v>
      </c>
      <c r="D7" s="59">
        <f>G7/(1+E7+C7)*C7</f>
        <v>37837.8378378378</v>
      </c>
      <c r="E7" s="23">
        <v>0.09</v>
      </c>
      <c r="F7" s="11">
        <f>G7/1.11*0.09</f>
        <v>170270.27027027</v>
      </c>
      <c r="G7" s="60">
        <v>2100000</v>
      </c>
      <c r="H7" s="22" t="s">
        <v>21</v>
      </c>
      <c r="I7" s="11">
        <v>2100000</v>
      </c>
      <c r="J7" s="43" t="s">
        <v>22</v>
      </c>
    </row>
    <row r="8" ht="18" customHeight="1" spans="1:12">
      <c r="A8" s="22">
        <v>43963</v>
      </c>
      <c r="B8" s="11">
        <f t="shared" si="0"/>
        <v>795223.541284404</v>
      </c>
      <c r="C8" s="61">
        <v>0.02</v>
      </c>
      <c r="D8" s="59">
        <f>G8/(1+E8+C8)*C8</f>
        <v>15904.4708256881</v>
      </c>
      <c r="E8" s="61">
        <v>0.07</v>
      </c>
      <c r="F8" s="11">
        <f>G8/1.09*0.09</f>
        <v>71570.1187155963</v>
      </c>
      <c r="G8" s="60">
        <f>570000+296793.66</f>
        <v>866793.66</v>
      </c>
      <c r="H8" s="22">
        <v>43972</v>
      </c>
      <c r="I8" s="11">
        <v>833943.66</v>
      </c>
      <c r="J8" s="43" t="s">
        <v>22</v>
      </c>
      <c r="K8" s="2">
        <f>G8-I8</f>
        <v>32849.9999999999</v>
      </c>
      <c r="L8" s="4" t="s">
        <v>81</v>
      </c>
    </row>
    <row r="9" ht="18" customHeight="1" spans="1:12">
      <c r="A9" s="22"/>
      <c r="B9" s="11">
        <f t="shared" si="0"/>
        <v>0</v>
      </c>
      <c r="C9" s="23">
        <v>0.02</v>
      </c>
      <c r="D9" s="59">
        <f t="shared" ref="D9:D10" si="1">G9/(1+E9+C9)*C9</f>
        <v>0</v>
      </c>
      <c r="E9" s="61"/>
      <c r="F9" s="11">
        <f t="shared" ref="F9:F10" si="2">G9/(1+C9+E9)*E9</f>
        <v>0</v>
      </c>
      <c r="G9" s="60"/>
      <c r="H9" s="22"/>
      <c r="I9" s="11"/>
      <c r="J9" s="43"/>
      <c r="L9" s="4"/>
    </row>
    <row r="10" ht="18" customHeight="1" spans="1:10">
      <c r="A10" s="22"/>
      <c r="B10" s="11">
        <f t="shared" si="0"/>
        <v>0</v>
      </c>
      <c r="C10" s="23">
        <v>0.02</v>
      </c>
      <c r="D10" s="59">
        <f t="shared" si="1"/>
        <v>0</v>
      </c>
      <c r="E10" s="23">
        <v>0.08</v>
      </c>
      <c r="F10" s="11">
        <f t="shared" si="2"/>
        <v>0</v>
      </c>
      <c r="G10" s="60"/>
      <c r="H10" s="22"/>
      <c r="I10" s="11"/>
      <c r="J10" s="43"/>
    </row>
    <row r="11" ht="18" customHeight="1" spans="1:10">
      <c r="A11" s="26" t="s">
        <v>23</v>
      </c>
      <c r="B11" s="62">
        <f t="shared" ref="B11:G11" si="3">SUM(B7:B10)</f>
        <v>2687115.4331763</v>
      </c>
      <c r="C11" s="28"/>
      <c r="D11" s="28">
        <f t="shared" si="3"/>
        <v>53742.3086635259</v>
      </c>
      <c r="E11" s="28"/>
      <c r="F11" s="63">
        <f t="shared" si="3"/>
        <v>241840.388985866</v>
      </c>
      <c r="G11" s="28">
        <f t="shared" si="3"/>
        <v>2966793.66</v>
      </c>
      <c r="H11" s="31"/>
      <c r="I11" s="28">
        <f>SUM(I7:I10)</f>
        <v>2933943.66</v>
      </c>
      <c r="J11" s="31"/>
    </row>
    <row r="12" ht="18" customHeight="1" spans="1:12">
      <c r="A12" s="3" t="s">
        <v>24</v>
      </c>
      <c r="I12" s="4">
        <f>D3-I11</f>
        <v>90958.3599999999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/>
      <c r="B14" s="64">
        <f t="shared" ref="B14:B36" si="4">ROUND(G14/(1+E14),2)</f>
        <v>20000</v>
      </c>
      <c r="C14" s="34"/>
      <c r="D14" s="35" t="s">
        <v>40</v>
      </c>
      <c r="E14" s="36"/>
      <c r="F14" s="64">
        <f t="shared" ref="F14:F36" si="5">ROUND(G14/(1+E14)*E14,2)</f>
        <v>0</v>
      </c>
      <c r="G14" s="60">
        <v>20000</v>
      </c>
      <c r="H14" s="22"/>
      <c r="I14" s="11"/>
      <c r="J14" s="43"/>
      <c r="K14" s="52"/>
      <c r="L14" s="53"/>
      <c r="M14" s="54"/>
      <c r="N14" s="54"/>
      <c r="O14" s="53"/>
    </row>
    <row r="15" s="1" customFormat="1" ht="18" customHeight="1" spans="1:15">
      <c r="A15" s="33" t="s">
        <v>21</v>
      </c>
      <c r="B15" s="64">
        <f t="shared" si="4"/>
        <v>20557.95</v>
      </c>
      <c r="C15" s="34"/>
      <c r="D15" s="35" t="s">
        <v>82</v>
      </c>
      <c r="E15" s="36">
        <v>0.17</v>
      </c>
      <c r="F15" s="64">
        <f t="shared" si="5"/>
        <v>3494.85</v>
      </c>
      <c r="G15" s="60">
        <v>24052.8</v>
      </c>
      <c r="H15" s="22"/>
      <c r="I15" s="11"/>
      <c r="J15" s="43"/>
      <c r="K15" s="52" t="s">
        <v>83</v>
      </c>
      <c r="L15" s="53" t="s">
        <v>84</v>
      </c>
      <c r="M15" s="54"/>
      <c r="N15" s="54"/>
      <c r="O15" s="53"/>
    </row>
    <row r="16" s="1" customFormat="1" ht="18" customHeight="1" spans="1:15">
      <c r="A16" s="33" t="s">
        <v>21</v>
      </c>
      <c r="B16" s="64">
        <f t="shared" si="4"/>
        <v>710334.53</v>
      </c>
      <c r="C16" s="34"/>
      <c r="D16" s="35" t="s">
        <v>82</v>
      </c>
      <c r="E16" s="36">
        <v>0.17</v>
      </c>
      <c r="F16" s="64">
        <f t="shared" si="5"/>
        <v>120756.87</v>
      </c>
      <c r="G16" s="60">
        <v>831091.4</v>
      </c>
      <c r="H16" s="22"/>
      <c r="I16" s="11"/>
      <c r="J16" s="43"/>
      <c r="K16" s="52" t="s">
        <v>83</v>
      </c>
      <c r="L16" s="53" t="s">
        <v>84</v>
      </c>
      <c r="M16" s="54"/>
      <c r="N16" s="54"/>
      <c r="O16" s="53"/>
    </row>
    <row r="17" s="1" customFormat="1" ht="18" customHeight="1" spans="1:15">
      <c r="A17" s="33" t="s">
        <v>85</v>
      </c>
      <c r="B17" s="64">
        <f t="shared" si="4"/>
        <v>55918.15</v>
      </c>
      <c r="C17" s="34"/>
      <c r="D17" s="35" t="s">
        <v>82</v>
      </c>
      <c r="E17" s="36">
        <v>0.17</v>
      </c>
      <c r="F17" s="64">
        <f t="shared" si="5"/>
        <v>9506.09</v>
      </c>
      <c r="G17" s="60">
        <v>65424.24</v>
      </c>
      <c r="H17" s="22"/>
      <c r="I17" s="11"/>
      <c r="J17" s="43"/>
      <c r="K17" s="52" t="s">
        <v>78</v>
      </c>
      <c r="L17" s="53" t="s">
        <v>86</v>
      </c>
      <c r="M17" s="54"/>
      <c r="N17" s="54"/>
      <c r="O17" s="53"/>
    </row>
    <row r="18" s="1" customFormat="1" ht="18" customHeight="1" spans="1:15">
      <c r="A18" s="33" t="s">
        <v>87</v>
      </c>
      <c r="B18" s="64">
        <f t="shared" si="4"/>
        <v>46384.27</v>
      </c>
      <c r="C18" s="34"/>
      <c r="D18" s="35" t="s">
        <v>82</v>
      </c>
      <c r="E18" s="36">
        <v>0.17</v>
      </c>
      <c r="F18" s="64">
        <f t="shared" si="5"/>
        <v>7885.33</v>
      </c>
      <c r="G18" s="60">
        <v>54269.6</v>
      </c>
      <c r="H18" s="22"/>
      <c r="I18" s="11"/>
      <c r="J18" s="43"/>
      <c r="K18" s="52" t="s">
        <v>78</v>
      </c>
      <c r="L18" s="53" t="s">
        <v>84</v>
      </c>
      <c r="M18" s="54"/>
      <c r="N18" s="54"/>
      <c r="O18" s="53"/>
    </row>
    <row r="19" s="1" customFormat="1" ht="18" customHeight="1" spans="1:15">
      <c r="A19" s="33" t="s">
        <v>88</v>
      </c>
      <c r="B19" s="64">
        <f t="shared" si="4"/>
        <v>224516.44</v>
      </c>
      <c r="C19" s="34"/>
      <c r="D19" s="35" t="s">
        <v>82</v>
      </c>
      <c r="E19" s="36">
        <v>0.17</v>
      </c>
      <c r="F19" s="64">
        <f t="shared" si="5"/>
        <v>38167.8</v>
      </c>
      <c r="G19" s="60">
        <v>262684.24</v>
      </c>
      <c r="H19" s="22"/>
      <c r="I19" s="11"/>
      <c r="J19" s="43"/>
      <c r="K19" s="52" t="s">
        <v>78</v>
      </c>
      <c r="L19" s="53" t="s">
        <v>86</v>
      </c>
      <c r="M19" s="54"/>
      <c r="N19" s="54"/>
      <c r="O19" s="53"/>
    </row>
    <row r="20" s="1" customFormat="1" ht="18" customHeight="1" spans="1:15">
      <c r="A20" s="33">
        <v>43983</v>
      </c>
      <c r="B20" s="64">
        <f t="shared" si="4"/>
        <v>915000</v>
      </c>
      <c r="C20" s="34"/>
      <c r="D20" s="35" t="s">
        <v>40</v>
      </c>
      <c r="E20" s="36"/>
      <c r="F20" s="64">
        <f t="shared" si="5"/>
        <v>0</v>
      </c>
      <c r="G20" s="60">
        <v>915000</v>
      </c>
      <c r="H20" s="22"/>
      <c r="I20" s="11"/>
      <c r="J20" s="43"/>
      <c r="K20" s="52" t="s">
        <v>89</v>
      </c>
      <c r="L20" s="53" t="s">
        <v>42</v>
      </c>
      <c r="M20" s="54" t="s">
        <v>43</v>
      </c>
      <c r="N20" s="54"/>
      <c r="O20" s="53"/>
    </row>
    <row r="21" s="1" customFormat="1" ht="18" customHeight="1" spans="1:15">
      <c r="A21" s="65">
        <v>43983</v>
      </c>
      <c r="B21" s="66">
        <f t="shared" si="4"/>
        <v>315000</v>
      </c>
      <c r="C21" s="67"/>
      <c r="D21" s="68" t="s">
        <v>40</v>
      </c>
      <c r="E21" s="36"/>
      <c r="F21" s="66">
        <f t="shared" si="5"/>
        <v>0</v>
      </c>
      <c r="G21" s="60">
        <v>315000</v>
      </c>
      <c r="H21" s="69"/>
      <c r="I21" s="73"/>
      <c r="J21" s="74"/>
      <c r="K21" s="75" t="s">
        <v>90</v>
      </c>
      <c r="L21" s="76" t="s">
        <v>91</v>
      </c>
      <c r="M21" s="54" t="s">
        <v>43</v>
      </c>
      <c r="N21" s="54"/>
      <c r="O21" s="77"/>
    </row>
    <row r="22" s="1" customFormat="1" ht="18" customHeight="1" spans="1:15">
      <c r="A22" s="33">
        <v>43983</v>
      </c>
      <c r="B22" s="64">
        <f t="shared" si="4"/>
        <v>315000</v>
      </c>
      <c r="C22" s="34"/>
      <c r="D22" s="35" t="s">
        <v>40</v>
      </c>
      <c r="E22" s="36"/>
      <c r="F22" s="64">
        <f t="shared" si="5"/>
        <v>0</v>
      </c>
      <c r="G22" s="60">
        <v>315000</v>
      </c>
      <c r="H22" s="22"/>
      <c r="I22" s="11"/>
      <c r="J22" s="43"/>
      <c r="K22" s="52" t="s">
        <v>44</v>
      </c>
      <c r="L22" s="53" t="s">
        <v>92</v>
      </c>
      <c r="M22" s="54" t="s">
        <v>43</v>
      </c>
      <c r="N22" s="54"/>
      <c r="O22" s="53"/>
    </row>
    <row r="23" s="1" customFormat="1" ht="18" customHeight="1" spans="1:15">
      <c r="A23" s="33"/>
      <c r="B23" s="64"/>
      <c r="C23" s="34"/>
      <c r="D23" s="35"/>
      <c r="E23" s="36"/>
      <c r="F23" s="64"/>
      <c r="G23" s="60"/>
      <c r="H23" s="22">
        <v>42779</v>
      </c>
      <c r="I23" s="11">
        <v>-190000</v>
      </c>
      <c r="J23" s="43" t="s">
        <v>48</v>
      </c>
      <c r="K23" s="52" t="s">
        <v>93</v>
      </c>
      <c r="L23" s="53" t="s">
        <v>94</v>
      </c>
      <c r="M23" s="54"/>
      <c r="N23" s="54"/>
      <c r="O23" s="53" t="s">
        <v>95</v>
      </c>
    </row>
    <row r="24" s="1" customFormat="1" ht="18" customHeight="1" spans="1:15">
      <c r="A24" s="33"/>
      <c r="B24" s="64"/>
      <c r="C24" s="34"/>
      <c r="D24" s="35"/>
      <c r="E24" s="36"/>
      <c r="F24" s="64"/>
      <c r="G24" s="60"/>
      <c r="H24" s="22">
        <v>42779</v>
      </c>
      <c r="I24" s="11">
        <v>190000</v>
      </c>
      <c r="J24" s="43" t="s">
        <v>22</v>
      </c>
      <c r="K24" s="52" t="s">
        <v>78</v>
      </c>
      <c r="L24" s="53"/>
      <c r="M24" s="54"/>
      <c r="N24" s="54"/>
      <c r="O24" s="53" t="s">
        <v>95</v>
      </c>
    </row>
    <row r="25" s="1" customFormat="1" ht="18" customHeight="1" spans="1:15">
      <c r="A25" s="33"/>
      <c r="B25" s="64"/>
      <c r="C25" s="34"/>
      <c r="D25" s="35"/>
      <c r="E25" s="36"/>
      <c r="F25" s="64"/>
      <c r="G25" s="60"/>
      <c r="H25" s="22">
        <v>43396</v>
      </c>
      <c r="I25" s="11">
        <v>426452.72</v>
      </c>
      <c r="J25" s="43" t="s">
        <v>22</v>
      </c>
      <c r="K25" s="52" t="s">
        <v>78</v>
      </c>
      <c r="L25" s="53"/>
      <c r="M25" s="54"/>
      <c r="N25" s="54"/>
      <c r="O25" s="53" t="s">
        <v>95</v>
      </c>
    </row>
    <row r="26" s="1" customFormat="1" ht="18" customHeight="1" spans="1:15">
      <c r="A26" s="33"/>
      <c r="B26" s="64"/>
      <c r="C26" s="34"/>
      <c r="D26" s="35"/>
      <c r="E26" s="36"/>
      <c r="F26" s="64"/>
      <c r="G26" s="60"/>
      <c r="H26" s="22">
        <v>43396</v>
      </c>
      <c r="I26" s="11">
        <v>-426452.72</v>
      </c>
      <c r="J26" s="43" t="s">
        <v>48</v>
      </c>
      <c r="K26" s="52" t="s">
        <v>93</v>
      </c>
      <c r="L26" s="53" t="s">
        <v>96</v>
      </c>
      <c r="M26" s="54"/>
      <c r="N26" s="54"/>
      <c r="O26" s="53" t="s">
        <v>95</v>
      </c>
    </row>
    <row r="27" s="1" customFormat="1" ht="18" customHeight="1" spans="1:15">
      <c r="A27" s="33"/>
      <c r="B27" s="64">
        <f t="shared" si="4"/>
        <v>0</v>
      </c>
      <c r="C27" s="34"/>
      <c r="D27" s="35"/>
      <c r="E27" s="36"/>
      <c r="F27" s="64">
        <f t="shared" si="5"/>
        <v>0</v>
      </c>
      <c r="G27" s="60"/>
      <c r="H27" s="22"/>
      <c r="I27" s="11"/>
      <c r="J27" s="43"/>
      <c r="K27" s="52"/>
      <c r="L27" s="53"/>
      <c r="M27" s="54"/>
      <c r="N27" s="54"/>
      <c r="O27" s="53"/>
    </row>
    <row r="28" s="1" customFormat="1" ht="18" customHeight="1" spans="1:15">
      <c r="A28" s="33"/>
      <c r="B28" s="64">
        <f t="shared" si="4"/>
        <v>0</v>
      </c>
      <c r="C28" s="34"/>
      <c r="D28" s="35"/>
      <c r="E28" s="36"/>
      <c r="F28" s="64">
        <f t="shared" si="5"/>
        <v>0</v>
      </c>
      <c r="G28" s="60"/>
      <c r="H28" s="22" t="s">
        <v>21</v>
      </c>
      <c r="I28" s="11">
        <v>1977949.47</v>
      </c>
      <c r="J28" s="43" t="s">
        <v>48</v>
      </c>
      <c r="K28" s="52" t="s">
        <v>49</v>
      </c>
      <c r="L28" s="53"/>
      <c r="M28" s="54"/>
      <c r="N28" s="54"/>
      <c r="O28" s="53"/>
    </row>
    <row r="29" s="1" customFormat="1" ht="18" customHeight="1" spans="1:15">
      <c r="A29" s="33"/>
      <c r="B29" s="64"/>
      <c r="C29" s="34"/>
      <c r="D29" s="35"/>
      <c r="E29" s="36"/>
      <c r="F29" s="64"/>
      <c r="G29" s="60"/>
      <c r="H29" s="10">
        <v>44000</v>
      </c>
      <c r="I29" s="64">
        <v>818659.49</v>
      </c>
      <c r="J29" s="54" t="s">
        <v>48</v>
      </c>
      <c r="K29" s="52" t="s">
        <v>49</v>
      </c>
      <c r="L29" s="53" t="s">
        <v>97</v>
      </c>
      <c r="M29" s="54"/>
      <c r="N29" s="54"/>
      <c r="O29" s="53"/>
    </row>
    <row r="30" s="1" customFormat="1" ht="18" customHeight="1" spans="1:15">
      <c r="A30" s="33"/>
      <c r="B30" s="64"/>
      <c r="C30" s="34"/>
      <c r="D30" s="35"/>
      <c r="E30" s="36"/>
      <c r="F30" s="64"/>
      <c r="G30" s="60"/>
      <c r="H30" s="10"/>
      <c r="I30" s="64"/>
      <c r="J30" s="54"/>
      <c r="K30" s="52"/>
      <c r="L30" s="53"/>
      <c r="M30" s="54"/>
      <c r="N30" s="54"/>
      <c r="O30" s="53"/>
    </row>
    <row r="31" s="1" customFormat="1" ht="18" customHeight="1" spans="1:15">
      <c r="A31" s="33"/>
      <c r="B31" s="64"/>
      <c r="C31" s="34"/>
      <c r="D31" s="35"/>
      <c r="E31" s="36"/>
      <c r="F31" s="64"/>
      <c r="G31" s="60"/>
      <c r="H31" s="10"/>
      <c r="I31" s="64"/>
      <c r="J31" s="54"/>
      <c r="K31" s="52"/>
      <c r="L31" s="53"/>
      <c r="M31" s="54"/>
      <c r="N31" s="54"/>
      <c r="O31" s="53"/>
    </row>
    <row r="32" s="1" customFormat="1" ht="18" customHeight="1" spans="1:15">
      <c r="A32" s="33"/>
      <c r="B32" s="64"/>
      <c r="C32" s="34"/>
      <c r="D32" s="35"/>
      <c r="E32" s="36"/>
      <c r="F32" s="64"/>
      <c r="G32" s="60"/>
      <c r="H32" s="10"/>
      <c r="I32" s="64"/>
      <c r="J32" s="54"/>
      <c r="K32" s="52"/>
      <c r="L32" s="53"/>
      <c r="M32" s="54"/>
      <c r="N32" s="54"/>
      <c r="O32" s="53"/>
    </row>
    <row r="33" s="1" customFormat="1" ht="18" customHeight="1" spans="1:15">
      <c r="A33" s="33"/>
      <c r="B33" s="64"/>
      <c r="C33" s="34"/>
      <c r="D33" s="35"/>
      <c r="E33" s="36"/>
      <c r="F33" s="64"/>
      <c r="G33" s="60"/>
      <c r="H33" s="10"/>
      <c r="I33" s="64">
        <v>300</v>
      </c>
      <c r="J33" s="54" t="s">
        <v>52</v>
      </c>
      <c r="K33" s="52" t="s">
        <v>54</v>
      </c>
      <c r="L33" s="53"/>
      <c r="M33" s="54"/>
      <c r="N33" s="54"/>
      <c r="O33" s="53"/>
    </row>
    <row r="34" s="1" customFormat="1" ht="18" customHeight="1" spans="1:15">
      <c r="A34" s="33"/>
      <c r="B34" s="64"/>
      <c r="C34" s="34"/>
      <c r="D34" s="35"/>
      <c r="E34" s="36"/>
      <c r="F34" s="64"/>
      <c r="G34" s="60"/>
      <c r="H34" s="10"/>
      <c r="I34" s="64">
        <f>F51-I38</f>
        <v>62224.760222076</v>
      </c>
      <c r="J34" s="54" t="s">
        <v>52</v>
      </c>
      <c r="K34" s="52" t="s">
        <v>98</v>
      </c>
      <c r="L34" s="53"/>
      <c r="M34" s="54"/>
      <c r="N34" s="54"/>
      <c r="O34" s="53"/>
    </row>
    <row r="35" s="1" customFormat="1" ht="18" customHeight="1" spans="1:15">
      <c r="A35" s="33"/>
      <c r="B35" s="64">
        <f>ROUND(G35/(1+E35),2)</f>
        <v>0</v>
      </c>
      <c r="C35" s="34"/>
      <c r="D35" s="35"/>
      <c r="E35" s="36"/>
      <c r="F35" s="64">
        <f>ROUND(G35/(1+E35)*E35,2)</f>
        <v>0</v>
      </c>
      <c r="G35" s="60"/>
      <c r="H35" s="10"/>
      <c r="I35" s="64">
        <v>-46000</v>
      </c>
      <c r="J35" s="54" t="s">
        <v>50</v>
      </c>
      <c r="K35" s="52" t="s">
        <v>51</v>
      </c>
      <c r="L35" s="53"/>
      <c r="M35" s="54"/>
      <c r="N35" s="54"/>
      <c r="O35" s="53"/>
    </row>
    <row r="36" s="1" customFormat="1" ht="18" customHeight="1" spans="1:15">
      <c r="A36" s="33"/>
      <c r="B36" s="64">
        <f>ROUND(G36/(1+E36),2)</f>
        <v>0</v>
      </c>
      <c r="C36" s="34"/>
      <c r="D36" s="35"/>
      <c r="E36" s="36"/>
      <c r="F36" s="64">
        <f>ROUND(G36/(1+E36)*E36,2)</f>
        <v>0</v>
      </c>
      <c r="G36" s="60"/>
      <c r="H36" s="22"/>
      <c r="I36" s="11">
        <v>46000</v>
      </c>
      <c r="J36" s="43" t="s">
        <v>55</v>
      </c>
      <c r="K36" s="52" t="s">
        <v>56</v>
      </c>
      <c r="L36" s="53"/>
      <c r="M36" s="54"/>
      <c r="N36" s="54"/>
      <c r="O36" s="53"/>
    </row>
    <row r="37" s="1" customFormat="1" ht="18" customHeight="1" spans="1:15">
      <c r="A37" s="33"/>
      <c r="B37" s="64">
        <f>ROUND(G37/(1+E37),2)</f>
        <v>0</v>
      </c>
      <c r="C37" s="34"/>
      <c r="D37" s="35"/>
      <c r="E37" s="36"/>
      <c r="F37" s="64">
        <f>ROUND(G37/(1+E37)*E37,2)</f>
        <v>0</v>
      </c>
      <c r="G37" s="60"/>
      <c r="H37" s="22"/>
      <c r="I37" s="11">
        <v>500</v>
      </c>
      <c r="J37" s="43" t="s">
        <v>52</v>
      </c>
      <c r="K37" s="52" t="s">
        <v>79</v>
      </c>
      <c r="L37" s="53"/>
      <c r="M37" s="54"/>
      <c r="N37" s="54"/>
      <c r="O37" s="53"/>
    </row>
    <row r="38" s="1" customFormat="1" ht="18" customHeight="1" spans="1:15">
      <c r="A38" s="33"/>
      <c r="B38" s="64">
        <f>ROUND(G38/(1+E38),2)</f>
        <v>0</v>
      </c>
      <c r="C38" s="34"/>
      <c r="D38" s="35"/>
      <c r="E38" s="36"/>
      <c r="F38" s="64">
        <f>ROUND(G38/(1+E38)*E38,2)</f>
        <v>0</v>
      </c>
      <c r="G38" s="60"/>
      <c r="H38" s="22"/>
      <c r="I38" s="11">
        <v>9750.53</v>
      </c>
      <c r="J38" s="43" t="s">
        <v>52</v>
      </c>
      <c r="K38" s="52" t="s">
        <v>58</v>
      </c>
      <c r="L38" s="53"/>
      <c r="M38" s="54"/>
      <c r="N38" s="54"/>
      <c r="O38" s="53"/>
    </row>
    <row r="39" s="1" customFormat="1" ht="18" customHeight="1" spans="1:15">
      <c r="A39" s="33"/>
      <c r="B39" s="64">
        <f>ROUND(G39/(1+E39),2)</f>
        <v>65800</v>
      </c>
      <c r="C39" s="34"/>
      <c r="D39" s="35"/>
      <c r="E39" s="36"/>
      <c r="F39" s="64">
        <f>ROUND(G39/(1+E39)*E39,2)</f>
        <v>0</v>
      </c>
      <c r="G39" s="60">
        <v>65800</v>
      </c>
      <c r="H39" s="22"/>
      <c r="I39" s="11">
        <v>65800</v>
      </c>
      <c r="J39" s="43" t="s">
        <v>52</v>
      </c>
      <c r="K39" s="52" t="s">
        <v>59</v>
      </c>
      <c r="L39" s="53"/>
      <c r="M39" s="54"/>
      <c r="N39" s="54"/>
      <c r="O39" s="53"/>
    </row>
    <row r="40" ht="18" customHeight="1" spans="1:15">
      <c r="A40" s="28" t="s">
        <v>23</v>
      </c>
      <c r="B40" s="62">
        <f>SUM(B14:B39)</f>
        <v>2688511.34</v>
      </c>
      <c r="C40" s="28"/>
      <c r="D40" s="37"/>
      <c r="E40" s="37"/>
      <c r="F40" s="63">
        <f>SUM(F14:F39)</f>
        <v>179810.94</v>
      </c>
      <c r="G40" s="70">
        <f>SUM(G14:G39)</f>
        <v>2868322.28</v>
      </c>
      <c r="H40" s="39"/>
      <c r="I40" s="28">
        <f>SUM(I14:I39)</f>
        <v>2935184.25022208</v>
      </c>
      <c r="J40" s="55"/>
      <c r="K40" s="37"/>
      <c r="L40" s="31"/>
      <c r="M40" s="43"/>
      <c r="N40" s="43"/>
      <c r="O40" s="31"/>
    </row>
    <row r="41" ht="18" customHeight="1" spans="1:14">
      <c r="A41" s="40" t="s">
        <v>60</v>
      </c>
      <c r="B41" s="40">
        <f>B11-B40</f>
        <v>-1395.90682370448</v>
      </c>
      <c r="C41" s="40"/>
      <c r="D41" s="42"/>
      <c r="E41" s="42"/>
      <c r="F41" s="41">
        <f>F11-F40</f>
        <v>62029.4489858663</v>
      </c>
      <c r="G41" s="40">
        <f>G11-G40</f>
        <v>98471.3799999999</v>
      </c>
      <c r="H41" s="21" t="s">
        <v>61</v>
      </c>
      <c r="I41" s="28">
        <f>I11-I40</f>
        <v>-1240.59022207558</v>
      </c>
      <c r="J41" s="2"/>
      <c r="K41" s="56"/>
      <c r="M41" s="57"/>
      <c r="N41" s="57"/>
    </row>
    <row r="42" ht="18" customHeight="1" spans="1:9">
      <c r="A42" s="3" t="s">
        <v>62</v>
      </c>
      <c r="C42" s="3"/>
      <c r="I42" s="4">
        <f>I38+I34</f>
        <v>71975.290222076</v>
      </c>
    </row>
    <row r="43" ht="15" customHeight="1" spans="1:10">
      <c r="A43" s="21" t="s">
        <v>63</v>
      </c>
      <c r="B43" s="20" t="s">
        <v>64</v>
      </c>
      <c r="C43" s="31"/>
      <c r="D43" s="21" t="s">
        <v>63</v>
      </c>
      <c r="E43" s="19" t="s">
        <v>16</v>
      </c>
      <c r="F43" s="20" t="s">
        <v>64</v>
      </c>
      <c r="G43" s="39" t="s">
        <v>65</v>
      </c>
      <c r="H43" s="2"/>
      <c r="I43" s="2"/>
      <c r="J43" s="2"/>
    </row>
    <row r="44" ht="18" customHeight="1" spans="1:10">
      <c r="A44" s="31" t="s">
        <v>66</v>
      </c>
      <c r="B44" s="17">
        <f>(B11-B40)*0.25</f>
        <v>-348.976705926121</v>
      </c>
      <c r="C44" s="31"/>
      <c r="D44" s="9" t="s">
        <v>67</v>
      </c>
      <c r="E44" s="43" t="s">
        <v>68</v>
      </c>
      <c r="F44" s="63">
        <f>F11-F40</f>
        <v>62029.4489858663</v>
      </c>
      <c r="G44" s="71">
        <f>F8-F17-F18-F19</f>
        <v>16010.8987155963</v>
      </c>
      <c r="H44" s="2"/>
      <c r="I44" s="2"/>
      <c r="J44" s="2"/>
    </row>
    <row r="45" ht="18" customHeight="1" spans="1:10">
      <c r="A45" s="31" t="s">
        <v>70</v>
      </c>
      <c r="B45" s="45"/>
      <c r="C45" s="31"/>
      <c r="D45" s="46" t="s">
        <v>71</v>
      </c>
      <c r="E45" s="13">
        <v>0.07</v>
      </c>
      <c r="F45" s="11">
        <f>F44*E45</f>
        <v>4342.06142901064</v>
      </c>
      <c r="G45" s="11">
        <f>G44*E45</f>
        <v>1120.76291009174</v>
      </c>
      <c r="H45" s="2"/>
      <c r="I45" s="2"/>
      <c r="J45" s="2"/>
    </row>
    <row r="46" ht="18" customHeight="1" spans="1:10">
      <c r="A46" s="31" t="s">
        <v>72</v>
      </c>
      <c r="B46" s="45"/>
      <c r="C46" s="31"/>
      <c r="D46" s="46" t="s">
        <v>73</v>
      </c>
      <c r="E46" s="13">
        <v>0.03</v>
      </c>
      <c r="F46" s="11">
        <f>F44*E46</f>
        <v>1860.88346957599</v>
      </c>
      <c r="G46" s="11">
        <f>G44*E46</f>
        <v>480.326961467889</v>
      </c>
      <c r="H46" s="2"/>
      <c r="I46" s="2"/>
      <c r="J46" s="2"/>
    </row>
    <row r="47" ht="18" customHeight="1" spans="1:10">
      <c r="A47" s="31"/>
      <c r="B47" s="14"/>
      <c r="C47" s="31"/>
      <c r="D47" s="46" t="s">
        <v>74</v>
      </c>
      <c r="E47" s="13">
        <v>0.02</v>
      </c>
      <c r="F47" s="11">
        <f>F44*E47</f>
        <v>1240.58897971733</v>
      </c>
      <c r="G47" s="11">
        <f>G44*E47</f>
        <v>320.217974311926</v>
      </c>
      <c r="H47" s="2"/>
      <c r="I47" s="2"/>
      <c r="J47" s="2"/>
    </row>
    <row r="48" ht="18" customHeight="1" spans="1:10">
      <c r="A48" s="26" t="s">
        <v>75</v>
      </c>
      <c r="B48" s="27">
        <f>SUM(B44:B47)</f>
        <v>-348.976705926121</v>
      </c>
      <c r="C48" s="31"/>
      <c r="D48" s="26" t="s">
        <v>75</v>
      </c>
      <c r="E48" s="26"/>
      <c r="F48" s="63">
        <f>SUM(F44:F47)</f>
        <v>69472.9828641703</v>
      </c>
      <c r="G48" s="63">
        <f>SUM(G44:G47)</f>
        <v>17932.2065614679</v>
      </c>
      <c r="H48" s="2"/>
      <c r="I48" s="2"/>
      <c r="J48" s="2"/>
    </row>
    <row r="49" ht="18" customHeight="1" spans="3:10">
      <c r="C49" s="3"/>
      <c r="D49" s="11" t="s">
        <v>70</v>
      </c>
      <c r="E49" s="47">
        <v>0.0003</v>
      </c>
      <c r="F49" s="11">
        <f>G11*E49</f>
        <v>890.038098</v>
      </c>
      <c r="G49" s="11">
        <f>G8*E49</f>
        <v>260.038098</v>
      </c>
      <c r="H49" s="2"/>
      <c r="I49" s="2"/>
      <c r="J49" s="2"/>
    </row>
    <row r="50" ht="18" customHeight="1" spans="3:10">
      <c r="C50" s="3"/>
      <c r="D50" s="11" t="s">
        <v>72</v>
      </c>
      <c r="E50" s="47">
        <v>0.0006</v>
      </c>
      <c r="F50" s="11">
        <f>B11*E50</f>
        <v>1612.26925990578</v>
      </c>
      <c r="G50" s="11">
        <f>B8*E50</f>
        <v>477.134124770642</v>
      </c>
      <c r="H50" s="2"/>
      <c r="I50" s="2"/>
      <c r="J50" s="2"/>
    </row>
    <row r="51" ht="18" customHeight="1" spans="3:10">
      <c r="C51" s="3"/>
      <c r="D51" s="28" t="s">
        <v>23</v>
      </c>
      <c r="E51" s="28"/>
      <c r="F51" s="28">
        <f>F48+F49+F50</f>
        <v>71975.290222076</v>
      </c>
      <c r="G51" s="28">
        <f>SUM(G48:G50)</f>
        <v>18669.3787842385</v>
      </c>
      <c r="H51" s="2"/>
      <c r="I51" s="2"/>
      <c r="J51" s="2"/>
    </row>
    <row r="52" spans="3:10">
      <c r="C52" s="3"/>
      <c r="G52" s="2"/>
      <c r="H52" s="2"/>
      <c r="I52" s="2"/>
      <c r="J52" s="2"/>
    </row>
    <row r="53" spans="3:10">
      <c r="C53" s="3"/>
      <c r="F53" s="72">
        <f>F51-I38</f>
        <v>62224.760222076</v>
      </c>
      <c r="G53" s="2"/>
      <c r="H53" s="2"/>
      <c r="I53" s="2"/>
      <c r="J53" s="2"/>
    </row>
    <row r="54" spans="3:10">
      <c r="C54" s="3"/>
      <c r="G54" s="2"/>
      <c r="H54" s="2"/>
      <c r="I54" s="2"/>
      <c r="J54" s="2"/>
    </row>
    <row r="55" spans="3:10">
      <c r="C55" s="3"/>
      <c r="G55" s="2"/>
      <c r="H55" s="2"/>
      <c r="I55" s="2"/>
      <c r="J55" s="2"/>
    </row>
    <row r="56" spans="3:10">
      <c r="C56" s="3"/>
      <c r="G56" s="2"/>
      <c r="H56" s="2"/>
      <c r="I56" s="2"/>
      <c r="J56" s="2"/>
    </row>
    <row r="57" spans="3:10">
      <c r="C57" s="3"/>
      <c r="G57" s="2"/>
      <c r="H57" s="2"/>
      <c r="I57" s="2"/>
      <c r="J57" s="2"/>
    </row>
    <row r="58" spans="3:10">
      <c r="C58" s="3"/>
      <c r="G58" s="2"/>
      <c r="H58" s="2"/>
      <c r="I58" s="2"/>
      <c r="J58" s="2"/>
    </row>
    <row r="59" spans="1:10">
      <c r="A59" s="2"/>
      <c r="B59" s="2"/>
      <c r="C59" s="3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3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3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3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3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3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3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3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3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3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3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3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3"/>
      <c r="D71" s="2"/>
      <c r="E71" s="2"/>
      <c r="F71" s="2"/>
      <c r="G71" s="2"/>
      <c r="H71" s="2"/>
      <c r="I71" s="2"/>
      <c r="J71" s="2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61"/>
  <sheetViews>
    <sheetView workbookViewId="0">
      <selection activeCell="F7" sqref="F7"/>
    </sheetView>
  </sheetViews>
  <sheetFormatPr defaultColWidth="9" defaultRowHeight="11.25"/>
  <cols>
    <col min="1" max="1" width="10.775" style="3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6.10833333333333" style="6" customWidth="1"/>
    <col min="11" max="11" width="31.4416666666667" style="2" customWidth="1"/>
    <col min="12" max="12" width="12.775" style="2" customWidth="1"/>
    <col min="13" max="13" width="6" style="2" customWidth="1"/>
    <col min="14" max="14" width="5.66666666666667" style="2" customWidth="1"/>
    <col min="15" max="16384" width="9" style="2"/>
  </cols>
  <sheetData>
    <row r="1" ht="21.9" customHeight="1" spans="1:12">
      <c r="A1" s="7" t="s">
        <v>99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42529</v>
      </c>
      <c r="C2" s="11" t="s">
        <v>2</v>
      </c>
      <c r="D2" s="12">
        <v>3290000</v>
      </c>
      <c r="E2" s="13" t="s">
        <v>3</v>
      </c>
      <c r="F2" s="14" t="s">
        <v>4</v>
      </c>
      <c r="G2" s="15" t="s">
        <v>5</v>
      </c>
      <c r="H2" s="16" t="s">
        <v>6</v>
      </c>
      <c r="I2" s="48"/>
      <c r="J2" s="49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0"/>
      <c r="J3" s="18"/>
      <c r="K3" s="18"/>
      <c r="L3" s="18"/>
    </row>
    <row r="4" ht="18" customHeight="1" spans="1:12">
      <c r="A4" s="3" t="s">
        <v>9</v>
      </c>
      <c r="H4" s="18"/>
      <c r="I4" s="50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42754</v>
      </c>
      <c r="B7" s="14">
        <f t="shared" ref="B7:B9" si="0">G7/(1+C7+E7)</f>
        <v>1891891.89189189</v>
      </c>
      <c r="C7" s="23">
        <v>0.02</v>
      </c>
      <c r="D7" s="24">
        <f t="shared" ref="D7:D9" si="1">G7/(1+E7+C7)*C7</f>
        <v>37837.8378378378</v>
      </c>
      <c r="E7" s="23">
        <v>0.09</v>
      </c>
      <c r="F7" s="14">
        <f t="shared" ref="F7:F9" si="2">G7/(1+C7+E7)*E7</f>
        <v>170270.27027027</v>
      </c>
      <c r="G7" s="25">
        <v>2100000</v>
      </c>
      <c r="H7" s="22" t="s">
        <v>21</v>
      </c>
      <c r="I7" s="14">
        <v>2100000</v>
      </c>
      <c r="J7" s="43" t="s">
        <v>22</v>
      </c>
    </row>
    <row r="8" ht="18" customHeight="1" spans="1:12">
      <c r="A8" s="22"/>
      <c r="B8" s="14">
        <f t="shared" si="0"/>
        <v>0</v>
      </c>
      <c r="C8" s="23">
        <v>0.02</v>
      </c>
      <c r="D8" s="24">
        <f t="shared" si="1"/>
        <v>0</v>
      </c>
      <c r="E8" s="23">
        <v>0.08</v>
      </c>
      <c r="F8" s="14">
        <f t="shared" si="2"/>
        <v>0</v>
      </c>
      <c r="G8" s="25"/>
      <c r="H8" s="22"/>
      <c r="I8" s="14"/>
      <c r="J8" s="43"/>
      <c r="L8" s="4"/>
    </row>
    <row r="9" ht="18" customHeight="1" spans="1:12">
      <c r="A9" s="22"/>
      <c r="B9" s="14">
        <f t="shared" si="0"/>
        <v>0</v>
      </c>
      <c r="C9" s="23">
        <v>0.02</v>
      </c>
      <c r="D9" s="24">
        <f t="shared" si="1"/>
        <v>0</v>
      </c>
      <c r="E9" s="23">
        <v>0.08</v>
      </c>
      <c r="F9" s="14">
        <f t="shared" si="2"/>
        <v>0</v>
      </c>
      <c r="G9" s="25"/>
      <c r="H9" s="22"/>
      <c r="I9" s="14"/>
      <c r="J9" s="43"/>
      <c r="L9" s="4"/>
    </row>
    <row r="10" ht="18" customHeight="1" spans="1:10">
      <c r="A10" s="22"/>
      <c r="B10" s="14">
        <f t="shared" ref="B10" si="3">G10/(1+C10+E10)</f>
        <v>0</v>
      </c>
      <c r="C10" s="23">
        <v>0.02</v>
      </c>
      <c r="D10" s="24">
        <f t="shared" ref="D10" si="4">G10/(1+E10+C10)*C10</f>
        <v>0</v>
      </c>
      <c r="E10" s="23">
        <v>0.08</v>
      </c>
      <c r="F10" s="14">
        <f t="shared" ref="F10" si="5">G10/(1+C10+E10)*E10</f>
        <v>0</v>
      </c>
      <c r="G10" s="25"/>
      <c r="H10" s="22"/>
      <c r="I10" s="14"/>
      <c r="J10" s="43"/>
    </row>
    <row r="11" ht="18" customHeight="1" spans="1:10">
      <c r="A11" s="26" t="s">
        <v>23</v>
      </c>
      <c r="B11" s="27">
        <f>SUM(B7:B10)</f>
        <v>1891891.89189189</v>
      </c>
      <c r="C11" s="28"/>
      <c r="D11" s="29">
        <f t="shared" ref="D11:G11" si="6">SUM(D7:D10)</f>
        <v>37837.8378378378</v>
      </c>
      <c r="E11" s="28"/>
      <c r="F11" s="30">
        <f t="shared" si="6"/>
        <v>170270.27027027</v>
      </c>
      <c r="G11" s="29">
        <f t="shared" si="6"/>
        <v>2100000</v>
      </c>
      <c r="H11" s="31"/>
      <c r="I11" s="29">
        <f>SUM(I7:I10)</f>
        <v>2100000</v>
      </c>
      <c r="J11" s="31"/>
    </row>
    <row r="12" ht="18" customHeight="1" spans="1:12">
      <c r="A12" s="3" t="s">
        <v>24</v>
      </c>
      <c r="J12" s="5"/>
      <c r="K12" s="5"/>
      <c r="L12" s="6"/>
    </row>
    <row r="13" ht="18" customHeight="1" spans="1:15">
      <c r="A13" s="32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1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3"/>
      <c r="B14" s="17">
        <f t="shared" ref="B14:B26" si="7">ROUND(G14/(1+E14),2)</f>
        <v>20000</v>
      </c>
      <c r="C14" s="34"/>
      <c r="D14" s="35" t="s">
        <v>40</v>
      </c>
      <c r="E14" s="36"/>
      <c r="F14" s="17">
        <f t="shared" ref="F14:F26" si="8">ROUND(G14/(1+E14)*E14,2)</f>
        <v>0</v>
      </c>
      <c r="G14" s="25">
        <v>20000</v>
      </c>
      <c r="H14" s="22"/>
      <c r="I14" s="14"/>
      <c r="J14" s="43"/>
      <c r="K14" s="52"/>
      <c r="L14" s="53"/>
      <c r="M14" s="54"/>
      <c r="N14" s="54"/>
      <c r="O14" s="53"/>
    </row>
    <row r="15" s="1" customFormat="1" ht="18" customHeight="1" spans="1:15">
      <c r="A15" s="33" t="s">
        <v>21</v>
      </c>
      <c r="B15" s="17">
        <f t="shared" si="7"/>
        <v>20557.95</v>
      </c>
      <c r="C15" s="34"/>
      <c r="D15" s="35" t="s">
        <v>82</v>
      </c>
      <c r="E15" s="36">
        <v>0.17</v>
      </c>
      <c r="F15" s="17">
        <f t="shared" si="8"/>
        <v>3494.85</v>
      </c>
      <c r="G15" s="25">
        <v>24052.8</v>
      </c>
      <c r="H15" s="22"/>
      <c r="I15" s="14"/>
      <c r="J15" s="43"/>
      <c r="K15" s="52" t="s">
        <v>83</v>
      </c>
      <c r="L15" s="53" t="s">
        <v>84</v>
      </c>
      <c r="M15" s="54"/>
      <c r="N15" s="54"/>
      <c r="O15" s="53"/>
    </row>
    <row r="16" s="1" customFormat="1" ht="18" customHeight="1" spans="1:15">
      <c r="A16" s="33" t="s">
        <v>21</v>
      </c>
      <c r="B16" s="17">
        <f t="shared" si="7"/>
        <v>710334.53</v>
      </c>
      <c r="C16" s="34"/>
      <c r="D16" s="35" t="s">
        <v>82</v>
      </c>
      <c r="E16" s="36">
        <v>0.17</v>
      </c>
      <c r="F16" s="17">
        <f t="shared" si="8"/>
        <v>120756.87</v>
      </c>
      <c r="G16" s="25">
        <v>831091.4</v>
      </c>
      <c r="H16" s="22"/>
      <c r="I16" s="14"/>
      <c r="J16" s="43"/>
      <c r="K16" s="52" t="s">
        <v>83</v>
      </c>
      <c r="L16" s="53" t="s">
        <v>84</v>
      </c>
      <c r="M16" s="54"/>
      <c r="N16" s="54"/>
      <c r="O16" s="53"/>
    </row>
    <row r="17" s="1" customFormat="1" ht="18" customHeight="1" spans="1:15">
      <c r="A17" s="33" t="s">
        <v>85</v>
      </c>
      <c r="B17" s="17">
        <f t="shared" si="7"/>
        <v>55918.15</v>
      </c>
      <c r="C17" s="34"/>
      <c r="D17" s="35" t="s">
        <v>82</v>
      </c>
      <c r="E17" s="36">
        <v>0.17</v>
      </c>
      <c r="F17" s="17">
        <f t="shared" si="8"/>
        <v>9506.09</v>
      </c>
      <c r="G17" s="25">
        <v>65424.24</v>
      </c>
      <c r="H17" s="22"/>
      <c r="I17" s="14"/>
      <c r="J17" s="43"/>
      <c r="K17" s="52" t="s">
        <v>78</v>
      </c>
      <c r="L17" s="53" t="s">
        <v>86</v>
      </c>
      <c r="M17" s="54"/>
      <c r="N17" s="54"/>
      <c r="O17" s="53"/>
    </row>
    <row r="18" s="1" customFormat="1" ht="18" customHeight="1" spans="1:15">
      <c r="A18" s="33" t="s">
        <v>87</v>
      </c>
      <c r="B18" s="17">
        <f t="shared" si="7"/>
        <v>46384.27</v>
      </c>
      <c r="C18" s="34"/>
      <c r="D18" s="35" t="s">
        <v>82</v>
      </c>
      <c r="E18" s="36">
        <v>0.17</v>
      </c>
      <c r="F18" s="17">
        <f t="shared" si="8"/>
        <v>7885.33</v>
      </c>
      <c r="G18" s="25">
        <v>54269.6</v>
      </c>
      <c r="H18" s="22"/>
      <c r="I18" s="14"/>
      <c r="J18" s="43"/>
      <c r="K18" s="52" t="s">
        <v>78</v>
      </c>
      <c r="L18" s="53" t="s">
        <v>84</v>
      </c>
      <c r="M18" s="54"/>
      <c r="N18" s="54"/>
      <c r="O18" s="53"/>
    </row>
    <row r="19" s="1" customFormat="1" ht="18" customHeight="1" spans="1:15">
      <c r="A19" s="33" t="s">
        <v>88</v>
      </c>
      <c r="B19" s="17">
        <f t="shared" si="7"/>
        <v>224516.44</v>
      </c>
      <c r="C19" s="34"/>
      <c r="D19" s="35" t="s">
        <v>82</v>
      </c>
      <c r="E19" s="36">
        <v>0.17</v>
      </c>
      <c r="F19" s="17">
        <f t="shared" si="8"/>
        <v>38167.8</v>
      </c>
      <c r="G19" s="25">
        <v>262684.24</v>
      </c>
      <c r="H19" s="22"/>
      <c r="I19" s="14"/>
      <c r="J19" s="43"/>
      <c r="K19" s="52" t="s">
        <v>78</v>
      </c>
      <c r="L19" s="53" t="s">
        <v>86</v>
      </c>
      <c r="M19" s="54"/>
      <c r="N19" s="54"/>
      <c r="O19" s="53"/>
    </row>
    <row r="20" s="1" customFormat="1" ht="18" customHeight="1" spans="1:15">
      <c r="A20" s="33"/>
      <c r="B20" s="17">
        <f t="shared" si="7"/>
        <v>0</v>
      </c>
      <c r="C20" s="34"/>
      <c r="D20" s="35"/>
      <c r="E20" s="36"/>
      <c r="F20" s="17">
        <f t="shared" si="8"/>
        <v>0</v>
      </c>
      <c r="G20" s="25"/>
      <c r="H20" s="22"/>
      <c r="I20" s="14"/>
      <c r="J20" s="43"/>
      <c r="K20" s="52"/>
      <c r="L20" s="53"/>
      <c r="M20" s="54"/>
      <c r="N20" s="54"/>
      <c r="O20" s="53"/>
    </row>
    <row r="21" s="1" customFormat="1" ht="18" customHeight="1" spans="1:15">
      <c r="A21" s="33"/>
      <c r="B21" s="17">
        <f t="shared" si="7"/>
        <v>0</v>
      </c>
      <c r="C21" s="34"/>
      <c r="D21" s="35"/>
      <c r="E21" s="36"/>
      <c r="F21" s="17">
        <f t="shared" si="8"/>
        <v>0</v>
      </c>
      <c r="G21" s="25"/>
      <c r="H21" s="22"/>
      <c r="I21" s="14"/>
      <c r="J21" s="43"/>
      <c r="K21" s="52"/>
      <c r="L21" s="53"/>
      <c r="M21" s="54"/>
      <c r="N21" s="54"/>
      <c r="O21" s="53"/>
    </row>
    <row r="22" s="1" customFormat="1" ht="18" customHeight="1" spans="1:15">
      <c r="A22" s="33"/>
      <c r="B22" s="17">
        <f t="shared" si="7"/>
        <v>0</v>
      </c>
      <c r="C22" s="34"/>
      <c r="D22" s="35"/>
      <c r="E22" s="36"/>
      <c r="F22" s="17">
        <f t="shared" si="8"/>
        <v>0</v>
      </c>
      <c r="G22" s="25"/>
      <c r="H22" s="22"/>
      <c r="I22" s="14"/>
      <c r="J22" s="43"/>
      <c r="K22" s="52"/>
      <c r="L22" s="53"/>
      <c r="M22" s="54"/>
      <c r="N22" s="54"/>
      <c r="O22" s="53"/>
    </row>
    <row r="23" s="1" customFormat="1" ht="18" customHeight="1" spans="1:15">
      <c r="A23" s="33"/>
      <c r="B23" s="17">
        <f t="shared" si="7"/>
        <v>0</v>
      </c>
      <c r="C23" s="34"/>
      <c r="D23" s="35"/>
      <c r="E23" s="36"/>
      <c r="F23" s="17">
        <f t="shared" si="8"/>
        <v>0</v>
      </c>
      <c r="G23" s="25"/>
      <c r="H23" s="22"/>
      <c r="I23" s="14"/>
      <c r="J23" s="43"/>
      <c r="K23" s="52"/>
      <c r="L23" s="53"/>
      <c r="M23" s="54"/>
      <c r="N23" s="54"/>
      <c r="O23" s="53"/>
    </row>
    <row r="24" s="1" customFormat="1" ht="18" customHeight="1" spans="1:15">
      <c r="A24" s="33"/>
      <c r="B24" s="17">
        <f t="shared" si="7"/>
        <v>0</v>
      </c>
      <c r="C24" s="34"/>
      <c r="D24" s="35"/>
      <c r="E24" s="36"/>
      <c r="F24" s="17">
        <f t="shared" si="8"/>
        <v>0</v>
      </c>
      <c r="G24" s="25"/>
      <c r="H24" s="22" t="s">
        <v>21</v>
      </c>
      <c r="I24" s="14">
        <v>1977949.47</v>
      </c>
      <c r="J24" s="43" t="s">
        <v>48</v>
      </c>
      <c r="K24" s="52" t="s">
        <v>49</v>
      </c>
      <c r="L24" s="53"/>
      <c r="M24" s="54"/>
      <c r="N24" s="54"/>
      <c r="O24" s="53"/>
    </row>
    <row r="25" s="1" customFormat="1" ht="18" customHeight="1" spans="1:15">
      <c r="A25" s="33"/>
      <c r="B25" s="17">
        <f t="shared" si="7"/>
        <v>0</v>
      </c>
      <c r="C25" s="34"/>
      <c r="D25" s="35"/>
      <c r="E25" s="36"/>
      <c r="F25" s="17">
        <f t="shared" si="8"/>
        <v>0</v>
      </c>
      <c r="G25" s="25"/>
      <c r="H25" s="22"/>
      <c r="I25" s="14"/>
      <c r="J25" s="43"/>
      <c r="K25" s="52"/>
      <c r="L25" s="53"/>
      <c r="M25" s="54"/>
      <c r="N25" s="54"/>
      <c r="O25" s="53"/>
    </row>
    <row r="26" s="1" customFormat="1" ht="18" customHeight="1" spans="1:15">
      <c r="A26" s="33"/>
      <c r="B26" s="17">
        <f t="shared" si="7"/>
        <v>0</v>
      </c>
      <c r="C26" s="34"/>
      <c r="D26" s="35"/>
      <c r="E26" s="36"/>
      <c r="F26" s="17">
        <f t="shared" si="8"/>
        <v>0</v>
      </c>
      <c r="G26" s="25"/>
      <c r="H26" s="22"/>
      <c r="I26" s="14">
        <v>46000</v>
      </c>
      <c r="J26" s="43" t="s">
        <v>52</v>
      </c>
      <c r="K26" s="52" t="s">
        <v>56</v>
      </c>
      <c r="L26" s="53"/>
      <c r="M26" s="54"/>
      <c r="N26" s="54"/>
      <c r="O26" s="53"/>
    </row>
    <row r="27" s="1" customFormat="1" ht="18" customHeight="1" spans="1:15">
      <c r="A27" s="33"/>
      <c r="B27" s="17">
        <f t="shared" ref="B27:B29" si="9">ROUND(G27/(1+E27),2)</f>
        <v>0</v>
      </c>
      <c r="C27" s="34"/>
      <c r="D27" s="35"/>
      <c r="E27" s="36"/>
      <c r="F27" s="17">
        <f t="shared" ref="F27:F29" si="10">ROUND(G27/(1+E27)*E27,2)</f>
        <v>0</v>
      </c>
      <c r="G27" s="25"/>
      <c r="H27" s="22"/>
      <c r="I27" s="14">
        <v>500</v>
      </c>
      <c r="J27" s="43" t="s">
        <v>52</v>
      </c>
      <c r="K27" s="52" t="s">
        <v>79</v>
      </c>
      <c r="L27" s="53"/>
      <c r="M27" s="54"/>
      <c r="N27" s="54"/>
      <c r="O27" s="53"/>
    </row>
    <row r="28" s="1" customFormat="1" ht="18" customHeight="1" spans="1:15">
      <c r="A28" s="33"/>
      <c r="B28" s="17">
        <f t="shared" si="9"/>
        <v>0</v>
      </c>
      <c r="C28" s="34"/>
      <c r="D28" s="35"/>
      <c r="E28" s="36"/>
      <c r="F28" s="17">
        <f t="shared" si="10"/>
        <v>0</v>
      </c>
      <c r="G28" s="25"/>
      <c r="H28" s="22"/>
      <c r="I28" s="14">
        <v>9750.53</v>
      </c>
      <c r="J28" s="43" t="s">
        <v>52</v>
      </c>
      <c r="K28" s="52" t="s">
        <v>58</v>
      </c>
      <c r="L28" s="53"/>
      <c r="M28" s="54"/>
      <c r="N28" s="54"/>
      <c r="O28" s="53"/>
    </row>
    <row r="29" s="1" customFormat="1" ht="18" customHeight="1" spans="1:15">
      <c r="A29" s="33"/>
      <c r="B29" s="17">
        <f t="shared" si="9"/>
        <v>65800</v>
      </c>
      <c r="C29" s="34"/>
      <c r="D29" s="35"/>
      <c r="E29" s="36"/>
      <c r="F29" s="17">
        <f t="shared" si="10"/>
        <v>0</v>
      </c>
      <c r="G29" s="25">
        <v>65800</v>
      </c>
      <c r="H29" s="22"/>
      <c r="I29" s="14">
        <v>65800</v>
      </c>
      <c r="J29" s="43" t="s">
        <v>52</v>
      </c>
      <c r="K29" s="52" t="s">
        <v>59</v>
      </c>
      <c r="L29" s="53"/>
      <c r="M29" s="54"/>
      <c r="N29" s="54"/>
      <c r="O29" s="53"/>
    </row>
    <row r="30" ht="18" customHeight="1" spans="1:15">
      <c r="A30" s="28" t="s">
        <v>23</v>
      </c>
      <c r="B30" s="27">
        <f>SUM(B14:B29)</f>
        <v>1143511.34</v>
      </c>
      <c r="C30" s="28"/>
      <c r="D30" s="37"/>
      <c r="E30" s="37"/>
      <c r="F30" s="30">
        <f>SUM(F14:F29)</f>
        <v>179810.94</v>
      </c>
      <c r="G30" s="38">
        <f>SUM(G14:G29)</f>
        <v>1323322.28</v>
      </c>
      <c r="H30" s="39"/>
      <c r="I30" s="29">
        <f>SUM(I14:I29)</f>
        <v>2100000</v>
      </c>
      <c r="J30" s="55"/>
      <c r="K30" s="37"/>
      <c r="L30" s="31"/>
      <c r="M30" s="43"/>
      <c r="N30" s="43"/>
      <c r="O30" s="31"/>
    </row>
    <row r="31" ht="18" customHeight="1" spans="1:14">
      <c r="A31" s="40" t="s">
        <v>60</v>
      </c>
      <c r="B31" s="41">
        <f>B11-B30</f>
        <v>748380.551891892</v>
      </c>
      <c r="C31" s="40"/>
      <c r="D31" s="42"/>
      <c r="E31" s="42"/>
      <c r="F31" s="41"/>
      <c r="G31" s="41">
        <f>G11-G30</f>
        <v>776677.72</v>
      </c>
      <c r="H31" s="21" t="s">
        <v>61</v>
      </c>
      <c r="I31" s="29">
        <f>I11-I30</f>
        <v>0</v>
      </c>
      <c r="J31" s="2"/>
      <c r="K31" s="56"/>
      <c r="M31" s="57"/>
      <c r="N31" s="57"/>
    </row>
    <row r="32" ht="18" customHeight="1" spans="1:3">
      <c r="A32" s="3" t="s">
        <v>62</v>
      </c>
      <c r="C32" s="3"/>
    </row>
    <row r="33" s="2" customFormat="1" spans="1:6">
      <c r="A33" s="21" t="s">
        <v>63</v>
      </c>
      <c r="B33" s="20" t="s">
        <v>64</v>
      </c>
      <c r="C33" s="31"/>
      <c r="D33" s="21" t="s">
        <v>63</v>
      </c>
      <c r="E33" s="19" t="s">
        <v>16</v>
      </c>
      <c r="F33" s="20" t="s">
        <v>64</v>
      </c>
    </row>
    <row r="34" s="2" customFormat="1" spans="1:6">
      <c r="A34" s="31" t="s">
        <v>66</v>
      </c>
      <c r="B34" s="17">
        <f>(B11-B30)*0.25</f>
        <v>187095.137972973</v>
      </c>
      <c r="C34" s="31"/>
      <c r="D34" s="9" t="s">
        <v>67</v>
      </c>
      <c r="E34" s="43" t="s">
        <v>68</v>
      </c>
      <c r="F34" s="44">
        <f>F11-F30</f>
        <v>-9540.66972972974</v>
      </c>
    </row>
    <row r="35" s="2" customFormat="1" spans="1:6">
      <c r="A35" s="31" t="s">
        <v>70</v>
      </c>
      <c r="B35" s="45"/>
      <c r="C35" s="31"/>
      <c r="D35" s="46" t="s">
        <v>71</v>
      </c>
      <c r="E35" s="13">
        <v>0.05</v>
      </c>
      <c r="F35" s="14">
        <f>F34*E35</f>
        <v>-477.033486486487</v>
      </c>
    </row>
    <row r="36" s="2" customFormat="1" spans="1:6">
      <c r="A36" s="31" t="s">
        <v>72</v>
      </c>
      <c r="B36" s="45"/>
      <c r="C36" s="31"/>
      <c r="D36" s="46" t="s">
        <v>73</v>
      </c>
      <c r="E36" s="13">
        <v>0.03</v>
      </c>
      <c r="F36" s="14">
        <f>F34*E36</f>
        <v>-286.220091891892</v>
      </c>
    </row>
    <row r="37" s="2" customFormat="1" spans="1:6">
      <c r="A37" s="31"/>
      <c r="B37" s="14"/>
      <c r="C37" s="31"/>
      <c r="D37" s="46" t="s">
        <v>74</v>
      </c>
      <c r="E37" s="13">
        <v>0.02</v>
      </c>
      <c r="F37" s="14">
        <f>F34*E37</f>
        <v>-190.813394594595</v>
      </c>
    </row>
    <row r="38" s="2" customFormat="1" spans="1:6">
      <c r="A38" s="26" t="s">
        <v>75</v>
      </c>
      <c r="B38" s="27">
        <f>SUM(B34:B37)</f>
        <v>187095.137972973</v>
      </c>
      <c r="C38" s="31"/>
      <c r="D38" s="26" t="s">
        <v>75</v>
      </c>
      <c r="E38" s="26"/>
      <c r="F38" s="30">
        <f>SUM(F34:F37)</f>
        <v>-10494.7367027027</v>
      </c>
    </row>
    <row r="39" s="2" customFormat="1" spans="1:6">
      <c r="A39" s="3"/>
      <c r="B39" s="4"/>
      <c r="C39" s="3"/>
      <c r="D39" s="11" t="s">
        <v>70</v>
      </c>
      <c r="E39" s="47">
        <v>0.0003</v>
      </c>
      <c r="F39" s="14">
        <f>G11*E39</f>
        <v>630</v>
      </c>
    </row>
    <row r="40" s="2" customFormat="1" spans="1:6">
      <c r="A40" s="3"/>
      <c r="B40" s="4"/>
      <c r="C40" s="3"/>
      <c r="D40" s="11" t="s">
        <v>72</v>
      </c>
      <c r="E40" s="47">
        <v>0.0006</v>
      </c>
      <c r="F40" s="14">
        <f>B11*E40</f>
        <v>1135.13513513513</v>
      </c>
    </row>
    <row r="41" s="2" customFormat="1" spans="1:6">
      <c r="A41" s="3"/>
      <c r="B41" s="4"/>
      <c r="C41" s="3"/>
      <c r="D41" s="28" t="s">
        <v>23</v>
      </c>
      <c r="E41" s="28"/>
      <c r="F41" s="29">
        <f>F38+F39+F40</f>
        <v>-8729.60156756758</v>
      </c>
    </row>
    <row r="42" s="2" customFormat="1" spans="1:6">
      <c r="A42" s="3"/>
      <c r="B42" s="4"/>
      <c r="C42" s="3"/>
      <c r="D42" s="5"/>
      <c r="E42" s="5"/>
      <c r="F42" s="4"/>
    </row>
    <row r="43" s="2" customFormat="1" spans="1:6">
      <c r="A43" s="3"/>
      <c r="B43" s="4"/>
      <c r="C43" s="3"/>
      <c r="D43" s="5"/>
      <c r="E43" s="5"/>
      <c r="F43" s="4"/>
    </row>
    <row r="44" s="2" customFormat="1" spans="1:6">
      <c r="A44" s="3"/>
      <c r="B44" s="4"/>
      <c r="C44" s="3"/>
      <c r="D44" s="5"/>
      <c r="E44" s="5"/>
      <c r="F44" s="4"/>
    </row>
    <row r="45" s="2" customFormat="1" spans="1:6">
      <c r="A45" s="3"/>
      <c r="B45" s="4"/>
      <c r="C45" s="3"/>
      <c r="D45" s="5"/>
      <c r="E45" s="5"/>
      <c r="F45" s="4"/>
    </row>
    <row r="46" s="2" customFormat="1" spans="1:6">
      <c r="A46" s="3"/>
      <c r="B46" s="4"/>
      <c r="C46" s="3"/>
      <c r="D46" s="5"/>
      <c r="E46" s="5"/>
      <c r="F46" s="4"/>
    </row>
    <row r="47" s="2" customFormat="1" spans="1:6">
      <c r="A47" s="3"/>
      <c r="B47" s="4"/>
      <c r="C47" s="3"/>
      <c r="D47" s="5"/>
      <c r="E47" s="5"/>
      <c r="F47" s="4"/>
    </row>
    <row r="48" s="2" customFormat="1" spans="1:6">
      <c r="A48" s="3"/>
      <c r="B48" s="4"/>
      <c r="C48" s="3"/>
      <c r="D48" s="5"/>
      <c r="E48" s="5"/>
      <c r="F48" s="4"/>
    </row>
    <row r="49" s="2" customFormat="1" spans="3:3">
      <c r="C49" s="3"/>
    </row>
    <row r="50" s="2" customFormat="1" spans="3:3">
      <c r="C50" s="3"/>
    </row>
    <row r="51" s="2" customFormat="1" spans="3:3">
      <c r="C51" s="3"/>
    </row>
    <row r="52" s="2" customFormat="1" spans="3:3">
      <c r="C52" s="3"/>
    </row>
    <row r="53" s="2" customFormat="1" spans="3:3">
      <c r="C53" s="3"/>
    </row>
    <row r="54" s="2" customFormat="1" spans="3:3">
      <c r="C54" s="3"/>
    </row>
    <row r="55" s="2" customFormat="1" spans="3:3">
      <c r="C55" s="3"/>
    </row>
    <row r="56" s="2" customFormat="1" spans="3:3">
      <c r="C56" s="3"/>
    </row>
    <row r="57" s="2" customFormat="1" spans="3:3">
      <c r="C57" s="3"/>
    </row>
    <row r="58" s="2" customFormat="1" spans="3:3">
      <c r="C58" s="3"/>
    </row>
    <row r="59" s="2" customFormat="1" spans="3:3">
      <c r="C59" s="3"/>
    </row>
    <row r="60" s="2" customFormat="1" spans="3:3">
      <c r="C60" s="3"/>
    </row>
    <row r="61" s="2" customFormat="1" spans="3:3">
      <c r="C61" s="3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C4468 (新)</vt:lpstr>
      <vt:lpstr>C4468（旧)</vt:lpstr>
      <vt:lpstr>C3808 (新)</vt:lpstr>
      <vt:lpstr>C3808（旧）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2022-03-14T02:06:32Z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364484DF9B324D1C8EB0774C9F2C65D0</vt:lpwstr>
  </property>
</Properties>
</file>