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Sheet1!$A$13:$O$111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10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10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10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<sst xmlns="http://schemas.openxmlformats.org/spreadsheetml/2006/main" count="318" uniqueCount="169">
  <si>
    <t xml:space="preserve">C13289  肥西县公安局交管大队三河中队业务用房建设项目 </t>
  </si>
  <si>
    <t>中标日期</t>
  </si>
  <si>
    <t>中标价</t>
  </si>
  <si>
    <t>负责人</t>
  </si>
  <si>
    <t>赵友权18096664336</t>
  </si>
  <si>
    <t>建设单位</t>
  </si>
  <si>
    <t>肥西县城乡建设投资（集团）有限公司913401235621956712</t>
  </si>
  <si>
    <t>安徽省合肥市肥西县上派镇馆驿路肥西农商行20楼0551-68858025</t>
  </si>
  <si>
    <t>决算日期</t>
  </si>
  <si>
    <t>决算价</t>
  </si>
  <si>
    <t>中行肥西支行 176708137348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</si>
  <si>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</si>
  <si>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</si>
  <si>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</si>
  <si>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</si>
  <si>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</si>
  <si>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</si>
  <si>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</si>
  <si>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</si>
  <si>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</si>
  <si>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</si>
  <si>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</si>
  <si>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</si>
  <si>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农民工专户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</si>
  <si>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</si>
  <si>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</si>
  <si>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</si>
  <si>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</si>
  <si>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</si>
  <si>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</si>
  <si>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</si>
  <si>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</si>
  <si>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</si>
  <si>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</si>
  <si>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</si>
  <si>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</si>
  <si>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</si>
  <si>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</si>
  <si>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</si>
  <si>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1份</t>
  </si>
  <si>
    <t>专</t>
  </si>
  <si>
    <t>肥西县公共资源交易有限责任公司</t>
  </si>
  <si>
    <t>中标服务费</t>
  </si>
  <si>
    <t>徽行</t>
  </si>
  <si>
    <t>李华</t>
  </si>
  <si>
    <t>中行</t>
  </si>
  <si>
    <t>合肥风之清贸易有限公司</t>
  </si>
  <si>
    <t>钢筋款</t>
  </si>
  <si>
    <t>安徽省巢湖恒信水泥有限公司</t>
  </si>
  <si>
    <t>混凝土</t>
  </si>
  <si>
    <t>水泥材料款</t>
  </si>
  <si>
    <t>庐江县银鑫建材有限公司</t>
  </si>
  <si>
    <t>烧结空心砖</t>
  </si>
  <si>
    <t>13289-2021-010#-60900</t>
  </si>
  <si>
    <t>安徽瑞迅电梯有限公司</t>
  </si>
  <si>
    <t>电梯采购</t>
  </si>
  <si>
    <t>13289-2021-011#-129000</t>
  </si>
  <si>
    <t>8份</t>
  </si>
  <si>
    <t>抗震螺纹钢</t>
  </si>
  <si>
    <t>13289-2021-001#、003#（2021-191、317）-341805.7、573881.36</t>
  </si>
  <si>
    <t>有</t>
  </si>
  <si>
    <t>4份</t>
  </si>
  <si>
    <t>庐江县顺茂建材销售有限公司</t>
  </si>
  <si>
    <t>模板、木方</t>
  </si>
  <si>
    <t>13289-2021-006#（2021-356）-400000</t>
  </si>
  <si>
    <t>空心砖</t>
  </si>
  <si>
    <t>13289-2021-010#（2021-371）-60900</t>
  </si>
  <si>
    <t>3份</t>
  </si>
  <si>
    <t>13289-2021-002#（2021-238）-506000</t>
  </si>
  <si>
    <t>安徽安旭起重设备安装有限公司</t>
  </si>
  <si>
    <t>设备租赁费</t>
  </si>
  <si>
    <t>13289-2021-009（#2021-360）-50000</t>
  </si>
  <si>
    <t>合肥鼎源诚五金机电设备有限公司</t>
  </si>
  <si>
    <t>止水钢板</t>
  </si>
  <si>
    <t>安徽星丰线缆有限公司</t>
  </si>
  <si>
    <t>铜铝鼻、胶布</t>
  </si>
  <si>
    <t>肥西县刘河自来水厂</t>
  </si>
  <si>
    <t>自来水管道安装</t>
  </si>
  <si>
    <t>5份</t>
  </si>
  <si>
    <t>国网安徽省电力有限公司肥西县供电公司</t>
  </si>
  <si>
    <t>电费</t>
  </si>
  <si>
    <t>2021-9-</t>
  </si>
  <si>
    <t>安徽千联建设工程有限公司</t>
  </si>
  <si>
    <t>劳务</t>
  </si>
  <si>
    <t>13289-2021-007#（2021-357号）-2013326.03</t>
  </si>
  <si>
    <t>水泥</t>
  </si>
  <si>
    <t>合肥兵顺架业有限公司</t>
  </si>
  <si>
    <t>专业分包</t>
  </si>
  <si>
    <t>13289-2021-008#（2021-358号）-184210</t>
  </si>
  <si>
    <t>机械租赁</t>
  </si>
  <si>
    <t>安徽煜旭建材有限公司</t>
  </si>
  <si>
    <t>砌墙砖</t>
  </si>
  <si>
    <t>13289-2021-016#-36000</t>
  </si>
  <si>
    <t>发票暂未收到</t>
  </si>
  <si>
    <t>退垫付材料款</t>
  </si>
  <si>
    <t>外架</t>
  </si>
  <si>
    <t>电梯安装</t>
  </si>
  <si>
    <t>13289-2021-013#-34000</t>
  </si>
  <si>
    <t>安徽羽泉五金机电工程有限公司</t>
  </si>
  <si>
    <t xml:space="preserve"> 消防泵、排污泵</t>
  </si>
  <si>
    <t>13289-2021-017#-19390</t>
  </si>
  <si>
    <t>合肥华俊建筑安装工程有限公司</t>
  </si>
  <si>
    <t>吊顶</t>
  </si>
  <si>
    <t>13289-2021-027#-162397</t>
  </si>
  <si>
    <t>审批后金额按80%支付（162397.00）</t>
  </si>
  <si>
    <t>安徽拓科建材有限公司</t>
  </si>
  <si>
    <t>瓷砖</t>
  </si>
  <si>
    <t>13289-2021-031#-130519</t>
  </si>
  <si>
    <t>13289-2021-016#（2021-524号）-36000</t>
  </si>
  <si>
    <t>安徽筑阜建设工程有限公司</t>
  </si>
  <si>
    <t>玻璃棉保温隔声板</t>
  </si>
  <si>
    <t>电梯租赁</t>
  </si>
  <si>
    <t>安徽齐伟建材有限公司</t>
  </si>
  <si>
    <t>隔断</t>
  </si>
  <si>
    <t>安徽环路建设有限公司（安徽千联建设工程有限公司-变更）</t>
  </si>
  <si>
    <t>工程劳务费</t>
  </si>
  <si>
    <t>合肥凯发建材有限公司</t>
  </si>
  <si>
    <t>电熔配件</t>
  </si>
  <si>
    <t>13289-2021-033#（2021-704号）-55000</t>
  </si>
  <si>
    <t>增压泵</t>
  </si>
  <si>
    <t xml:space="preserve"> 13289-2021-017#（2021-555号）-19390</t>
  </si>
  <si>
    <t xml:space="preserve"> 合肥华俊建筑安装工程有限公司
</t>
  </si>
  <si>
    <t>工程款</t>
  </si>
  <si>
    <t>13289-2021-027#（2021-612号）-162397</t>
  </si>
  <si>
    <t>13289-2021-029#（2021-618号）-110000</t>
  </si>
  <si>
    <t>安徽传虎建筑装饰有限公司</t>
  </si>
  <si>
    <t>ERS线条</t>
  </si>
  <si>
    <t>13289-2021-032（2021-676号）#12600</t>
  </si>
  <si>
    <t>合肥建磊工程有限公司</t>
  </si>
  <si>
    <t>铝合金门窗</t>
  </si>
  <si>
    <t>13289-2021-028#（2021-617号）-245813.18</t>
  </si>
  <si>
    <t>安徽恒强晟物资有限公司</t>
  </si>
  <si>
    <t xml:space="preserve"> 镀锌管</t>
  </si>
  <si>
    <t>13289-2021-021#（2021-584号）-47884</t>
  </si>
  <si>
    <t xml:space="preserve">合肥珊瑚电线电缆有限公司
</t>
  </si>
  <si>
    <t>电线电缆</t>
  </si>
  <si>
    <t xml:space="preserve">13289-2021-026#（2021-610号）-130750
</t>
  </si>
  <si>
    <t>安徽浙诚电气有限公司</t>
  </si>
  <si>
    <t>电缆桥架</t>
  </si>
  <si>
    <t>13289-2021-019#（2021-581号）-12000</t>
  </si>
  <si>
    <t>合肥涂之乐建材有限公司</t>
  </si>
  <si>
    <t>乳胶漆-零星材料</t>
  </si>
  <si>
    <t>扣</t>
  </si>
  <si>
    <t>转账手续费</t>
  </si>
  <si>
    <t>退</t>
  </si>
  <si>
    <t>成本不够（530515.32*25%）</t>
  </si>
  <si>
    <t>项目经理出场</t>
  </si>
  <si>
    <t>转账手续费（5次）</t>
  </si>
  <si>
    <t>建造师占用费</t>
  </si>
  <si>
    <t>暂扣</t>
  </si>
  <si>
    <t>企税1%</t>
  </si>
  <si>
    <t>管理费（到账工程款2%）</t>
  </si>
  <si>
    <t>2021年9月本地2%增值税及附加、水利基金、印花税</t>
  </si>
  <si>
    <t>应提供成本</t>
  </si>
  <si>
    <t>可支付金额</t>
  </si>
  <si>
    <t>尚需提供成本</t>
  </si>
  <si>
    <t>公司代缴税金：</t>
  </si>
  <si>
    <t>税种</t>
  </si>
  <si>
    <t>税额</t>
  </si>
  <si>
    <t>2021年9月本地2%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</si>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</sst>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Microsoft YaHe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2" fillId="6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vertical="center"/>
    </xf>
    <xf numFmtId="178" fontId="9" fillId="0" borderId="2" xfId="0" applyNumberFormat="1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vertical="center" wrapText="1"/>
    </xf>
    <xf numFmtId="176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26035</xdr:colOff>
      <xdr:row>35</xdr:row>
      <xdr:rowOff>158750</xdr:rowOff>
    </xdr:from>
    <xdr:to>
      <xdr:col>17</xdr:col>
      <xdr:colOff>628650</xdr:colOff>
      <xdr:row>45</xdr:row>
      <xdr:rowOff>161925</xdr:rowOff>
    </xdr:to>
    <xdr:pic>
      <xdr:nvPicPr>
        <xdr:cNvPr id="2" name="图片 1" descr="a2cbaab48f28d1efd0f10ee8c4d287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90135" y="8209915"/>
          <a:ext cx="1974215" cy="228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9"/>
  <sheetViews>
    <sheetView tabSelected="1" topLeftCell="A61" workbookViewId="0">
      <selection activeCell="K80" sqref="K8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4" customWidth="1"/>
    <col min="10" max="10" width="8.125" style="5" customWidth="1"/>
    <col min="11" max="11" width="41" style="6" customWidth="1"/>
    <col min="12" max="12" width="16.5" style="6" customWidth="1"/>
    <col min="13" max="13" width="34.75" style="6" customWidth="1"/>
    <col min="14" max="14" width="5.625" style="6" customWidth="1"/>
    <col min="15" max="15" width="24.5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42"/>
      <c r="J1" s="8"/>
      <c r="K1" s="20"/>
      <c r="L1" s="20"/>
    </row>
    <row r="2" ht="18" customHeight="1" spans="1:12">
      <c r="A2" s="10" t="s">
        <v>1</v>
      </c>
      <c r="B2" s="11">
        <v>44234</v>
      </c>
      <c r="C2" s="12" t="s">
        <v>2</v>
      </c>
      <c r="D2" s="13">
        <v>7291906.01</v>
      </c>
      <c r="E2" s="14" t="s">
        <v>3</v>
      </c>
      <c r="F2" s="15" t="s">
        <v>4</v>
      </c>
      <c r="G2" s="16" t="s">
        <v>5</v>
      </c>
      <c r="H2" s="17" t="s">
        <v>6</v>
      </c>
      <c r="I2" s="43"/>
      <c r="J2" s="44"/>
      <c r="K2" s="45" t="s">
        <v>7</v>
      </c>
      <c r="L2" s="2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46"/>
      <c r="J3" s="20"/>
      <c r="K3" s="47" t="s">
        <v>10</v>
      </c>
      <c r="L3" s="20"/>
    </row>
    <row r="4" ht="18" customHeight="1" spans="1:12">
      <c r="A4" s="2" t="s">
        <v>11</v>
      </c>
      <c r="H4" s="20"/>
      <c r="I4" s="46"/>
      <c r="J4" s="20"/>
      <c r="K4" s="20"/>
      <c r="L4" s="20"/>
    </row>
    <row r="5" ht="18" customHeight="1" spans="1:10">
      <c r="A5" s="21" t="s">
        <v>12</v>
      </c>
      <c r="B5" s="22" t="s">
        <v>13</v>
      </c>
      <c r="C5" s="21" t="s">
        <v>14</v>
      </c>
      <c r="D5" s="21"/>
      <c r="E5" s="21" t="s">
        <v>15</v>
      </c>
      <c r="F5" s="22"/>
      <c r="G5" s="22" t="s">
        <v>16</v>
      </c>
      <c r="H5" s="23" t="s">
        <v>17</v>
      </c>
      <c r="I5" s="21"/>
      <c r="J5" s="23"/>
    </row>
    <row r="6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1" t="s">
        <v>21</v>
      </c>
      <c r="J6" s="23" t="s">
        <v>22</v>
      </c>
    </row>
    <row r="7" ht="18" customHeight="1" spans="1:10">
      <c r="A7" s="24">
        <v>44449</v>
      </c>
      <c r="B7" s="12">
        <f t="shared" ref="B7:B10" si="0">G7/(1+C7+E7)</f>
        <v>2510790.82568807</v>
      </c>
      <c r="C7" s="25">
        <v>0.02</v>
      </c>
      <c r="D7" s="26">
        <f t="shared" ref="D7:D10" si="1">G7/(1+E7+C7)*C7</f>
        <v>50215.8165137615</v>
      </c>
      <c r="E7" s="25">
        <v>0.07</v>
      </c>
      <c r="F7" s="12">
        <f t="shared" ref="F7:F10" si="2">G7/(1+C7+E7)*E7</f>
        <v>175755.357798165</v>
      </c>
      <c r="G7" s="27">
        <v>2736762</v>
      </c>
      <c r="H7" s="24">
        <v>44455</v>
      </c>
      <c r="I7" s="12">
        <v>547352</v>
      </c>
      <c r="J7" s="48" t="s">
        <v>23</v>
      </c>
    </row>
    <row r="8" ht="18" customHeight="1" spans="1:10">
      <c r="A8" s="24"/>
      <c r="B8" s="12">
        <f t="shared" si="0"/>
        <v>0</v>
      </c>
      <c r="C8" s="25">
        <v>0.02</v>
      </c>
      <c r="D8" s="26">
        <f t="shared" si="1"/>
        <v>0</v>
      </c>
      <c r="E8" s="25">
        <v>0.07</v>
      </c>
      <c r="F8" s="12">
        <f t="shared" si="2"/>
        <v>0</v>
      </c>
      <c r="G8" s="27"/>
      <c r="H8" s="24">
        <v>44456</v>
      </c>
      <c r="I8" s="12">
        <v>2189410</v>
      </c>
      <c r="J8" s="48" t="s">
        <v>24</v>
      </c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48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48"/>
    </row>
    <row r="11" ht="18" customHeight="1" spans="1:10">
      <c r="A11" s="28" t="s">
        <v>25</v>
      </c>
      <c r="B11" s="29">
        <f>SUM(B7:B10)</f>
        <v>2510790.82568807</v>
      </c>
      <c r="C11" s="30"/>
      <c r="D11" s="30">
        <f>SUM(D7:D10)</f>
        <v>50215.8165137615</v>
      </c>
      <c r="E11" s="30"/>
      <c r="F11" s="31">
        <f>SUM(F7:F10)</f>
        <v>175755.357798165</v>
      </c>
      <c r="G11" s="30">
        <f>SUM(G7:G10)</f>
        <v>2736762</v>
      </c>
      <c r="H11" s="32"/>
      <c r="I11" s="30">
        <f>SUM(I7:I10)</f>
        <v>2736762</v>
      </c>
      <c r="J11" s="32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3" t="s">
        <v>27</v>
      </c>
      <c r="B13" s="22" t="s">
        <v>28</v>
      </c>
      <c r="C13" s="21" t="s">
        <v>29</v>
      </c>
      <c r="D13" s="21" t="s">
        <v>30</v>
      </c>
      <c r="E13" s="21" t="s">
        <v>18</v>
      </c>
      <c r="F13" s="22" t="s">
        <v>31</v>
      </c>
      <c r="G13" s="22" t="s">
        <v>16</v>
      </c>
      <c r="H13" s="21" t="s">
        <v>32</v>
      </c>
      <c r="I13" s="21" t="s">
        <v>33</v>
      </c>
      <c r="J13" s="21" t="s">
        <v>22</v>
      </c>
      <c r="K13" s="49" t="s">
        <v>34</v>
      </c>
      <c r="L13" s="23" t="s">
        <v>35</v>
      </c>
      <c r="M13" s="23" t="s">
        <v>36</v>
      </c>
      <c r="N13" s="23" t="s">
        <v>37</v>
      </c>
      <c r="O13" s="23" t="s">
        <v>38</v>
      </c>
    </row>
    <row r="14" s="1" customFormat="1" ht="18" customHeight="1" spans="1:15">
      <c r="A14" s="34">
        <v>44256</v>
      </c>
      <c r="B14" s="35">
        <f t="shared" ref="B14:B20" si="3">ROUND(G14/(1+E14),2)</f>
        <v>61306.6</v>
      </c>
      <c r="C14" s="36" t="s">
        <v>39</v>
      </c>
      <c r="D14" s="37" t="s">
        <v>40</v>
      </c>
      <c r="E14" s="38">
        <v>0.06</v>
      </c>
      <c r="F14" s="35">
        <f t="shared" ref="F14:F20" si="4">ROUND(G14/(1+E14)*E14,2)</f>
        <v>3678.4</v>
      </c>
      <c r="G14" s="27">
        <v>64985</v>
      </c>
      <c r="H14" s="24"/>
      <c r="I14" s="12"/>
      <c r="J14" s="48"/>
      <c r="K14" s="50" t="s">
        <v>41</v>
      </c>
      <c r="L14" s="51" t="s">
        <v>42</v>
      </c>
      <c r="M14" s="52"/>
      <c r="N14" s="52"/>
      <c r="O14" s="51"/>
    </row>
    <row r="15" s="1" customFormat="1" ht="18" customHeight="1" spans="1:15">
      <c r="A15" s="34"/>
      <c r="B15" s="35">
        <f t="shared" si="3"/>
        <v>0</v>
      </c>
      <c r="C15" s="36"/>
      <c r="D15" s="37"/>
      <c r="E15" s="38"/>
      <c r="F15" s="35">
        <f t="shared" si="4"/>
        <v>0</v>
      </c>
      <c r="G15" s="27"/>
      <c r="H15" s="24">
        <v>44285</v>
      </c>
      <c r="I15" s="12">
        <v>-300000</v>
      </c>
      <c r="J15" s="48" t="s">
        <v>43</v>
      </c>
      <c r="K15" s="50" t="s">
        <v>44</v>
      </c>
      <c r="L15" s="51"/>
      <c r="M15" s="52"/>
      <c r="N15" s="52"/>
      <c r="O15" s="51"/>
    </row>
    <row r="16" s="1" customFormat="1" ht="18" customHeight="1" spans="1:15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27"/>
      <c r="H16" s="24">
        <v>44285</v>
      </c>
      <c r="I16" s="12">
        <v>300000</v>
      </c>
      <c r="J16" s="48" t="s">
        <v>45</v>
      </c>
      <c r="K16" s="53" t="s">
        <v>46</v>
      </c>
      <c r="L16" s="32" t="s">
        <v>47</v>
      </c>
      <c r="M16" s="54"/>
      <c r="N16" s="52"/>
      <c r="O16" s="51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>
        <v>44316</v>
      </c>
      <c r="I17" s="12">
        <v>-200000</v>
      </c>
      <c r="J17" s="48" t="s">
        <v>43</v>
      </c>
      <c r="K17" s="50" t="s">
        <v>44</v>
      </c>
      <c r="L17" s="51"/>
      <c r="M17" s="54"/>
      <c r="N17" s="52"/>
      <c r="O17" s="51"/>
    </row>
    <row r="18" s="1" customFormat="1" ht="18" customHeight="1" spans="1:15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27"/>
      <c r="H18" s="24">
        <v>44316</v>
      </c>
      <c r="I18" s="12">
        <v>200000</v>
      </c>
      <c r="J18" s="48" t="s">
        <v>45</v>
      </c>
      <c r="K18" s="50" t="s">
        <v>48</v>
      </c>
      <c r="L18" s="51" t="s">
        <v>49</v>
      </c>
      <c r="M18" s="54"/>
      <c r="N18" s="52"/>
      <c r="O18" s="51"/>
    </row>
    <row r="19" s="1" customFormat="1" ht="18" customHeight="1" spans="1:15">
      <c r="A19" s="34"/>
      <c r="B19" s="35">
        <f t="shared" si="3"/>
        <v>0</v>
      </c>
      <c r="C19" s="36"/>
      <c r="D19" s="37"/>
      <c r="E19" s="39"/>
      <c r="F19" s="35">
        <f t="shared" si="4"/>
        <v>0</v>
      </c>
      <c r="G19" s="27"/>
      <c r="H19" s="24">
        <v>44335</v>
      </c>
      <c r="I19" s="12">
        <v>-100000</v>
      </c>
      <c r="J19" s="48" t="s">
        <v>43</v>
      </c>
      <c r="K19" s="50" t="s">
        <v>44</v>
      </c>
      <c r="L19" s="51"/>
      <c r="M19" s="52"/>
      <c r="N19" s="52"/>
      <c r="O19" s="51"/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>
        <v>44336</v>
      </c>
      <c r="I20" s="12">
        <v>100000</v>
      </c>
      <c r="J20" s="48" t="s">
        <v>45</v>
      </c>
      <c r="K20" s="55" t="s">
        <v>48</v>
      </c>
      <c r="L20" s="51" t="s">
        <v>50</v>
      </c>
      <c r="M20" s="52"/>
      <c r="N20" s="52"/>
      <c r="O20" s="51"/>
    </row>
    <row r="21" s="1" customFormat="1" ht="18" customHeight="1" spans="1:15">
      <c r="A21" s="34"/>
      <c r="B21" s="35"/>
      <c r="C21" s="36"/>
      <c r="D21" s="37"/>
      <c r="E21" s="39"/>
      <c r="F21" s="35"/>
      <c r="G21" s="27"/>
      <c r="H21" s="24">
        <v>44382</v>
      </c>
      <c r="I21" s="12">
        <v>-200000</v>
      </c>
      <c r="J21" s="48" t="s">
        <v>43</v>
      </c>
      <c r="K21" s="50" t="s">
        <v>44</v>
      </c>
      <c r="L21" s="51"/>
      <c r="M21" s="52"/>
      <c r="N21" s="52"/>
      <c r="O21" s="51"/>
    </row>
    <row r="22" s="1" customFormat="1" ht="18" customHeight="1" spans="1:15">
      <c r="A22" s="34"/>
      <c r="B22" s="35">
        <f t="shared" ref="B22:B30" si="5">ROUND(G22/(1+E22),2)</f>
        <v>0</v>
      </c>
      <c r="C22" s="36"/>
      <c r="D22" s="37"/>
      <c r="E22" s="39"/>
      <c r="F22" s="35">
        <f t="shared" ref="F22:F30" si="6">ROUND(G22/(1+E22)*E22,2)</f>
        <v>0</v>
      </c>
      <c r="G22" s="27"/>
      <c r="H22" s="24">
        <v>44383</v>
      </c>
      <c r="I22" s="12">
        <v>41805.7</v>
      </c>
      <c r="J22" s="48" t="s">
        <v>45</v>
      </c>
      <c r="K22" s="53" t="s">
        <v>46</v>
      </c>
      <c r="L22" s="51" t="s">
        <v>47</v>
      </c>
      <c r="M22" s="52"/>
      <c r="N22" s="52"/>
      <c r="O22" s="51"/>
    </row>
    <row r="23" s="1" customFormat="1" ht="18" customHeight="1" spans="1:15">
      <c r="A23" s="34"/>
      <c r="B23" s="35">
        <f t="shared" si="5"/>
        <v>0</v>
      </c>
      <c r="C23" s="36"/>
      <c r="D23" s="37"/>
      <c r="E23" s="39"/>
      <c r="F23" s="35">
        <f t="shared" si="6"/>
        <v>0</v>
      </c>
      <c r="G23" s="27"/>
      <c r="H23" s="24">
        <v>44383</v>
      </c>
      <c r="I23" s="12">
        <v>158194.3</v>
      </c>
      <c r="J23" s="48" t="s">
        <v>45</v>
      </c>
      <c r="K23" s="53" t="s">
        <v>46</v>
      </c>
      <c r="L23" s="51" t="s">
        <v>47</v>
      </c>
      <c r="M23" s="52"/>
      <c r="N23" s="52"/>
      <c r="O23" s="51"/>
    </row>
    <row r="24" s="1" customFormat="1" ht="18" customHeight="1" spans="1:15">
      <c r="A24" s="34"/>
      <c r="B24" s="35">
        <f t="shared" si="5"/>
        <v>0</v>
      </c>
      <c r="C24" s="36"/>
      <c r="D24" s="37"/>
      <c r="E24" s="39"/>
      <c r="F24" s="35">
        <f t="shared" si="6"/>
        <v>0</v>
      </c>
      <c r="G24" s="27"/>
      <c r="H24" s="24">
        <v>44392</v>
      </c>
      <c r="I24" s="12">
        <v>219745.12</v>
      </c>
      <c r="J24" s="48" t="s">
        <v>45</v>
      </c>
      <c r="K24" s="53" t="s">
        <v>46</v>
      </c>
      <c r="L24" s="51" t="s">
        <v>47</v>
      </c>
      <c r="M24" s="52"/>
      <c r="N24" s="52"/>
      <c r="O24" s="51"/>
    </row>
    <row r="25" s="1" customFormat="1" ht="18" customHeight="1" spans="1:15">
      <c r="A25" s="34"/>
      <c r="B25" s="35">
        <f t="shared" si="5"/>
        <v>0</v>
      </c>
      <c r="C25" s="36"/>
      <c r="D25" s="37"/>
      <c r="E25" s="39"/>
      <c r="F25" s="35">
        <f t="shared" si="6"/>
        <v>0</v>
      </c>
      <c r="G25" s="27"/>
      <c r="H25" s="24">
        <v>44390</v>
      </c>
      <c r="I25" s="12">
        <v>-219745.12</v>
      </c>
      <c r="J25" s="48" t="s">
        <v>43</v>
      </c>
      <c r="K25" s="50" t="s">
        <v>44</v>
      </c>
      <c r="L25" s="51"/>
      <c r="M25" s="52"/>
      <c r="N25" s="52"/>
      <c r="O25" s="51"/>
    </row>
    <row r="26" s="1" customFormat="1" ht="18" customHeight="1" spans="1:15">
      <c r="A26" s="34"/>
      <c r="B26" s="35">
        <f t="shared" si="5"/>
        <v>0</v>
      </c>
      <c r="C26" s="36"/>
      <c r="D26" s="37"/>
      <c r="E26" s="39"/>
      <c r="F26" s="35">
        <f t="shared" si="6"/>
        <v>0</v>
      </c>
      <c r="G26" s="27"/>
      <c r="H26" s="24">
        <v>44411</v>
      </c>
      <c r="I26" s="12">
        <v>-30000</v>
      </c>
      <c r="J26" s="48" t="s">
        <v>43</v>
      </c>
      <c r="K26" s="50" t="s">
        <v>44</v>
      </c>
      <c r="L26" s="51"/>
      <c r="M26" s="52"/>
      <c r="N26" s="52"/>
      <c r="O26" s="51"/>
    </row>
    <row r="27" s="1" customFormat="1" ht="18" customHeight="1" spans="1:15">
      <c r="A27" s="34"/>
      <c r="B27" s="35">
        <f t="shared" si="5"/>
        <v>0</v>
      </c>
      <c r="C27" s="36"/>
      <c r="D27" s="37"/>
      <c r="E27" s="39"/>
      <c r="F27" s="35">
        <f t="shared" si="6"/>
        <v>0</v>
      </c>
      <c r="G27" s="27"/>
      <c r="H27" s="24">
        <v>44414</v>
      </c>
      <c r="I27" s="12">
        <v>30000</v>
      </c>
      <c r="J27" s="48" t="s">
        <v>45</v>
      </c>
      <c r="K27" s="53" t="s">
        <v>51</v>
      </c>
      <c r="L27" s="51" t="s">
        <v>52</v>
      </c>
      <c r="M27" s="52" t="s">
        <v>53</v>
      </c>
      <c r="N27" s="52"/>
      <c r="O27" s="51"/>
    </row>
    <row r="28" s="1" customFormat="1" ht="18" customHeight="1" spans="1:15">
      <c r="A28" s="34"/>
      <c r="B28" s="35">
        <f t="shared" si="5"/>
        <v>0</v>
      </c>
      <c r="C28" s="36"/>
      <c r="D28" s="37"/>
      <c r="E28" s="39"/>
      <c r="F28" s="35">
        <f t="shared" si="6"/>
        <v>0</v>
      </c>
      <c r="G28" s="27"/>
      <c r="H28" s="24">
        <v>44417</v>
      </c>
      <c r="I28" s="12">
        <v>-17000</v>
      </c>
      <c r="J28" s="48" t="s">
        <v>43</v>
      </c>
      <c r="K28" s="50" t="s">
        <v>44</v>
      </c>
      <c r="L28" s="51"/>
      <c r="M28" s="52"/>
      <c r="N28" s="52"/>
      <c r="O28" s="51"/>
    </row>
    <row r="29" s="1" customFormat="1" ht="18" customHeight="1" spans="1:15">
      <c r="A29" s="34"/>
      <c r="B29" s="35">
        <f t="shared" si="5"/>
        <v>0</v>
      </c>
      <c r="C29" s="36"/>
      <c r="D29" s="37"/>
      <c r="E29" s="39"/>
      <c r="F29" s="35">
        <f t="shared" si="6"/>
        <v>0</v>
      </c>
      <c r="G29" s="27"/>
      <c r="H29" s="24">
        <v>44433</v>
      </c>
      <c r="I29" s="12">
        <v>17000</v>
      </c>
      <c r="J29" s="48" t="s">
        <v>45</v>
      </c>
      <c r="K29" s="53" t="s">
        <v>54</v>
      </c>
      <c r="L29" s="51" t="s">
        <v>55</v>
      </c>
      <c r="M29" s="52" t="s">
        <v>56</v>
      </c>
      <c r="N29" s="52"/>
      <c r="O29" s="51"/>
    </row>
    <row r="30" s="1" customFormat="1" ht="18" customHeight="1" spans="1:15">
      <c r="A30" s="34">
        <v>44440</v>
      </c>
      <c r="B30" s="35">
        <f t="shared" ref="B30:B45" si="7">ROUND(G30/(1+E30),2)</f>
        <v>676470.29</v>
      </c>
      <c r="C30" s="36" t="s">
        <v>57</v>
      </c>
      <c r="D30" s="37" t="s">
        <v>40</v>
      </c>
      <c r="E30" s="38">
        <v>0.13</v>
      </c>
      <c r="F30" s="35">
        <f t="shared" ref="F30:F45" si="8">ROUND(G30/(1+E30)*E30,2)</f>
        <v>87941.14</v>
      </c>
      <c r="G30" s="27">
        <f>111325.92+108419.2+70573.75+106922.52+102467.12+98701.2+96636.24+69365.48</f>
        <v>764411.43</v>
      </c>
      <c r="H30" s="24"/>
      <c r="I30" s="12"/>
      <c r="J30" s="48"/>
      <c r="K30" s="53" t="s">
        <v>46</v>
      </c>
      <c r="L30" s="51" t="s">
        <v>58</v>
      </c>
      <c r="M30" s="52" t="s">
        <v>59</v>
      </c>
      <c r="N30" s="52" t="s">
        <v>60</v>
      </c>
      <c r="O30" s="51"/>
    </row>
    <row r="31" s="1" customFormat="1" ht="18" customHeight="1" spans="1:15">
      <c r="A31" s="34">
        <v>44440</v>
      </c>
      <c r="B31" s="35">
        <f t="shared" si="7"/>
        <v>353982.3</v>
      </c>
      <c r="C31" s="36" t="s">
        <v>61</v>
      </c>
      <c r="D31" s="37" t="s">
        <v>40</v>
      </c>
      <c r="E31" s="38">
        <v>0.13</v>
      </c>
      <c r="F31" s="35">
        <f t="shared" si="8"/>
        <v>46017.7</v>
      </c>
      <c r="G31" s="40">
        <f>105000+100000+97500+97500</f>
        <v>400000</v>
      </c>
      <c r="H31" s="24"/>
      <c r="I31" s="12"/>
      <c r="J31" s="48"/>
      <c r="K31" s="53" t="s">
        <v>62</v>
      </c>
      <c r="L31" s="51" t="s">
        <v>63</v>
      </c>
      <c r="M31" s="52" t="s">
        <v>64</v>
      </c>
      <c r="N31" s="52"/>
      <c r="O31" s="51"/>
    </row>
    <row r="32" s="1" customFormat="1" ht="18" customHeight="1" spans="1:15">
      <c r="A32" s="34">
        <v>44440</v>
      </c>
      <c r="B32" s="35">
        <f t="shared" si="7"/>
        <v>49955.66</v>
      </c>
      <c r="C32" s="36" t="s">
        <v>39</v>
      </c>
      <c r="D32" s="37" t="s">
        <v>40</v>
      </c>
      <c r="E32" s="38">
        <v>0.13</v>
      </c>
      <c r="F32" s="35">
        <f t="shared" si="8"/>
        <v>6494.24</v>
      </c>
      <c r="G32" s="40">
        <v>56449.9</v>
      </c>
      <c r="H32" s="24"/>
      <c r="I32" s="12"/>
      <c r="J32" s="48"/>
      <c r="K32" s="53" t="s">
        <v>51</v>
      </c>
      <c r="L32" s="51" t="s">
        <v>65</v>
      </c>
      <c r="M32" s="52" t="s">
        <v>66</v>
      </c>
      <c r="N32" s="52"/>
      <c r="O32" s="51"/>
    </row>
    <row r="33" s="1" customFormat="1" ht="18" customHeight="1" spans="1:15">
      <c r="A33" s="34">
        <v>44440</v>
      </c>
      <c r="B33" s="35">
        <f t="shared" si="7"/>
        <v>265486.73</v>
      </c>
      <c r="C33" s="36" t="s">
        <v>67</v>
      </c>
      <c r="D33" s="37" t="s">
        <v>40</v>
      </c>
      <c r="E33" s="38">
        <v>0.13</v>
      </c>
      <c r="F33" s="35">
        <f t="shared" si="8"/>
        <v>34513.27</v>
      </c>
      <c r="G33" s="40">
        <f>74006.4+112996.8+112996.8</f>
        <v>300000</v>
      </c>
      <c r="H33" s="24"/>
      <c r="I33" s="12"/>
      <c r="J33" s="48"/>
      <c r="K33" s="55" t="s">
        <v>48</v>
      </c>
      <c r="L33" s="51" t="s">
        <v>50</v>
      </c>
      <c r="M33" s="52" t="s">
        <v>68</v>
      </c>
      <c r="N33" s="52"/>
      <c r="O33" s="51"/>
    </row>
    <row r="34" s="1" customFormat="1" ht="18" customHeight="1" spans="1:15">
      <c r="A34" s="34">
        <v>44440</v>
      </c>
      <c r="B34" s="35">
        <f t="shared" si="7"/>
        <v>19417.48</v>
      </c>
      <c r="C34" s="36" t="s">
        <v>39</v>
      </c>
      <c r="D34" s="37" t="s">
        <v>40</v>
      </c>
      <c r="E34" s="38">
        <v>0.03</v>
      </c>
      <c r="F34" s="35">
        <f t="shared" si="8"/>
        <v>582.52</v>
      </c>
      <c r="G34" s="40">
        <v>20000</v>
      </c>
      <c r="H34" s="24"/>
      <c r="I34" s="12"/>
      <c r="J34" s="48"/>
      <c r="K34" s="50" t="s">
        <v>69</v>
      </c>
      <c r="L34" s="51" t="s">
        <v>70</v>
      </c>
      <c r="M34" s="52" t="s">
        <v>71</v>
      </c>
      <c r="N34" s="52"/>
      <c r="O34" s="51"/>
    </row>
    <row r="35" s="1" customFormat="1" ht="18" customHeight="1" spans="1:15">
      <c r="A35" s="34">
        <v>44440</v>
      </c>
      <c r="B35" s="35">
        <f t="shared" si="7"/>
        <v>5171.68</v>
      </c>
      <c r="C35" s="36" t="s">
        <v>39</v>
      </c>
      <c r="D35" s="37" t="s">
        <v>40</v>
      </c>
      <c r="E35" s="38">
        <v>0.13</v>
      </c>
      <c r="F35" s="35">
        <f t="shared" si="8"/>
        <v>672.32</v>
      </c>
      <c r="G35" s="40">
        <v>5844</v>
      </c>
      <c r="H35" s="24"/>
      <c r="I35" s="12"/>
      <c r="J35" s="48"/>
      <c r="K35" s="50" t="s">
        <v>72</v>
      </c>
      <c r="L35" s="51" t="s">
        <v>73</v>
      </c>
      <c r="M35" s="52"/>
      <c r="N35" s="52"/>
      <c r="O35" s="51"/>
    </row>
    <row r="36" s="1" customFormat="1" ht="18" customHeight="1" spans="1:15">
      <c r="A36" s="34">
        <v>44440</v>
      </c>
      <c r="B36" s="35">
        <f t="shared" si="7"/>
        <v>5523.89</v>
      </c>
      <c r="C36" s="36" t="s">
        <v>39</v>
      </c>
      <c r="D36" s="37" t="s">
        <v>40</v>
      </c>
      <c r="E36" s="38">
        <v>0.13</v>
      </c>
      <c r="F36" s="35">
        <f t="shared" si="8"/>
        <v>718.11</v>
      </c>
      <c r="G36" s="40">
        <v>6242</v>
      </c>
      <c r="H36" s="24"/>
      <c r="I36" s="12"/>
      <c r="J36" s="48"/>
      <c r="K36" s="50" t="s">
        <v>74</v>
      </c>
      <c r="L36" s="51" t="s">
        <v>75</v>
      </c>
      <c r="M36" s="52"/>
      <c r="N36" s="52"/>
      <c r="O36" s="51"/>
    </row>
    <row r="37" s="1" customFormat="1" ht="18" customHeight="1" spans="1:15">
      <c r="A37" s="34">
        <v>44440</v>
      </c>
      <c r="B37" s="35">
        <f t="shared" si="7"/>
        <v>10000</v>
      </c>
      <c r="C37" s="36" t="s">
        <v>39</v>
      </c>
      <c r="D37" s="37" t="s">
        <v>40</v>
      </c>
      <c r="E37" s="38">
        <v>0.09</v>
      </c>
      <c r="F37" s="35">
        <f t="shared" si="8"/>
        <v>900</v>
      </c>
      <c r="G37" s="27">
        <v>10900</v>
      </c>
      <c r="H37" s="24"/>
      <c r="I37" s="12"/>
      <c r="J37" s="48"/>
      <c r="K37" s="50" t="s">
        <v>76</v>
      </c>
      <c r="L37" s="51" t="s">
        <v>77</v>
      </c>
      <c r="M37" s="52"/>
      <c r="N37" s="52"/>
      <c r="O37" s="51"/>
    </row>
    <row r="38" s="1" customFormat="1" ht="18" customHeight="1" spans="1:15">
      <c r="A38" s="34">
        <v>44440</v>
      </c>
      <c r="B38" s="35">
        <f t="shared" si="7"/>
        <v>3794.5</v>
      </c>
      <c r="C38" s="36" t="s">
        <v>78</v>
      </c>
      <c r="D38" s="37" t="s">
        <v>40</v>
      </c>
      <c r="E38" s="38">
        <v>0.13</v>
      </c>
      <c r="F38" s="35">
        <f t="shared" si="8"/>
        <v>493.29</v>
      </c>
      <c r="G38" s="27">
        <f>1593.51+184.08+692.94+782.81+1034.45</f>
        <v>4287.79</v>
      </c>
      <c r="H38" s="24"/>
      <c r="I38" s="12"/>
      <c r="J38" s="48"/>
      <c r="K38" s="50" t="s">
        <v>79</v>
      </c>
      <c r="L38" s="51" t="s">
        <v>80</v>
      </c>
      <c r="M38" s="52"/>
      <c r="N38" s="52"/>
      <c r="O38" s="51"/>
    </row>
    <row r="39" s="1" customFormat="1" ht="18" customHeight="1" spans="1:15">
      <c r="A39" s="34"/>
      <c r="B39" s="35">
        <f t="shared" si="7"/>
        <v>0</v>
      </c>
      <c r="C39" s="36"/>
      <c r="D39" s="37"/>
      <c r="E39" s="38"/>
      <c r="F39" s="35">
        <f t="shared" si="8"/>
        <v>0</v>
      </c>
      <c r="G39" s="27"/>
      <c r="H39" s="24" t="s">
        <v>81</v>
      </c>
      <c r="I39" s="12">
        <v>546511</v>
      </c>
      <c r="J39" s="48" t="s">
        <v>23</v>
      </c>
      <c r="K39" s="53" t="s">
        <v>82</v>
      </c>
      <c r="L39" s="51" t="s">
        <v>83</v>
      </c>
      <c r="M39" s="52" t="s">
        <v>84</v>
      </c>
      <c r="N39" s="52"/>
      <c r="O39" s="51"/>
    </row>
    <row r="40" s="1" customFormat="1" ht="18" customHeight="1" spans="1:15">
      <c r="A40" s="34"/>
      <c r="B40" s="35">
        <f t="shared" si="7"/>
        <v>0</v>
      </c>
      <c r="C40" s="36"/>
      <c r="D40" s="37"/>
      <c r="E40" s="38"/>
      <c r="F40" s="35">
        <f t="shared" si="8"/>
        <v>0</v>
      </c>
      <c r="G40" s="27"/>
      <c r="H40" s="24">
        <v>44467</v>
      </c>
      <c r="I40" s="12">
        <v>44666.31</v>
      </c>
      <c r="J40" s="48" t="s">
        <v>45</v>
      </c>
      <c r="K40" s="53" t="s">
        <v>46</v>
      </c>
      <c r="L40" s="51" t="s">
        <v>47</v>
      </c>
      <c r="M40" s="52"/>
      <c r="N40" s="52"/>
      <c r="O40" s="51"/>
    </row>
    <row r="41" s="1" customFormat="1" ht="18" customHeight="1" spans="1:15">
      <c r="A41" s="34"/>
      <c r="B41" s="35">
        <f t="shared" si="7"/>
        <v>0</v>
      </c>
      <c r="C41" s="36"/>
      <c r="D41" s="37"/>
      <c r="E41" s="38"/>
      <c r="F41" s="35">
        <f t="shared" si="8"/>
        <v>0</v>
      </c>
      <c r="G41" s="27"/>
      <c r="H41" s="24">
        <v>44467</v>
      </c>
      <c r="I41" s="12">
        <v>26449.9</v>
      </c>
      <c r="J41" s="48" t="s">
        <v>45</v>
      </c>
      <c r="K41" s="53" t="s">
        <v>51</v>
      </c>
      <c r="L41" s="51" t="s">
        <v>65</v>
      </c>
      <c r="M41" s="52"/>
      <c r="N41" s="52"/>
      <c r="O41" s="51"/>
    </row>
    <row r="42" s="1" customFormat="1" ht="18" customHeight="1" spans="1:15">
      <c r="A42" s="34">
        <v>44440</v>
      </c>
      <c r="B42" s="35">
        <f t="shared" ref="B42:B54" si="9">ROUND(G42/(1+E42),2)</f>
        <v>203382.69</v>
      </c>
      <c r="C42" s="36">
        <v>3</v>
      </c>
      <c r="D42" s="37" t="s">
        <v>40</v>
      </c>
      <c r="E42" s="38">
        <v>0.13</v>
      </c>
      <c r="F42" s="35">
        <f t="shared" ref="F42:F49" si="10">ROUND(G42/(1+E42)*E42,2)</f>
        <v>26439.75</v>
      </c>
      <c r="G42" s="27">
        <f>60878.24+55947.4+112996.8</f>
        <v>229822.44</v>
      </c>
      <c r="H42" s="24"/>
      <c r="I42" s="12"/>
      <c r="J42" s="48"/>
      <c r="K42" s="55" t="s">
        <v>48</v>
      </c>
      <c r="L42" s="51" t="s">
        <v>85</v>
      </c>
      <c r="M42" s="52" t="s">
        <v>68</v>
      </c>
      <c r="N42" s="52"/>
      <c r="O42" s="51"/>
    </row>
    <row r="43" s="1" customFormat="1" ht="18" customHeight="1" spans="1:15">
      <c r="A43" s="34">
        <v>44440</v>
      </c>
      <c r="B43" s="35">
        <f t="shared" si="9"/>
        <v>1616.81</v>
      </c>
      <c r="C43" s="36">
        <v>1</v>
      </c>
      <c r="D43" s="37" t="s">
        <v>40</v>
      </c>
      <c r="E43" s="38">
        <v>0.13</v>
      </c>
      <c r="F43" s="35">
        <f t="shared" si="10"/>
        <v>210.19</v>
      </c>
      <c r="G43" s="27">
        <v>1827</v>
      </c>
      <c r="H43" s="24"/>
      <c r="I43" s="12"/>
      <c r="J43" s="48"/>
      <c r="K43" s="53" t="s">
        <v>51</v>
      </c>
      <c r="L43" s="51" t="s">
        <v>65</v>
      </c>
      <c r="M43" s="52" t="s">
        <v>66</v>
      </c>
      <c r="N43" s="52"/>
      <c r="O43" s="51"/>
    </row>
    <row r="44" s="1" customFormat="1" ht="18" customHeight="1" spans="1:15">
      <c r="A44" s="34">
        <v>44440</v>
      </c>
      <c r="B44" s="35">
        <f t="shared" si="9"/>
        <v>169000</v>
      </c>
      <c r="C44" s="36">
        <v>1</v>
      </c>
      <c r="D44" s="37" t="s">
        <v>40</v>
      </c>
      <c r="E44" s="38">
        <v>0.09</v>
      </c>
      <c r="F44" s="35">
        <f t="shared" si="10"/>
        <v>15210</v>
      </c>
      <c r="G44" s="27">
        <v>184210</v>
      </c>
      <c r="H44" s="24"/>
      <c r="I44" s="12"/>
      <c r="J44" s="48"/>
      <c r="K44" s="53" t="s">
        <v>86</v>
      </c>
      <c r="L44" s="51" t="s">
        <v>87</v>
      </c>
      <c r="M44" s="52" t="s">
        <v>88</v>
      </c>
      <c r="N44" s="52"/>
      <c r="O44" s="51"/>
    </row>
    <row r="45" s="1" customFormat="1" ht="18" customHeight="1" spans="1:15">
      <c r="A45" s="34"/>
      <c r="B45" s="35">
        <f t="shared" si="9"/>
        <v>0</v>
      </c>
      <c r="C45" s="36"/>
      <c r="D45" s="37"/>
      <c r="E45" s="38"/>
      <c r="F45" s="35">
        <f t="shared" si="10"/>
        <v>0</v>
      </c>
      <c r="G45" s="27"/>
      <c r="H45" s="24">
        <v>44469</v>
      </c>
      <c r="I45" s="12">
        <v>70000</v>
      </c>
      <c r="J45" s="48" t="s">
        <v>45</v>
      </c>
      <c r="K45" s="53" t="s">
        <v>86</v>
      </c>
      <c r="L45" s="51" t="s">
        <v>87</v>
      </c>
      <c r="M45" s="52"/>
      <c r="N45" s="52"/>
      <c r="O45" s="51"/>
    </row>
    <row r="46" s="1" customFormat="1" ht="18" customHeight="1" spans="1:15">
      <c r="A46" s="34"/>
      <c r="B46" s="35">
        <f t="shared" si="9"/>
        <v>0</v>
      </c>
      <c r="C46" s="36"/>
      <c r="D46" s="37"/>
      <c r="E46" s="38"/>
      <c r="F46" s="35">
        <f t="shared" si="10"/>
        <v>0</v>
      </c>
      <c r="G46" s="27"/>
      <c r="H46" s="24">
        <v>44477</v>
      </c>
      <c r="I46" s="12">
        <v>229822.44</v>
      </c>
      <c r="J46" s="48" t="s">
        <v>45</v>
      </c>
      <c r="K46" s="55" t="s">
        <v>48</v>
      </c>
      <c r="L46" s="51" t="s">
        <v>85</v>
      </c>
      <c r="M46" s="52"/>
      <c r="N46" s="52"/>
      <c r="O46" s="51"/>
    </row>
    <row r="47" s="1" customFormat="1" ht="18" customHeight="1" spans="1:15">
      <c r="A47" s="34"/>
      <c r="B47" s="35">
        <f t="shared" si="9"/>
        <v>0</v>
      </c>
      <c r="C47" s="36"/>
      <c r="D47" s="37"/>
      <c r="E47" s="38">
        <v>0.09</v>
      </c>
      <c r="F47" s="35">
        <f t="shared" si="10"/>
        <v>0</v>
      </c>
      <c r="G47" s="27"/>
      <c r="H47" s="24">
        <v>44469</v>
      </c>
      <c r="I47" s="12">
        <v>400000</v>
      </c>
      <c r="J47" s="48" t="s">
        <v>45</v>
      </c>
      <c r="K47" s="6" t="s">
        <v>62</v>
      </c>
      <c r="L47" s="51" t="s">
        <v>63</v>
      </c>
      <c r="M47" s="52"/>
      <c r="N47" s="52"/>
      <c r="O47" s="51"/>
    </row>
    <row r="48" s="1" customFormat="1" ht="18" customHeight="1" spans="1:15">
      <c r="A48" s="34"/>
      <c r="B48" s="35">
        <f t="shared" si="9"/>
        <v>0</v>
      </c>
      <c r="C48" s="36"/>
      <c r="D48" s="37"/>
      <c r="E48" s="38"/>
      <c r="F48" s="35">
        <f t="shared" si="10"/>
        <v>0</v>
      </c>
      <c r="G48" s="27"/>
      <c r="H48" s="24">
        <v>44469</v>
      </c>
      <c r="I48" s="12">
        <v>20000</v>
      </c>
      <c r="J48" s="48" t="s">
        <v>45</v>
      </c>
      <c r="K48" s="53" t="s">
        <v>69</v>
      </c>
      <c r="L48" s="51" t="s">
        <v>89</v>
      </c>
      <c r="M48" s="52"/>
      <c r="N48" s="52"/>
      <c r="O48" s="51"/>
    </row>
    <row r="49" s="1" customFormat="1" ht="18" customHeight="1" spans="1:15">
      <c r="A49" s="34"/>
      <c r="B49" s="35">
        <f t="shared" si="9"/>
        <v>0</v>
      </c>
      <c r="C49" s="36"/>
      <c r="D49" s="37"/>
      <c r="E49" s="38"/>
      <c r="F49" s="35">
        <f t="shared" si="10"/>
        <v>0</v>
      </c>
      <c r="G49" s="27"/>
      <c r="H49" s="24">
        <v>44469</v>
      </c>
      <c r="I49" s="12">
        <v>23760</v>
      </c>
      <c r="J49" s="48" t="s">
        <v>45</v>
      </c>
      <c r="K49" s="53" t="s">
        <v>90</v>
      </c>
      <c r="L49" s="51" t="s">
        <v>91</v>
      </c>
      <c r="M49" s="52" t="s">
        <v>92</v>
      </c>
      <c r="N49" s="52"/>
      <c r="O49" s="56" t="s">
        <v>93</v>
      </c>
    </row>
    <row r="50" s="1" customFormat="1" ht="18" customHeight="1" spans="1:15">
      <c r="A50" s="34"/>
      <c r="B50" s="35">
        <f t="shared" ref="B50:B68" si="11">ROUND(G50/(1+E50),2)</f>
        <v>0</v>
      </c>
      <c r="C50" s="36"/>
      <c r="D50" s="37"/>
      <c r="E50" s="38"/>
      <c r="F50" s="35">
        <f t="shared" ref="F50:F68" si="12">ROUND(G50/(1+E50)*E50,2)</f>
        <v>0</v>
      </c>
      <c r="G50" s="27"/>
      <c r="H50" s="24">
        <v>44480</v>
      </c>
      <c r="I50" s="12">
        <v>-112000</v>
      </c>
      <c r="J50" s="48" t="s">
        <v>43</v>
      </c>
      <c r="K50" s="53" t="s">
        <v>44</v>
      </c>
      <c r="L50" s="51"/>
      <c r="M50" s="52"/>
      <c r="N50" s="52"/>
      <c r="O50" s="56"/>
    </row>
    <row r="51" s="1" customFormat="1" ht="18" customHeight="1" spans="1:15">
      <c r="A51" s="34"/>
      <c r="B51" s="35">
        <f t="shared" si="11"/>
        <v>0</v>
      </c>
      <c r="C51" s="36"/>
      <c r="D51" s="37"/>
      <c r="E51" s="38"/>
      <c r="F51" s="35">
        <f t="shared" si="12"/>
        <v>0</v>
      </c>
      <c r="G51" s="27"/>
      <c r="H51" s="41">
        <v>44487</v>
      </c>
      <c r="I51" s="35">
        <v>112000</v>
      </c>
      <c r="J51" s="52" t="s">
        <v>45</v>
      </c>
      <c r="K51" s="50" t="s">
        <v>54</v>
      </c>
      <c r="L51" s="51" t="s">
        <v>55</v>
      </c>
      <c r="M51" s="52"/>
      <c r="N51" s="52"/>
      <c r="O51" s="56"/>
    </row>
    <row r="52" s="1" customFormat="1" ht="18" customHeight="1" spans="1:15">
      <c r="A52" s="34"/>
      <c r="B52" s="35">
        <f t="shared" si="11"/>
        <v>0</v>
      </c>
      <c r="C52" s="36"/>
      <c r="D52" s="37"/>
      <c r="E52" s="38"/>
      <c r="F52" s="35">
        <f t="shared" si="12"/>
        <v>0</v>
      </c>
      <c r="G52" s="27"/>
      <c r="H52" s="24">
        <v>44489</v>
      </c>
      <c r="I52" s="12">
        <v>500000</v>
      </c>
      <c r="J52" s="48" t="s">
        <v>43</v>
      </c>
      <c r="K52" s="53" t="s">
        <v>44</v>
      </c>
      <c r="L52" s="51" t="s">
        <v>94</v>
      </c>
      <c r="M52" s="52"/>
      <c r="N52" s="52"/>
      <c r="O52" s="56"/>
    </row>
    <row r="53" s="1" customFormat="1" ht="18" customHeight="1" spans="1:15">
      <c r="A53" s="34"/>
      <c r="B53" s="35">
        <f t="shared" si="11"/>
        <v>0</v>
      </c>
      <c r="C53" s="36"/>
      <c r="D53" s="37"/>
      <c r="E53" s="38"/>
      <c r="F53" s="35">
        <f t="shared" si="12"/>
        <v>0</v>
      </c>
      <c r="G53" s="27"/>
      <c r="H53" s="24">
        <v>44491</v>
      </c>
      <c r="I53" s="12">
        <v>114210</v>
      </c>
      <c r="J53" s="48" t="s">
        <v>45</v>
      </c>
      <c r="K53" s="53" t="s">
        <v>86</v>
      </c>
      <c r="L53" s="51" t="s">
        <v>95</v>
      </c>
      <c r="M53" s="52"/>
      <c r="N53" s="52"/>
      <c r="O53" s="56"/>
    </row>
    <row r="54" s="1" customFormat="1" ht="18" customHeight="1" spans="1:15">
      <c r="A54" s="34"/>
      <c r="B54" s="35">
        <f t="shared" si="11"/>
        <v>0</v>
      </c>
      <c r="C54" s="36"/>
      <c r="D54" s="37"/>
      <c r="E54" s="38"/>
      <c r="F54" s="35">
        <f t="shared" si="12"/>
        <v>0</v>
      </c>
      <c r="G54" s="27"/>
      <c r="H54" s="24"/>
      <c r="I54" s="57">
        <v>17000</v>
      </c>
      <c r="J54" s="54" t="s">
        <v>45</v>
      </c>
      <c r="K54" s="58" t="s">
        <v>54</v>
      </c>
      <c r="L54" s="51" t="s">
        <v>96</v>
      </c>
      <c r="M54" s="52" t="s">
        <v>97</v>
      </c>
      <c r="N54" s="52"/>
      <c r="O54" s="56"/>
    </row>
    <row r="55" s="1" customFormat="1" ht="18" customHeight="1" spans="1:15">
      <c r="A55" s="34"/>
      <c r="B55" s="35">
        <f t="shared" si="11"/>
        <v>0</v>
      </c>
      <c r="C55" s="36"/>
      <c r="D55" s="37"/>
      <c r="E55" s="38"/>
      <c r="F55" s="35">
        <f t="shared" si="12"/>
        <v>0</v>
      </c>
      <c r="G55" s="27"/>
      <c r="H55" s="24">
        <v>44519</v>
      </c>
      <c r="I55" s="12">
        <v>19390</v>
      </c>
      <c r="J55" s="48" t="s">
        <v>45</v>
      </c>
      <c r="K55" s="53" t="s">
        <v>98</v>
      </c>
      <c r="L55" s="51" t="s">
        <v>99</v>
      </c>
      <c r="M55" s="52" t="s">
        <v>100</v>
      </c>
      <c r="N55" s="52"/>
      <c r="O55" s="51"/>
    </row>
    <row r="56" s="1" customFormat="1" ht="18" customHeight="1" spans="1:15">
      <c r="A56" s="34"/>
      <c r="B56" s="35">
        <f t="shared" si="11"/>
        <v>0</v>
      </c>
      <c r="C56" s="36"/>
      <c r="D56" s="37"/>
      <c r="E56" s="38"/>
      <c r="F56" s="35">
        <f t="shared" si="12"/>
        <v>0</v>
      </c>
      <c r="G56" s="27"/>
      <c r="H56" s="24">
        <v>44519</v>
      </c>
      <c r="I56" s="12">
        <f>162397*0.8</f>
        <v>129917.6</v>
      </c>
      <c r="J56" s="48" t="s">
        <v>45</v>
      </c>
      <c r="K56" s="53" t="s">
        <v>101</v>
      </c>
      <c r="L56" s="51" t="s">
        <v>102</v>
      </c>
      <c r="M56" s="52" t="s">
        <v>103</v>
      </c>
      <c r="N56" s="52"/>
      <c r="O56" s="51" t="s">
        <v>104</v>
      </c>
    </row>
    <row r="57" s="1" customFormat="1" ht="18" customHeight="1" spans="1:15">
      <c r="A57" s="34"/>
      <c r="B57" s="35">
        <f t="shared" si="11"/>
        <v>0</v>
      </c>
      <c r="C57" s="36"/>
      <c r="D57" s="37"/>
      <c r="E57" s="38"/>
      <c r="F57" s="35">
        <f t="shared" si="12"/>
        <v>0</v>
      </c>
      <c r="G57" s="27"/>
      <c r="H57" s="24">
        <v>44519</v>
      </c>
      <c r="I57" s="12">
        <v>130519</v>
      </c>
      <c r="J57" s="48" t="s">
        <v>45</v>
      </c>
      <c r="K57" s="53" t="s">
        <v>105</v>
      </c>
      <c r="L57" s="51" t="s">
        <v>106</v>
      </c>
      <c r="M57" s="52" t="s">
        <v>107</v>
      </c>
      <c r="N57" s="52"/>
      <c r="O57" s="51"/>
    </row>
    <row r="58" s="1" customFormat="1" ht="18" customHeight="1" spans="1:15">
      <c r="A58" s="34">
        <v>44501</v>
      </c>
      <c r="B58" s="35">
        <v>3862.51</v>
      </c>
      <c r="C58" s="36">
        <v>3</v>
      </c>
      <c r="D58" s="37" t="s">
        <v>40</v>
      </c>
      <c r="E58" s="38">
        <v>0.13</v>
      </c>
      <c r="F58" s="35">
        <v>502.12</v>
      </c>
      <c r="G58" s="27">
        <f>1721.8+1451.57+1191.26</f>
        <v>4364.63</v>
      </c>
      <c r="H58" s="24"/>
      <c r="I58" s="12"/>
      <c r="J58" s="48"/>
      <c r="K58" s="53" t="s">
        <v>79</v>
      </c>
      <c r="L58" s="51" t="s">
        <v>80</v>
      </c>
      <c r="M58" s="52"/>
      <c r="N58" s="52"/>
      <c r="O58" s="51"/>
    </row>
    <row r="59" s="1" customFormat="1" ht="18" customHeight="1" spans="1:15">
      <c r="A59" s="34">
        <v>44501</v>
      </c>
      <c r="B59" s="35">
        <f t="shared" si="11"/>
        <v>21026.55</v>
      </c>
      <c r="C59" s="36">
        <v>1</v>
      </c>
      <c r="D59" s="37" t="s">
        <v>40</v>
      </c>
      <c r="E59" s="38">
        <v>0.13</v>
      </c>
      <c r="F59" s="35">
        <f t="shared" si="12"/>
        <v>2733.45</v>
      </c>
      <c r="G59" s="27">
        <v>23760</v>
      </c>
      <c r="H59" s="24"/>
      <c r="I59" s="12"/>
      <c r="J59" s="48"/>
      <c r="K59" s="53" t="s">
        <v>90</v>
      </c>
      <c r="L59" s="51" t="s">
        <v>91</v>
      </c>
      <c r="M59" s="52" t="s">
        <v>108</v>
      </c>
      <c r="N59" s="52"/>
      <c r="O59" s="51"/>
    </row>
    <row r="60" s="1" customFormat="1" ht="18" customHeight="1" spans="1:15">
      <c r="A60" s="34">
        <v>44501</v>
      </c>
      <c r="B60" s="35">
        <f t="shared" si="11"/>
        <v>7085.31</v>
      </c>
      <c r="C60" s="36">
        <v>1</v>
      </c>
      <c r="D60" s="37" t="s">
        <v>40</v>
      </c>
      <c r="E60" s="38">
        <v>0.13</v>
      </c>
      <c r="F60" s="35">
        <f t="shared" si="12"/>
        <v>921.09</v>
      </c>
      <c r="G60" s="27">
        <v>8006.4</v>
      </c>
      <c r="H60" s="24"/>
      <c r="I60" s="12"/>
      <c r="J60" s="48"/>
      <c r="K60" s="53" t="s">
        <v>109</v>
      </c>
      <c r="L60" s="51" t="s">
        <v>110</v>
      </c>
      <c r="M60" s="52"/>
      <c r="N60" s="52"/>
      <c r="O60" s="51"/>
    </row>
    <row r="61" s="1" customFormat="1" ht="18" customHeight="1" spans="1:15">
      <c r="A61" s="34"/>
      <c r="B61" s="35">
        <f t="shared" si="11"/>
        <v>0</v>
      </c>
      <c r="C61" s="36"/>
      <c r="D61" s="37"/>
      <c r="E61" s="38"/>
      <c r="F61" s="35">
        <f t="shared" si="12"/>
        <v>0</v>
      </c>
      <c r="G61" s="27"/>
      <c r="H61" s="24">
        <v>44537</v>
      </c>
      <c r="I61" s="12">
        <v>22000</v>
      </c>
      <c r="J61" s="48" t="s">
        <v>45</v>
      </c>
      <c r="K61" s="53" t="s">
        <v>69</v>
      </c>
      <c r="L61" s="51" t="s">
        <v>111</v>
      </c>
      <c r="M61" s="52"/>
      <c r="N61" s="52"/>
      <c r="O61" s="51"/>
    </row>
    <row r="62" s="1" customFormat="1" ht="18" customHeight="1" spans="1:15">
      <c r="A62" s="34"/>
      <c r="B62" s="35">
        <f t="shared" si="11"/>
        <v>0</v>
      </c>
      <c r="C62" s="36"/>
      <c r="D62" s="37"/>
      <c r="E62" s="38"/>
      <c r="F62" s="35">
        <f t="shared" si="12"/>
        <v>0</v>
      </c>
      <c r="G62" s="27"/>
      <c r="H62" s="24">
        <v>44537</v>
      </c>
      <c r="I62" s="12">
        <v>9320</v>
      </c>
      <c r="J62" s="48" t="s">
        <v>45</v>
      </c>
      <c r="K62" s="53" t="s">
        <v>112</v>
      </c>
      <c r="L62" s="51" t="s">
        <v>113</v>
      </c>
      <c r="M62" s="52"/>
      <c r="N62" s="52"/>
      <c r="O62" s="51"/>
    </row>
    <row r="63" s="1" customFormat="1" ht="18" customHeight="1" spans="1:15">
      <c r="A63" s="34">
        <v>44531</v>
      </c>
      <c r="B63" s="35">
        <f t="shared" ref="B63:B74" si="13">ROUND(G63/(1+E63),2)</f>
        <v>501386.24</v>
      </c>
      <c r="C63" s="36">
        <v>6</v>
      </c>
      <c r="D63" s="37" t="s">
        <v>40</v>
      </c>
      <c r="E63" s="38">
        <v>0.09</v>
      </c>
      <c r="F63" s="35">
        <f t="shared" ref="F63:F82" si="14">ROUND(G63/(1+E63)*E63,2)</f>
        <v>45124.76</v>
      </c>
      <c r="G63" s="27">
        <f>100000+100000+100000+100000+46511+100000</f>
        <v>546511</v>
      </c>
      <c r="H63" s="24"/>
      <c r="I63" s="12"/>
      <c r="J63" s="48"/>
      <c r="K63" s="53" t="s">
        <v>114</v>
      </c>
      <c r="L63" s="51" t="s">
        <v>115</v>
      </c>
      <c r="M63" s="52" t="s">
        <v>84</v>
      </c>
      <c r="N63" s="52"/>
      <c r="O63" s="51"/>
    </row>
    <row r="64" s="1" customFormat="1" ht="18" customHeight="1" spans="1:15">
      <c r="A64" s="34">
        <v>44531</v>
      </c>
      <c r="B64" s="35">
        <f t="shared" si="13"/>
        <v>48672.57</v>
      </c>
      <c r="C64" s="36">
        <v>1</v>
      </c>
      <c r="D64" s="37" t="s">
        <v>40</v>
      </c>
      <c r="E64" s="38">
        <v>0.13</v>
      </c>
      <c r="F64" s="35">
        <f t="shared" si="14"/>
        <v>6327.43</v>
      </c>
      <c r="G64" s="27">
        <v>55000</v>
      </c>
      <c r="H64" s="24"/>
      <c r="I64" s="12"/>
      <c r="J64" s="48"/>
      <c r="K64" s="53" t="s">
        <v>116</v>
      </c>
      <c r="L64" s="51" t="s">
        <v>117</v>
      </c>
      <c r="M64" s="52" t="s">
        <v>118</v>
      </c>
      <c r="N64" s="52" t="s">
        <v>60</v>
      </c>
      <c r="O64" s="51"/>
    </row>
    <row r="65" s="1" customFormat="1" ht="18" customHeight="1" spans="1:15">
      <c r="A65" s="34">
        <v>44531</v>
      </c>
      <c r="B65" s="35">
        <f t="shared" si="13"/>
        <v>17159.29</v>
      </c>
      <c r="C65" s="36">
        <v>2</v>
      </c>
      <c r="D65" s="37" t="s">
        <v>40</v>
      </c>
      <c r="E65" s="38">
        <v>0.13</v>
      </c>
      <c r="F65" s="35">
        <f t="shared" si="14"/>
        <v>2230.71</v>
      </c>
      <c r="G65" s="27">
        <f>9999.98+9390.02</f>
        <v>19390</v>
      </c>
      <c r="H65" s="24"/>
      <c r="I65" s="12"/>
      <c r="J65" s="48"/>
      <c r="K65" s="53" t="s">
        <v>98</v>
      </c>
      <c r="L65" s="51" t="s">
        <v>119</v>
      </c>
      <c r="M65" s="73" t="s">
        <v>120</v>
      </c>
      <c r="N65" s="52" t="s">
        <v>60</v>
      </c>
      <c r="O65" s="51"/>
    </row>
    <row r="66" s="1" customFormat="1" ht="18" customHeight="1" spans="1:15">
      <c r="A66" s="34">
        <v>44531</v>
      </c>
      <c r="B66" s="35">
        <f t="shared" si="13"/>
        <v>119190.46</v>
      </c>
      <c r="C66" s="36">
        <v>2</v>
      </c>
      <c r="D66" s="37" t="s">
        <v>40</v>
      </c>
      <c r="E66" s="38">
        <v>0.09</v>
      </c>
      <c r="F66" s="35">
        <f t="shared" si="14"/>
        <v>10727.14</v>
      </c>
      <c r="G66" s="27">
        <f>29917.6+100000</f>
        <v>129917.6</v>
      </c>
      <c r="H66" s="24"/>
      <c r="I66" s="12"/>
      <c r="J66" s="48"/>
      <c r="K66" s="74" t="s">
        <v>121</v>
      </c>
      <c r="L66" s="51" t="s">
        <v>122</v>
      </c>
      <c r="M66" s="52" t="s">
        <v>123</v>
      </c>
      <c r="N66" s="52" t="s">
        <v>60</v>
      </c>
      <c r="O66" s="51"/>
    </row>
    <row r="67" s="1" customFormat="1" ht="18" customHeight="1" spans="1:15">
      <c r="A67" s="34">
        <v>44531</v>
      </c>
      <c r="B67" s="35">
        <f t="shared" si="13"/>
        <v>100917.43</v>
      </c>
      <c r="C67" s="36">
        <v>2</v>
      </c>
      <c r="D67" s="37" t="s">
        <v>40</v>
      </c>
      <c r="E67" s="38">
        <v>0.09</v>
      </c>
      <c r="F67" s="35">
        <f t="shared" si="14"/>
        <v>9082.57</v>
      </c>
      <c r="G67" s="27">
        <f>100000+10000</f>
        <v>110000</v>
      </c>
      <c r="H67" s="24"/>
      <c r="I67" s="12"/>
      <c r="J67" s="48"/>
      <c r="K67" s="74" t="s">
        <v>121</v>
      </c>
      <c r="L67" s="51" t="s">
        <v>122</v>
      </c>
      <c r="M67" s="52" t="s">
        <v>124</v>
      </c>
      <c r="N67" s="52" t="s">
        <v>60</v>
      </c>
      <c r="O67" s="51"/>
    </row>
    <row r="68" s="1" customFormat="1" ht="18" customHeight="1" spans="1:15">
      <c r="A68" s="34">
        <v>44531</v>
      </c>
      <c r="B68" s="35">
        <f t="shared" si="13"/>
        <v>1016.36</v>
      </c>
      <c r="C68" s="36">
        <v>1</v>
      </c>
      <c r="D68" s="37" t="s">
        <v>40</v>
      </c>
      <c r="E68" s="38">
        <v>0.13</v>
      </c>
      <c r="F68" s="35">
        <f t="shared" si="14"/>
        <v>132.13</v>
      </c>
      <c r="G68" s="27">
        <v>1148.49</v>
      </c>
      <c r="H68" s="24"/>
      <c r="I68" s="12"/>
      <c r="J68" s="48"/>
      <c r="K68" s="53" t="s">
        <v>79</v>
      </c>
      <c r="L68" s="51" t="s">
        <v>80</v>
      </c>
      <c r="M68" s="52"/>
      <c r="N68" s="52"/>
      <c r="O68" s="51"/>
    </row>
    <row r="69" s="1" customFormat="1" ht="18" customHeight="1" spans="1:15">
      <c r="A69" s="34">
        <v>44531</v>
      </c>
      <c r="B69" s="35">
        <f t="shared" si="13"/>
        <v>21359.22</v>
      </c>
      <c r="C69" s="36">
        <v>1</v>
      </c>
      <c r="D69" s="37" t="s">
        <v>40</v>
      </c>
      <c r="E69" s="38">
        <v>0.03</v>
      </c>
      <c r="F69" s="35">
        <f t="shared" si="14"/>
        <v>640.78</v>
      </c>
      <c r="G69" s="27">
        <v>22000</v>
      </c>
      <c r="H69" s="24"/>
      <c r="I69" s="12"/>
      <c r="J69" s="48"/>
      <c r="K69" s="53" t="s">
        <v>69</v>
      </c>
      <c r="L69" s="51" t="s">
        <v>70</v>
      </c>
      <c r="M69" s="52" t="s">
        <v>71</v>
      </c>
      <c r="N69" s="52"/>
      <c r="O69" s="51"/>
    </row>
    <row r="70" s="1" customFormat="1" ht="18" customHeight="1" spans="1:15">
      <c r="A70" s="34">
        <v>44531</v>
      </c>
      <c r="B70" s="35">
        <f t="shared" si="13"/>
        <v>11150.44</v>
      </c>
      <c r="C70" s="36">
        <v>1</v>
      </c>
      <c r="D70" s="37" t="s">
        <v>40</v>
      </c>
      <c r="E70" s="38">
        <v>0.13</v>
      </c>
      <c r="F70" s="35">
        <f t="shared" si="14"/>
        <v>1449.56</v>
      </c>
      <c r="G70" s="27">
        <v>12600</v>
      </c>
      <c r="H70" s="24"/>
      <c r="I70" s="12"/>
      <c r="J70" s="48"/>
      <c r="K70" s="53" t="s">
        <v>125</v>
      </c>
      <c r="L70" s="51" t="s">
        <v>126</v>
      </c>
      <c r="M70" s="52" t="s">
        <v>127</v>
      </c>
      <c r="N70" s="52"/>
      <c r="O70" s="51"/>
    </row>
    <row r="71" s="1" customFormat="1" ht="18" customHeight="1" spans="1:15">
      <c r="A71" s="34">
        <v>44531</v>
      </c>
      <c r="B71" s="35">
        <f t="shared" si="13"/>
        <v>174027.03</v>
      </c>
      <c r="C71" s="36">
        <v>2</v>
      </c>
      <c r="D71" s="37" t="s">
        <v>40</v>
      </c>
      <c r="E71" s="38">
        <v>0.13</v>
      </c>
      <c r="F71" s="35">
        <f t="shared" si="14"/>
        <v>22623.51</v>
      </c>
      <c r="G71" s="27">
        <f>100000+96650.54</f>
        <v>196650.54</v>
      </c>
      <c r="H71" s="24"/>
      <c r="I71" s="12"/>
      <c r="J71" s="48"/>
      <c r="K71" s="53" t="s">
        <v>128</v>
      </c>
      <c r="L71" s="51" t="s">
        <v>129</v>
      </c>
      <c r="M71" s="52" t="s">
        <v>130</v>
      </c>
      <c r="N71" s="52"/>
      <c r="O71" s="51"/>
    </row>
    <row r="72" s="1" customFormat="1" ht="18" customHeight="1" spans="1:15">
      <c r="A72" s="34">
        <v>44531</v>
      </c>
      <c r="B72" s="35">
        <f t="shared" si="13"/>
        <v>42375.22</v>
      </c>
      <c r="C72" s="36">
        <v>1</v>
      </c>
      <c r="D72" s="37" t="s">
        <v>40</v>
      </c>
      <c r="E72" s="38">
        <v>0.13</v>
      </c>
      <c r="F72" s="35">
        <f t="shared" si="14"/>
        <v>5508.78</v>
      </c>
      <c r="G72" s="27">
        <v>47884</v>
      </c>
      <c r="H72" s="24"/>
      <c r="I72" s="12"/>
      <c r="J72" s="48"/>
      <c r="K72" s="53" t="s">
        <v>131</v>
      </c>
      <c r="L72" s="75" t="s">
        <v>132</v>
      </c>
      <c r="M72" s="52" t="s">
        <v>133</v>
      </c>
      <c r="N72" s="52"/>
      <c r="O72" s="51"/>
    </row>
    <row r="73" s="1" customFormat="1" ht="18" customHeight="1" spans="1:15">
      <c r="A73" s="34">
        <v>44531</v>
      </c>
      <c r="B73" s="35">
        <f t="shared" si="13"/>
        <v>115707.96</v>
      </c>
      <c r="C73" s="36">
        <v>2</v>
      </c>
      <c r="D73" s="37" t="s">
        <v>40</v>
      </c>
      <c r="E73" s="38">
        <v>0.13</v>
      </c>
      <c r="F73" s="35">
        <f t="shared" si="14"/>
        <v>15042.04</v>
      </c>
      <c r="G73" s="27">
        <f>99700+31050</f>
        <v>130750</v>
      </c>
      <c r="H73" s="24"/>
      <c r="I73" s="12"/>
      <c r="J73" s="48"/>
      <c r="K73" s="74" t="s">
        <v>134</v>
      </c>
      <c r="L73" s="51" t="s">
        <v>135</v>
      </c>
      <c r="M73" s="73" t="s">
        <v>136</v>
      </c>
      <c r="N73" s="52"/>
      <c r="O73" s="51"/>
    </row>
    <row r="74" s="1" customFormat="1" ht="18" customHeight="1" spans="1:15">
      <c r="A74" s="34">
        <v>44531</v>
      </c>
      <c r="B74" s="35">
        <f t="shared" si="13"/>
        <v>10619.47</v>
      </c>
      <c r="C74" s="36">
        <v>1</v>
      </c>
      <c r="D74" s="37" t="s">
        <v>40</v>
      </c>
      <c r="E74" s="38">
        <v>0.13</v>
      </c>
      <c r="F74" s="35">
        <f t="shared" si="14"/>
        <v>1380.53</v>
      </c>
      <c r="G74" s="27">
        <v>12000</v>
      </c>
      <c r="H74" s="24"/>
      <c r="I74" s="12"/>
      <c r="J74" s="48"/>
      <c r="K74" s="53" t="s">
        <v>137</v>
      </c>
      <c r="L74" s="51" t="s">
        <v>138</v>
      </c>
      <c r="M74" s="52" t="s">
        <v>139</v>
      </c>
      <c r="N74" s="52"/>
      <c r="O74" s="51"/>
    </row>
    <row r="75" s="1" customFormat="1" ht="18" customHeight="1" spans="1:15">
      <c r="A75" s="34"/>
      <c r="B75" s="35"/>
      <c r="C75" s="36"/>
      <c r="D75" s="37"/>
      <c r="E75" s="38"/>
      <c r="F75" s="35">
        <f t="shared" si="14"/>
        <v>0</v>
      </c>
      <c r="G75" s="27"/>
      <c r="H75" s="24">
        <v>44552</v>
      </c>
      <c r="I75" s="12">
        <v>11500</v>
      </c>
      <c r="J75" s="48" t="s">
        <v>45</v>
      </c>
      <c r="K75" s="53" t="s">
        <v>140</v>
      </c>
      <c r="L75" s="51" t="s">
        <v>141</v>
      </c>
      <c r="M75" s="52"/>
      <c r="N75" s="52"/>
      <c r="O75" s="51"/>
    </row>
    <row r="76" s="1" customFormat="1" ht="18" customHeight="1" spans="1:15">
      <c r="A76" s="34"/>
      <c r="B76" s="35"/>
      <c r="C76" s="36"/>
      <c r="D76" s="37"/>
      <c r="E76" s="38"/>
      <c r="F76" s="35"/>
      <c r="G76" s="27"/>
      <c r="H76" s="24"/>
      <c r="I76" s="12"/>
      <c r="J76" s="48"/>
      <c r="K76" s="53"/>
      <c r="L76" s="51"/>
      <c r="M76" s="52"/>
      <c r="N76" s="52"/>
      <c r="O76" s="51"/>
    </row>
    <row r="77" s="1" customFormat="1" ht="18" customHeight="1" spans="1:15">
      <c r="A77" s="34"/>
      <c r="B77" s="35"/>
      <c r="C77" s="36"/>
      <c r="D77" s="37"/>
      <c r="E77" s="38"/>
      <c r="F77" s="35"/>
      <c r="G77" s="27"/>
      <c r="H77" s="24"/>
      <c r="I77" s="12"/>
      <c r="J77" s="48"/>
      <c r="K77" s="53"/>
      <c r="L77" s="51"/>
      <c r="M77" s="52"/>
      <c r="N77" s="52"/>
      <c r="O77" s="51"/>
    </row>
    <row r="78" s="1" customFormat="1" ht="18" customHeight="1" spans="1:15">
      <c r="A78" s="34"/>
      <c r="B78" s="35"/>
      <c r="C78" s="36"/>
      <c r="D78" s="37"/>
      <c r="E78" s="38"/>
      <c r="F78" s="35"/>
      <c r="G78" s="27"/>
      <c r="H78" s="24"/>
      <c r="I78" s="12"/>
      <c r="J78" s="48"/>
      <c r="K78" s="53"/>
      <c r="L78" s="51"/>
      <c r="M78" s="52"/>
      <c r="N78" s="52"/>
      <c r="O78" s="51"/>
    </row>
    <row r="79" s="1" customFormat="1" ht="18" customHeight="1" spans="1:15">
      <c r="A79" s="34"/>
      <c r="B79" s="35"/>
      <c r="C79" s="36"/>
      <c r="D79" s="37"/>
      <c r="E79" s="38"/>
      <c r="F79" s="35"/>
      <c r="G79" s="27"/>
      <c r="H79" s="24"/>
      <c r="I79" s="12"/>
      <c r="J79" s="48"/>
      <c r="K79" s="53"/>
      <c r="L79" s="51"/>
      <c r="M79" s="52"/>
      <c r="N79" s="52"/>
      <c r="O79" s="51"/>
    </row>
    <row r="80" s="1" customFormat="1" ht="18" customHeight="1" spans="1:15">
      <c r="A80" s="34"/>
      <c r="B80" s="35"/>
      <c r="C80" s="36"/>
      <c r="D80" s="37"/>
      <c r="E80" s="38"/>
      <c r="F80" s="35"/>
      <c r="G80" s="27"/>
      <c r="H80" s="24"/>
      <c r="I80" s="12"/>
      <c r="J80" s="48"/>
      <c r="K80" s="53"/>
      <c r="L80" s="51"/>
      <c r="M80" s="52"/>
      <c r="N80" s="52"/>
      <c r="O80" s="51"/>
    </row>
    <row r="81" s="1" customFormat="1" ht="18" customHeight="1" spans="1:15">
      <c r="A81" s="34"/>
      <c r="B81" s="35"/>
      <c r="C81" s="36"/>
      <c r="D81" s="37"/>
      <c r="E81" s="38"/>
      <c r="F81" s="35"/>
      <c r="G81" s="27"/>
      <c r="H81" s="24"/>
      <c r="I81" s="12"/>
      <c r="J81" s="48"/>
      <c r="K81" s="53"/>
      <c r="L81" s="51"/>
      <c r="M81" s="52"/>
      <c r="N81" s="52"/>
      <c r="O81" s="51"/>
    </row>
    <row r="82" s="1" customFormat="1" ht="18" customHeight="1" spans="1:15">
      <c r="A82" s="34"/>
      <c r="B82" s="35"/>
      <c r="C82" s="36"/>
      <c r="D82" s="37"/>
      <c r="E82" s="38"/>
      <c r="F82" s="35"/>
      <c r="G82" s="27"/>
      <c r="H82" s="24"/>
      <c r="I82" s="12"/>
      <c r="J82" s="48"/>
      <c r="K82" s="53"/>
      <c r="L82" s="51"/>
      <c r="M82" s="52"/>
      <c r="N82" s="52"/>
      <c r="O82" s="51"/>
    </row>
    <row r="83" s="1" customFormat="1" ht="18" customHeight="1" spans="1:15">
      <c r="A83" s="34"/>
      <c r="B83" s="35">
        <f t="shared" ref="B83:B89" si="15">ROUND(G83/(1+E83),2)</f>
        <v>0</v>
      </c>
      <c r="C83" s="36"/>
      <c r="D83" s="37"/>
      <c r="E83" s="38"/>
      <c r="F83" s="35">
        <f t="shared" ref="F83:F89" si="16">ROUND(G83/(1+E83)*E83,2)</f>
        <v>0</v>
      </c>
      <c r="G83" s="27"/>
      <c r="H83" s="24"/>
      <c r="I83" s="12"/>
      <c r="J83" s="48"/>
      <c r="K83" s="53"/>
      <c r="L83" s="51"/>
      <c r="M83" s="52"/>
      <c r="N83" s="52"/>
      <c r="O83" s="51"/>
    </row>
    <row r="84" s="1" customFormat="1" ht="18" customHeight="1" spans="1:15">
      <c r="A84" s="34"/>
      <c r="B84" s="35">
        <f t="shared" si="15"/>
        <v>0</v>
      </c>
      <c r="C84" s="36"/>
      <c r="D84" s="37"/>
      <c r="E84" s="38"/>
      <c r="F84" s="35">
        <f t="shared" si="16"/>
        <v>0</v>
      </c>
      <c r="G84" s="27"/>
      <c r="H84" s="24">
        <v>44557</v>
      </c>
      <c r="I84" s="12">
        <v>350</v>
      </c>
      <c r="J84" s="48" t="s">
        <v>142</v>
      </c>
      <c r="K84" s="50" t="s">
        <v>143</v>
      </c>
      <c r="L84" s="51"/>
      <c r="M84" s="52"/>
      <c r="N84" s="52"/>
      <c r="O84" s="51"/>
    </row>
    <row r="85" s="1" customFormat="1" ht="18" customHeight="1" spans="1:15">
      <c r="A85" s="34"/>
      <c r="B85" s="35">
        <f t="shared" si="15"/>
        <v>0</v>
      </c>
      <c r="C85" s="36"/>
      <c r="D85" s="37"/>
      <c r="E85" s="38"/>
      <c r="F85" s="35">
        <f t="shared" si="16"/>
        <v>0</v>
      </c>
      <c r="G85" s="27"/>
      <c r="H85" s="24">
        <v>44557</v>
      </c>
      <c r="I85" s="12">
        <v>-132628.83</v>
      </c>
      <c r="J85" s="48" t="s">
        <v>144</v>
      </c>
      <c r="K85" s="53" t="s">
        <v>145</v>
      </c>
      <c r="L85" s="51"/>
      <c r="M85" s="52"/>
      <c r="N85" s="52"/>
      <c r="O85" s="51"/>
    </row>
    <row r="86" s="1" customFormat="1" ht="18" customHeight="1" spans="1:15">
      <c r="A86" s="34"/>
      <c r="B86" s="35">
        <f t="shared" si="15"/>
        <v>0</v>
      </c>
      <c r="C86" s="36"/>
      <c r="D86" s="37"/>
      <c r="E86" s="38"/>
      <c r="F86" s="35">
        <f t="shared" si="16"/>
        <v>0</v>
      </c>
      <c r="G86" s="27"/>
      <c r="H86" s="24">
        <v>44557</v>
      </c>
      <c r="I86" s="12">
        <v>42000</v>
      </c>
      <c r="J86" s="48" t="s">
        <v>142</v>
      </c>
      <c r="K86" s="50" t="s">
        <v>146</v>
      </c>
      <c r="L86" s="51"/>
      <c r="M86" s="52"/>
      <c r="N86" s="52"/>
      <c r="O86" s="51"/>
    </row>
    <row r="87" s="1" customFormat="1" ht="18" customHeight="1" spans="1:15">
      <c r="A87" s="34"/>
      <c r="B87" s="35">
        <f t="shared" si="15"/>
        <v>0</v>
      </c>
      <c r="C87" s="36"/>
      <c r="D87" s="37"/>
      <c r="E87" s="38"/>
      <c r="F87" s="35">
        <f t="shared" si="16"/>
        <v>0</v>
      </c>
      <c r="G87" s="27"/>
      <c r="H87" s="24">
        <v>44537</v>
      </c>
      <c r="I87" s="12">
        <v>400</v>
      </c>
      <c r="J87" s="48" t="s">
        <v>142</v>
      </c>
      <c r="K87" s="50" t="s">
        <v>147</v>
      </c>
      <c r="L87" s="51"/>
      <c r="M87" s="52"/>
      <c r="N87" s="52"/>
      <c r="O87" s="51"/>
    </row>
    <row r="88" s="1" customFormat="1" ht="18" customHeight="1" spans="1:15">
      <c r="A88" s="34"/>
      <c r="B88" s="35">
        <f t="shared" si="15"/>
        <v>0</v>
      </c>
      <c r="C88" s="36"/>
      <c r="D88" s="37"/>
      <c r="E88" s="38"/>
      <c r="F88" s="35">
        <f t="shared" si="16"/>
        <v>0</v>
      </c>
      <c r="G88" s="27"/>
      <c r="H88" s="24">
        <v>44537</v>
      </c>
      <c r="I88" s="12">
        <v>25000</v>
      </c>
      <c r="J88" s="48" t="s">
        <v>142</v>
      </c>
      <c r="K88" s="50" t="s">
        <v>148</v>
      </c>
      <c r="L88" s="51"/>
      <c r="M88" s="52"/>
      <c r="N88" s="52"/>
      <c r="O88" s="51"/>
    </row>
    <row r="89" s="1" customFormat="1" ht="18" customHeight="1" spans="1:15">
      <c r="A89" s="34"/>
      <c r="B89" s="35">
        <f t="shared" si="15"/>
        <v>0</v>
      </c>
      <c r="C89" s="36"/>
      <c r="D89" s="37"/>
      <c r="E89" s="39"/>
      <c r="F89" s="35">
        <f t="shared" si="16"/>
        <v>0</v>
      </c>
      <c r="G89" s="27"/>
      <c r="H89" s="24">
        <v>44488</v>
      </c>
      <c r="I89" s="12">
        <v>200</v>
      </c>
      <c r="J89" s="48" t="s">
        <v>142</v>
      </c>
      <c r="K89" s="50" t="s">
        <v>143</v>
      </c>
      <c r="L89" s="51"/>
      <c r="M89" s="52"/>
      <c r="N89" s="52"/>
      <c r="O89" s="51"/>
    </row>
    <row r="90" s="1" customFormat="1" ht="18" customHeight="1" spans="1:15">
      <c r="A90" s="34"/>
      <c r="B90" s="35">
        <f t="shared" ref="B89:B95" si="17">ROUND(G90/(1+E90),2)</f>
        <v>0</v>
      </c>
      <c r="C90" s="36"/>
      <c r="D90" s="37"/>
      <c r="E90" s="39"/>
      <c r="F90" s="35">
        <f t="shared" ref="F89:F95" si="18">ROUND(G90/(1+E90)*E90,2)</f>
        <v>0</v>
      </c>
      <c r="G90" s="27"/>
      <c r="H90" s="24">
        <v>44468</v>
      </c>
      <c r="I90" s="12">
        <v>400</v>
      </c>
      <c r="J90" s="48" t="s">
        <v>142</v>
      </c>
      <c r="K90" s="50" t="s">
        <v>143</v>
      </c>
      <c r="L90" s="51"/>
      <c r="M90" s="52"/>
      <c r="N90" s="52"/>
      <c r="O90" s="51"/>
    </row>
    <row r="91" s="1" customFormat="1" ht="18" customHeight="1" spans="1:15">
      <c r="A91" s="34"/>
      <c r="B91" s="35">
        <f t="shared" si="17"/>
        <v>0</v>
      </c>
      <c r="C91" s="36"/>
      <c r="D91" s="37"/>
      <c r="E91" s="39"/>
      <c r="F91" s="35">
        <f t="shared" si="18"/>
        <v>0</v>
      </c>
      <c r="G91" s="27"/>
      <c r="H91" s="24">
        <v>44468</v>
      </c>
      <c r="I91" s="12">
        <v>132628.83</v>
      </c>
      <c r="J91" s="48" t="s">
        <v>149</v>
      </c>
      <c r="K91" s="50" t="s">
        <v>145</v>
      </c>
      <c r="L91" s="51"/>
      <c r="M91" s="52"/>
      <c r="N91" s="52"/>
      <c r="O91" s="51"/>
    </row>
    <row r="92" s="1" customFormat="1" ht="18" customHeight="1" spans="1:15">
      <c r="A92" s="34"/>
      <c r="B92" s="35">
        <f t="shared" si="17"/>
        <v>0</v>
      </c>
      <c r="C92" s="36"/>
      <c r="D92" s="37"/>
      <c r="E92" s="39"/>
      <c r="F92" s="35">
        <f t="shared" si="18"/>
        <v>0</v>
      </c>
      <c r="G92" s="27"/>
      <c r="H92" s="24">
        <v>44468</v>
      </c>
      <c r="I92" s="12">
        <f>(I7+I8)*0.01</f>
        <v>27367.62</v>
      </c>
      <c r="J92" s="48" t="s">
        <v>142</v>
      </c>
      <c r="K92" s="50" t="s">
        <v>150</v>
      </c>
      <c r="L92" s="51"/>
      <c r="M92" s="52"/>
      <c r="N92" s="52"/>
      <c r="O92" s="51"/>
    </row>
    <row r="93" s="1" customFormat="1" ht="18" customHeight="1" spans="1:15">
      <c r="A93" s="34"/>
      <c r="B93" s="35">
        <f t="shared" si="17"/>
        <v>0</v>
      </c>
      <c r="C93" s="36"/>
      <c r="D93" s="37"/>
      <c r="E93" s="39"/>
      <c r="F93" s="35">
        <f t="shared" si="18"/>
        <v>0</v>
      </c>
      <c r="G93" s="27"/>
      <c r="H93" s="24">
        <v>44466</v>
      </c>
      <c r="I93" s="12">
        <v>850</v>
      </c>
      <c r="J93" s="48" t="s">
        <v>142</v>
      </c>
      <c r="K93" s="50" t="s">
        <v>143</v>
      </c>
      <c r="L93" s="51"/>
      <c r="M93" s="52"/>
      <c r="N93" s="52"/>
      <c r="O93" s="51"/>
    </row>
    <row r="94" s="1" customFormat="1" ht="18" customHeight="1" spans="1:15">
      <c r="A94" s="34"/>
      <c r="B94" s="35">
        <f t="shared" si="17"/>
        <v>54735.24</v>
      </c>
      <c r="C94" s="36"/>
      <c r="D94" s="37"/>
      <c r="E94" s="39"/>
      <c r="F94" s="35">
        <f t="shared" si="18"/>
        <v>0</v>
      </c>
      <c r="G94" s="27">
        <v>54735.24</v>
      </c>
      <c r="H94" s="24">
        <v>44466</v>
      </c>
      <c r="I94" s="12">
        <f>(I7+I8)*0.02</f>
        <v>54735.24</v>
      </c>
      <c r="J94" s="48" t="s">
        <v>142</v>
      </c>
      <c r="K94" s="50" t="s">
        <v>151</v>
      </c>
      <c r="L94" s="51"/>
      <c r="M94" s="52"/>
      <c r="N94" s="52"/>
      <c r="O94" s="51"/>
    </row>
    <row r="95" s="1" customFormat="1" ht="18" customHeight="1" spans="1:15">
      <c r="A95" s="34"/>
      <c r="B95" s="35">
        <f t="shared" si="17"/>
        <v>0</v>
      </c>
      <c r="C95" s="36"/>
      <c r="D95" s="37"/>
      <c r="E95" s="39"/>
      <c r="F95" s="35">
        <f t="shared" si="18"/>
        <v>0</v>
      </c>
      <c r="G95" s="27"/>
      <c r="H95" s="24">
        <v>44466</v>
      </c>
      <c r="I95" s="12">
        <v>58569.21</v>
      </c>
      <c r="J95" s="48" t="s">
        <v>142</v>
      </c>
      <c r="K95" s="50" t="s">
        <v>152</v>
      </c>
      <c r="L95" s="51"/>
      <c r="M95" s="52"/>
      <c r="N95" s="52"/>
      <c r="O95" s="51"/>
    </row>
    <row r="96" ht="18" customHeight="1" spans="1:15">
      <c r="A96" s="30" t="s">
        <v>25</v>
      </c>
      <c r="B96" s="29">
        <f>SUM(B14:B95)</f>
        <v>3075399.93</v>
      </c>
      <c r="C96" s="30"/>
      <c r="D96" s="59"/>
      <c r="E96" s="59"/>
      <c r="F96" s="31">
        <f>SUM(F14:F95)</f>
        <v>348297.53</v>
      </c>
      <c r="G96" s="60">
        <f>SUM(G14:G95)</f>
        <v>3423697.46</v>
      </c>
      <c r="H96" s="61"/>
      <c r="I96" s="30">
        <f>SUM(I14:I95)</f>
        <v>2524938.32</v>
      </c>
      <c r="J96" s="76"/>
      <c r="K96" s="59"/>
      <c r="L96" s="32"/>
      <c r="M96" s="48"/>
      <c r="N96" s="48"/>
      <c r="O96" s="32"/>
    </row>
    <row r="97" ht="18" customHeight="1" spans="1:14">
      <c r="A97" s="62" t="s">
        <v>153</v>
      </c>
      <c r="B97" s="62">
        <f>B11*0.96</f>
        <v>2410359.19266055</v>
      </c>
      <c r="C97" s="62"/>
      <c r="D97" s="63"/>
      <c r="E97" s="63"/>
      <c r="F97" s="64"/>
      <c r="G97" s="64">
        <f>G11-G96</f>
        <v>-686935.46</v>
      </c>
      <c r="H97" s="23" t="s">
        <v>154</v>
      </c>
      <c r="I97" s="30">
        <f>I11-I96</f>
        <v>211823.68</v>
      </c>
      <c r="J97" s="6"/>
      <c r="K97" s="77"/>
      <c r="M97" s="65"/>
      <c r="N97" s="65"/>
    </row>
    <row r="98" ht="18" customHeight="1" spans="1:14">
      <c r="A98" s="62" t="s">
        <v>155</v>
      </c>
      <c r="B98" s="62">
        <f>B97-B96</f>
        <v>-665040.73733945</v>
      </c>
      <c r="C98" s="62"/>
      <c r="D98" s="63"/>
      <c r="E98" s="63"/>
      <c r="F98" s="64"/>
      <c r="G98" s="64"/>
      <c r="H98" s="65"/>
      <c r="I98" s="62"/>
      <c r="J98" s="6"/>
      <c r="K98" s="77"/>
      <c r="M98" s="65"/>
      <c r="N98" s="65"/>
    </row>
    <row r="99" ht="18" customHeight="1" spans="1:3">
      <c r="A99" s="2" t="s">
        <v>156</v>
      </c>
      <c r="B99" s="3">
        <f>B98*0.25</f>
        <v>-166260.184334863</v>
      </c>
      <c r="C99" s="2"/>
    </row>
    <row r="100" ht="18" customHeight="1" spans="1:7">
      <c r="A100" s="23" t="s">
        <v>157</v>
      </c>
      <c r="B100" s="22" t="s">
        <v>158</v>
      </c>
      <c r="C100" s="32"/>
      <c r="D100" s="23" t="s">
        <v>157</v>
      </c>
      <c r="E100" s="21" t="s">
        <v>18</v>
      </c>
      <c r="F100" s="22" t="s">
        <v>158</v>
      </c>
      <c r="G100" s="66" t="s">
        <v>159</v>
      </c>
    </row>
    <row r="101" ht="18" customHeight="1" spans="1:7">
      <c r="A101" s="32" t="s">
        <v>160</v>
      </c>
      <c r="B101" s="18">
        <f>(B97-B96)*0.25</f>
        <v>-166260.184334863</v>
      </c>
      <c r="C101" s="32"/>
      <c r="D101" s="28" t="s">
        <v>161</v>
      </c>
      <c r="E101" s="23" t="s">
        <v>162</v>
      </c>
      <c r="F101" s="31">
        <f>F11-F96</f>
        <v>-172542.172201835</v>
      </c>
      <c r="G101" s="67">
        <f>D7</f>
        <v>50215.8165137615</v>
      </c>
    </row>
    <row r="102" ht="18" customHeight="1" spans="1:7">
      <c r="A102" s="32" t="s">
        <v>163</v>
      </c>
      <c r="B102" s="68">
        <f>G7*0.0003</f>
        <v>821.0286</v>
      </c>
      <c r="C102" s="32"/>
      <c r="D102" s="69" t="s">
        <v>164</v>
      </c>
      <c r="E102" s="14">
        <v>0.07</v>
      </c>
      <c r="F102" s="12">
        <f>F101*E102</f>
        <v>-12077.9520541285</v>
      </c>
      <c r="G102" s="70">
        <f>G101*E102</f>
        <v>3515.1071559633</v>
      </c>
    </row>
    <row r="103" ht="18" customHeight="1" spans="1:7">
      <c r="A103" s="32" t="s">
        <v>165</v>
      </c>
      <c r="B103" s="68">
        <f>B11*0.0006</f>
        <v>1506.47449541284</v>
      </c>
      <c r="C103" s="32"/>
      <c r="D103" s="69" t="s">
        <v>166</v>
      </c>
      <c r="E103" s="14">
        <v>0.03</v>
      </c>
      <c r="F103" s="12">
        <f>F101*E103</f>
        <v>-5176.26516605505</v>
      </c>
      <c r="G103" s="70">
        <f>G101*E103</f>
        <v>1506.47449541284</v>
      </c>
    </row>
    <row r="104" ht="18" customHeight="1" spans="1:7">
      <c r="A104" s="32"/>
      <c r="B104" s="66"/>
      <c r="C104" s="32"/>
      <c r="D104" s="69" t="s">
        <v>167</v>
      </c>
      <c r="E104" s="14">
        <v>0.02</v>
      </c>
      <c r="F104" s="12">
        <f>F101*E104</f>
        <v>-3450.8434440367</v>
      </c>
      <c r="G104" s="70">
        <f>G101*E104</f>
        <v>1004.31633027523</v>
      </c>
    </row>
    <row r="105" ht="18" customHeight="1" spans="1:7">
      <c r="A105" s="28" t="s">
        <v>168</v>
      </c>
      <c r="B105" s="71">
        <f>SUM(B101:B104)</f>
        <v>-163932.68123945</v>
      </c>
      <c r="C105" s="32"/>
      <c r="D105" s="33" t="s">
        <v>168</v>
      </c>
      <c r="E105" s="28"/>
      <c r="F105" s="31">
        <f>SUM(F101:F104)</f>
        <v>-193247.232866055</v>
      </c>
      <c r="G105" s="67">
        <f>SUM(G101:G104)</f>
        <v>56241.7144954129</v>
      </c>
    </row>
    <row r="106" ht="18" customHeight="1" spans="3:7">
      <c r="C106" s="2"/>
      <c r="D106" s="12" t="s">
        <v>163</v>
      </c>
      <c r="E106" s="53">
        <v>0.0003</v>
      </c>
      <c r="F106" s="12">
        <f>G11*E106</f>
        <v>821.0286</v>
      </c>
      <c r="G106" s="70">
        <f>G7*E106</f>
        <v>821.0286</v>
      </c>
    </row>
    <row r="107" ht="18" customHeight="1" spans="3:7">
      <c r="C107" s="2"/>
      <c r="D107" s="12" t="s">
        <v>165</v>
      </c>
      <c r="E107" s="53">
        <v>0.0006</v>
      </c>
      <c r="F107" s="12">
        <f>B11*E107</f>
        <v>1506.47449541284</v>
      </c>
      <c r="G107" s="70">
        <f>B7*E107</f>
        <v>1506.47449541284</v>
      </c>
    </row>
    <row r="108" ht="18" customHeight="1" spans="3:7">
      <c r="C108" s="2"/>
      <c r="D108" s="21" t="s">
        <v>168</v>
      </c>
      <c r="E108" s="59"/>
      <c r="F108" s="30">
        <f>F107+F106</f>
        <v>2327.50309541284</v>
      </c>
      <c r="G108" s="72">
        <f>SUM(G106:G107)</f>
        <v>2327.50309541284</v>
      </c>
    </row>
    <row r="109" ht="18" customHeight="1" spans="3:7">
      <c r="C109" s="2"/>
      <c r="D109" s="21" t="s">
        <v>25</v>
      </c>
      <c r="E109" s="30"/>
      <c r="F109" s="30">
        <f>F105+F108</f>
        <v>-190919.729770642</v>
      </c>
      <c r="G109" s="72">
        <v>58569.21</v>
      </c>
    </row>
    <row r="110" ht="18" customHeight="1" spans="3:7">
      <c r="C110" s="2"/>
      <c r="D110" s="30" t="s">
        <v>160</v>
      </c>
      <c r="E110" s="59">
        <v>0.01</v>
      </c>
      <c r="F110" s="30">
        <f>G11*E110</f>
        <v>27367.62</v>
      </c>
      <c r="G110" s="72">
        <f>G7*E110</f>
        <v>27367.62</v>
      </c>
    </row>
    <row r="111" ht="18" customHeight="1" spans="3:3">
      <c r="C111" s="2"/>
    </row>
    <row r="112" ht="18" customHeight="1" spans="3:3">
      <c r="C112" s="2"/>
    </row>
    <row r="113" ht="18" customHeight="1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</sheetData>
  <autoFilter ref="A13:O11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2021-12-27T05:36:23Z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3BECFAC4821C42958C10FBDE76A68BEF</vt:lpwstr>
  </property>
</Properties>
</file>