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 activeTab="1"/>
  </bookViews>
  <sheets>
    <sheet name="Sheet1" sheetId="1" r:id="rId1"/>
    <sheet name="结算表（孙）" sheetId="2" r:id="rId2"/>
  </sheets>
  <definedNames>
    <definedName name="_xlnm._FilterDatabase" localSheetId="0" hidden="1">Sheet1!$A$14:$O$60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51" authorId="0">
      <text>
        <r>
          <rPr>
            <sz val="9"/>
            <color indexed="81"/>
            <rFont val="宋体"/>
            <charset val="134"/>
          </rPr>
          <t xml:space="preserve">cw05:
当地未缴，本地代扣代缴，含税价*0.0003。</t>
        </r>
      </text>
    </comment>
    <comment ref="H51" authorId="1">
      <text>
        <r>
          <rPr>
            <sz val="9"/>
            <color indexed="81"/>
            <rFont val="宋体"/>
            <charset val="134"/>
          </rPr>
          <t xml:space="preserve">qyr:
异地未预缴</t>
        </r>
      </text>
    </comment>
    <comment ref="A52" authorId="0">
      <text>
        <r>
          <rPr>
            <sz val="9"/>
            <color indexed="81"/>
            <rFont val="宋体"/>
            <charset val="134"/>
          </rPr>
          <t xml:space="preserve">cw05:
当地未缴，本地代扣代缴，不含税销售额*0.0006</t>
        </r>
      </text>
    </comment>
    <comment ref="G55" authorId="1">
      <text>
        <r>
          <rPr>
            <sz val="9"/>
            <color indexed="81"/>
            <rFont val="宋体"/>
            <charset val="134"/>
          </rPr>
          <t xml:space="preserve">qyr:
异地已预缴120</t>
        </r>
      </text>
    </comment>
    <comment ref="H55" authorId="1">
      <text>
        <r>
          <rPr>
            <sz val="9"/>
            <color indexed="81"/>
            <rFont val="宋体"/>
            <charset val="134"/>
          </rPr>
          <t xml:space="preserve">qyr:
印花税异地已预缴45</t>
        </r>
      </text>
    </comment>
    <comment ref="I55" authorId="1">
      <text>
        <r>
          <rPr>
            <sz val="9"/>
            <color indexed="81"/>
            <rFont val="宋体"/>
            <charset val="134"/>
          </rPr>
          <t xml:space="preserve">qyr:
异地未预缴</t>
        </r>
      </text>
    </comment>
    <comment ref="G56" authorId="1">
      <text>
        <r>
          <rPr>
            <sz val="9"/>
            <color indexed="81"/>
            <rFont val="宋体"/>
            <charset val="134"/>
          </rPr>
          <t xml:space="preserve">qyr:
异地未预缴</t>
        </r>
      </text>
    </comment>
    <comment ref="H56" authorId="1">
      <text>
        <r>
          <rPr>
            <sz val="9"/>
            <color indexed="81"/>
            <rFont val="宋体"/>
            <charset val="134"/>
          </rPr>
          <t xml:space="preserve">qyr:
异地未预缴</t>
        </r>
      </text>
    </comment>
    <comment ref="I56" authorId="1">
      <text>
        <r>
          <rPr>
            <sz val="9"/>
            <color indexed="81"/>
            <rFont val="宋体"/>
            <charset val="134"/>
          </rPr>
          <t xml:space="preserve">qyr:
异地未预缴</t>
        </r>
      </text>
    </comment>
  </commentList>
</comments>
</file>

<file path=xl/comments2.xml><?xml version="1.0" encoding="utf-8"?>
<comments xmlns="http://schemas.openxmlformats.org/spreadsheetml/2006/main">
  <authors>
    <author>cw05</author>
    <author>qyr</author>
  </authors>
  <commentList>
    <comment ref="A51" authorId="0">
      <text>
        <r>
          <rPr>
            <sz val="9"/>
            <color indexed="81"/>
            <rFont val="宋体"/>
            <charset val="134"/>
          </rPr>
          <t xml:space="preserve">cw05:
当地未缴，本地代扣代缴，含税价*0.0003。</t>
        </r>
      </text>
    </comment>
    <comment ref="H51" authorId="1">
      <text>
        <r>
          <rPr>
            <sz val="9"/>
            <color indexed="81"/>
            <rFont val="宋体"/>
            <charset val="134"/>
          </rPr>
          <t xml:space="preserve">qyr:
异地未预缴</t>
        </r>
      </text>
    </comment>
    <comment ref="A52" authorId="0">
      <text>
        <r>
          <rPr>
            <sz val="9"/>
            <color indexed="81"/>
            <rFont val="宋体"/>
            <charset val="134"/>
          </rPr>
          <t xml:space="preserve">cw05:
当地未缴，本地代扣代缴，不含税销售额*0.0006</t>
        </r>
      </text>
    </comment>
    <comment ref="G55" authorId="1">
      <text>
        <r>
          <rPr>
            <sz val="9"/>
            <color indexed="81"/>
            <rFont val="宋体"/>
            <charset val="134"/>
          </rPr>
          <t xml:space="preserve">qyr:
异地已预缴120</t>
        </r>
      </text>
    </comment>
    <comment ref="H55" authorId="1">
      <text>
        <r>
          <rPr>
            <sz val="9"/>
            <color indexed="81"/>
            <rFont val="宋体"/>
            <charset val="134"/>
          </rPr>
          <t xml:space="preserve">qyr:
印花税异地已预缴45</t>
        </r>
      </text>
    </comment>
    <comment ref="I55" authorId="1">
      <text>
        <r>
          <rPr>
            <sz val="9"/>
            <color indexed="81"/>
            <rFont val="宋体"/>
            <charset val="134"/>
          </rPr>
          <t xml:space="preserve">qyr:
异地未预缴</t>
        </r>
      </text>
    </comment>
    <comment ref="G56" authorId="1">
      <text>
        <r>
          <rPr>
            <sz val="9"/>
            <color indexed="81"/>
            <rFont val="宋体"/>
            <charset val="134"/>
          </rPr>
          <t xml:space="preserve">qyr:
异地未预缴</t>
        </r>
      </text>
    </comment>
    <comment ref="H56" authorId="1">
      <text>
        <r>
          <rPr>
            <sz val="9"/>
            <color indexed="81"/>
            <rFont val="宋体"/>
            <charset val="134"/>
          </rPr>
          <t xml:space="preserve">qyr:
异地未预缴</t>
        </r>
      </text>
    </comment>
    <comment ref="I56" authorId="1">
      <text>
        <r>
          <rPr>
            <sz val="9"/>
            <color indexed="81"/>
            <rFont val="宋体"/>
            <charset val="134"/>
          </rPr>
          <t xml:space="preserve">qyr:
异地未预缴</t>
        </r>
      </text>
    </comment>
  </commentList>
</comments>
</file>

<file path=xl/sharedStrings.xml><?xml version="1.0" encoding="utf-8"?>
<sst xmlns="http://schemas.openxmlformats.org/spreadsheetml/2006/main" count="86">
  <si>
    <t>C12051 京沪高速公路莱芜至临汾（鲁苏界）段改扩建工程</t>
  </si>
  <si>
    <t>中标日期</t>
  </si>
  <si>
    <t>中标价</t>
  </si>
  <si>
    <t>负责人</t>
  </si>
  <si>
    <t>孔令双15964510181</t>
  </si>
  <si>
    <t>建设单位</t>
  </si>
  <si>
    <t>中建八局第一建设有限公司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</si>
  <si>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</si>
  <si>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</si>
  <si>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</si>
  <si>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</si>
  <si>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</si>
  <si>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</si>
  <si>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</si>
  <si>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</si>
  <si>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</si>
  <si>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</si>
  <si>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</si>
  <si>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</si>
  <si>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</si>
  <si>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</si>
  <si>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</si>
  <si>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</si>
  <si>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</si>
  <si>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</si>
  <si>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</si>
  <si>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</si>
  <si>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</si>
  <si>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</si>
  <si>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</si>
  <si>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</si>
  <si>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</si>
  <si>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</si>
  <si>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</si>
  <si>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</si>
  <si>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</si>
  <si>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</si>
  <si>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4份</t>
  </si>
  <si>
    <t>专</t>
  </si>
  <si>
    <t>山东力达防水防火科技有限公司</t>
  </si>
  <si>
    <t>工程款</t>
  </si>
  <si>
    <t>12051-2022-001#（2020-337号）-491449.39</t>
  </si>
  <si>
    <t>1份</t>
  </si>
  <si>
    <t>普代</t>
  </si>
  <si>
    <t>杨小松</t>
  </si>
  <si>
    <t>12051-2022-002#（2022-171号）-361780</t>
  </si>
  <si>
    <t>徽行</t>
  </si>
  <si>
    <t>扣</t>
  </si>
  <si>
    <t>企税1%（2022.1月）</t>
  </si>
  <si>
    <t>退</t>
  </si>
  <si>
    <t>成本已提供够</t>
  </si>
  <si>
    <t>转账手续费</t>
  </si>
  <si>
    <t>外经证（已于2022.9.26核销）</t>
  </si>
  <si>
    <t>管理费2%</t>
  </si>
  <si>
    <t>滞纳金</t>
  </si>
  <si>
    <t>2022年开票税金</t>
  </si>
  <si>
    <t xml:space="preserve">  </t>
  </si>
  <si>
    <t>2次</t>
  </si>
  <si>
    <t>暂扣</t>
  </si>
  <si>
    <t>成本不够（394346.51*25%）</t>
  </si>
  <si>
    <t>企税1%</t>
  </si>
  <si>
    <t>水利基金</t>
  </si>
  <si>
    <t>1次</t>
  </si>
  <si>
    <t>外经证</t>
  </si>
  <si>
    <t>应提供成本</t>
  </si>
  <si>
    <t>可支付金额</t>
  </si>
  <si>
    <t>尚需提供成本</t>
  </si>
  <si>
    <t>公司代缴税金：</t>
  </si>
  <si>
    <t>税种</t>
  </si>
  <si>
    <t>税额</t>
  </si>
  <si>
    <t>2020年9月开票税金</t>
  </si>
  <si>
    <t>2021年2月开票税金</t>
  </si>
  <si>
    <t>2022年1月开票税金</t>
  </si>
  <si>
    <t>2022年9月开票税金</t>
  </si>
  <si>
    <t>企业所得税</t>
  </si>
  <si>
    <t>增值税</t>
  </si>
  <si>
    <t>差额</t>
  </si>
  <si>
    <t>印花税</t>
  </si>
  <si>
    <t>城市维护建设税</t>
  </si>
  <si>
    <t>教育费附加</t>
  </si>
  <si>
    <t>地方教育费附加</t>
  </si>
  <si>
    <t>小计</t>
  </si>
  <si>
    <t>核实下</t>
  </si>
  <si>
    <t>按中标价1%企税扣剩余部分</t>
  </si>
  <si>
    <t>支付表没录</t>
  </si>
  <si>
    <t>按中标价2%管理费扣剩余部分</t>
  </si>
</sst>
</file>

<file path=xl/styles.xml><?xml version="1.0" encoding="utf-8"?>
<styleSheet xmlns="http://schemas.openxmlformats.org/spreadsheetml/2006/main">
  <numFmts count="9">
    <numFmt numFmtId="176" formatCode="yy/m/d;@"/>
    <numFmt numFmtId="177" formatCode="#,##0.00_ 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_ "/>
    <numFmt numFmtId="43" formatCode="_ * #,##0.00_ ;_ * \-#,##0.00_ ;_ * &quot;-&quot;??_ ;_ @_ "/>
    <numFmt numFmtId="180" formatCode="yyyy&quot;年&quot;m&quot;月&quot;;@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7" fontId="4" fillId="0" borderId="0" xfId="0" applyNumberFormat="1" applyFont="1"/>
    <xf numFmtId="177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8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left" vertical="center" wrapText="1"/>
    </xf>
    <xf numFmtId="178" fontId="2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9" fontId="1" fillId="0" borderId="2" xfId="11" applyNumberFormat="1" applyFont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NumberFormat="1" applyFont="1" applyFill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8" fontId="6" fillId="3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0" fontId="6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1" fillId="0" borderId="4" xfId="0" applyNumberFormat="1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0" fontId="6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vertical="center" wrapText="1"/>
    </xf>
    <xf numFmtId="9" fontId="2" fillId="6" borderId="2" xfId="11" applyNumberFormat="1" applyFont="1" applyFill="1" applyBorder="1" applyAlignment="1">
      <alignment horizontal="center" vertical="center"/>
    </xf>
    <xf numFmtId="9" fontId="2" fillId="6" borderId="2" xfId="1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78"/>
  <sheetViews>
    <sheetView topLeftCell="A11" workbookViewId="0">
      <selection activeCell="K9" sqref="K9"/>
    </sheetView>
  </sheetViews>
  <sheetFormatPr defaultColWidth="9" defaultRowHeight="11.25"/>
  <cols>
    <col min="1" max="1" width="10.775" style="6" customWidth="1"/>
    <col min="2" max="2" width="13.1083333333333" style="4" customWidth="1"/>
    <col min="3" max="3" width="6" style="5" customWidth="1"/>
    <col min="4" max="4" width="13.3333333333333" style="5" customWidth="1"/>
    <col min="5" max="5" width="6" style="5" customWidth="1"/>
    <col min="6" max="6" width="13.1083333333333" style="4" customWidth="1"/>
    <col min="7" max="7" width="14.1083333333333" style="4" customWidth="1"/>
    <col min="8" max="8" width="9.66666666666667" style="5" customWidth="1"/>
    <col min="9" max="9" width="13.8833333333333" style="4" customWidth="1"/>
    <col min="10" max="10" width="7.88333333333333" style="7" customWidth="1"/>
    <col min="11" max="11" width="34" style="2" customWidth="1"/>
    <col min="12" max="12" width="11.625" style="2" customWidth="1"/>
    <col min="13" max="13" width="32.875" style="1" customWidth="1"/>
    <col min="14" max="14" width="5.66666666666667" style="2" customWidth="1"/>
    <col min="15" max="16384" width="9" style="2"/>
  </cols>
  <sheetData>
    <row r="1" ht="21.9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18" customHeight="1" spans="1:12">
      <c r="A2" s="10" t="s">
        <v>1</v>
      </c>
      <c r="B2" s="11">
        <v>43810</v>
      </c>
      <c r="C2" s="12" t="s">
        <v>2</v>
      </c>
      <c r="D2" s="13">
        <v>1045637</v>
      </c>
      <c r="E2" s="14" t="s">
        <v>3</v>
      </c>
      <c r="F2" s="15" t="s">
        <v>4</v>
      </c>
      <c r="G2" s="16" t="s">
        <v>5</v>
      </c>
      <c r="H2" s="17" t="s">
        <v>6</v>
      </c>
      <c r="I2" s="57"/>
      <c r="J2" s="58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>
        <v>981070.52</v>
      </c>
      <c r="H3" s="19"/>
      <c r="I3" s="59"/>
      <c r="J3" s="19"/>
      <c r="K3" s="19"/>
      <c r="L3" s="19"/>
    </row>
    <row r="4" ht="18" customHeight="1" spans="1:12">
      <c r="A4" s="6" t="s">
        <v>9</v>
      </c>
      <c r="H4" s="19"/>
      <c r="I4" s="59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60" t="s">
        <v>20</v>
      </c>
    </row>
    <row r="7" ht="18" customHeight="1" spans="1:10">
      <c r="A7" s="23">
        <v>44098</v>
      </c>
      <c r="B7" s="12">
        <f>G7/(1+C7+E7)</f>
        <v>366972.47706422</v>
      </c>
      <c r="C7" s="24">
        <v>0.02</v>
      </c>
      <c r="D7" s="25">
        <f>G7/(1+E7+C7)*C7</f>
        <v>7339.4495412844</v>
      </c>
      <c r="E7" s="26">
        <v>0.07</v>
      </c>
      <c r="F7" s="12">
        <f>G7/(1+C7+E7)*E7</f>
        <v>25688.0733944954</v>
      </c>
      <c r="G7" s="27">
        <v>400000</v>
      </c>
      <c r="H7" s="23">
        <v>44104</v>
      </c>
      <c r="I7" s="12">
        <v>400000</v>
      </c>
      <c r="J7" s="61" t="s">
        <v>21</v>
      </c>
    </row>
    <row r="8" ht="18" customHeight="1" spans="1:10">
      <c r="A8" s="23">
        <v>44231</v>
      </c>
      <c r="B8" s="12">
        <f t="shared" ref="B8:B10" si="0">G8/(1+C8+E8)</f>
        <v>137614.678899083</v>
      </c>
      <c r="C8" s="24">
        <v>0.02</v>
      </c>
      <c r="D8" s="25">
        <f t="shared" ref="D8:D10" si="1">G8/(1+E8+C8)*C8</f>
        <v>2752.29357798165</v>
      </c>
      <c r="E8" s="26">
        <v>0.07</v>
      </c>
      <c r="F8" s="12">
        <f t="shared" ref="F8:F10" si="2">G8/(1+C8+E8)*E8</f>
        <v>9633.02752293578</v>
      </c>
      <c r="G8" s="27">
        <v>150000</v>
      </c>
      <c r="H8" s="23">
        <v>44237</v>
      </c>
      <c r="I8" s="12">
        <v>150000</v>
      </c>
      <c r="J8" s="61" t="s">
        <v>21</v>
      </c>
    </row>
    <row r="9" ht="18" customHeight="1" spans="1:10">
      <c r="A9" s="23">
        <v>44586</v>
      </c>
      <c r="B9" s="12">
        <f t="shared" si="0"/>
        <v>395477.541284404</v>
      </c>
      <c r="C9" s="24">
        <v>0.02</v>
      </c>
      <c r="D9" s="25">
        <f t="shared" si="1"/>
        <v>7909.55082568807</v>
      </c>
      <c r="E9" s="26">
        <v>0.07</v>
      </c>
      <c r="F9" s="12">
        <f t="shared" si="2"/>
        <v>27683.4278899083</v>
      </c>
      <c r="G9" s="27">
        <v>431070.52</v>
      </c>
      <c r="H9" s="23">
        <v>44591</v>
      </c>
      <c r="I9" s="12">
        <v>200000</v>
      </c>
      <c r="J9" s="61" t="s">
        <v>22</v>
      </c>
    </row>
    <row r="10" ht="18" customHeight="1" spans="1:10">
      <c r="A10" s="23"/>
      <c r="B10" s="12"/>
      <c r="C10" s="26"/>
      <c r="D10" s="25"/>
      <c r="E10" s="26"/>
      <c r="F10" s="12"/>
      <c r="G10" s="27"/>
      <c r="H10" s="23">
        <v>44946</v>
      </c>
      <c r="I10" s="12">
        <v>150000</v>
      </c>
      <c r="J10" s="61" t="s">
        <v>21</v>
      </c>
    </row>
    <row r="11" ht="18" customHeight="1" spans="1:10">
      <c r="A11" s="23"/>
      <c r="B11" s="12"/>
      <c r="C11" s="24"/>
      <c r="D11" s="25"/>
      <c r="E11" s="24"/>
      <c r="F11" s="12"/>
      <c r="G11" s="27"/>
      <c r="H11" s="23"/>
      <c r="I11" s="12"/>
      <c r="J11" s="61"/>
    </row>
    <row r="12" ht="18" customHeight="1" spans="1:10">
      <c r="A12" s="28" t="s">
        <v>23</v>
      </c>
      <c r="B12" s="29">
        <f t="shared" ref="B12:G12" si="3">SUM(B7:B9)</f>
        <v>900064.697247706</v>
      </c>
      <c r="C12" s="30"/>
      <c r="D12" s="30">
        <f t="shared" si="3"/>
        <v>18001.2939449541</v>
      </c>
      <c r="E12" s="30"/>
      <c r="F12" s="31">
        <f t="shared" si="3"/>
        <v>63004.5288073394</v>
      </c>
      <c r="G12" s="30">
        <f t="shared" si="3"/>
        <v>981070.52</v>
      </c>
      <c r="H12" s="32"/>
      <c r="I12" s="30">
        <f>SUM(I7:I11)</f>
        <v>900000</v>
      </c>
      <c r="J12" s="62"/>
    </row>
    <row r="13" ht="18" customHeight="1" spans="1:12">
      <c r="A13" s="6" t="s">
        <v>24</v>
      </c>
      <c r="J13" s="5"/>
      <c r="K13" s="5"/>
      <c r="L13" s="7"/>
    </row>
    <row r="14" ht="18" customHeight="1" spans="1:15">
      <c r="A14" s="33" t="s">
        <v>25</v>
      </c>
      <c r="B14" s="21" t="s">
        <v>26</v>
      </c>
      <c r="C14" s="20" t="s">
        <v>27</v>
      </c>
      <c r="D14" s="20" t="s">
        <v>28</v>
      </c>
      <c r="E14" s="20" t="s">
        <v>16</v>
      </c>
      <c r="F14" s="21" t="s">
        <v>29</v>
      </c>
      <c r="G14" s="21" t="s">
        <v>14</v>
      </c>
      <c r="H14" s="20" t="s">
        <v>30</v>
      </c>
      <c r="I14" s="21" t="s">
        <v>31</v>
      </c>
      <c r="J14" s="20" t="s">
        <v>20</v>
      </c>
      <c r="K14" s="63" t="s">
        <v>32</v>
      </c>
      <c r="L14" s="22" t="s">
        <v>33</v>
      </c>
      <c r="M14" s="64" t="s">
        <v>34</v>
      </c>
      <c r="N14" s="22" t="s">
        <v>35</v>
      </c>
      <c r="O14" s="22" t="s">
        <v>36</v>
      </c>
    </row>
    <row r="15" s="3" customFormat="1" ht="18" customHeight="1" spans="1:15">
      <c r="A15" s="34">
        <v>44075</v>
      </c>
      <c r="B15" s="35">
        <f t="shared" ref="B15:B20" si="4">ROUND(G15/(1+E15),2)</f>
        <v>366972.48</v>
      </c>
      <c r="C15" s="36" t="s">
        <v>37</v>
      </c>
      <c r="D15" s="37" t="s">
        <v>38</v>
      </c>
      <c r="E15" s="84">
        <v>0.09</v>
      </c>
      <c r="F15" s="35">
        <f t="shared" ref="F15:F20" si="5">ROUND(G15/(1+E15)*E15,2)</f>
        <v>33027.52</v>
      </c>
      <c r="G15" s="27">
        <v>400000</v>
      </c>
      <c r="H15" s="23"/>
      <c r="I15" s="12"/>
      <c r="J15" s="65"/>
      <c r="K15" s="66" t="s">
        <v>39</v>
      </c>
      <c r="L15" s="67" t="s">
        <v>40</v>
      </c>
      <c r="M15" s="68" t="s">
        <v>41</v>
      </c>
      <c r="N15" s="67"/>
      <c r="O15" s="66"/>
    </row>
    <row r="16" s="3" customFormat="1" ht="18" customHeight="1" spans="1:15">
      <c r="A16" s="34"/>
      <c r="B16" s="35">
        <f t="shared" si="4"/>
        <v>0</v>
      </c>
      <c r="C16" s="36"/>
      <c r="D16" s="37"/>
      <c r="E16" s="85"/>
      <c r="F16" s="35">
        <f t="shared" si="5"/>
        <v>0</v>
      </c>
      <c r="G16" s="27"/>
      <c r="H16" s="40">
        <v>44118</v>
      </c>
      <c r="I16" s="35">
        <v>378959.64</v>
      </c>
      <c r="J16" s="67"/>
      <c r="K16" s="66" t="s">
        <v>39</v>
      </c>
      <c r="L16" s="67"/>
      <c r="M16" s="68"/>
      <c r="N16" s="67"/>
      <c r="O16" s="66"/>
    </row>
    <row r="17" s="3" customFormat="1" ht="18" customHeight="1" spans="1:15">
      <c r="A17" s="34">
        <v>44228</v>
      </c>
      <c r="B17" s="35">
        <f t="shared" si="4"/>
        <v>91743.12</v>
      </c>
      <c r="C17" s="36" t="s">
        <v>42</v>
      </c>
      <c r="D17" s="37" t="s">
        <v>38</v>
      </c>
      <c r="E17" s="84">
        <v>0.09</v>
      </c>
      <c r="F17" s="35">
        <f t="shared" si="5"/>
        <v>8256.88</v>
      </c>
      <c r="G17" s="27">
        <v>100000</v>
      </c>
      <c r="H17" s="23"/>
      <c r="I17" s="12"/>
      <c r="J17" s="65"/>
      <c r="K17" s="66" t="s">
        <v>39</v>
      </c>
      <c r="L17" s="67" t="s">
        <v>40</v>
      </c>
      <c r="M17" s="68"/>
      <c r="N17" s="67"/>
      <c r="O17" s="66"/>
    </row>
    <row r="18" s="3" customFormat="1" ht="18" customHeight="1" spans="1:15">
      <c r="A18" s="34"/>
      <c r="B18" s="35">
        <f t="shared" si="4"/>
        <v>0</v>
      </c>
      <c r="C18" s="36"/>
      <c r="D18" s="37"/>
      <c r="E18" s="85"/>
      <c r="F18" s="35">
        <f t="shared" si="5"/>
        <v>0</v>
      </c>
      <c r="G18" s="27"/>
      <c r="H18" s="23">
        <v>44256</v>
      </c>
      <c r="I18" s="12">
        <f>G15+G17-I16</f>
        <v>121040.36</v>
      </c>
      <c r="J18" s="65" t="s">
        <v>21</v>
      </c>
      <c r="K18" s="32" t="s">
        <v>39</v>
      </c>
      <c r="L18" s="67" t="s">
        <v>40</v>
      </c>
      <c r="M18" s="68"/>
      <c r="N18" s="67"/>
      <c r="O18" s="66"/>
    </row>
    <row r="19" s="3" customFormat="1" ht="18" customHeight="1" spans="1:15">
      <c r="A19" s="34">
        <v>44621</v>
      </c>
      <c r="B19" s="35">
        <f t="shared" si="4"/>
        <v>361780</v>
      </c>
      <c r="C19" s="36">
        <v>1</v>
      </c>
      <c r="D19" s="37" t="s">
        <v>43</v>
      </c>
      <c r="E19" s="85"/>
      <c r="F19" s="35">
        <f t="shared" si="5"/>
        <v>0</v>
      </c>
      <c r="G19" s="27">
        <v>361780</v>
      </c>
      <c r="H19" s="23"/>
      <c r="I19" s="12"/>
      <c r="J19" s="65"/>
      <c r="K19" s="32" t="s">
        <v>44</v>
      </c>
      <c r="L19" s="67" t="s">
        <v>40</v>
      </c>
      <c r="M19" s="68" t="s">
        <v>45</v>
      </c>
      <c r="N19" s="67"/>
      <c r="O19" s="66"/>
    </row>
    <row r="20" s="3" customFormat="1" ht="18" customHeight="1" spans="1:15">
      <c r="A20" s="34">
        <v>44621</v>
      </c>
      <c r="B20" s="35">
        <f t="shared" si="4"/>
        <v>29877.53</v>
      </c>
      <c r="C20" s="36">
        <v>1</v>
      </c>
      <c r="D20" s="37" t="s">
        <v>38</v>
      </c>
      <c r="E20" s="84">
        <v>0.09</v>
      </c>
      <c r="F20" s="35">
        <f t="shared" si="5"/>
        <v>2688.98</v>
      </c>
      <c r="G20" s="27">
        <v>32566.51</v>
      </c>
      <c r="H20" s="23"/>
      <c r="I20" s="12"/>
      <c r="J20" s="65"/>
      <c r="K20" s="32" t="s">
        <v>39</v>
      </c>
      <c r="L20" s="67" t="s">
        <v>40</v>
      </c>
      <c r="M20" s="68" t="s">
        <v>41</v>
      </c>
      <c r="N20" s="67"/>
      <c r="O20" s="66"/>
    </row>
    <row r="21" s="3" customFormat="1" ht="18" customHeight="1" spans="1:15">
      <c r="A21" s="34"/>
      <c r="B21" s="35">
        <f t="shared" ref="B21:B28" si="6">ROUND(G21/(1+E21),2)</f>
        <v>0</v>
      </c>
      <c r="C21" s="36"/>
      <c r="D21" s="37"/>
      <c r="E21" s="85"/>
      <c r="F21" s="35">
        <f t="shared" ref="F21:F29" si="7">ROUND(G21/(1+E21)*E21,2)</f>
        <v>0</v>
      </c>
      <c r="G21" s="27"/>
      <c r="H21" s="40">
        <v>44644</v>
      </c>
      <c r="I21" s="35">
        <v>202474.29</v>
      </c>
      <c r="J21" s="67" t="s">
        <v>46</v>
      </c>
      <c r="K21" s="66" t="s">
        <v>44</v>
      </c>
      <c r="L21" s="67" t="s">
        <v>40</v>
      </c>
      <c r="M21" s="68"/>
      <c r="N21" s="67"/>
      <c r="O21" s="66"/>
    </row>
    <row r="22" s="3" customFormat="1" ht="18" customHeight="1" spans="1:15">
      <c r="A22" s="34"/>
      <c r="B22" s="35"/>
      <c r="C22" s="36"/>
      <c r="D22" s="37"/>
      <c r="E22" s="84"/>
      <c r="F22" s="35"/>
      <c r="G22" s="27"/>
      <c r="H22" s="23"/>
      <c r="I22" s="12"/>
      <c r="J22" s="65"/>
      <c r="K22" s="32"/>
      <c r="L22" s="67"/>
      <c r="M22" s="68"/>
      <c r="N22" s="67"/>
      <c r="O22" s="66"/>
    </row>
    <row r="23" s="3" customFormat="1" ht="18" customHeight="1" spans="1:15">
      <c r="A23" s="34"/>
      <c r="B23" s="35">
        <f t="shared" si="6"/>
        <v>0</v>
      </c>
      <c r="C23" s="36"/>
      <c r="D23" s="37"/>
      <c r="E23" s="85"/>
      <c r="F23" s="35">
        <f t="shared" si="7"/>
        <v>0</v>
      </c>
      <c r="G23" s="27"/>
      <c r="H23" s="23"/>
      <c r="I23" s="12"/>
      <c r="J23" s="65"/>
      <c r="K23" s="32"/>
      <c r="L23" s="67"/>
      <c r="M23" s="68"/>
      <c r="N23" s="67"/>
      <c r="O23" s="66"/>
    </row>
    <row r="24" s="3" customFormat="1" ht="18" customHeight="1" spans="1:15">
      <c r="A24" s="34"/>
      <c r="B24" s="35">
        <f t="shared" si="6"/>
        <v>0</v>
      </c>
      <c r="C24" s="36"/>
      <c r="D24" s="37"/>
      <c r="E24" s="85"/>
      <c r="F24" s="35">
        <f t="shared" si="7"/>
        <v>0</v>
      </c>
      <c r="G24" s="27"/>
      <c r="H24" s="23"/>
      <c r="I24" s="12"/>
      <c r="J24" s="65"/>
      <c r="K24" s="32"/>
      <c r="L24" s="67"/>
      <c r="M24" s="68"/>
      <c r="N24" s="67"/>
      <c r="O24" s="66"/>
    </row>
    <row r="25" s="3" customFormat="1" ht="18" customHeight="1" spans="1:15">
      <c r="A25" s="34"/>
      <c r="B25" s="35">
        <f t="shared" si="6"/>
        <v>0</v>
      </c>
      <c r="C25" s="36"/>
      <c r="D25" s="37"/>
      <c r="E25" s="85"/>
      <c r="F25" s="35">
        <f t="shared" si="7"/>
        <v>0</v>
      </c>
      <c r="G25" s="27"/>
      <c r="H25" s="23"/>
      <c r="I25" s="12"/>
      <c r="J25" s="65"/>
      <c r="K25" s="32"/>
      <c r="L25" s="67"/>
      <c r="M25" s="68"/>
      <c r="N25" s="67"/>
      <c r="O25" s="66"/>
    </row>
    <row r="26" s="3" customFormat="1" ht="18" customHeight="1" spans="1:15">
      <c r="A26" s="34"/>
      <c r="B26" s="35">
        <f t="shared" si="6"/>
        <v>0</v>
      </c>
      <c r="C26" s="36"/>
      <c r="D26" s="37"/>
      <c r="E26" s="85"/>
      <c r="F26" s="35">
        <f t="shared" si="7"/>
        <v>0</v>
      </c>
      <c r="G26" s="27"/>
      <c r="H26" s="23"/>
      <c r="I26" s="12"/>
      <c r="J26" s="65"/>
      <c r="K26" s="32"/>
      <c r="L26" s="67"/>
      <c r="M26" s="68"/>
      <c r="N26" s="67"/>
      <c r="O26" s="66"/>
    </row>
    <row r="27" s="3" customFormat="1" ht="18" customHeight="1" spans="1:15">
      <c r="A27" s="34"/>
      <c r="B27" s="35">
        <f t="shared" si="6"/>
        <v>0</v>
      </c>
      <c r="C27" s="36"/>
      <c r="D27" s="37"/>
      <c r="E27" s="85"/>
      <c r="F27" s="35">
        <f t="shared" si="7"/>
        <v>0</v>
      </c>
      <c r="G27" s="27"/>
      <c r="H27" s="23"/>
      <c r="I27" s="74">
        <v>4310.7052</v>
      </c>
      <c r="J27" s="75" t="s">
        <v>47</v>
      </c>
      <c r="K27" s="76" t="s">
        <v>48</v>
      </c>
      <c r="L27" s="67"/>
      <c r="M27" s="68"/>
      <c r="N27" s="67"/>
      <c r="O27" s="66"/>
    </row>
    <row r="28" s="3" customFormat="1" ht="18" customHeight="1" spans="1:15">
      <c r="A28" s="34"/>
      <c r="B28" s="35">
        <f t="shared" si="6"/>
        <v>0</v>
      </c>
      <c r="C28" s="36"/>
      <c r="D28" s="37"/>
      <c r="E28" s="85"/>
      <c r="F28" s="35">
        <f t="shared" si="7"/>
        <v>0</v>
      </c>
      <c r="G28" s="27"/>
      <c r="H28" s="40">
        <v>44644</v>
      </c>
      <c r="I28" s="35">
        <v>-98586.63</v>
      </c>
      <c r="J28" s="67" t="s">
        <v>49</v>
      </c>
      <c r="K28" s="66" t="s">
        <v>50</v>
      </c>
      <c r="L28" s="67"/>
      <c r="M28" s="68"/>
      <c r="N28" s="67"/>
      <c r="O28" s="66"/>
    </row>
    <row r="29" s="3" customFormat="1" ht="18" customHeight="1" spans="1:15">
      <c r="A29" s="34"/>
      <c r="B29" s="35"/>
      <c r="C29" s="36"/>
      <c r="D29" s="37"/>
      <c r="E29" s="85"/>
      <c r="F29" s="35">
        <f t="shared" si="7"/>
        <v>0</v>
      </c>
      <c r="G29" s="27"/>
      <c r="H29" s="40">
        <v>44644</v>
      </c>
      <c r="I29" s="35">
        <v>100</v>
      </c>
      <c r="J29" s="67" t="s">
        <v>47</v>
      </c>
      <c r="K29" s="77" t="s">
        <v>51</v>
      </c>
      <c r="L29" s="67"/>
      <c r="M29" s="68"/>
      <c r="N29" s="67"/>
      <c r="O29" s="66"/>
    </row>
    <row r="30" s="3" customFormat="1" ht="18" customHeight="1" spans="1:15">
      <c r="A30" s="34"/>
      <c r="B30" s="35"/>
      <c r="C30" s="36"/>
      <c r="D30" s="37"/>
      <c r="E30" s="85"/>
      <c r="F30" s="35"/>
      <c r="G30" s="27"/>
      <c r="H30" s="40">
        <v>44644</v>
      </c>
      <c r="I30" s="35">
        <v>500</v>
      </c>
      <c r="J30" s="67" t="s">
        <v>47</v>
      </c>
      <c r="K30" s="77" t="s">
        <v>52</v>
      </c>
      <c r="L30" s="67"/>
      <c r="M30" s="68"/>
      <c r="N30" s="67"/>
      <c r="O30" s="66"/>
    </row>
    <row r="31" s="3" customFormat="1" ht="18" customHeight="1" spans="1:15">
      <c r="A31" s="34"/>
      <c r="B31" s="35"/>
      <c r="C31" s="36"/>
      <c r="D31" s="37"/>
      <c r="E31" s="85"/>
      <c r="F31" s="35"/>
      <c r="G31" s="27">
        <f>I31</f>
        <v>4000</v>
      </c>
      <c r="H31" s="40">
        <v>44644</v>
      </c>
      <c r="I31" s="35">
        <v>4000</v>
      </c>
      <c r="J31" s="67" t="s">
        <v>47</v>
      </c>
      <c r="K31" s="77" t="s">
        <v>53</v>
      </c>
      <c r="L31" s="67"/>
      <c r="M31" s="68"/>
      <c r="N31" s="67"/>
      <c r="O31" s="66"/>
    </row>
    <row r="32" s="3" customFormat="1" ht="18" customHeight="1" spans="1:15">
      <c r="A32" s="34"/>
      <c r="B32" s="35"/>
      <c r="C32" s="36"/>
      <c r="D32" s="37"/>
      <c r="E32" s="85"/>
      <c r="F32" s="35"/>
      <c r="G32" s="27"/>
      <c r="H32" s="40">
        <v>44644</v>
      </c>
      <c r="I32" s="35">
        <v>729.8</v>
      </c>
      <c r="J32" s="67" t="s">
        <v>47</v>
      </c>
      <c r="K32" s="66" t="s">
        <v>54</v>
      </c>
      <c r="L32" s="67"/>
      <c r="M32" s="68"/>
      <c r="N32" s="67"/>
      <c r="O32" s="66"/>
    </row>
    <row r="33" s="3" customFormat="1" ht="18" customHeight="1" spans="1:15">
      <c r="A33" s="34"/>
      <c r="B33" s="35">
        <f t="shared" ref="B33:B44" si="8">ROUND(G33/(1+E33),2)</f>
        <v>0</v>
      </c>
      <c r="C33" s="36"/>
      <c r="D33" s="37"/>
      <c r="E33" s="85"/>
      <c r="F33" s="35">
        <f t="shared" ref="F33:F44" si="9">ROUND(G33/(1+E33)*E33,2)</f>
        <v>0</v>
      </c>
      <c r="G33" s="27"/>
      <c r="H33" s="40">
        <v>44644</v>
      </c>
      <c r="I33" s="35">
        <v>24326.55</v>
      </c>
      <c r="J33" s="67" t="s">
        <v>47</v>
      </c>
      <c r="K33" s="66" t="s">
        <v>55</v>
      </c>
      <c r="L33" s="67"/>
      <c r="M33" s="68"/>
      <c r="N33" s="67"/>
      <c r="O33" s="66"/>
    </row>
    <row r="34" s="3" customFormat="1" ht="18" customHeight="1" spans="1:15">
      <c r="A34" s="34"/>
      <c r="B34" s="35">
        <f t="shared" si="8"/>
        <v>0</v>
      </c>
      <c r="C34" s="36"/>
      <c r="D34" s="37"/>
      <c r="E34" s="85"/>
      <c r="F34" s="35">
        <f t="shared" si="9"/>
        <v>0</v>
      </c>
      <c r="G34" s="27"/>
      <c r="H34" s="40">
        <v>44644</v>
      </c>
      <c r="I34" s="35">
        <v>366.61</v>
      </c>
      <c r="J34" s="67" t="s">
        <v>47</v>
      </c>
      <c r="K34" s="66" t="s">
        <v>56</v>
      </c>
      <c r="L34" s="67"/>
      <c r="M34" s="68"/>
      <c r="N34" s="67"/>
      <c r="O34" s="66"/>
    </row>
    <row r="35" s="3" customFormat="1" ht="18" customHeight="1" spans="1:15">
      <c r="A35" s="34"/>
      <c r="B35" s="35">
        <f t="shared" si="8"/>
        <v>0</v>
      </c>
      <c r="C35" s="36"/>
      <c r="D35" s="37"/>
      <c r="E35" s="85"/>
      <c r="F35" s="35">
        <f t="shared" si="9"/>
        <v>0</v>
      </c>
      <c r="G35" s="27"/>
      <c r="H35" s="23" t="s">
        <v>57</v>
      </c>
      <c r="I35" s="12">
        <f>394346.51*0.25</f>
        <v>98586.6275</v>
      </c>
      <c r="J35" s="37" t="s">
        <v>58</v>
      </c>
      <c r="K35" s="66" t="s">
        <v>59</v>
      </c>
      <c r="L35" s="67"/>
      <c r="M35" s="68"/>
      <c r="N35" s="67"/>
      <c r="O35" s="66"/>
    </row>
    <row r="36" s="3" customFormat="1" ht="18" customHeight="1" spans="1:15">
      <c r="A36" s="34"/>
      <c r="B36" s="35">
        <f t="shared" si="8"/>
        <v>0</v>
      </c>
      <c r="C36" s="36"/>
      <c r="D36" s="37"/>
      <c r="E36" s="85"/>
      <c r="F36" s="35">
        <f t="shared" si="9"/>
        <v>0</v>
      </c>
      <c r="G36" s="27"/>
      <c r="H36" s="23" t="s">
        <v>57</v>
      </c>
      <c r="I36" s="12">
        <v>100</v>
      </c>
      <c r="J36" s="65" t="s">
        <v>47</v>
      </c>
      <c r="K36" s="77" t="s">
        <v>51</v>
      </c>
      <c r="L36" s="67"/>
      <c r="M36" s="68"/>
      <c r="N36" s="67"/>
      <c r="O36" s="66"/>
    </row>
    <row r="37" s="3" customFormat="1" ht="18" customHeight="1" spans="1:15">
      <c r="A37" s="34"/>
      <c r="B37" s="35">
        <f t="shared" si="8"/>
        <v>3000</v>
      </c>
      <c r="C37" s="36"/>
      <c r="D37" s="37"/>
      <c r="E37" s="85"/>
      <c r="F37" s="35">
        <f t="shared" si="9"/>
        <v>0</v>
      </c>
      <c r="G37" s="27">
        <v>3000</v>
      </c>
      <c r="H37" s="23" t="s">
        <v>57</v>
      </c>
      <c r="I37" s="12">
        <v>3000</v>
      </c>
      <c r="J37" s="65" t="s">
        <v>47</v>
      </c>
      <c r="K37" s="77" t="s">
        <v>53</v>
      </c>
      <c r="L37" s="67"/>
      <c r="M37" s="68"/>
      <c r="N37" s="67"/>
      <c r="O37" s="66"/>
    </row>
    <row r="38" s="3" customFormat="1" ht="18" customHeight="1" spans="1:15">
      <c r="A38" s="34"/>
      <c r="B38" s="35">
        <f t="shared" si="8"/>
        <v>0</v>
      </c>
      <c r="C38" s="36"/>
      <c r="D38" s="37"/>
      <c r="E38" s="85"/>
      <c r="F38" s="35">
        <f t="shared" si="9"/>
        <v>0</v>
      </c>
      <c r="G38" s="27"/>
      <c r="H38" s="23" t="s">
        <v>57</v>
      </c>
      <c r="I38" s="12">
        <v>1500</v>
      </c>
      <c r="J38" s="65" t="s">
        <v>47</v>
      </c>
      <c r="K38" s="77" t="s">
        <v>60</v>
      </c>
      <c r="L38" s="67"/>
      <c r="M38" s="68"/>
      <c r="N38" s="67"/>
      <c r="O38" s="66"/>
    </row>
    <row r="39" s="3" customFormat="1" ht="18" customHeight="1" spans="1:15">
      <c r="A39" s="34"/>
      <c r="B39" s="35">
        <f t="shared" si="8"/>
        <v>0</v>
      </c>
      <c r="C39" s="36"/>
      <c r="D39" s="37"/>
      <c r="E39" s="85"/>
      <c r="F39" s="35">
        <f t="shared" si="9"/>
        <v>0</v>
      </c>
      <c r="G39" s="27"/>
      <c r="H39" s="23" t="s">
        <v>57</v>
      </c>
      <c r="I39" s="12">
        <v>82.57</v>
      </c>
      <c r="J39" s="65" t="s">
        <v>47</v>
      </c>
      <c r="K39" s="77" t="s">
        <v>61</v>
      </c>
      <c r="L39" s="67"/>
      <c r="M39" s="68"/>
      <c r="N39" s="67"/>
      <c r="O39" s="66"/>
    </row>
    <row r="40" s="3" customFormat="1" ht="18" customHeight="1" spans="1:15">
      <c r="A40" s="34"/>
      <c r="B40" s="35">
        <f t="shared" si="8"/>
        <v>0</v>
      </c>
      <c r="C40" s="36"/>
      <c r="D40" s="37"/>
      <c r="E40" s="85"/>
      <c r="F40" s="35">
        <f t="shared" si="9"/>
        <v>0</v>
      </c>
      <c r="G40" s="27"/>
      <c r="H40" s="23" t="s">
        <v>62</v>
      </c>
      <c r="I40" s="12">
        <v>100</v>
      </c>
      <c r="J40" s="65" t="s">
        <v>47</v>
      </c>
      <c r="K40" s="77" t="s">
        <v>51</v>
      </c>
      <c r="L40" s="66"/>
      <c r="M40" s="68"/>
      <c r="N40" s="67"/>
      <c r="O40" s="66"/>
    </row>
    <row r="41" s="3" customFormat="1" ht="18" customHeight="1" spans="1:15">
      <c r="A41" s="34"/>
      <c r="B41" s="35">
        <f t="shared" si="8"/>
        <v>0</v>
      </c>
      <c r="C41" s="36"/>
      <c r="D41" s="37"/>
      <c r="E41" s="85"/>
      <c r="F41" s="35">
        <f t="shared" si="9"/>
        <v>0</v>
      </c>
      <c r="G41" s="27"/>
      <c r="H41" s="23" t="s">
        <v>62</v>
      </c>
      <c r="I41" s="12">
        <v>500</v>
      </c>
      <c r="J41" s="65" t="s">
        <v>47</v>
      </c>
      <c r="K41" s="77" t="s">
        <v>63</v>
      </c>
      <c r="L41" s="66"/>
      <c r="M41" s="68"/>
      <c r="N41" s="67"/>
      <c r="O41" s="66"/>
    </row>
    <row r="42" s="3" customFormat="1" ht="18" customHeight="1" spans="1:15">
      <c r="A42" s="34"/>
      <c r="B42" s="35">
        <f t="shared" si="8"/>
        <v>0</v>
      </c>
      <c r="C42" s="36"/>
      <c r="D42" s="37"/>
      <c r="E42" s="85"/>
      <c r="F42" s="35">
        <f t="shared" si="9"/>
        <v>0</v>
      </c>
      <c r="G42" s="27"/>
      <c r="H42" s="23" t="s">
        <v>62</v>
      </c>
      <c r="I42" s="12">
        <v>4000</v>
      </c>
      <c r="J42" s="65" t="s">
        <v>47</v>
      </c>
      <c r="K42" s="77" t="s">
        <v>60</v>
      </c>
      <c r="L42" s="66"/>
      <c r="M42" s="68"/>
      <c r="N42" s="67"/>
      <c r="O42" s="66"/>
    </row>
    <row r="43" s="3" customFormat="1" ht="18" customHeight="1" spans="1:15">
      <c r="A43" s="34"/>
      <c r="B43" s="35">
        <f t="shared" si="8"/>
        <v>0</v>
      </c>
      <c r="C43" s="36"/>
      <c r="D43" s="37"/>
      <c r="E43" s="85"/>
      <c r="F43" s="35">
        <f t="shared" si="9"/>
        <v>0</v>
      </c>
      <c r="G43" s="27"/>
      <c r="H43" s="23" t="s">
        <v>62</v>
      </c>
      <c r="I43" s="12">
        <v>220.18</v>
      </c>
      <c r="J43" s="65" t="s">
        <v>47</v>
      </c>
      <c r="K43" s="77" t="s">
        <v>61</v>
      </c>
      <c r="L43" s="66"/>
      <c r="M43" s="68"/>
      <c r="N43" s="67"/>
      <c r="O43" s="66"/>
    </row>
    <row r="44" s="3" customFormat="1" ht="18" customHeight="1" spans="1:15">
      <c r="A44" s="34"/>
      <c r="B44" s="35">
        <f t="shared" si="8"/>
        <v>8000</v>
      </c>
      <c r="C44" s="36"/>
      <c r="D44" s="37"/>
      <c r="E44" s="85"/>
      <c r="F44" s="35">
        <f t="shared" si="9"/>
        <v>0</v>
      </c>
      <c r="G44" s="27">
        <v>8000</v>
      </c>
      <c r="H44" s="23" t="s">
        <v>62</v>
      </c>
      <c r="I44" s="12">
        <f>G7*0.02</f>
        <v>8000</v>
      </c>
      <c r="J44" s="65" t="s">
        <v>47</v>
      </c>
      <c r="K44" s="77" t="s">
        <v>53</v>
      </c>
      <c r="L44" s="66"/>
      <c r="M44" s="68"/>
      <c r="N44" s="67"/>
      <c r="O44" s="66"/>
    </row>
    <row r="45" ht="18" customHeight="1" spans="1:15">
      <c r="A45" s="30" t="s">
        <v>23</v>
      </c>
      <c r="B45" s="29">
        <f t="shared" ref="B45:G45" si="10">SUM(B15:B44)</f>
        <v>861373.13</v>
      </c>
      <c r="C45" s="30"/>
      <c r="D45" s="41"/>
      <c r="E45" s="41"/>
      <c r="F45" s="31">
        <f t="shared" si="10"/>
        <v>43973.38</v>
      </c>
      <c r="G45" s="42">
        <f t="shared" si="10"/>
        <v>909346.51</v>
      </c>
      <c r="H45" s="43"/>
      <c r="I45" s="30">
        <f>SUM(I15:I44)</f>
        <v>754310.7027</v>
      </c>
      <c r="J45" s="78"/>
      <c r="K45" s="41"/>
      <c r="L45" s="32"/>
      <c r="M45" s="79"/>
      <c r="N45" s="65"/>
      <c r="O45" s="32"/>
    </row>
    <row r="46" ht="18" customHeight="1" spans="1:14">
      <c r="A46" s="44" t="s">
        <v>64</v>
      </c>
      <c r="B46" s="44">
        <f>B12*0.96</f>
        <v>864062.109357798</v>
      </c>
      <c r="C46" s="44"/>
      <c r="D46" s="45"/>
      <c r="E46" s="45"/>
      <c r="F46" s="46"/>
      <c r="G46" s="44">
        <f>G12-G45</f>
        <v>71724.01</v>
      </c>
      <c r="H46" s="22" t="s">
        <v>65</v>
      </c>
      <c r="I46" s="30">
        <f>I12-I45</f>
        <v>145689.2973</v>
      </c>
      <c r="J46" s="2"/>
      <c r="K46" s="80"/>
      <c r="M46" s="81"/>
      <c r="N46" s="82"/>
    </row>
    <row r="47" ht="18" customHeight="1" spans="1:14">
      <c r="A47" s="44" t="s">
        <v>66</v>
      </c>
      <c r="B47" s="44">
        <f>B46-B45</f>
        <v>2688.979357798</v>
      </c>
      <c r="C47" s="44"/>
      <c r="D47" s="45"/>
      <c r="E47" s="45"/>
      <c r="F47" s="46"/>
      <c r="G47" s="46"/>
      <c r="H47" s="47"/>
      <c r="I47" s="46"/>
      <c r="J47" s="2"/>
      <c r="K47" s="80"/>
      <c r="M47" s="81"/>
      <c r="N47" s="82"/>
    </row>
    <row r="48" ht="18" customHeight="1" spans="1:13">
      <c r="A48" s="6" t="s">
        <v>67</v>
      </c>
      <c r="C48" s="6"/>
      <c r="M48" s="1">
        <f>I42+I38</f>
        <v>5500</v>
      </c>
    </row>
    <row r="49" ht="18" customHeight="1" spans="1:11">
      <c r="A49" s="22" t="s">
        <v>68</v>
      </c>
      <c r="B49" s="21" t="s">
        <v>69</v>
      </c>
      <c r="C49" s="32"/>
      <c r="D49" s="22" t="s">
        <v>68</v>
      </c>
      <c r="E49" s="20" t="s">
        <v>16</v>
      </c>
      <c r="F49" s="21" t="s">
        <v>69</v>
      </c>
      <c r="G49" s="48" t="s">
        <v>70</v>
      </c>
      <c r="H49" s="12" t="s">
        <v>71</v>
      </c>
      <c r="I49" s="48" t="s">
        <v>72</v>
      </c>
      <c r="K49" s="12" t="s">
        <v>73</v>
      </c>
    </row>
    <row r="50" ht="18" customHeight="1" spans="1:11">
      <c r="A50" s="32" t="s">
        <v>74</v>
      </c>
      <c r="B50" s="18">
        <f>(B46-B45)*0.25</f>
        <v>672.2448394495</v>
      </c>
      <c r="C50" s="32"/>
      <c r="D50" s="28" t="s">
        <v>75</v>
      </c>
      <c r="E50" s="22" t="s">
        <v>76</v>
      </c>
      <c r="F50" s="49">
        <f>F12-F45</f>
        <v>19031.1488073394</v>
      </c>
      <c r="G50" s="49">
        <v>0</v>
      </c>
      <c r="H50" s="31">
        <v>0</v>
      </c>
      <c r="I50" s="31">
        <f>(F7+F8+F9)-(F15+F17)</f>
        <v>21720.1288073394</v>
      </c>
      <c r="K50" s="31"/>
    </row>
    <row r="51" ht="18" customHeight="1" spans="1:11">
      <c r="A51" s="32" t="s">
        <v>77</v>
      </c>
      <c r="B51" s="50">
        <f>G12*0.0003</f>
        <v>294.321156</v>
      </c>
      <c r="C51" s="32"/>
      <c r="D51" s="51" t="s">
        <v>78</v>
      </c>
      <c r="E51" s="14">
        <v>0.07</v>
      </c>
      <c r="F51" s="48">
        <f>F50*E51</f>
        <v>1332.18041651376</v>
      </c>
      <c r="G51" s="48">
        <f>G50*E51</f>
        <v>0</v>
      </c>
      <c r="H51" s="12">
        <f>H50*E51</f>
        <v>0</v>
      </c>
      <c r="I51" s="12">
        <f>I50*0.07</f>
        <v>1520.40901651376</v>
      </c>
      <c r="K51" s="12">
        <f>K50*0.07</f>
        <v>0</v>
      </c>
    </row>
    <row r="52" ht="18" customHeight="1" spans="1:11">
      <c r="A52" s="32" t="s">
        <v>61</v>
      </c>
      <c r="B52" s="50">
        <f>B7*0.0006</f>
        <v>220.183486238532</v>
      </c>
      <c r="C52" s="32"/>
      <c r="D52" s="51" t="s">
        <v>79</v>
      </c>
      <c r="E52" s="14">
        <v>0.03</v>
      </c>
      <c r="F52" s="48">
        <f>F50*E52</f>
        <v>570.934464220182</v>
      </c>
      <c r="G52" s="48">
        <f>G50*E52</f>
        <v>0</v>
      </c>
      <c r="H52" s="12">
        <f>H50*E52</f>
        <v>0</v>
      </c>
      <c r="I52" s="12">
        <f>I50*0.03</f>
        <v>651.603864220183</v>
      </c>
      <c r="K52" s="12">
        <f>K50*0.03</f>
        <v>0</v>
      </c>
    </row>
    <row r="53" ht="18" customHeight="1" spans="1:11">
      <c r="A53" s="32"/>
      <c r="B53" s="48"/>
      <c r="C53" s="32"/>
      <c r="D53" s="51" t="s">
        <v>80</v>
      </c>
      <c r="E53" s="14">
        <v>0.02</v>
      </c>
      <c r="F53" s="48">
        <f>F50*E53</f>
        <v>380.622976146788</v>
      </c>
      <c r="G53" s="48">
        <f>G50*E53</f>
        <v>0</v>
      </c>
      <c r="H53" s="12">
        <f>H50*E53</f>
        <v>0</v>
      </c>
      <c r="I53" s="12">
        <f>I50*0.02</f>
        <v>434.402576146789</v>
      </c>
      <c r="K53" s="12">
        <f>K50*0.02</f>
        <v>0</v>
      </c>
    </row>
    <row r="54" ht="18" customHeight="1" spans="1:11">
      <c r="A54" s="28" t="s">
        <v>81</v>
      </c>
      <c r="B54" s="52">
        <f t="shared" ref="B54:I54" si="11">SUM(B50:B53)</f>
        <v>1186.74948168803</v>
      </c>
      <c r="C54" s="32"/>
      <c r="D54" s="33" t="s">
        <v>81</v>
      </c>
      <c r="E54" s="28"/>
      <c r="F54" s="49">
        <f t="shared" si="11"/>
        <v>21314.8866642201</v>
      </c>
      <c r="G54" s="49">
        <f t="shared" si="11"/>
        <v>0</v>
      </c>
      <c r="H54" s="31">
        <f t="shared" si="11"/>
        <v>0</v>
      </c>
      <c r="I54" s="31">
        <f t="shared" si="11"/>
        <v>24326.5442642201</v>
      </c>
      <c r="K54" s="31">
        <f>SUM(K50:K53)</f>
        <v>0</v>
      </c>
    </row>
    <row r="55" ht="18" customHeight="1" spans="3:11">
      <c r="C55" s="6"/>
      <c r="D55" s="12" t="s">
        <v>77</v>
      </c>
      <c r="E55" s="53">
        <v>0.0003</v>
      </c>
      <c r="F55" s="48">
        <f>G12*E55</f>
        <v>294.321156</v>
      </c>
      <c r="G55" s="48">
        <v>0</v>
      </c>
      <c r="H55" s="12">
        <v>0</v>
      </c>
      <c r="I55" s="12">
        <f>G9*0.0003</f>
        <v>129.321156</v>
      </c>
      <c r="K55" s="12">
        <f>G10*0.0003</f>
        <v>0</v>
      </c>
    </row>
    <row r="56" ht="18" customHeight="1" spans="3:11">
      <c r="C56" s="6"/>
      <c r="D56" s="12" t="s">
        <v>61</v>
      </c>
      <c r="E56" s="53">
        <v>0.0006</v>
      </c>
      <c r="F56" s="48">
        <f>B50</f>
        <v>672.2448394495</v>
      </c>
      <c r="G56" s="48">
        <f>B7*0.0006</f>
        <v>220.183486238532</v>
      </c>
      <c r="H56" s="12">
        <f>B8*E56</f>
        <v>82.5688073394495</v>
      </c>
      <c r="I56" s="12">
        <f>B9*0.0006</f>
        <v>237.286524770642</v>
      </c>
      <c r="K56" s="12">
        <f>B10*0.0006</f>
        <v>0</v>
      </c>
    </row>
    <row r="57" ht="18" customHeight="1" spans="3:11">
      <c r="C57" s="6"/>
      <c r="D57" s="20" t="s">
        <v>81</v>
      </c>
      <c r="E57" s="41"/>
      <c r="F57" s="54">
        <f>F56+F55</f>
        <v>966.5659954495</v>
      </c>
      <c r="G57" s="54">
        <f>G55+G56</f>
        <v>220.183486238532</v>
      </c>
      <c r="H57" s="30">
        <f t="shared" ref="H57:K57" si="12">SUM(H55:H56)</f>
        <v>82.5688073394495</v>
      </c>
      <c r="I57" s="30">
        <f t="shared" si="12"/>
        <v>366.607680770642</v>
      </c>
      <c r="K57" s="30">
        <f t="shared" si="12"/>
        <v>0</v>
      </c>
    </row>
    <row r="58" ht="18" customHeight="1" spans="3:11">
      <c r="C58" s="6"/>
      <c r="D58" s="20" t="s">
        <v>23</v>
      </c>
      <c r="E58" s="30"/>
      <c r="F58" s="54">
        <f t="shared" ref="F58:I58" si="13">F54+F57</f>
        <v>22281.4526596696</v>
      </c>
      <c r="G58" s="54">
        <f t="shared" si="13"/>
        <v>220.183486238532</v>
      </c>
      <c r="H58" s="30">
        <f t="shared" si="13"/>
        <v>82.5688073394495</v>
      </c>
      <c r="I58" s="30">
        <f t="shared" si="13"/>
        <v>24693.1519449908</v>
      </c>
      <c r="K58" s="30">
        <f>K54+K57</f>
        <v>0</v>
      </c>
    </row>
    <row r="59" ht="18" customHeight="1" spans="3:11">
      <c r="C59" s="6"/>
      <c r="D59" s="30" t="s">
        <v>74</v>
      </c>
      <c r="E59" s="55">
        <v>0.01</v>
      </c>
      <c r="F59" s="54">
        <f>G12*E59</f>
        <v>9810.7052</v>
      </c>
      <c r="G59" s="56">
        <f>G7*E59</f>
        <v>4000</v>
      </c>
      <c r="H59" s="30">
        <f>G8*E59</f>
        <v>1500</v>
      </c>
      <c r="I59" s="30">
        <f>G9*0.01</f>
        <v>4310.7052</v>
      </c>
      <c r="K59" s="30">
        <f>G10*0.01</f>
        <v>0</v>
      </c>
    </row>
    <row r="60" ht="18" customHeight="1" spans="3:5">
      <c r="C60" s="6"/>
      <c r="E60" s="5" t="s">
        <v>82</v>
      </c>
    </row>
    <row r="61" ht="18" customHeight="1" spans="3:3">
      <c r="C61" s="6"/>
    </row>
    <row r="62" ht="18" customHeight="1" spans="3:3">
      <c r="C62" s="6"/>
    </row>
    <row r="63" spans="3:3">
      <c r="C63" s="6"/>
    </row>
    <row r="64" spans="3:3">
      <c r="C64" s="6"/>
    </row>
    <row r="65" spans="3:3">
      <c r="C65" s="6"/>
    </row>
    <row r="66" spans="3:3">
      <c r="C66" s="6"/>
    </row>
    <row r="67" spans="3:3">
      <c r="C67" s="6"/>
    </row>
    <row r="68" spans="3:3">
      <c r="C68" s="6"/>
    </row>
    <row r="69" spans="3:3">
      <c r="C69" s="6"/>
    </row>
    <row r="70" spans="3:3">
      <c r="C70" s="6"/>
    </row>
    <row r="71" spans="3:3">
      <c r="C71" s="6"/>
    </row>
    <row r="72" spans="3:3">
      <c r="C72" s="6"/>
    </row>
    <row r="73" spans="3:3">
      <c r="C73" s="6"/>
    </row>
    <row r="74" spans="3:3">
      <c r="C74" s="6"/>
    </row>
    <row r="75" spans="3:3">
      <c r="C75" s="6"/>
    </row>
    <row r="76" spans="3:3">
      <c r="C76" s="6"/>
    </row>
    <row r="77" spans="3:3">
      <c r="C77" s="6"/>
    </row>
    <row r="78" spans="3:3">
      <c r="C78" s="6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78"/>
  <sheetViews>
    <sheetView tabSelected="1" workbookViewId="0">
      <selection activeCell="L30" sqref="L30"/>
    </sheetView>
  </sheetViews>
  <sheetFormatPr defaultColWidth="9" defaultRowHeight="11.25"/>
  <cols>
    <col min="1" max="1" width="10.75" style="6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9.625" style="5" customWidth="1"/>
    <col min="9" max="9" width="13.875" style="4" customWidth="1"/>
    <col min="10" max="10" width="7.875" style="7" customWidth="1"/>
    <col min="11" max="11" width="34" style="2" customWidth="1"/>
    <col min="12" max="12" width="11.625" style="2" customWidth="1"/>
    <col min="13" max="13" width="32.875" style="1" customWidth="1"/>
    <col min="14" max="14" width="5.625" style="2" customWidth="1"/>
    <col min="15" max="16384" width="9" style="6"/>
  </cols>
  <sheetData>
    <row r="1" s="1" customFormat="1" ht="21.95" customHeight="1" spans="1:14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  <c r="N1" s="2"/>
    </row>
    <row r="2" s="1" customFormat="1" ht="18" customHeight="1" spans="1:14">
      <c r="A2" s="10" t="s">
        <v>1</v>
      </c>
      <c r="B2" s="11">
        <v>43810</v>
      </c>
      <c r="C2" s="12" t="s">
        <v>2</v>
      </c>
      <c r="D2" s="13">
        <v>1045637</v>
      </c>
      <c r="E2" s="14" t="s">
        <v>3</v>
      </c>
      <c r="F2" s="15" t="s">
        <v>4</v>
      </c>
      <c r="G2" s="16" t="s">
        <v>5</v>
      </c>
      <c r="H2" s="17" t="s">
        <v>6</v>
      </c>
      <c r="I2" s="57"/>
      <c r="J2" s="58"/>
      <c r="K2" s="19"/>
      <c r="L2" s="19"/>
      <c r="N2" s="2"/>
    </row>
    <row r="3" s="1" customFormat="1" ht="18" customHeight="1" spans="1:14">
      <c r="A3" s="10" t="s">
        <v>7</v>
      </c>
      <c r="B3" s="18"/>
      <c r="C3" s="12" t="s">
        <v>8</v>
      </c>
      <c r="D3" s="12">
        <v>981070.52</v>
      </c>
      <c r="E3" s="5"/>
      <c r="F3" s="4"/>
      <c r="G3" s="4"/>
      <c r="H3" s="19"/>
      <c r="I3" s="59"/>
      <c r="J3" s="19"/>
      <c r="K3" s="19"/>
      <c r="L3" s="19"/>
      <c r="N3" s="2"/>
    </row>
    <row r="4" s="1" customFormat="1" ht="18" customHeight="1" spans="1:14">
      <c r="A4" s="6" t="s">
        <v>9</v>
      </c>
      <c r="B4" s="4"/>
      <c r="C4" s="5"/>
      <c r="D4" s="5"/>
      <c r="E4" s="5"/>
      <c r="F4" s="4"/>
      <c r="G4" s="4"/>
      <c r="H4" s="19"/>
      <c r="I4" s="59"/>
      <c r="J4" s="19"/>
      <c r="K4" s="19"/>
      <c r="L4" s="19"/>
      <c r="N4" s="2"/>
    </row>
    <row r="5" s="2" customFormat="1" ht="18" customHeight="1" spans="1:13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  <c r="M5" s="1"/>
    </row>
    <row r="6" s="2" customFormat="1" ht="18" customHeight="1" spans="1:13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60" t="s">
        <v>20</v>
      </c>
      <c r="M6" s="1"/>
    </row>
    <row r="7" s="2" customFormat="1" ht="18" customHeight="1" spans="1:13">
      <c r="A7" s="23">
        <v>44098</v>
      </c>
      <c r="B7" s="12">
        <f t="shared" ref="B7:B9" si="0">G7/(1+C7+E7)</f>
        <v>366972.47706422</v>
      </c>
      <c r="C7" s="24">
        <v>0.02</v>
      </c>
      <c r="D7" s="25">
        <f t="shared" ref="D7:D9" si="1">G7/(1+E7+C7)*C7</f>
        <v>7339.4495412844</v>
      </c>
      <c r="E7" s="26">
        <v>0.07</v>
      </c>
      <c r="F7" s="12">
        <f t="shared" ref="F7:F9" si="2">G7/(1+C7+E7)*E7</f>
        <v>25688.0733944954</v>
      </c>
      <c r="G7" s="27">
        <v>400000</v>
      </c>
      <c r="H7" s="23">
        <v>44104</v>
      </c>
      <c r="I7" s="12">
        <v>400000</v>
      </c>
      <c r="J7" s="61" t="s">
        <v>21</v>
      </c>
      <c r="M7" s="1"/>
    </row>
    <row r="8" s="2" customFormat="1" ht="18" customHeight="1" spans="1:13">
      <c r="A8" s="23">
        <v>44231</v>
      </c>
      <c r="B8" s="12">
        <f t="shared" si="0"/>
        <v>137614.678899083</v>
      </c>
      <c r="C8" s="24">
        <v>0.02</v>
      </c>
      <c r="D8" s="25">
        <f t="shared" si="1"/>
        <v>2752.29357798165</v>
      </c>
      <c r="E8" s="26">
        <v>0.07</v>
      </c>
      <c r="F8" s="12">
        <f t="shared" si="2"/>
        <v>9633.02752293578</v>
      </c>
      <c r="G8" s="27">
        <v>150000</v>
      </c>
      <c r="H8" s="23">
        <v>44237</v>
      </c>
      <c r="I8" s="12">
        <v>150000</v>
      </c>
      <c r="J8" s="61" t="s">
        <v>21</v>
      </c>
      <c r="M8" s="1"/>
    </row>
    <row r="9" s="2" customFormat="1" ht="18" customHeight="1" spans="1:13">
      <c r="A9" s="23">
        <v>44586</v>
      </c>
      <c r="B9" s="12">
        <f t="shared" si="0"/>
        <v>395477.541284404</v>
      </c>
      <c r="C9" s="24">
        <v>0.02</v>
      </c>
      <c r="D9" s="25">
        <f t="shared" si="1"/>
        <v>7909.55082568807</v>
      </c>
      <c r="E9" s="26">
        <v>0.07</v>
      </c>
      <c r="F9" s="12">
        <f t="shared" si="2"/>
        <v>27683.4278899083</v>
      </c>
      <c r="G9" s="27">
        <v>431070.52</v>
      </c>
      <c r="H9" s="23">
        <v>44591</v>
      </c>
      <c r="I9" s="12">
        <v>200000</v>
      </c>
      <c r="J9" s="61" t="s">
        <v>22</v>
      </c>
      <c r="M9" s="1"/>
    </row>
    <row r="10" s="2" customFormat="1" ht="18" customHeight="1" spans="1:13">
      <c r="A10" s="23"/>
      <c r="B10" s="12"/>
      <c r="C10" s="26"/>
      <c r="D10" s="25"/>
      <c r="E10" s="26"/>
      <c r="F10" s="12"/>
      <c r="G10" s="27"/>
      <c r="H10" s="23">
        <v>44946</v>
      </c>
      <c r="I10" s="12">
        <v>150000</v>
      </c>
      <c r="J10" s="61" t="s">
        <v>21</v>
      </c>
      <c r="M10" s="1"/>
    </row>
    <row r="11" s="2" customFormat="1" ht="18" customHeight="1" spans="1:13">
      <c r="A11" s="23"/>
      <c r="B11" s="12"/>
      <c r="C11" s="24"/>
      <c r="D11" s="25"/>
      <c r="E11" s="24"/>
      <c r="F11" s="12"/>
      <c r="G11" s="27"/>
      <c r="H11" s="23"/>
      <c r="I11" s="12"/>
      <c r="J11" s="61"/>
      <c r="M11" s="1"/>
    </row>
    <row r="12" s="2" customFormat="1" ht="18" customHeight="1" spans="1:13">
      <c r="A12" s="28" t="s">
        <v>23</v>
      </c>
      <c r="B12" s="29">
        <f t="shared" ref="B12:G12" si="3">SUM(B7:B9)</f>
        <v>900064.697247706</v>
      </c>
      <c r="C12" s="30"/>
      <c r="D12" s="30">
        <f t="shared" si="3"/>
        <v>18001.2939449541</v>
      </c>
      <c r="E12" s="30"/>
      <c r="F12" s="31">
        <f t="shared" si="3"/>
        <v>63004.5288073394</v>
      </c>
      <c r="G12" s="30">
        <f t="shared" si="3"/>
        <v>981070.52</v>
      </c>
      <c r="H12" s="32"/>
      <c r="I12" s="30">
        <f>SUM(I7:I11)</f>
        <v>900000</v>
      </c>
      <c r="J12" s="62"/>
      <c r="M12" s="1"/>
    </row>
    <row r="13" s="1" customFormat="1" ht="18" customHeight="1" spans="1:14">
      <c r="A13" s="6" t="s">
        <v>24</v>
      </c>
      <c r="B13" s="4"/>
      <c r="C13" s="5"/>
      <c r="D13" s="5"/>
      <c r="E13" s="5"/>
      <c r="F13" s="4"/>
      <c r="G13" s="4"/>
      <c r="H13" s="5"/>
      <c r="I13" s="4"/>
      <c r="J13" s="5"/>
      <c r="K13" s="5"/>
      <c r="L13" s="7"/>
      <c r="N13" s="2"/>
    </row>
    <row r="14" s="2" customFormat="1" ht="18" customHeight="1" spans="1:15">
      <c r="A14" s="33" t="s">
        <v>25</v>
      </c>
      <c r="B14" s="21" t="s">
        <v>26</v>
      </c>
      <c r="C14" s="20" t="s">
        <v>27</v>
      </c>
      <c r="D14" s="20" t="s">
        <v>28</v>
      </c>
      <c r="E14" s="20" t="s">
        <v>16</v>
      </c>
      <c r="F14" s="21" t="s">
        <v>29</v>
      </c>
      <c r="G14" s="21" t="s">
        <v>14</v>
      </c>
      <c r="H14" s="20" t="s">
        <v>30</v>
      </c>
      <c r="I14" s="21" t="s">
        <v>31</v>
      </c>
      <c r="J14" s="20" t="s">
        <v>20</v>
      </c>
      <c r="K14" s="63" t="s">
        <v>32</v>
      </c>
      <c r="L14" s="22" t="s">
        <v>33</v>
      </c>
      <c r="M14" s="64" t="s">
        <v>34</v>
      </c>
      <c r="N14" s="22" t="s">
        <v>35</v>
      </c>
      <c r="O14" s="22" t="s">
        <v>36</v>
      </c>
    </row>
    <row r="15" s="3" customFormat="1" ht="18" customHeight="1" spans="1:15">
      <c r="A15" s="34">
        <v>44075</v>
      </c>
      <c r="B15" s="35">
        <f t="shared" ref="B15:B21" si="4">ROUND(G15/(1+E15),2)</f>
        <v>366972.48</v>
      </c>
      <c r="C15" s="36" t="s">
        <v>37</v>
      </c>
      <c r="D15" s="37" t="s">
        <v>38</v>
      </c>
      <c r="E15" s="38">
        <v>0.09</v>
      </c>
      <c r="F15" s="35">
        <f t="shared" ref="F15:F21" si="5">ROUND(G15/(1+E15)*E15,2)</f>
        <v>33027.52</v>
      </c>
      <c r="G15" s="27">
        <v>400000</v>
      </c>
      <c r="H15" s="23"/>
      <c r="I15" s="12"/>
      <c r="J15" s="65"/>
      <c r="K15" s="66" t="s">
        <v>39</v>
      </c>
      <c r="L15" s="67" t="s">
        <v>40</v>
      </c>
      <c r="M15" s="68" t="s">
        <v>41</v>
      </c>
      <c r="N15" s="67"/>
      <c r="O15" s="66"/>
    </row>
    <row r="16" s="3" customFormat="1" ht="18" customHeight="1" spans="1:15">
      <c r="A16" s="34"/>
      <c r="B16" s="35">
        <f t="shared" si="4"/>
        <v>0</v>
      </c>
      <c r="C16" s="36"/>
      <c r="D16" s="37"/>
      <c r="E16" s="39"/>
      <c r="F16" s="35">
        <f t="shared" si="5"/>
        <v>0</v>
      </c>
      <c r="G16" s="27"/>
      <c r="H16" s="40">
        <v>44118</v>
      </c>
      <c r="I16" s="35">
        <v>378959.64</v>
      </c>
      <c r="J16" s="67"/>
      <c r="K16" s="66" t="s">
        <v>39</v>
      </c>
      <c r="L16" s="67"/>
      <c r="M16" s="68"/>
      <c r="N16" s="67"/>
      <c r="O16" s="66"/>
    </row>
    <row r="17" s="3" customFormat="1" ht="18" customHeight="1" spans="1:15">
      <c r="A17" s="34">
        <v>44228</v>
      </c>
      <c r="B17" s="35">
        <f t="shared" si="4"/>
        <v>91743.12</v>
      </c>
      <c r="C17" s="36" t="s">
        <v>42</v>
      </c>
      <c r="D17" s="37" t="s">
        <v>38</v>
      </c>
      <c r="E17" s="38">
        <v>0.09</v>
      </c>
      <c r="F17" s="35">
        <f t="shared" si="5"/>
        <v>8256.88</v>
      </c>
      <c r="G17" s="27">
        <v>100000</v>
      </c>
      <c r="H17" s="23"/>
      <c r="I17" s="12"/>
      <c r="J17" s="65"/>
      <c r="K17" s="66" t="s">
        <v>39</v>
      </c>
      <c r="L17" s="67" t="s">
        <v>40</v>
      </c>
      <c r="M17" s="68"/>
      <c r="N17" s="67"/>
      <c r="O17" s="66"/>
    </row>
    <row r="18" s="3" customFormat="1" ht="18" customHeight="1" spans="1:15">
      <c r="A18" s="34"/>
      <c r="B18" s="35">
        <f t="shared" si="4"/>
        <v>0</v>
      </c>
      <c r="C18" s="36"/>
      <c r="D18" s="37"/>
      <c r="E18" s="39"/>
      <c r="F18" s="35">
        <f t="shared" si="5"/>
        <v>0</v>
      </c>
      <c r="G18" s="27"/>
      <c r="H18" s="23">
        <v>44256</v>
      </c>
      <c r="I18" s="12">
        <f>G15+G17-I16</f>
        <v>121040.36</v>
      </c>
      <c r="J18" s="65" t="s">
        <v>21</v>
      </c>
      <c r="K18" s="32" t="s">
        <v>39</v>
      </c>
      <c r="L18" s="67" t="s">
        <v>40</v>
      </c>
      <c r="M18" s="68"/>
      <c r="N18" s="67"/>
      <c r="O18" s="66"/>
    </row>
    <row r="19" s="3" customFormat="1" ht="18" customHeight="1" spans="1:15">
      <c r="A19" s="34">
        <v>44621</v>
      </c>
      <c r="B19" s="35">
        <f t="shared" si="4"/>
        <v>361780</v>
      </c>
      <c r="C19" s="36">
        <v>1</v>
      </c>
      <c r="D19" s="37" t="s">
        <v>43</v>
      </c>
      <c r="E19" s="39"/>
      <c r="F19" s="35">
        <f t="shared" si="5"/>
        <v>0</v>
      </c>
      <c r="G19" s="27">
        <v>361780</v>
      </c>
      <c r="H19" s="23"/>
      <c r="I19" s="12"/>
      <c r="J19" s="65"/>
      <c r="K19" s="32" t="s">
        <v>44</v>
      </c>
      <c r="L19" s="67" t="s">
        <v>40</v>
      </c>
      <c r="M19" s="68" t="s">
        <v>45</v>
      </c>
      <c r="N19" s="67"/>
      <c r="O19" s="66"/>
    </row>
    <row r="20" s="3" customFormat="1" ht="18" customHeight="1" spans="1:15">
      <c r="A20" s="34">
        <v>44621</v>
      </c>
      <c r="B20" s="35">
        <f t="shared" si="4"/>
        <v>29877.53</v>
      </c>
      <c r="C20" s="36">
        <v>1</v>
      </c>
      <c r="D20" s="37" t="s">
        <v>38</v>
      </c>
      <c r="E20" s="38">
        <v>0.09</v>
      </c>
      <c r="F20" s="35">
        <f t="shared" si="5"/>
        <v>2688.98</v>
      </c>
      <c r="G20" s="27">
        <v>32566.51</v>
      </c>
      <c r="H20" s="23"/>
      <c r="I20" s="12"/>
      <c r="J20" s="65"/>
      <c r="K20" s="32" t="s">
        <v>39</v>
      </c>
      <c r="L20" s="67" t="s">
        <v>40</v>
      </c>
      <c r="M20" s="68" t="s">
        <v>41</v>
      </c>
      <c r="N20" s="67"/>
      <c r="O20" s="66"/>
    </row>
    <row r="21" s="3" customFormat="1" ht="18" customHeight="1" spans="1:15">
      <c r="A21" s="34"/>
      <c r="B21" s="35">
        <f t="shared" si="4"/>
        <v>0</v>
      </c>
      <c r="C21" s="36"/>
      <c r="D21" s="37"/>
      <c r="E21" s="39"/>
      <c r="F21" s="35">
        <f t="shared" si="5"/>
        <v>0</v>
      </c>
      <c r="G21" s="27"/>
      <c r="H21" s="40">
        <v>44644</v>
      </c>
      <c r="I21" s="35">
        <v>202474.29</v>
      </c>
      <c r="J21" s="67" t="s">
        <v>46</v>
      </c>
      <c r="K21" s="66" t="s">
        <v>44</v>
      </c>
      <c r="L21" s="67" t="s">
        <v>40</v>
      </c>
      <c r="M21" s="68"/>
      <c r="N21" s="67"/>
      <c r="O21" s="66"/>
    </row>
    <row r="22" s="3" customFormat="1" ht="18" customHeight="1" spans="1:15">
      <c r="A22" s="34"/>
      <c r="B22" s="35"/>
      <c r="C22" s="36"/>
      <c r="D22" s="37"/>
      <c r="E22" s="38"/>
      <c r="F22" s="35"/>
      <c r="G22" s="27"/>
      <c r="H22" s="23"/>
      <c r="I22" s="12"/>
      <c r="J22" s="65"/>
      <c r="K22" s="32"/>
      <c r="L22" s="67"/>
      <c r="M22" s="68"/>
      <c r="N22" s="67"/>
      <c r="O22" s="66"/>
    </row>
    <row r="23" s="3" customFormat="1" ht="18" customHeight="1" spans="1:15">
      <c r="A23" s="34"/>
      <c r="B23" s="35">
        <f t="shared" ref="B23:B28" si="6">ROUND(G23/(1+E23),2)</f>
        <v>0</v>
      </c>
      <c r="C23" s="36"/>
      <c r="D23" s="37"/>
      <c r="E23" s="39"/>
      <c r="F23" s="35">
        <f t="shared" ref="F23:F29" si="7">ROUND(G23/(1+E23)*E23,2)</f>
        <v>0</v>
      </c>
      <c r="G23" s="27"/>
      <c r="H23" s="23"/>
      <c r="I23" s="12"/>
      <c r="J23" s="65"/>
      <c r="K23" s="32"/>
      <c r="L23" s="67"/>
      <c r="M23" s="68"/>
      <c r="N23" s="67"/>
      <c r="O23" s="66"/>
    </row>
    <row r="24" s="3" customFormat="1" ht="18" customHeight="1" spans="1:15">
      <c r="A24" s="34"/>
      <c r="B24" s="35">
        <f t="shared" si="6"/>
        <v>0</v>
      </c>
      <c r="C24" s="36"/>
      <c r="D24" s="37"/>
      <c r="E24" s="39"/>
      <c r="F24" s="35">
        <f t="shared" si="7"/>
        <v>0</v>
      </c>
      <c r="G24" s="27"/>
      <c r="H24" s="23"/>
      <c r="I24" s="69">
        <v>100</v>
      </c>
      <c r="J24" s="70" t="s">
        <v>47</v>
      </c>
      <c r="K24" s="71" t="s">
        <v>51</v>
      </c>
      <c r="L24" s="67"/>
      <c r="M24" s="68"/>
      <c r="N24" s="67"/>
      <c r="O24" s="66"/>
    </row>
    <row r="25" s="3" customFormat="1" ht="18" customHeight="1" spans="1:15">
      <c r="A25" s="34"/>
      <c r="B25" s="35">
        <f t="shared" si="6"/>
        <v>0</v>
      </c>
      <c r="C25" s="36"/>
      <c r="D25" s="37"/>
      <c r="E25" s="39"/>
      <c r="F25" s="35">
        <f t="shared" si="7"/>
        <v>0</v>
      </c>
      <c r="G25" s="27"/>
      <c r="H25" s="23"/>
      <c r="I25" s="69">
        <v>645.65</v>
      </c>
      <c r="J25" s="70" t="s">
        <v>47</v>
      </c>
      <c r="K25" s="72" t="s">
        <v>83</v>
      </c>
      <c r="L25" s="73" t="s">
        <v>84</v>
      </c>
      <c r="N25" s="67"/>
      <c r="O25" s="66"/>
    </row>
    <row r="26" s="3" customFormat="1" ht="18" customHeight="1" spans="1:15">
      <c r="A26" s="34"/>
      <c r="B26" s="35">
        <f t="shared" si="6"/>
        <v>0</v>
      </c>
      <c r="C26" s="36"/>
      <c r="D26" s="37"/>
      <c r="E26" s="39"/>
      <c r="F26" s="35">
        <f t="shared" si="7"/>
        <v>0</v>
      </c>
      <c r="G26" s="27"/>
      <c r="H26" s="23"/>
      <c r="I26" s="69">
        <v>5912.74</v>
      </c>
      <c r="J26" s="70" t="s">
        <v>47</v>
      </c>
      <c r="K26" s="72" t="s">
        <v>85</v>
      </c>
      <c r="L26" s="67"/>
      <c r="M26" s="68"/>
      <c r="N26" s="67"/>
      <c r="O26" s="66"/>
    </row>
    <row r="27" s="3" customFormat="1" ht="18" customHeight="1" spans="1:15">
      <c r="A27" s="34"/>
      <c r="B27" s="35">
        <f t="shared" si="6"/>
        <v>0</v>
      </c>
      <c r="C27" s="36"/>
      <c r="D27" s="37"/>
      <c r="E27" s="39"/>
      <c r="F27" s="35">
        <f t="shared" si="7"/>
        <v>0</v>
      </c>
      <c r="G27" s="27"/>
      <c r="H27" s="23"/>
      <c r="I27" s="74">
        <v>4310.7052</v>
      </c>
      <c r="J27" s="75" t="s">
        <v>47</v>
      </c>
      <c r="K27" s="76" t="s">
        <v>48</v>
      </c>
      <c r="L27" s="67"/>
      <c r="M27" s="68"/>
      <c r="N27" s="67"/>
      <c r="O27" s="66"/>
    </row>
    <row r="28" s="3" customFormat="1" ht="18" customHeight="1" spans="1:15">
      <c r="A28" s="34"/>
      <c r="B28" s="35">
        <f t="shared" si="6"/>
        <v>0</v>
      </c>
      <c r="C28" s="36"/>
      <c r="D28" s="37"/>
      <c r="E28" s="39"/>
      <c r="F28" s="35">
        <f t="shared" si="7"/>
        <v>0</v>
      </c>
      <c r="G28" s="27"/>
      <c r="H28" s="40">
        <v>44644</v>
      </c>
      <c r="I28" s="35">
        <v>-98586.63</v>
      </c>
      <c r="J28" s="67" t="s">
        <v>49</v>
      </c>
      <c r="K28" s="66" t="s">
        <v>50</v>
      </c>
      <c r="L28" s="67"/>
      <c r="M28" s="68"/>
      <c r="N28" s="67"/>
      <c r="O28" s="66"/>
    </row>
    <row r="29" s="3" customFormat="1" ht="18" customHeight="1" spans="1:15">
      <c r="A29" s="34"/>
      <c r="B29" s="35"/>
      <c r="C29" s="36"/>
      <c r="D29" s="37"/>
      <c r="E29" s="39"/>
      <c r="F29" s="35">
        <f t="shared" si="7"/>
        <v>0</v>
      </c>
      <c r="G29" s="27"/>
      <c r="H29" s="40">
        <v>44644</v>
      </c>
      <c r="I29" s="35">
        <v>100</v>
      </c>
      <c r="J29" s="67" t="s">
        <v>47</v>
      </c>
      <c r="K29" s="77" t="s">
        <v>51</v>
      </c>
      <c r="L29" s="67"/>
      <c r="M29" s="68"/>
      <c r="N29" s="67"/>
      <c r="O29" s="66"/>
    </row>
    <row r="30" s="3" customFormat="1" ht="18" customHeight="1" spans="1:15">
      <c r="A30" s="34"/>
      <c r="B30" s="35"/>
      <c r="C30" s="36"/>
      <c r="D30" s="37"/>
      <c r="E30" s="39"/>
      <c r="F30" s="35"/>
      <c r="G30" s="27"/>
      <c r="H30" s="40">
        <v>44644</v>
      </c>
      <c r="I30" s="35">
        <v>500</v>
      </c>
      <c r="J30" s="67" t="s">
        <v>47</v>
      </c>
      <c r="K30" s="77" t="s">
        <v>52</v>
      </c>
      <c r="L30" s="67"/>
      <c r="M30" s="68"/>
      <c r="N30" s="67"/>
      <c r="O30" s="66"/>
    </row>
    <row r="31" s="3" customFormat="1" ht="18" customHeight="1" spans="1:15">
      <c r="A31" s="34"/>
      <c r="B31" s="35"/>
      <c r="C31" s="36"/>
      <c r="D31" s="37"/>
      <c r="E31" s="39"/>
      <c r="F31" s="35"/>
      <c r="G31" s="27">
        <f>I31</f>
        <v>4000</v>
      </c>
      <c r="H31" s="40">
        <v>44644</v>
      </c>
      <c r="I31" s="35">
        <v>4000</v>
      </c>
      <c r="J31" s="67" t="s">
        <v>47</v>
      </c>
      <c r="K31" s="77" t="s">
        <v>53</v>
      </c>
      <c r="L31" s="67"/>
      <c r="M31" s="68"/>
      <c r="N31" s="67"/>
      <c r="O31" s="66"/>
    </row>
    <row r="32" s="3" customFormat="1" ht="18" customHeight="1" spans="1:15">
      <c r="A32" s="34"/>
      <c r="B32" s="35"/>
      <c r="C32" s="36"/>
      <c r="D32" s="37"/>
      <c r="E32" s="39"/>
      <c r="F32" s="35"/>
      <c r="G32" s="27"/>
      <c r="H32" s="40">
        <v>44644</v>
      </c>
      <c r="I32" s="35">
        <v>729.8</v>
      </c>
      <c r="J32" s="67" t="s">
        <v>47</v>
      </c>
      <c r="K32" s="66" t="s">
        <v>54</v>
      </c>
      <c r="L32" s="67"/>
      <c r="M32" s="68"/>
      <c r="N32" s="67"/>
      <c r="O32" s="66"/>
    </row>
    <row r="33" s="3" customFormat="1" ht="18" customHeight="1" spans="1:15">
      <c r="A33" s="34"/>
      <c r="B33" s="35">
        <f t="shared" ref="B33:B44" si="8">ROUND(G33/(1+E33),2)</f>
        <v>0</v>
      </c>
      <c r="C33" s="36"/>
      <c r="D33" s="37"/>
      <c r="E33" s="39"/>
      <c r="F33" s="35">
        <f t="shared" ref="F33:F44" si="9">ROUND(G33/(1+E33)*E33,2)</f>
        <v>0</v>
      </c>
      <c r="G33" s="27"/>
      <c r="H33" s="40">
        <v>44644</v>
      </c>
      <c r="I33" s="35">
        <v>24326.55</v>
      </c>
      <c r="J33" s="67" t="s">
        <v>47</v>
      </c>
      <c r="K33" s="66" t="s">
        <v>55</v>
      </c>
      <c r="L33" s="67"/>
      <c r="M33" s="68"/>
      <c r="N33" s="67"/>
      <c r="O33" s="66"/>
    </row>
    <row r="34" s="3" customFormat="1" ht="18" customHeight="1" spans="1:15">
      <c r="A34" s="34"/>
      <c r="B34" s="35">
        <f t="shared" si="8"/>
        <v>0</v>
      </c>
      <c r="C34" s="36"/>
      <c r="D34" s="37"/>
      <c r="E34" s="39"/>
      <c r="F34" s="35">
        <f t="shared" si="9"/>
        <v>0</v>
      </c>
      <c r="G34" s="27"/>
      <c r="H34" s="40">
        <v>44644</v>
      </c>
      <c r="I34" s="35">
        <v>366.62</v>
      </c>
      <c r="J34" s="67" t="s">
        <v>47</v>
      </c>
      <c r="K34" s="66" t="s">
        <v>56</v>
      </c>
      <c r="L34" s="67"/>
      <c r="M34" s="68"/>
      <c r="N34" s="67"/>
      <c r="O34" s="66"/>
    </row>
    <row r="35" s="3" customFormat="1" ht="18" customHeight="1" spans="1:15">
      <c r="A35" s="34"/>
      <c r="B35" s="35">
        <f t="shared" si="8"/>
        <v>0</v>
      </c>
      <c r="C35" s="36"/>
      <c r="D35" s="37"/>
      <c r="E35" s="39"/>
      <c r="F35" s="35">
        <f t="shared" si="9"/>
        <v>0</v>
      </c>
      <c r="G35" s="27"/>
      <c r="H35" s="23" t="s">
        <v>57</v>
      </c>
      <c r="I35" s="12">
        <f>394346.51*0.25</f>
        <v>98586.6275</v>
      </c>
      <c r="J35" s="37" t="s">
        <v>58</v>
      </c>
      <c r="K35" s="66" t="s">
        <v>59</v>
      </c>
      <c r="L35" s="67"/>
      <c r="M35" s="68"/>
      <c r="N35" s="67"/>
      <c r="O35" s="66"/>
    </row>
    <row r="36" s="3" customFormat="1" ht="18" customHeight="1" spans="1:15">
      <c r="A36" s="34"/>
      <c r="B36" s="35">
        <f t="shared" si="8"/>
        <v>0</v>
      </c>
      <c r="C36" s="36"/>
      <c r="D36" s="37"/>
      <c r="E36" s="39"/>
      <c r="F36" s="35">
        <f t="shared" si="9"/>
        <v>0</v>
      </c>
      <c r="G36" s="27"/>
      <c r="H36" s="23" t="s">
        <v>57</v>
      </c>
      <c r="I36" s="12">
        <v>100</v>
      </c>
      <c r="J36" s="65" t="s">
        <v>47</v>
      </c>
      <c r="K36" s="77" t="s">
        <v>51</v>
      </c>
      <c r="L36" s="67"/>
      <c r="M36" s="68"/>
      <c r="N36" s="67"/>
      <c r="O36" s="66"/>
    </row>
    <row r="37" s="3" customFormat="1" ht="18" customHeight="1" spans="1:15">
      <c r="A37" s="34"/>
      <c r="B37" s="35">
        <f t="shared" si="8"/>
        <v>3000</v>
      </c>
      <c r="C37" s="36"/>
      <c r="D37" s="37"/>
      <c r="E37" s="39"/>
      <c r="F37" s="35">
        <f t="shared" si="9"/>
        <v>0</v>
      </c>
      <c r="G37" s="27">
        <v>3000</v>
      </c>
      <c r="H37" s="23" t="s">
        <v>57</v>
      </c>
      <c r="I37" s="12">
        <v>3000</v>
      </c>
      <c r="J37" s="65" t="s">
        <v>47</v>
      </c>
      <c r="K37" s="77" t="s">
        <v>53</v>
      </c>
      <c r="L37" s="67"/>
      <c r="M37" s="68"/>
      <c r="N37" s="67"/>
      <c r="O37" s="66"/>
    </row>
    <row r="38" s="3" customFormat="1" ht="18" customHeight="1" spans="1:15">
      <c r="A38" s="34"/>
      <c r="B38" s="35">
        <f t="shared" si="8"/>
        <v>0</v>
      </c>
      <c r="C38" s="36"/>
      <c r="D38" s="37"/>
      <c r="E38" s="39"/>
      <c r="F38" s="35">
        <f t="shared" si="9"/>
        <v>0</v>
      </c>
      <c r="G38" s="27"/>
      <c r="H38" s="23" t="s">
        <v>57</v>
      </c>
      <c r="I38" s="12">
        <v>1500</v>
      </c>
      <c r="J38" s="65" t="s">
        <v>47</v>
      </c>
      <c r="K38" s="77" t="s">
        <v>60</v>
      </c>
      <c r="L38" s="67"/>
      <c r="M38" s="68"/>
      <c r="N38" s="67"/>
      <c r="O38" s="66"/>
    </row>
    <row r="39" s="3" customFormat="1" ht="18" customHeight="1" spans="1:15">
      <c r="A39" s="34"/>
      <c r="B39" s="35">
        <f t="shared" si="8"/>
        <v>0</v>
      </c>
      <c r="C39" s="36"/>
      <c r="D39" s="37"/>
      <c r="E39" s="39"/>
      <c r="F39" s="35">
        <f t="shared" si="9"/>
        <v>0</v>
      </c>
      <c r="G39" s="27"/>
      <c r="H39" s="23" t="s">
        <v>57</v>
      </c>
      <c r="I39" s="12">
        <v>82.57</v>
      </c>
      <c r="J39" s="65" t="s">
        <v>47</v>
      </c>
      <c r="K39" s="77" t="s">
        <v>61</v>
      </c>
      <c r="L39" s="67"/>
      <c r="M39" s="68"/>
      <c r="N39" s="67"/>
      <c r="O39" s="66"/>
    </row>
    <row r="40" s="3" customFormat="1" ht="18" customHeight="1" spans="1:15">
      <c r="A40" s="34"/>
      <c r="B40" s="35">
        <f t="shared" si="8"/>
        <v>0</v>
      </c>
      <c r="C40" s="36"/>
      <c r="D40" s="37"/>
      <c r="E40" s="39"/>
      <c r="F40" s="35">
        <f t="shared" si="9"/>
        <v>0</v>
      </c>
      <c r="G40" s="27"/>
      <c r="H40" s="23" t="s">
        <v>62</v>
      </c>
      <c r="I40" s="12">
        <v>100</v>
      </c>
      <c r="J40" s="65" t="s">
        <v>47</v>
      </c>
      <c r="K40" s="77" t="s">
        <v>51</v>
      </c>
      <c r="L40" s="66"/>
      <c r="M40" s="68"/>
      <c r="N40" s="67"/>
      <c r="O40" s="66"/>
    </row>
    <row r="41" s="3" customFormat="1" ht="18" customHeight="1" spans="1:15">
      <c r="A41" s="34"/>
      <c r="B41" s="35">
        <f t="shared" si="8"/>
        <v>0</v>
      </c>
      <c r="C41" s="36"/>
      <c r="D41" s="37"/>
      <c r="E41" s="39"/>
      <c r="F41" s="35">
        <f t="shared" si="9"/>
        <v>0</v>
      </c>
      <c r="G41" s="27"/>
      <c r="H41" s="23" t="s">
        <v>62</v>
      </c>
      <c r="I41" s="12">
        <v>500</v>
      </c>
      <c r="J41" s="65" t="s">
        <v>47</v>
      </c>
      <c r="K41" s="77" t="s">
        <v>63</v>
      </c>
      <c r="L41" s="66"/>
      <c r="M41" s="68"/>
      <c r="N41" s="67"/>
      <c r="O41" s="66"/>
    </row>
    <row r="42" s="3" customFormat="1" ht="18" customHeight="1" spans="1:15">
      <c r="A42" s="34"/>
      <c r="B42" s="35">
        <f t="shared" si="8"/>
        <v>0</v>
      </c>
      <c r="C42" s="36"/>
      <c r="D42" s="37"/>
      <c r="E42" s="39"/>
      <c r="F42" s="35">
        <f t="shared" si="9"/>
        <v>0</v>
      </c>
      <c r="G42" s="27"/>
      <c r="H42" s="23" t="s">
        <v>62</v>
      </c>
      <c r="I42" s="12">
        <v>4000</v>
      </c>
      <c r="J42" s="65" t="s">
        <v>47</v>
      </c>
      <c r="K42" s="77" t="s">
        <v>60</v>
      </c>
      <c r="L42" s="66"/>
      <c r="M42" s="68"/>
      <c r="N42" s="67"/>
      <c r="O42" s="66"/>
    </row>
    <row r="43" s="3" customFormat="1" ht="18" customHeight="1" spans="1:15">
      <c r="A43" s="34"/>
      <c r="B43" s="35">
        <f t="shared" si="8"/>
        <v>0</v>
      </c>
      <c r="C43" s="36"/>
      <c r="D43" s="37"/>
      <c r="E43" s="39"/>
      <c r="F43" s="35">
        <f t="shared" si="9"/>
        <v>0</v>
      </c>
      <c r="G43" s="27"/>
      <c r="H43" s="23" t="s">
        <v>62</v>
      </c>
      <c r="I43" s="12">
        <v>220.18</v>
      </c>
      <c r="J43" s="65" t="s">
        <v>47</v>
      </c>
      <c r="K43" s="77" t="s">
        <v>61</v>
      </c>
      <c r="L43" s="66"/>
      <c r="M43" s="68"/>
      <c r="N43" s="67"/>
      <c r="O43" s="66"/>
    </row>
    <row r="44" s="3" customFormat="1" ht="18" customHeight="1" spans="1:15">
      <c r="A44" s="34"/>
      <c r="B44" s="35">
        <f t="shared" si="8"/>
        <v>8000</v>
      </c>
      <c r="C44" s="36"/>
      <c r="D44" s="37"/>
      <c r="E44" s="39"/>
      <c r="F44" s="35">
        <f t="shared" si="9"/>
        <v>0</v>
      </c>
      <c r="G44" s="27">
        <v>8000</v>
      </c>
      <c r="H44" s="23" t="s">
        <v>62</v>
      </c>
      <c r="I44" s="12">
        <f>G7*0.02</f>
        <v>8000</v>
      </c>
      <c r="J44" s="65" t="s">
        <v>47</v>
      </c>
      <c r="K44" s="77" t="s">
        <v>53</v>
      </c>
      <c r="L44" s="66"/>
      <c r="M44" s="68"/>
      <c r="N44" s="67"/>
      <c r="O44" s="66"/>
    </row>
    <row r="45" s="2" customFormat="1" ht="18" customHeight="1" spans="1:15">
      <c r="A45" s="30" t="s">
        <v>23</v>
      </c>
      <c r="B45" s="29">
        <f t="shared" ref="B45:G45" si="10">SUM(B15:B44)</f>
        <v>861373.13</v>
      </c>
      <c r="C45" s="30"/>
      <c r="D45" s="41"/>
      <c r="E45" s="41"/>
      <c r="F45" s="31">
        <f t="shared" si="10"/>
        <v>43973.38</v>
      </c>
      <c r="G45" s="42">
        <f t="shared" si="10"/>
        <v>909346.51</v>
      </c>
      <c r="H45" s="43"/>
      <c r="I45" s="30">
        <f>SUM(I15:I44)</f>
        <v>760969.1027</v>
      </c>
      <c r="J45" s="78"/>
      <c r="K45" s="41"/>
      <c r="L45" s="32"/>
      <c r="M45" s="79"/>
      <c r="N45" s="65"/>
      <c r="O45" s="32"/>
    </row>
    <row r="46" s="2" customFormat="1" ht="18" customHeight="1" spans="1:14">
      <c r="A46" s="44" t="s">
        <v>64</v>
      </c>
      <c r="B46" s="44">
        <f>B12*0.96</f>
        <v>864062.109357798</v>
      </c>
      <c r="C46" s="44"/>
      <c r="D46" s="45"/>
      <c r="E46" s="45"/>
      <c r="F46" s="46"/>
      <c r="G46" s="44">
        <f>G12-G45</f>
        <v>71724.01</v>
      </c>
      <c r="H46" s="22" t="s">
        <v>65</v>
      </c>
      <c r="I46" s="30">
        <f>I12-I45</f>
        <v>139030.8973</v>
      </c>
      <c r="K46" s="80"/>
      <c r="M46" s="81"/>
      <c r="N46" s="82"/>
    </row>
    <row r="47" s="2" customFormat="1" ht="18" customHeight="1" spans="1:14">
      <c r="A47" s="44" t="s">
        <v>66</v>
      </c>
      <c r="B47" s="44">
        <f>B46-B45</f>
        <v>2688.97935779812</v>
      </c>
      <c r="C47" s="44"/>
      <c r="D47" s="45"/>
      <c r="E47" s="45"/>
      <c r="F47" s="46"/>
      <c r="G47" s="46"/>
      <c r="H47" s="47"/>
      <c r="I47" s="46"/>
      <c r="K47" s="80"/>
      <c r="M47" s="81"/>
      <c r="N47" s="82"/>
    </row>
    <row r="48" s="4" customFormat="1" ht="18" customHeight="1" spans="1:14">
      <c r="A48" s="6" t="s">
        <v>67</v>
      </c>
      <c r="C48" s="6"/>
      <c r="D48" s="5"/>
      <c r="E48" s="5"/>
      <c r="H48" s="5">
        <f>900000-58494.81</f>
        <v>841505.19</v>
      </c>
      <c r="J48" s="7"/>
      <c r="K48" s="2"/>
      <c r="L48" s="2"/>
      <c r="M48" s="1"/>
      <c r="N48" s="2"/>
    </row>
    <row r="49" s="2" customFormat="1" ht="18" customHeight="1" spans="1:13">
      <c r="A49" s="22" t="s">
        <v>68</v>
      </c>
      <c r="B49" s="21" t="s">
        <v>69</v>
      </c>
      <c r="C49" s="32"/>
      <c r="D49" s="22" t="s">
        <v>68</v>
      </c>
      <c r="E49" s="20" t="s">
        <v>16</v>
      </c>
      <c r="F49" s="21" t="s">
        <v>69</v>
      </c>
      <c r="G49" s="48" t="s">
        <v>70</v>
      </c>
      <c r="H49" s="12" t="s">
        <v>71</v>
      </c>
      <c r="I49" s="48" t="s">
        <v>72</v>
      </c>
      <c r="J49" s="7"/>
      <c r="K49" s="12" t="s">
        <v>73</v>
      </c>
      <c r="M49" s="1"/>
    </row>
    <row r="50" s="2" customFormat="1" ht="18" customHeight="1" spans="1:13">
      <c r="A50" s="32" t="s">
        <v>74</v>
      </c>
      <c r="B50" s="18">
        <f>(B46-B45)*0.25</f>
        <v>672.24483944953</v>
      </c>
      <c r="C50" s="32"/>
      <c r="D50" s="28" t="s">
        <v>75</v>
      </c>
      <c r="E50" s="22" t="s">
        <v>76</v>
      </c>
      <c r="F50" s="49">
        <f>F12-F45</f>
        <v>19031.1488073395</v>
      </c>
      <c r="G50" s="49">
        <v>0</v>
      </c>
      <c r="H50" s="31">
        <v>0</v>
      </c>
      <c r="I50" s="31">
        <f>(F7+F8+F9)-(F15+F17)</f>
        <v>21720.1288073395</v>
      </c>
      <c r="J50" s="7"/>
      <c r="K50" s="31"/>
      <c r="M50" s="83"/>
    </row>
    <row r="51" s="2" customFormat="1" ht="18" customHeight="1" spans="1:13">
      <c r="A51" s="32" t="s">
        <v>77</v>
      </c>
      <c r="B51" s="50">
        <f>G12*0.0003</f>
        <v>294.321156</v>
      </c>
      <c r="C51" s="32"/>
      <c r="D51" s="51" t="s">
        <v>78</v>
      </c>
      <c r="E51" s="14">
        <v>0.07</v>
      </c>
      <c r="F51" s="48">
        <f>F50*E51</f>
        <v>1332.18041651376</v>
      </c>
      <c r="G51" s="48">
        <f>G50*E51</f>
        <v>0</v>
      </c>
      <c r="H51" s="12">
        <f>H50*E51</f>
        <v>0</v>
      </c>
      <c r="I51" s="12">
        <f>I50*0.07</f>
        <v>1520.40901651376</v>
      </c>
      <c r="J51" s="7"/>
      <c r="K51" s="12">
        <f>K50*0.07</f>
        <v>0</v>
      </c>
      <c r="M51" s="1"/>
    </row>
    <row r="52" s="2" customFormat="1" ht="18" customHeight="1" spans="1:13">
      <c r="A52" s="32" t="s">
        <v>61</v>
      </c>
      <c r="B52" s="50">
        <f>B7*0.0006</f>
        <v>220.183486238532</v>
      </c>
      <c r="C52" s="32"/>
      <c r="D52" s="51" t="s">
        <v>79</v>
      </c>
      <c r="E52" s="14">
        <v>0.03</v>
      </c>
      <c r="F52" s="48">
        <f>F50*E52</f>
        <v>570.934464220183</v>
      </c>
      <c r="G52" s="48">
        <f>G50*E52</f>
        <v>0</v>
      </c>
      <c r="H52" s="12">
        <f>H50*E52</f>
        <v>0</v>
      </c>
      <c r="I52" s="12">
        <f>I50*0.03</f>
        <v>651.603864220184</v>
      </c>
      <c r="J52" s="7"/>
      <c r="K52" s="12">
        <f>K50*0.03</f>
        <v>0</v>
      </c>
      <c r="M52" s="1"/>
    </row>
    <row r="53" s="2" customFormat="1" ht="18" customHeight="1" spans="1:13">
      <c r="A53" s="32"/>
      <c r="B53" s="48"/>
      <c r="C53" s="32"/>
      <c r="D53" s="51" t="s">
        <v>80</v>
      </c>
      <c r="E53" s="14">
        <v>0.02</v>
      </c>
      <c r="F53" s="48">
        <f>F50*E53</f>
        <v>380.622976146789</v>
      </c>
      <c r="G53" s="48">
        <f>G50*E53</f>
        <v>0</v>
      </c>
      <c r="H53" s="12">
        <f>H50*E53</f>
        <v>0</v>
      </c>
      <c r="I53" s="12">
        <f>I50*0.02</f>
        <v>434.402576146789</v>
      </c>
      <c r="J53" s="7"/>
      <c r="K53" s="12">
        <f>K50*0.02</f>
        <v>0</v>
      </c>
      <c r="M53" s="1"/>
    </row>
    <row r="54" s="2" customFormat="1" ht="18" customHeight="1" spans="1:13">
      <c r="A54" s="28" t="s">
        <v>81</v>
      </c>
      <c r="B54" s="52">
        <f t="shared" ref="B54:I54" si="11">SUM(B50:B53)</f>
        <v>1186.74948168806</v>
      </c>
      <c r="C54" s="32"/>
      <c r="D54" s="33" t="s">
        <v>81</v>
      </c>
      <c r="E54" s="28"/>
      <c r="F54" s="49">
        <f t="shared" si="11"/>
        <v>21314.8866642202</v>
      </c>
      <c r="G54" s="49">
        <f t="shared" si="11"/>
        <v>0</v>
      </c>
      <c r="H54" s="31">
        <f t="shared" si="11"/>
        <v>0</v>
      </c>
      <c r="I54" s="31">
        <f t="shared" si="11"/>
        <v>24326.5442642202</v>
      </c>
      <c r="J54" s="7"/>
      <c r="K54" s="31">
        <f>SUM(K50:K53)</f>
        <v>0</v>
      </c>
      <c r="M54" s="1"/>
    </row>
    <row r="55" s="2" customFormat="1" ht="18" customHeight="1" spans="1:13">
      <c r="A55" s="6"/>
      <c r="B55" s="4"/>
      <c r="C55" s="6"/>
      <c r="D55" s="12" t="s">
        <v>77</v>
      </c>
      <c r="E55" s="53">
        <v>0.0003</v>
      </c>
      <c r="F55" s="48">
        <f>G12*E55</f>
        <v>294.321156</v>
      </c>
      <c r="G55" s="48">
        <v>0</v>
      </c>
      <c r="H55" s="12">
        <v>0</v>
      </c>
      <c r="I55" s="12">
        <f>G9*0.0003</f>
        <v>129.321156</v>
      </c>
      <c r="J55" s="7"/>
      <c r="K55" s="12">
        <f>G10*0.0003</f>
        <v>0</v>
      </c>
      <c r="M55" s="1"/>
    </row>
    <row r="56" s="2" customFormat="1" ht="18" customHeight="1" spans="1:13">
      <c r="A56" s="6"/>
      <c r="B56" s="4"/>
      <c r="C56" s="6"/>
      <c r="D56" s="12" t="s">
        <v>61</v>
      </c>
      <c r="E56" s="53">
        <v>0.0006</v>
      </c>
      <c r="F56" s="48">
        <f>E56*B12</f>
        <v>540.038818348624</v>
      </c>
      <c r="G56" s="48">
        <f>B7*0.0006</f>
        <v>220.183486238532</v>
      </c>
      <c r="H56" s="12">
        <f>B8*E56</f>
        <v>82.5688073394495</v>
      </c>
      <c r="I56" s="12">
        <f>B9*0.0006</f>
        <v>237.286524770642</v>
      </c>
      <c r="J56" s="7"/>
      <c r="K56" s="12">
        <f>B10*0.0006</f>
        <v>0</v>
      </c>
      <c r="M56" s="1"/>
    </row>
    <row r="57" s="2" customFormat="1" ht="18" customHeight="1" spans="1:13">
      <c r="A57" s="6"/>
      <c r="B57" s="4"/>
      <c r="C57" s="6"/>
      <c r="D57" s="20" t="s">
        <v>81</v>
      </c>
      <c r="E57" s="41"/>
      <c r="F57" s="54">
        <f>F56+F55</f>
        <v>834.359974348624</v>
      </c>
      <c r="G57" s="54">
        <f>G55+G56</f>
        <v>220.183486238532</v>
      </c>
      <c r="H57" s="30">
        <f t="shared" ref="H57:K57" si="12">SUM(H55:H56)</f>
        <v>82.5688073394495</v>
      </c>
      <c r="I57" s="30">
        <f t="shared" si="12"/>
        <v>366.607680770642</v>
      </c>
      <c r="J57" s="7"/>
      <c r="K57" s="30">
        <f t="shared" si="12"/>
        <v>0</v>
      </c>
      <c r="M57" s="1"/>
    </row>
    <row r="58" s="2" customFormat="1" ht="18" customHeight="1" spans="1:13">
      <c r="A58" s="6"/>
      <c r="B58" s="4"/>
      <c r="C58" s="6"/>
      <c r="D58" s="20" t="s">
        <v>23</v>
      </c>
      <c r="E58" s="30"/>
      <c r="F58" s="54">
        <f t="shared" ref="F58:I58" si="13">F54+F57</f>
        <v>22149.2466385688</v>
      </c>
      <c r="G58" s="54">
        <f t="shared" si="13"/>
        <v>220.183486238532</v>
      </c>
      <c r="H58" s="30">
        <f t="shared" si="13"/>
        <v>82.5688073394495</v>
      </c>
      <c r="I58" s="30">
        <f t="shared" si="13"/>
        <v>24693.1519449908</v>
      </c>
      <c r="J58" s="7"/>
      <c r="K58" s="30">
        <f>K54+K57</f>
        <v>0</v>
      </c>
      <c r="M58" s="1"/>
    </row>
    <row r="59" s="2" customFormat="1" ht="18" customHeight="1" spans="1:13">
      <c r="A59" s="6"/>
      <c r="B59" s="4"/>
      <c r="C59" s="6"/>
      <c r="D59" s="30" t="s">
        <v>74</v>
      </c>
      <c r="E59" s="55">
        <v>0.01</v>
      </c>
      <c r="F59" s="54">
        <f>G12*E59</f>
        <v>9810.7052</v>
      </c>
      <c r="G59" s="56">
        <f>G7*E59</f>
        <v>4000</v>
      </c>
      <c r="H59" s="30">
        <f>G8*E59</f>
        <v>1500</v>
      </c>
      <c r="I59" s="30">
        <f>G9*0.01</f>
        <v>4310.7052</v>
      </c>
      <c r="J59" s="7"/>
      <c r="K59" s="30">
        <f>G10*0.01</f>
        <v>0</v>
      </c>
      <c r="M59" s="1"/>
    </row>
    <row r="60" s="4" customFormat="1" ht="18" customHeight="1" spans="1:14">
      <c r="A60" s="6"/>
      <c r="C60" s="6"/>
      <c r="D60" s="5"/>
      <c r="E60" s="5" t="s">
        <v>82</v>
      </c>
      <c r="H60" s="5"/>
      <c r="J60" s="7"/>
      <c r="K60" s="2"/>
      <c r="L60" s="2"/>
      <c r="M60" s="1"/>
      <c r="N60" s="2"/>
    </row>
    <row r="61" s="5" customFormat="1" ht="18" customHeight="1" spans="1:14">
      <c r="A61" s="6"/>
      <c r="B61" s="4"/>
      <c r="C61" s="6"/>
      <c r="F61" s="4"/>
      <c r="G61" s="4"/>
      <c r="I61" s="4"/>
      <c r="J61" s="7"/>
      <c r="K61" s="2"/>
      <c r="L61" s="2"/>
      <c r="M61" s="1"/>
      <c r="N61" s="2"/>
    </row>
    <row r="62" s="5" customFormat="1" ht="18" customHeight="1" spans="1:14">
      <c r="A62" s="6"/>
      <c r="B62" s="4"/>
      <c r="C62" s="6"/>
      <c r="F62" s="4"/>
      <c r="G62" s="4"/>
      <c r="I62" s="4"/>
      <c r="J62" s="7"/>
      <c r="K62" s="2"/>
      <c r="L62" s="2"/>
      <c r="M62" s="1"/>
      <c r="N62" s="2"/>
    </row>
    <row r="63" s="5" customFormat="1" spans="1:14">
      <c r="A63" s="6"/>
      <c r="B63" s="4"/>
      <c r="C63" s="6"/>
      <c r="F63" s="4"/>
      <c r="G63" s="4"/>
      <c r="I63" s="4"/>
      <c r="J63" s="7"/>
      <c r="K63" s="2"/>
      <c r="L63" s="2"/>
      <c r="M63" s="1"/>
      <c r="N63" s="2"/>
    </row>
    <row r="64" s="5" customFormat="1" spans="1:14">
      <c r="A64" s="6"/>
      <c r="B64" s="4"/>
      <c r="C64" s="6"/>
      <c r="F64" s="4"/>
      <c r="G64" s="4"/>
      <c r="I64" s="4"/>
      <c r="J64" s="7"/>
      <c r="K64" s="2"/>
      <c r="L64" s="2"/>
      <c r="M64" s="1"/>
      <c r="N64" s="2"/>
    </row>
    <row r="65" s="5" customFormat="1" spans="1:14">
      <c r="A65" s="6"/>
      <c r="B65" s="4"/>
      <c r="C65" s="6"/>
      <c r="F65" s="4"/>
      <c r="G65" s="4"/>
      <c r="I65" s="4"/>
      <c r="J65" s="7"/>
      <c r="K65" s="2"/>
      <c r="L65" s="2"/>
      <c r="M65" s="1"/>
      <c r="N65" s="2"/>
    </row>
    <row r="66" s="5" customFormat="1" spans="1:14">
      <c r="A66" s="6"/>
      <c r="B66" s="4"/>
      <c r="C66" s="6"/>
      <c r="F66" s="4"/>
      <c r="G66" s="4"/>
      <c r="I66" s="4"/>
      <c r="J66" s="7"/>
      <c r="K66" s="2"/>
      <c r="L66" s="2"/>
      <c r="M66" s="1"/>
      <c r="N66" s="2"/>
    </row>
    <row r="67" s="5" customFormat="1" spans="1:14">
      <c r="A67" s="6"/>
      <c r="B67" s="4"/>
      <c r="C67" s="6"/>
      <c r="F67" s="4"/>
      <c r="G67" s="4"/>
      <c r="I67" s="4"/>
      <c r="J67" s="7"/>
      <c r="K67" s="2"/>
      <c r="L67" s="2"/>
      <c r="M67" s="1"/>
      <c r="N67" s="2"/>
    </row>
    <row r="68" s="5" customFormat="1" spans="1:14">
      <c r="A68" s="6"/>
      <c r="B68" s="4"/>
      <c r="C68" s="6"/>
      <c r="F68" s="4"/>
      <c r="G68" s="4"/>
      <c r="I68" s="4"/>
      <c r="J68" s="7"/>
      <c r="K68" s="2"/>
      <c r="L68" s="2"/>
      <c r="M68" s="1"/>
      <c r="N68" s="2"/>
    </row>
    <row r="69" s="5" customFormat="1" spans="1:14">
      <c r="A69" s="6"/>
      <c r="B69" s="4"/>
      <c r="C69" s="6"/>
      <c r="F69" s="4"/>
      <c r="G69" s="4"/>
      <c r="I69" s="4"/>
      <c r="J69" s="7"/>
      <c r="K69" s="2"/>
      <c r="L69" s="2"/>
      <c r="M69" s="1"/>
      <c r="N69" s="2"/>
    </row>
    <row r="70" s="5" customFormat="1" spans="1:14">
      <c r="A70" s="6"/>
      <c r="B70" s="4"/>
      <c r="C70" s="6"/>
      <c r="F70" s="4"/>
      <c r="G70" s="4"/>
      <c r="I70" s="4"/>
      <c r="J70" s="7"/>
      <c r="K70" s="2"/>
      <c r="L70" s="2"/>
      <c r="M70" s="1"/>
      <c r="N70" s="2"/>
    </row>
    <row r="71" s="5" customFormat="1" spans="1:14">
      <c r="A71" s="6"/>
      <c r="B71" s="4"/>
      <c r="C71" s="6"/>
      <c r="F71" s="4"/>
      <c r="G71" s="4"/>
      <c r="I71" s="4"/>
      <c r="J71" s="7"/>
      <c r="K71" s="2"/>
      <c r="L71" s="2"/>
      <c r="M71" s="1"/>
      <c r="N71" s="2"/>
    </row>
    <row r="72" s="5" customFormat="1" spans="1:14">
      <c r="A72" s="6"/>
      <c r="B72" s="4"/>
      <c r="C72" s="6"/>
      <c r="F72" s="4"/>
      <c r="G72" s="4"/>
      <c r="I72" s="4"/>
      <c r="J72" s="7"/>
      <c r="K72" s="2"/>
      <c r="L72" s="2"/>
      <c r="M72" s="1"/>
      <c r="N72" s="2"/>
    </row>
    <row r="73" s="5" customFormat="1" spans="1:14">
      <c r="A73" s="6"/>
      <c r="B73" s="4"/>
      <c r="C73" s="6"/>
      <c r="F73" s="4"/>
      <c r="G73" s="4"/>
      <c r="I73" s="4"/>
      <c r="J73" s="7"/>
      <c r="K73" s="2"/>
      <c r="L73" s="2"/>
      <c r="M73" s="1"/>
      <c r="N73" s="2"/>
    </row>
    <row r="74" s="5" customFormat="1" spans="1:14">
      <c r="A74" s="6"/>
      <c r="B74" s="4"/>
      <c r="C74" s="6"/>
      <c r="F74" s="4"/>
      <c r="G74" s="4"/>
      <c r="I74" s="4"/>
      <c r="J74" s="7"/>
      <c r="K74" s="2"/>
      <c r="L74" s="2"/>
      <c r="M74" s="1"/>
      <c r="N74" s="2"/>
    </row>
    <row r="75" s="5" customFormat="1" spans="1:14">
      <c r="A75" s="6"/>
      <c r="B75" s="4"/>
      <c r="C75" s="6"/>
      <c r="F75" s="4"/>
      <c r="G75" s="4"/>
      <c r="I75" s="4"/>
      <c r="J75" s="7"/>
      <c r="K75" s="2"/>
      <c r="L75" s="2"/>
      <c r="M75" s="1"/>
      <c r="N75" s="2"/>
    </row>
    <row r="76" s="5" customFormat="1" spans="1:14">
      <c r="A76" s="6"/>
      <c r="B76" s="4"/>
      <c r="C76" s="6"/>
      <c r="F76" s="4"/>
      <c r="G76" s="4"/>
      <c r="I76" s="4"/>
      <c r="J76" s="7"/>
      <c r="K76" s="2"/>
      <c r="L76" s="2"/>
      <c r="M76" s="1"/>
      <c r="N76" s="2"/>
    </row>
    <row r="77" s="5" customFormat="1" spans="1:14">
      <c r="A77" s="6"/>
      <c r="B77" s="4"/>
      <c r="C77" s="6"/>
      <c r="F77" s="4"/>
      <c r="G77" s="4"/>
      <c r="I77" s="4"/>
      <c r="J77" s="7"/>
      <c r="K77" s="2"/>
      <c r="L77" s="2"/>
      <c r="M77" s="1"/>
      <c r="N77" s="2"/>
    </row>
    <row r="78" s="5" customFormat="1" spans="1:14">
      <c r="A78" s="6"/>
      <c r="B78" s="4"/>
      <c r="C78" s="6"/>
      <c r="F78" s="4"/>
      <c r="G78" s="4"/>
      <c r="I78" s="4"/>
      <c r="J78" s="7"/>
      <c r="K78" s="2"/>
      <c r="L78" s="2"/>
      <c r="M78" s="1"/>
      <c r="N78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结算表（孙）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2023-02-14T02:58:22Z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  <property fmtid="{D5CDD505-2E9C-101B-9397-08002B2CF9AE}" pid="3" name="ICV">
    <vt:lpwstr>3FE252E0465A4D468DFC659E80EAF4BC</vt:lpwstr>
  </property>
</Properties>
</file>