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庐江县柯坦镇柯坦社区竹园、塘拐、虎洞村大堰、小堰等5个自然村庄" sheetId="1" r:id="rId1"/>
    <sheet name="庐江县柯坦镇柿树村罗店等3个自然村庄小型公益性设施建设工程施工" sheetId="2" r:id="rId2"/>
  </sheets>
  <definedNames>
    <definedName name="_xlnm._FilterDatabase" localSheetId="0" hidden="1">庐江县柯坦镇柯坦社区竹园、塘拐、虎洞村大堰、小堰等5个自然村庄!$A$14:$O$66</definedName>
    <definedName name="_xlnm._FilterDatabase" localSheetId="1" hidden="1">庐江县柯坦镇柿树村罗店等3个自然村庄小型公益性设施建设工程施工!$A$14:$P$61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A5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9" authorId="1">
      <text>
        <r>
          <rPr>
            <sz val="9"/>
            <rFont val="宋体"/>
            <charset val="134"/>
          </rPr>
          <t>cw09:
吴总</t>
        </r>
      </text>
    </comment>
    <comment ref="E64" authorId="1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L41" authorId="0">
      <text>
        <r>
          <rPr>
            <sz val="9"/>
            <rFont val="宋体"/>
            <charset val="134"/>
          </rPr>
          <t>cw09:
借款时工程款已到账 不收利息 （朱总）</t>
        </r>
      </text>
    </comment>
    <comment ref="A5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4" authorId="0">
      <text>
        <r>
          <rPr>
            <sz val="9"/>
            <rFont val="宋体"/>
            <charset val="134"/>
          </rPr>
          <t>cw09:
吴总同意按照2个点扣除利息</t>
        </r>
      </text>
    </comment>
    <comment ref="E59" authorId="0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sharedStrings.xml><?xml version="1.0" encoding="utf-8"?>
<sst xmlns="http://schemas.openxmlformats.org/spreadsheetml/2006/main" count="320" uniqueCount="132">
  <si>
    <t>C11757  庐江县柯坦镇柯坦社区竹园、塘拐、虎洞村大堰、小堰等5个自然村庄小型公益性设施建设工程施工</t>
  </si>
  <si>
    <t>中标日期</t>
  </si>
  <si>
    <t>中标价</t>
  </si>
  <si>
    <t>负责人</t>
  </si>
  <si>
    <t>施迎东</t>
  </si>
  <si>
    <t>建设单位</t>
  </si>
  <si>
    <t>庐江县柯坦镇人民政府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</si>
  <si>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</si>
  <si>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</si>
  <si>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</si>
  <si>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</si>
  <si>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</si>
  <si>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</si>
  <si>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</si>
  <si>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</si>
  <si>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</si>
  <si>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</si>
  <si>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</si>
  <si>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</si>
  <si>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</si>
  <si>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</si>
  <si>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</si>
  <si>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</si>
  <si>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</si>
  <si>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</si>
  <si>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</si>
  <si>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</si>
  <si>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</si>
  <si>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</si>
  <si>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</si>
  <si>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</si>
  <si>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</si>
  <si>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</si>
  <si>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</si>
  <si>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</si>
  <si>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</si>
  <si>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</si>
  <si>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笪九娟</t>
  </si>
  <si>
    <t>石子</t>
  </si>
  <si>
    <t>李家宝、肖娜</t>
  </si>
  <si>
    <t>石子 、挖机费</t>
  </si>
  <si>
    <t>有</t>
  </si>
  <si>
    <t>专</t>
  </si>
  <si>
    <t>庐江县焌珲建材销售有限公司</t>
  </si>
  <si>
    <t>混凝土196.078立方</t>
  </si>
  <si>
    <t>19-12-</t>
  </si>
  <si>
    <t>安徽智宏建设投资有限公司</t>
  </si>
  <si>
    <t>工程服务</t>
  </si>
  <si>
    <t>朱敏</t>
  </si>
  <si>
    <t>庐江县为先建筑劳务服务有限公司</t>
  </si>
  <si>
    <t>机械</t>
  </si>
  <si>
    <t>黄明国</t>
  </si>
  <si>
    <t>黄沙 个人</t>
  </si>
  <si>
    <t>庐江县华泰建筑设计咨询有限公司</t>
  </si>
  <si>
    <t>设计费</t>
  </si>
  <si>
    <t>材料款</t>
  </si>
  <si>
    <t>徽行</t>
  </si>
  <si>
    <t>王纯（夏成东抵王纯借款)</t>
  </si>
  <si>
    <t>石子（李家保、肖娜）</t>
  </si>
  <si>
    <t>委托付款函附后</t>
  </si>
  <si>
    <t>砂石（黄明国）</t>
  </si>
  <si>
    <t>安徽昌达（夏成东借）</t>
  </si>
  <si>
    <t>夏成东借款</t>
  </si>
  <si>
    <t>退</t>
  </si>
  <si>
    <t>3次</t>
  </si>
  <si>
    <t>暂扣借款</t>
  </si>
  <si>
    <t>扣</t>
  </si>
  <si>
    <t>转账手续费</t>
  </si>
  <si>
    <t>剩余管理费</t>
  </si>
  <si>
    <t>补扣</t>
  </si>
  <si>
    <t>企税1%</t>
  </si>
  <si>
    <t>2次</t>
  </si>
  <si>
    <t>暂扣</t>
  </si>
  <si>
    <t>借款</t>
  </si>
  <si>
    <t>转账费</t>
  </si>
  <si>
    <t>企税（已全退）</t>
  </si>
  <si>
    <t>1次</t>
  </si>
  <si>
    <t>企税（成本不够）</t>
  </si>
  <si>
    <t>垫付增值税利息</t>
  </si>
  <si>
    <t>增值税及附加</t>
  </si>
  <si>
    <t>印花水利</t>
  </si>
  <si>
    <t>管理费</t>
  </si>
  <si>
    <t>代办费（开户费）</t>
  </si>
  <si>
    <t>应提供成本</t>
  </si>
  <si>
    <t>尚需提供成本</t>
  </si>
  <si>
    <t>可支付金额</t>
  </si>
  <si>
    <t>公司代缴税金：</t>
  </si>
  <si>
    <t>税种</t>
  </si>
  <si>
    <t>税额</t>
  </si>
  <si>
    <t>19.9月开票扣税</t>
  </si>
  <si>
    <t>19.11月开票扣税</t>
  </si>
  <si>
    <t>扣垫付增值税利息</t>
  </si>
  <si>
    <t>19.12月开票扣税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</si>
  <si>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</si>
  <si>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</si>
  <si>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</si>
  <si>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</si>
  <si>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</si>
  <si>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</si>
  <si>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</si>
  <si>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</si>
  <si>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</si>
  <si>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印花</t>
  </si>
  <si>
    <t>水利</t>
  </si>
  <si>
    <t>企税</t>
  </si>
  <si>
    <t>C117578 庐江县柯坦镇柿树村罗店等3个自然村庄小型公益性设施建设工程施工</t>
  </si>
  <si>
    <t>有黄治才98000黄沙、张昌杨98000石子发票放其他项目</t>
  </si>
  <si>
    <t>普代</t>
  </si>
  <si>
    <t>夏士峰</t>
  </si>
  <si>
    <t>夏立银</t>
  </si>
  <si>
    <t>汪秀牛</t>
  </si>
  <si>
    <t>黄沙、石子</t>
  </si>
  <si>
    <t>束礼芝、江海云、黄玉珍</t>
  </si>
  <si>
    <t>黄沙、石子、石子</t>
  </si>
  <si>
    <t>混凝土950.705立方</t>
  </si>
  <si>
    <t>借款1.23</t>
  </si>
  <si>
    <t>公司借款</t>
  </si>
  <si>
    <t>19-11-</t>
  </si>
  <si>
    <t>夏成东借款支付焌珲建材材料款</t>
  </si>
  <si>
    <t>安徽昌达（夏成东借）浚珲</t>
  </si>
  <si>
    <t>退还</t>
  </si>
  <si>
    <t>公司借款浚珲</t>
  </si>
  <si>
    <t>公司借款付浚珲</t>
  </si>
  <si>
    <t>王纯（夏成东抵王纯借款)（束礼芝、江海云、黄玉珍）</t>
  </si>
  <si>
    <t>劳务</t>
  </si>
  <si>
    <t>企税1%，</t>
  </si>
  <si>
    <t>全部管理费</t>
  </si>
  <si>
    <t>之前暂扣企税 （部分）</t>
  </si>
  <si>
    <t>企税1%，第一次按不含税</t>
  </si>
  <si>
    <t>夏成东借款  19.11.27付浚珲</t>
  </si>
  <si>
    <t>借款日期19.11.1日</t>
  </si>
  <si>
    <t xml:space="preserve"> </t>
  </si>
</sst>
</file>

<file path=xl/styles.xml><?xml version="1.0" encoding="utf-8"?>
<styleSheet xmlns="http://schemas.openxmlformats.org/spreadsheetml/2006/main">
  <numFmts count="10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178" formatCode="yy/m/d;@"/>
    <numFmt numFmtId="179" formatCode="yyyy&quot;年&quot;m&quot;月&quot;;@"/>
    <numFmt numFmtId="180" formatCode="#,##0_ "/>
    <numFmt numFmtId="181" formatCode="0.00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8" fillId="9" borderId="7" applyNumberFormat="0" applyAlignment="0" applyProtection="0">
      <alignment vertical="center"/>
    </xf>
    <xf numFmtId="0" fontId="14" fillId="13" borderId="10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4" fontId="4" fillId="0" borderId="0" xfId="0" applyNumberFormat="1" applyFont="1"/>
    <xf numFmtId="177" fontId="1" fillId="0" borderId="2" xfId="0" applyNumberFormat="1" applyFont="1" applyBorder="1" applyAlignment="1">
      <alignment vertical="center"/>
    </xf>
    <xf numFmtId="177" fontId="4" fillId="0" borderId="0" xfId="8" applyNumberFormat="1" applyFont="1" applyAlignment="1"/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NumberFormat="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9" fontId="1" fillId="0" borderId="2" xfId="1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right" vertical="center"/>
    </xf>
    <xf numFmtId="9" fontId="1" fillId="5" borderId="2" xfId="1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3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6" fontId="5" fillId="6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8" fontId="5" fillId="0" borderId="0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left" vertical="center"/>
    </xf>
    <xf numFmtId="178" fontId="1" fillId="0" borderId="6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177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 wrapText="1"/>
    </xf>
    <xf numFmtId="177" fontId="1" fillId="0" borderId="0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6" borderId="2" xfId="0" applyNumberFormat="1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177" fontId="1" fillId="7" borderId="2" xfId="0" applyNumberFormat="1" applyFont="1" applyFill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177" fontId="2" fillId="7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 wrapText="1"/>
    </xf>
    <xf numFmtId="176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43" fontId="4" fillId="0" borderId="0" xfId="8" applyFont="1" applyAlignment="1"/>
    <xf numFmtId="176" fontId="1" fillId="0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5" fillId="3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tabSelected="1" topLeftCell="A43" workbookViewId="0">
      <selection activeCell="H71" sqref="H71"/>
    </sheetView>
  </sheetViews>
  <sheetFormatPr defaultColWidth="9" defaultRowHeight="11.25"/>
  <cols>
    <col min="1" max="1" width="10.775" style="5" customWidth="1"/>
    <col min="2" max="2" width="13.883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6.1083333333333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1" customWidth="1"/>
    <col min="12" max="12" width="16.75" style="1" customWidth="1"/>
    <col min="13" max="13" width="8.875" style="1" customWidth="1"/>
    <col min="14" max="14" width="5.66666666666667" style="1" customWidth="1"/>
    <col min="15" max="16384" width="9" style="1"/>
  </cols>
  <sheetData>
    <row r="1" ht="21.9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43717</v>
      </c>
      <c r="C2" s="12" t="s">
        <v>2</v>
      </c>
      <c r="D2" s="100">
        <v>1801800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>
        <v>1505454.03</v>
      </c>
      <c r="H3" s="18"/>
      <c r="I3" s="67"/>
      <c r="J3" s="18"/>
      <c r="K3" s="18"/>
      <c r="L3" s="18"/>
    </row>
    <row r="4" ht="18" customHeight="1" spans="1:12">
      <c r="A4" s="5" t="s">
        <v>9</v>
      </c>
      <c r="H4" s="18"/>
      <c r="I4" s="67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43733</v>
      </c>
      <c r="B7" s="12">
        <f>G7/(1+C7+E7)</f>
        <v>909165.137614679</v>
      </c>
      <c r="C7" s="23">
        <v>0</v>
      </c>
      <c r="D7" s="101">
        <f>G7/(1+E7+C7)*C7</f>
        <v>0</v>
      </c>
      <c r="E7" s="23">
        <v>0.09</v>
      </c>
      <c r="F7" s="12">
        <f>G7/(1+C7+E7)*E7</f>
        <v>81824.8623853211</v>
      </c>
      <c r="G7" s="25">
        <v>990990</v>
      </c>
      <c r="H7" s="22">
        <v>43774</v>
      </c>
      <c r="I7" s="12">
        <v>990990</v>
      </c>
      <c r="J7" s="60" t="s">
        <v>21</v>
      </c>
    </row>
    <row r="8" ht="18" customHeight="1" spans="1:10">
      <c r="A8" s="22">
        <v>43773</v>
      </c>
      <c r="B8" s="12">
        <f>G8/(1+C8+E8)</f>
        <v>223853.211009174</v>
      </c>
      <c r="C8" s="23">
        <v>0</v>
      </c>
      <c r="D8" s="101">
        <f>G8/(1+E8+C8)*C8</f>
        <v>0</v>
      </c>
      <c r="E8" s="23">
        <v>0.09</v>
      </c>
      <c r="F8" s="12">
        <f>G8/(1+C8+E8)*E8</f>
        <v>20146.7889908257</v>
      </c>
      <c r="G8" s="25">
        <v>244000</v>
      </c>
      <c r="H8" s="22">
        <v>43846</v>
      </c>
      <c r="I8" s="12">
        <v>244000</v>
      </c>
      <c r="J8" s="60" t="s">
        <v>21</v>
      </c>
    </row>
    <row r="9" ht="18" customHeight="1" spans="1:10">
      <c r="A9" s="22">
        <v>43816</v>
      </c>
      <c r="B9" s="12">
        <f>G9/(1+C9+E9)</f>
        <v>59633.0275229358</v>
      </c>
      <c r="C9" s="23">
        <v>0</v>
      </c>
      <c r="D9" s="101">
        <f>G9/(1+E9+C9)*C9</f>
        <v>0</v>
      </c>
      <c r="E9" s="23">
        <v>0.09</v>
      </c>
      <c r="F9" s="12">
        <f>G9/(1+C9+E9)*E9</f>
        <v>5366.97247706422</v>
      </c>
      <c r="G9" s="25">
        <v>65000</v>
      </c>
      <c r="H9" s="22"/>
      <c r="I9" s="12"/>
      <c r="J9" s="60"/>
    </row>
    <row r="10" ht="18" customHeight="1" spans="1:10">
      <c r="A10" s="22">
        <v>44235</v>
      </c>
      <c r="B10" s="12">
        <f>G10/(1+C10+E10)</f>
        <v>188489.908256881</v>
      </c>
      <c r="C10" s="23">
        <v>0</v>
      </c>
      <c r="D10" s="101">
        <f>G10/(1+E10+C10)*C10</f>
        <v>0</v>
      </c>
      <c r="E10" s="23">
        <v>0.09</v>
      </c>
      <c r="F10" s="12">
        <f>G10/(1+C10+E10)*E10</f>
        <v>16964.0917431193</v>
      </c>
      <c r="G10" s="25">
        <v>205454</v>
      </c>
      <c r="H10" s="22"/>
      <c r="I10" s="12"/>
      <c r="J10" s="60"/>
    </row>
    <row r="11" ht="18" customHeight="1" spans="1:10">
      <c r="A11" s="22"/>
      <c r="B11" s="12">
        <f>G11/(1+C11+E11)</f>
        <v>0</v>
      </c>
      <c r="C11" s="26"/>
      <c r="D11" s="101">
        <f>G11/(1+E11+C11)*C11</f>
        <v>0</v>
      </c>
      <c r="E11" s="23">
        <v>0.09</v>
      </c>
      <c r="F11" s="12">
        <f>G11/(1+C11+E11)*E11</f>
        <v>0</v>
      </c>
      <c r="G11" s="25"/>
      <c r="H11" s="22">
        <v>43853</v>
      </c>
      <c r="I11" s="12">
        <v>65000</v>
      </c>
      <c r="J11" s="60"/>
    </row>
    <row r="12" ht="18" customHeight="1" spans="1:10">
      <c r="A12" s="27" t="s">
        <v>22</v>
      </c>
      <c r="B12" s="28">
        <f>SUM(B7:B11)</f>
        <v>1381141.28440367</v>
      </c>
      <c r="C12" s="29"/>
      <c r="D12" s="102">
        <f>SUM(D7:D11)</f>
        <v>0</v>
      </c>
      <c r="E12" s="29"/>
      <c r="F12" s="30">
        <f>SUM(F7:F11)</f>
        <v>124302.71559633</v>
      </c>
      <c r="G12" s="29">
        <f>SUM(G7:G11)</f>
        <v>1505444</v>
      </c>
      <c r="H12" s="31"/>
      <c r="I12" s="29">
        <f>SUM(I7:I11)</f>
        <v>1299990</v>
      </c>
      <c r="J12" s="31"/>
    </row>
    <row r="13" ht="18" customHeight="1" spans="1:12">
      <c r="A13" s="5" t="s">
        <v>23</v>
      </c>
      <c r="I13" s="4">
        <f>D3-I12</f>
        <v>205464.03</v>
      </c>
      <c r="J13" s="3"/>
      <c r="K13" s="3"/>
      <c r="L13" s="6"/>
    </row>
    <row r="14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107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2" customFormat="1" ht="18" customHeight="1" spans="1:15">
      <c r="A15" s="33">
        <v>43770</v>
      </c>
      <c r="B15" s="42">
        <f t="shared" ref="B15:B25" si="0">ROUND(G15/(1+E15),2)</f>
        <v>99900</v>
      </c>
      <c r="C15" s="41"/>
      <c r="D15" s="35" t="s">
        <v>36</v>
      </c>
      <c r="E15" s="36"/>
      <c r="F15" s="42">
        <f t="shared" ref="F15:F25" si="1">ROUND(G15/(1+E15)*E15,2)</f>
        <v>0</v>
      </c>
      <c r="G15" s="25">
        <v>99900</v>
      </c>
      <c r="H15" s="22"/>
      <c r="I15" s="12"/>
      <c r="J15" s="60"/>
      <c r="K15" s="108" t="s">
        <v>37</v>
      </c>
      <c r="L15" s="75" t="s">
        <v>38</v>
      </c>
      <c r="M15" s="76"/>
      <c r="N15" s="76"/>
      <c r="O15" s="75"/>
    </row>
    <row r="16" s="2" customFormat="1" ht="18" customHeight="1" spans="1:15">
      <c r="A16" s="33">
        <v>43800</v>
      </c>
      <c r="B16" s="12">
        <f t="shared" si="0"/>
        <v>185000</v>
      </c>
      <c r="C16" s="45"/>
      <c r="D16" s="46" t="s">
        <v>36</v>
      </c>
      <c r="E16" s="38"/>
      <c r="F16" s="12">
        <f t="shared" si="1"/>
        <v>0</v>
      </c>
      <c r="G16" s="103">
        <f>95000+90000</f>
        <v>185000</v>
      </c>
      <c r="H16" s="22"/>
      <c r="I16" s="12"/>
      <c r="J16" s="60"/>
      <c r="K16" s="108" t="s">
        <v>39</v>
      </c>
      <c r="L16" s="75" t="s">
        <v>40</v>
      </c>
      <c r="M16" s="76" t="s">
        <v>41</v>
      </c>
      <c r="N16" s="76"/>
      <c r="O16" s="75"/>
    </row>
    <row r="17" s="2" customFormat="1" ht="18" customHeight="1" spans="1:15">
      <c r="A17" s="33">
        <v>43800</v>
      </c>
      <c r="B17" s="12">
        <f t="shared" si="0"/>
        <v>97087.38</v>
      </c>
      <c r="C17" s="45"/>
      <c r="D17" s="46" t="s">
        <v>42</v>
      </c>
      <c r="E17" s="47">
        <v>0.03</v>
      </c>
      <c r="F17" s="12">
        <f t="shared" si="1"/>
        <v>2912.62</v>
      </c>
      <c r="G17" s="103">
        <v>100000</v>
      </c>
      <c r="H17" s="22"/>
      <c r="I17" s="12"/>
      <c r="J17" s="60"/>
      <c r="K17" s="108" t="s">
        <v>43</v>
      </c>
      <c r="L17" s="75" t="s">
        <v>44</v>
      </c>
      <c r="M17" s="76"/>
      <c r="N17" s="76" t="s">
        <v>41</v>
      </c>
      <c r="O17" s="75"/>
    </row>
    <row r="18" s="2" customFormat="1" ht="18" customHeight="1" spans="1:15">
      <c r="A18" s="33">
        <v>43800</v>
      </c>
      <c r="B18" s="42">
        <f t="shared" si="0"/>
        <v>556222.79</v>
      </c>
      <c r="C18" s="41"/>
      <c r="D18" s="35" t="s">
        <v>36</v>
      </c>
      <c r="E18" s="36"/>
      <c r="F18" s="42">
        <f t="shared" si="1"/>
        <v>0</v>
      </c>
      <c r="G18" s="25">
        <f>100000*5+56222.79</f>
        <v>556222.79</v>
      </c>
      <c r="H18" s="22" t="s">
        <v>45</v>
      </c>
      <c r="I18" s="12">
        <v>443714</v>
      </c>
      <c r="J18" s="60" t="s">
        <v>21</v>
      </c>
      <c r="K18" s="108" t="s">
        <v>46</v>
      </c>
      <c r="L18" s="75" t="s">
        <v>47</v>
      </c>
      <c r="M18" s="76"/>
      <c r="N18" s="76"/>
      <c r="O18" s="75"/>
    </row>
    <row r="19" s="2" customFormat="1" ht="18" customHeight="1" spans="1:15">
      <c r="A19" s="33">
        <v>43832</v>
      </c>
      <c r="B19" s="42">
        <f t="shared" si="0"/>
        <v>0</v>
      </c>
      <c r="C19" s="41"/>
      <c r="D19" s="35"/>
      <c r="E19" s="36"/>
      <c r="F19" s="42">
        <f t="shared" si="1"/>
        <v>0</v>
      </c>
      <c r="G19" s="25"/>
      <c r="H19" s="22"/>
      <c r="I19" s="12"/>
      <c r="J19" s="60"/>
      <c r="K19" s="109"/>
      <c r="L19" s="110"/>
      <c r="M19" s="76"/>
      <c r="N19" s="76"/>
      <c r="O19" s="110" t="s">
        <v>48</v>
      </c>
    </row>
    <row r="20" s="2" customFormat="1" ht="18" customHeight="1" spans="1:15">
      <c r="A20" s="33">
        <v>43833</v>
      </c>
      <c r="B20" s="42">
        <f t="shared" si="0"/>
        <v>125000</v>
      </c>
      <c r="C20" s="41"/>
      <c r="D20" s="35" t="s">
        <v>36</v>
      </c>
      <c r="E20" s="36"/>
      <c r="F20" s="42">
        <f t="shared" si="1"/>
        <v>0</v>
      </c>
      <c r="G20" s="25">
        <v>125000</v>
      </c>
      <c r="H20" s="22"/>
      <c r="I20" s="12"/>
      <c r="J20" s="60"/>
      <c r="K20" s="108" t="s">
        <v>49</v>
      </c>
      <c r="L20" s="75" t="s">
        <v>50</v>
      </c>
      <c r="M20" s="76"/>
      <c r="N20" s="76"/>
      <c r="O20" s="110" t="s">
        <v>48</v>
      </c>
    </row>
    <row r="21" s="2" customFormat="1" ht="18" customHeight="1" spans="1:15">
      <c r="A21" s="33">
        <v>43834</v>
      </c>
      <c r="B21" s="42">
        <f t="shared" si="0"/>
        <v>100000</v>
      </c>
      <c r="C21" s="41"/>
      <c r="D21" s="35" t="s">
        <v>36</v>
      </c>
      <c r="E21" s="36"/>
      <c r="F21" s="42">
        <f t="shared" si="1"/>
        <v>0</v>
      </c>
      <c r="G21" s="25">
        <v>100000</v>
      </c>
      <c r="H21" s="22"/>
      <c r="I21" s="12"/>
      <c r="J21" s="60"/>
      <c r="K21" s="108" t="s">
        <v>51</v>
      </c>
      <c r="L21" s="75" t="s">
        <v>52</v>
      </c>
      <c r="M21" s="76" t="s">
        <v>41</v>
      </c>
      <c r="N21" s="76"/>
      <c r="O21" s="110" t="s">
        <v>48</v>
      </c>
    </row>
    <row r="22" s="2" customFormat="1" ht="18" customHeight="1" spans="1:15">
      <c r="A22" s="33">
        <v>43834</v>
      </c>
      <c r="B22" s="42">
        <f t="shared" si="0"/>
        <v>38834.95</v>
      </c>
      <c r="C22" s="41"/>
      <c r="D22" s="46" t="s">
        <v>42</v>
      </c>
      <c r="E22" s="47">
        <v>0.03</v>
      </c>
      <c r="F22" s="42">
        <f t="shared" si="1"/>
        <v>1165.05</v>
      </c>
      <c r="G22" s="25">
        <v>40000</v>
      </c>
      <c r="H22" s="22"/>
      <c r="I22" s="12"/>
      <c r="J22" s="60"/>
      <c r="K22" s="111" t="s">
        <v>53</v>
      </c>
      <c r="L22" s="31" t="s">
        <v>54</v>
      </c>
      <c r="M22" s="76"/>
      <c r="N22" s="76"/>
      <c r="O22" s="110"/>
    </row>
    <row r="23" s="2" customFormat="1" ht="18" customHeight="1" spans="1:15">
      <c r="A23" s="33"/>
      <c r="B23" s="42">
        <f t="shared" si="0"/>
        <v>0</v>
      </c>
      <c r="C23" s="41"/>
      <c r="D23" s="35"/>
      <c r="E23" s="36"/>
      <c r="F23" s="42">
        <f t="shared" si="1"/>
        <v>0</v>
      </c>
      <c r="G23" s="25"/>
      <c r="H23" s="22">
        <v>43853</v>
      </c>
      <c r="I23" s="12">
        <v>100000</v>
      </c>
      <c r="J23" s="60" t="s">
        <v>21</v>
      </c>
      <c r="K23" s="111" t="s">
        <v>43</v>
      </c>
      <c r="L23" s="31" t="s">
        <v>55</v>
      </c>
      <c r="M23" s="76"/>
      <c r="N23" s="76"/>
      <c r="O23" s="110"/>
    </row>
    <row r="24" s="2" customFormat="1" ht="18" customHeight="1" spans="1:15">
      <c r="A24" s="33"/>
      <c r="B24" s="42">
        <f t="shared" si="0"/>
        <v>0</v>
      </c>
      <c r="C24" s="41"/>
      <c r="D24" s="35"/>
      <c r="E24" s="36"/>
      <c r="F24" s="42">
        <f t="shared" si="1"/>
        <v>0</v>
      </c>
      <c r="G24" s="25"/>
      <c r="H24" s="22">
        <v>43853</v>
      </c>
      <c r="I24" s="12">
        <v>99900</v>
      </c>
      <c r="J24" s="60" t="s">
        <v>56</v>
      </c>
      <c r="K24" s="111" t="s">
        <v>37</v>
      </c>
      <c r="L24" s="31" t="s">
        <v>55</v>
      </c>
      <c r="M24" s="76"/>
      <c r="N24" s="76"/>
      <c r="O24" s="110"/>
    </row>
    <row r="25" s="2" customFormat="1" ht="18" customHeight="1" spans="1:15">
      <c r="A25" s="33"/>
      <c r="B25" s="42">
        <f t="shared" si="0"/>
        <v>0</v>
      </c>
      <c r="C25" s="41"/>
      <c r="D25" s="35"/>
      <c r="E25" s="36"/>
      <c r="F25" s="42">
        <f t="shared" si="1"/>
        <v>0</v>
      </c>
      <c r="G25" s="25"/>
      <c r="H25" s="22">
        <v>43853</v>
      </c>
      <c r="I25" s="12">
        <v>40000</v>
      </c>
      <c r="J25" s="60" t="s">
        <v>21</v>
      </c>
      <c r="K25" s="111" t="s">
        <v>53</v>
      </c>
      <c r="L25" s="31" t="s">
        <v>54</v>
      </c>
      <c r="M25" s="76"/>
      <c r="N25" s="76"/>
      <c r="O25" s="110"/>
    </row>
    <row r="26" s="2" customFormat="1" ht="18" customHeight="1" spans="1:15">
      <c r="A26" s="33"/>
      <c r="B26" s="42">
        <f t="shared" ref="B26:B43" si="2">ROUND(G26/(1+E26),2)</f>
        <v>0</v>
      </c>
      <c r="C26" s="41"/>
      <c r="D26" s="35"/>
      <c r="E26" s="36"/>
      <c r="F26" s="42">
        <f t="shared" ref="F26:F40" si="3">ROUND(G26/(1+E26)*E26,2)</f>
        <v>0</v>
      </c>
      <c r="G26" s="25"/>
      <c r="H26" s="50">
        <v>43935</v>
      </c>
      <c r="I26" s="42">
        <v>112508.79</v>
      </c>
      <c r="J26" s="76"/>
      <c r="K26" s="108" t="s">
        <v>46</v>
      </c>
      <c r="L26" s="75" t="s">
        <v>47</v>
      </c>
      <c r="M26" s="76"/>
      <c r="N26" s="76"/>
      <c r="O26" s="75"/>
    </row>
    <row r="27" s="2" customFormat="1" ht="18" customHeight="1" spans="1:15">
      <c r="A27" s="33"/>
      <c r="B27" s="42">
        <f t="shared" si="2"/>
        <v>0</v>
      </c>
      <c r="C27" s="41"/>
      <c r="D27" s="35"/>
      <c r="E27" s="36"/>
      <c r="F27" s="42">
        <f t="shared" si="3"/>
        <v>0</v>
      </c>
      <c r="G27" s="25"/>
      <c r="H27" s="50">
        <v>43935</v>
      </c>
      <c r="I27" s="42">
        <v>185000</v>
      </c>
      <c r="J27" s="76"/>
      <c r="K27" s="108" t="s">
        <v>57</v>
      </c>
      <c r="L27" s="75" t="s">
        <v>58</v>
      </c>
      <c r="M27" s="76" t="s">
        <v>59</v>
      </c>
      <c r="N27" s="76"/>
      <c r="O27" s="75"/>
    </row>
    <row r="28" s="2" customFormat="1" ht="18" customHeight="1" spans="1:15">
      <c r="A28" s="33"/>
      <c r="B28" s="42">
        <f t="shared" si="2"/>
        <v>0</v>
      </c>
      <c r="C28" s="41"/>
      <c r="D28" s="35"/>
      <c r="E28" s="36"/>
      <c r="F28" s="42">
        <f t="shared" si="3"/>
        <v>0</v>
      </c>
      <c r="G28" s="25"/>
      <c r="H28" s="50">
        <v>43935</v>
      </c>
      <c r="I28" s="42">
        <v>38781.21</v>
      </c>
      <c r="J28" s="76"/>
      <c r="K28" s="108" t="s">
        <v>57</v>
      </c>
      <c r="L28" s="75" t="s">
        <v>60</v>
      </c>
      <c r="M28" s="76" t="s">
        <v>59</v>
      </c>
      <c r="N28" s="76"/>
      <c r="O28" s="75"/>
    </row>
    <row r="29" s="2" customFormat="1" ht="18" customHeight="1" spans="1:15">
      <c r="A29" s="33"/>
      <c r="B29" s="42">
        <f t="shared" si="2"/>
        <v>0</v>
      </c>
      <c r="C29" s="41"/>
      <c r="D29" s="35"/>
      <c r="E29" s="36"/>
      <c r="F29" s="42">
        <f t="shared" si="3"/>
        <v>0</v>
      </c>
      <c r="G29" s="25"/>
      <c r="H29" s="50"/>
      <c r="I29" s="42"/>
      <c r="J29" s="76"/>
      <c r="K29" s="108"/>
      <c r="L29" s="75"/>
      <c r="M29" s="76"/>
      <c r="N29" s="76"/>
      <c r="O29" s="75"/>
    </row>
    <row r="30" s="2" customFormat="1" ht="18" customHeight="1" spans="1:15">
      <c r="A30" s="33"/>
      <c r="B30" s="42">
        <f t="shared" si="2"/>
        <v>0</v>
      </c>
      <c r="C30" s="41"/>
      <c r="D30" s="35"/>
      <c r="E30" s="36"/>
      <c r="F30" s="42">
        <f t="shared" si="3"/>
        <v>0</v>
      </c>
      <c r="G30" s="25"/>
      <c r="H30" s="50"/>
      <c r="I30" s="42"/>
      <c r="J30" s="76"/>
      <c r="K30" s="108"/>
      <c r="L30" s="75"/>
      <c r="M30" s="76"/>
      <c r="N30" s="76"/>
      <c r="O30" s="75"/>
    </row>
    <row r="31" s="2" customFormat="1" ht="18" customHeight="1" spans="1:15">
      <c r="A31" s="33"/>
      <c r="B31" s="42">
        <f t="shared" si="2"/>
        <v>0</v>
      </c>
      <c r="C31" s="41"/>
      <c r="D31" s="35"/>
      <c r="E31" s="36"/>
      <c r="F31" s="42">
        <f t="shared" si="3"/>
        <v>0</v>
      </c>
      <c r="G31" s="25"/>
      <c r="H31" s="50"/>
      <c r="I31" s="42"/>
      <c r="J31" s="76"/>
      <c r="K31" s="108"/>
      <c r="L31" s="75"/>
      <c r="M31" s="76"/>
      <c r="N31" s="76"/>
      <c r="O31" s="75"/>
    </row>
    <row r="32" s="2" customFormat="1" ht="18" customHeight="1" spans="1:15">
      <c r="A32" s="33"/>
      <c r="B32" s="42">
        <f t="shared" si="2"/>
        <v>0</v>
      </c>
      <c r="C32" s="41"/>
      <c r="D32" s="35"/>
      <c r="E32" s="36"/>
      <c r="F32" s="42">
        <f t="shared" si="3"/>
        <v>0</v>
      </c>
      <c r="G32" s="25"/>
      <c r="H32" s="50"/>
      <c r="I32" s="42"/>
      <c r="J32" s="76"/>
      <c r="K32" s="108"/>
      <c r="L32" s="75"/>
      <c r="M32" s="76"/>
      <c r="N32" s="76"/>
      <c r="O32" s="75"/>
    </row>
    <row r="33" s="2" customFormat="1" ht="18" customHeight="1" spans="1:15">
      <c r="A33" s="33"/>
      <c r="B33" s="42">
        <f t="shared" si="2"/>
        <v>0</v>
      </c>
      <c r="C33" s="41"/>
      <c r="D33" s="35"/>
      <c r="E33" s="36"/>
      <c r="F33" s="42">
        <f t="shared" si="3"/>
        <v>0</v>
      </c>
      <c r="G33" s="25"/>
      <c r="H33" s="50"/>
      <c r="I33" s="42">
        <v>-200000</v>
      </c>
      <c r="J33" s="76"/>
      <c r="K33" s="108" t="s">
        <v>61</v>
      </c>
      <c r="L33" s="75"/>
      <c r="M33" s="76"/>
      <c r="N33" s="76"/>
      <c r="O33" s="75" t="s">
        <v>62</v>
      </c>
    </row>
    <row r="34" s="2" customFormat="1" ht="18" customHeight="1" spans="1:15">
      <c r="A34" s="33"/>
      <c r="B34" s="42">
        <f t="shared" si="2"/>
        <v>0</v>
      </c>
      <c r="C34" s="41"/>
      <c r="D34" s="35"/>
      <c r="E34" s="36"/>
      <c r="F34" s="42">
        <f t="shared" si="3"/>
        <v>0</v>
      </c>
      <c r="G34" s="25"/>
      <c r="H34" s="50"/>
      <c r="I34" s="42">
        <v>200000</v>
      </c>
      <c r="J34" s="76" t="s">
        <v>63</v>
      </c>
      <c r="K34" s="75" t="s">
        <v>62</v>
      </c>
      <c r="L34" s="75"/>
      <c r="M34" s="76"/>
      <c r="N34" s="76"/>
      <c r="O34" s="75"/>
    </row>
    <row r="35" s="2" customFormat="1" ht="18" customHeight="1" spans="1:15">
      <c r="A35" s="33"/>
      <c r="B35" s="42">
        <f t="shared" si="2"/>
        <v>0</v>
      </c>
      <c r="C35" s="41"/>
      <c r="D35" s="35"/>
      <c r="E35" s="36"/>
      <c r="F35" s="42">
        <f t="shared" si="3"/>
        <v>0</v>
      </c>
      <c r="G35" s="25"/>
      <c r="H35" s="50" t="s">
        <v>64</v>
      </c>
      <c r="I35" s="42">
        <v>-100000</v>
      </c>
      <c r="J35" s="76" t="s">
        <v>63</v>
      </c>
      <c r="K35" s="108" t="s">
        <v>65</v>
      </c>
      <c r="L35" s="75"/>
      <c r="M35" s="76"/>
      <c r="N35" s="76"/>
      <c r="O35" s="75"/>
    </row>
    <row r="36" s="2" customFormat="1" ht="18" customHeight="1" spans="1:15">
      <c r="A36" s="33"/>
      <c r="B36" s="42">
        <f t="shared" si="2"/>
        <v>0</v>
      </c>
      <c r="C36" s="41"/>
      <c r="D36" s="35"/>
      <c r="E36" s="36"/>
      <c r="F36" s="42">
        <f t="shared" si="3"/>
        <v>0</v>
      </c>
      <c r="G36" s="25"/>
      <c r="H36" s="50" t="s">
        <v>64</v>
      </c>
      <c r="I36" s="42">
        <v>250</v>
      </c>
      <c r="J36" s="76" t="s">
        <v>66</v>
      </c>
      <c r="K36" s="108" t="s">
        <v>67</v>
      </c>
      <c r="L36" s="75"/>
      <c r="M36" s="76"/>
      <c r="N36" s="76"/>
      <c r="O36" s="75"/>
    </row>
    <row r="37" s="2" customFormat="1" ht="18" customHeight="1" spans="1:15">
      <c r="A37" s="33"/>
      <c r="B37" s="42">
        <f t="shared" si="2"/>
        <v>20546</v>
      </c>
      <c r="C37" s="41"/>
      <c r="D37" s="35"/>
      <c r="E37" s="36"/>
      <c r="F37" s="42">
        <f t="shared" si="3"/>
        <v>0</v>
      </c>
      <c r="G37" s="25">
        <v>20546</v>
      </c>
      <c r="H37" s="50" t="s">
        <v>64</v>
      </c>
      <c r="I37" s="42">
        <v>20546</v>
      </c>
      <c r="J37" s="76" t="s">
        <v>66</v>
      </c>
      <c r="K37" s="108" t="s">
        <v>68</v>
      </c>
      <c r="L37" s="75"/>
      <c r="M37" s="76"/>
      <c r="N37" s="76"/>
      <c r="O37" s="75"/>
    </row>
    <row r="38" s="2" customFormat="1" ht="18" customHeight="1" spans="1:15">
      <c r="A38" s="33"/>
      <c r="B38" s="42">
        <f t="shared" si="2"/>
        <v>0</v>
      </c>
      <c r="C38" s="41"/>
      <c r="D38" s="35"/>
      <c r="E38" s="36"/>
      <c r="F38" s="42">
        <f t="shared" si="3"/>
        <v>0</v>
      </c>
      <c r="G38" s="25"/>
      <c r="H38" s="50" t="s">
        <v>64</v>
      </c>
      <c r="I38" s="42">
        <v>1073</v>
      </c>
      <c r="J38" s="76" t="s">
        <v>69</v>
      </c>
      <c r="K38" s="108" t="s">
        <v>70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si="2"/>
        <v>0</v>
      </c>
      <c r="C39" s="41"/>
      <c r="D39" s="35"/>
      <c r="E39" s="36"/>
      <c r="F39" s="42">
        <f t="shared" si="3"/>
        <v>0</v>
      </c>
      <c r="G39" s="25"/>
      <c r="H39" s="22" t="s">
        <v>71</v>
      </c>
      <c r="I39" s="42">
        <v>100000</v>
      </c>
      <c r="J39" s="60" t="s">
        <v>72</v>
      </c>
      <c r="K39" s="111" t="s">
        <v>73</v>
      </c>
      <c r="L39" s="110"/>
      <c r="M39" s="76"/>
      <c r="N39" s="76"/>
      <c r="O39" s="110"/>
    </row>
    <row r="40" s="2" customFormat="1" ht="18" customHeight="1" spans="1:15">
      <c r="A40" s="33"/>
      <c r="B40" s="42">
        <f t="shared" si="2"/>
        <v>0</v>
      </c>
      <c r="C40" s="41"/>
      <c r="D40" s="35"/>
      <c r="E40" s="36"/>
      <c r="F40" s="42">
        <f t="shared" si="3"/>
        <v>0</v>
      </c>
      <c r="G40" s="25"/>
      <c r="H40" s="22" t="s">
        <v>71</v>
      </c>
      <c r="I40" s="42">
        <v>150</v>
      </c>
      <c r="J40" s="60" t="s">
        <v>66</v>
      </c>
      <c r="K40" s="111" t="s">
        <v>74</v>
      </c>
      <c r="L40" s="110"/>
      <c r="M40" s="76"/>
      <c r="N40" s="76"/>
      <c r="O40" s="110"/>
    </row>
    <row r="41" s="2" customFormat="1" ht="18" customHeight="1" spans="1:15">
      <c r="A41" s="33"/>
      <c r="B41" s="42">
        <f t="shared" si="2"/>
        <v>0</v>
      </c>
      <c r="C41" s="41"/>
      <c r="D41" s="35"/>
      <c r="E41" s="36"/>
      <c r="F41" s="42">
        <f t="shared" ref="F38:F51" si="4">ROUND(G41/(1+E41)*E41,2)</f>
        <v>0</v>
      </c>
      <c r="G41" s="25"/>
      <c r="H41" s="22" t="s">
        <v>71</v>
      </c>
      <c r="I41" s="42">
        <v>-38219</v>
      </c>
      <c r="J41" s="60" t="s">
        <v>63</v>
      </c>
      <c r="K41" s="108" t="s">
        <v>75</v>
      </c>
      <c r="L41" s="110"/>
      <c r="M41" s="76"/>
      <c r="N41" s="76"/>
      <c r="O41" s="110"/>
    </row>
    <row r="42" s="2" customFormat="1" ht="18" customHeight="1" spans="1:15">
      <c r="A42" s="33"/>
      <c r="B42" s="42">
        <f t="shared" si="2"/>
        <v>0</v>
      </c>
      <c r="C42" s="41"/>
      <c r="D42" s="35"/>
      <c r="E42" s="36"/>
      <c r="F42" s="42">
        <f t="shared" si="4"/>
        <v>0</v>
      </c>
      <c r="G42" s="25"/>
      <c r="H42" s="22" t="s">
        <v>76</v>
      </c>
      <c r="I42" s="42">
        <v>38219</v>
      </c>
      <c r="J42" s="60" t="s">
        <v>72</v>
      </c>
      <c r="K42" s="108" t="s">
        <v>77</v>
      </c>
      <c r="L42" s="75"/>
      <c r="M42" s="76"/>
      <c r="N42" s="76"/>
      <c r="O42" s="75"/>
    </row>
    <row r="43" s="2" customFormat="1" ht="18" customHeight="1" spans="1:15">
      <c r="A43" s="33"/>
      <c r="B43" s="42">
        <f t="shared" si="2"/>
        <v>0</v>
      </c>
      <c r="C43" s="41"/>
      <c r="D43" s="35"/>
      <c r="E43" s="36"/>
      <c r="F43" s="42">
        <f t="shared" si="4"/>
        <v>0</v>
      </c>
      <c r="G43" s="25"/>
      <c r="H43" s="22" t="s">
        <v>76</v>
      </c>
      <c r="I43" s="42">
        <v>65</v>
      </c>
      <c r="J43" s="60" t="s">
        <v>66</v>
      </c>
      <c r="K43" s="108" t="s">
        <v>78</v>
      </c>
      <c r="L43" s="75"/>
      <c r="M43" s="76"/>
      <c r="N43" s="76"/>
      <c r="O43" s="75"/>
    </row>
    <row r="44" s="2" customFormat="1" ht="18" customHeight="1" spans="1:15">
      <c r="A44" s="33"/>
      <c r="B44" s="42">
        <f>ROUND(G44/(1+E44),2)</f>
        <v>0</v>
      </c>
      <c r="C44" s="41"/>
      <c r="D44" s="35"/>
      <c r="E44" s="36"/>
      <c r="F44" s="42">
        <f t="shared" si="4"/>
        <v>0</v>
      </c>
      <c r="G44" s="25"/>
      <c r="H44" s="22" t="s">
        <v>76</v>
      </c>
      <c r="I44" s="42">
        <v>114869</v>
      </c>
      <c r="J44" s="60" t="s">
        <v>66</v>
      </c>
      <c r="K44" s="108" t="s">
        <v>79</v>
      </c>
      <c r="L44" s="75"/>
      <c r="M44" s="76"/>
      <c r="N44" s="76"/>
      <c r="O44" s="75"/>
    </row>
    <row r="45" s="2" customFormat="1" ht="18" customHeight="1" spans="1:15">
      <c r="A45" s="33"/>
      <c r="B45" s="42">
        <f>ROUND(G45/(1+E45),2)</f>
        <v>0</v>
      </c>
      <c r="C45" s="41"/>
      <c r="D45" s="35"/>
      <c r="E45" s="36"/>
      <c r="F45" s="42">
        <f t="shared" si="4"/>
        <v>0</v>
      </c>
      <c r="G45" s="25"/>
      <c r="H45" s="22" t="s">
        <v>76</v>
      </c>
      <c r="I45" s="42">
        <v>11927</v>
      </c>
      <c r="J45" s="60" t="s">
        <v>66</v>
      </c>
      <c r="K45" s="108" t="s">
        <v>70</v>
      </c>
      <c r="L45" s="75"/>
      <c r="M45" s="76"/>
      <c r="N45" s="76"/>
      <c r="O45" s="75"/>
    </row>
    <row r="46" s="2" customFormat="1" ht="18" customHeight="1" spans="1:15">
      <c r="A46" s="33"/>
      <c r="B46" s="42">
        <f>ROUND(G46/(1+E46),2)</f>
        <v>0</v>
      </c>
      <c r="C46" s="41"/>
      <c r="D46" s="35"/>
      <c r="E46" s="36"/>
      <c r="F46" s="42">
        <f t="shared" si="4"/>
        <v>0</v>
      </c>
      <c r="G46" s="25"/>
      <c r="H46" s="22" t="s">
        <v>76</v>
      </c>
      <c r="I46" s="42">
        <v>1106</v>
      </c>
      <c r="J46" s="60" t="s">
        <v>66</v>
      </c>
      <c r="K46" s="108" t="s">
        <v>80</v>
      </c>
      <c r="L46" s="75"/>
      <c r="M46" s="76"/>
      <c r="N46" s="76"/>
      <c r="O46" s="75"/>
    </row>
    <row r="47" s="2" customFormat="1" ht="18" customHeight="1" spans="1:15">
      <c r="A47" s="33"/>
      <c r="B47" s="42">
        <f>ROUND(G47/(1+E47),2)</f>
        <v>40000</v>
      </c>
      <c r="C47" s="41"/>
      <c r="D47" s="35"/>
      <c r="E47" s="36"/>
      <c r="F47" s="42">
        <f t="shared" si="4"/>
        <v>0</v>
      </c>
      <c r="G47" s="25">
        <f>40000</f>
        <v>40000</v>
      </c>
      <c r="H47" s="22" t="s">
        <v>71</v>
      </c>
      <c r="I47" s="12">
        <f>G47</f>
        <v>40000</v>
      </c>
      <c r="J47" s="60" t="s">
        <v>66</v>
      </c>
      <c r="K47" s="108" t="s">
        <v>81</v>
      </c>
      <c r="L47" s="75"/>
      <c r="M47" s="76"/>
      <c r="N47" s="76"/>
      <c r="O47" s="75"/>
    </row>
    <row r="48" s="2" customFormat="1" ht="18" customHeight="1" spans="1:15">
      <c r="A48" s="33"/>
      <c r="B48" s="42">
        <f>ROUND(G48/(1+E48),2)</f>
        <v>0</v>
      </c>
      <c r="C48" s="41"/>
      <c r="D48" s="35"/>
      <c r="E48" s="36"/>
      <c r="F48" s="42">
        <f t="shared" si="4"/>
        <v>0</v>
      </c>
      <c r="G48" s="25"/>
      <c r="H48" s="22" t="s">
        <v>76</v>
      </c>
      <c r="I48" s="12">
        <v>100</v>
      </c>
      <c r="J48" s="60" t="s">
        <v>66</v>
      </c>
      <c r="K48" s="108" t="s">
        <v>82</v>
      </c>
      <c r="L48" s="75"/>
      <c r="M48" s="76"/>
      <c r="N48" s="76"/>
      <c r="O48" s="75"/>
    </row>
    <row r="49" s="2" customFormat="1" ht="18" customHeight="1" spans="1:15">
      <c r="A49" s="33"/>
      <c r="B49" s="42">
        <f>ROUND(G49/(1+E49),2)</f>
        <v>90000</v>
      </c>
      <c r="C49" s="41"/>
      <c r="D49" s="35"/>
      <c r="E49" s="36"/>
      <c r="F49" s="42">
        <f t="shared" si="4"/>
        <v>0</v>
      </c>
      <c r="G49" s="25">
        <f>90000</f>
        <v>90000</v>
      </c>
      <c r="H49" s="22" t="s">
        <v>76</v>
      </c>
      <c r="I49" s="12">
        <f>G49</f>
        <v>90000</v>
      </c>
      <c r="J49" s="60" t="s">
        <v>66</v>
      </c>
      <c r="K49" s="108" t="s">
        <v>81</v>
      </c>
      <c r="L49" s="75"/>
      <c r="M49" s="76"/>
      <c r="N49" s="76"/>
      <c r="O49" s="75"/>
    </row>
    <row r="50" ht="18" customHeight="1" spans="1:15">
      <c r="A50" s="29" t="s">
        <v>22</v>
      </c>
      <c r="B50" s="28">
        <f>SUM(B15:B49)</f>
        <v>1352591.12</v>
      </c>
      <c r="C50" s="29"/>
      <c r="D50" s="51"/>
      <c r="E50" s="51"/>
      <c r="F50" s="30">
        <f>SUM(F15:F49)</f>
        <v>4077.67</v>
      </c>
      <c r="G50" s="52">
        <f>SUM(G15:G49)</f>
        <v>1356668.79</v>
      </c>
      <c r="H50" s="53"/>
      <c r="I50" s="29">
        <f>SUM(I15:I49)</f>
        <v>1299990</v>
      </c>
      <c r="J50" s="87"/>
      <c r="K50" s="51"/>
      <c r="L50" s="31"/>
      <c r="M50" s="60"/>
      <c r="N50" s="60"/>
      <c r="O50" s="31"/>
    </row>
    <row r="51" ht="18" customHeight="1" spans="1:14">
      <c r="A51" s="54" t="s">
        <v>83</v>
      </c>
      <c r="B51" s="55">
        <f>B12*0.96</f>
        <v>1325895.63302752</v>
      </c>
      <c r="C51" s="54"/>
      <c r="D51" s="56"/>
      <c r="E51" s="56"/>
      <c r="F51" s="57"/>
      <c r="G51" s="54"/>
      <c r="H51" s="53"/>
      <c r="I51" s="29"/>
      <c r="J51" s="1"/>
      <c r="K51" s="56"/>
      <c r="M51" s="90"/>
      <c r="N51" s="90"/>
    </row>
    <row r="52" ht="18" customHeight="1" spans="1:14">
      <c r="A52" s="54" t="s">
        <v>84</v>
      </c>
      <c r="B52" s="54">
        <f>B51-B50</f>
        <v>-26695.4869724766</v>
      </c>
      <c r="C52" s="54"/>
      <c r="D52" s="56"/>
      <c r="E52" s="56"/>
      <c r="F52" s="58"/>
      <c r="G52" s="54"/>
      <c r="H52" s="21" t="s">
        <v>85</v>
      </c>
      <c r="I52" s="29">
        <f>I12-I50</f>
        <v>0</v>
      </c>
      <c r="J52" s="1"/>
      <c r="K52" s="94"/>
      <c r="M52" s="90"/>
      <c r="N52" s="90"/>
    </row>
    <row r="53" ht="18" customHeight="1" spans="1:3">
      <c r="A53" s="5" t="s">
        <v>86</v>
      </c>
      <c r="C53" s="5"/>
    </row>
    <row r="54" ht="18" customHeight="1" spans="1:11">
      <c r="A54" s="21" t="s">
        <v>87</v>
      </c>
      <c r="B54" s="20" t="s">
        <v>88</v>
      </c>
      <c r="C54" s="31"/>
      <c r="D54" s="21" t="s">
        <v>87</v>
      </c>
      <c r="E54" s="19" t="s">
        <v>16</v>
      </c>
      <c r="F54" s="20" t="s">
        <v>88</v>
      </c>
      <c r="G54" s="20" t="s">
        <v>89</v>
      </c>
      <c r="H54" s="20" t="s">
        <v>90</v>
      </c>
      <c r="I54" s="20" t="s">
        <v>91</v>
      </c>
      <c r="K54" s="20" t="s">
        <v>92</v>
      </c>
    </row>
    <row r="55" ht="18" customHeight="1" spans="1:11">
      <c r="A55" s="31" t="s">
        <v>93</v>
      </c>
      <c r="B55" s="17">
        <f>(B12-B50)*0.25</f>
        <v>7137.54110091756</v>
      </c>
      <c r="C55" s="31"/>
      <c r="D55" s="59" t="s">
        <v>94</v>
      </c>
      <c r="E55" s="60" t="s">
        <v>95</v>
      </c>
      <c r="F55" s="30">
        <f>F12-F50</f>
        <v>120225.04559633</v>
      </c>
      <c r="G55" s="30">
        <f>F7</f>
        <v>81824.8623853211</v>
      </c>
      <c r="H55" s="30">
        <f>F8-F17</f>
        <v>17234.1689908257</v>
      </c>
      <c r="I55" s="30"/>
      <c r="J55" s="54"/>
      <c r="K55" s="30">
        <f>F11</f>
        <v>0</v>
      </c>
    </row>
    <row r="56" ht="18" customHeight="1" spans="1:11">
      <c r="A56" s="31" t="s">
        <v>96</v>
      </c>
      <c r="B56" s="104"/>
      <c r="C56" s="31"/>
      <c r="D56" s="59" t="s">
        <v>97</v>
      </c>
      <c r="E56" s="14">
        <v>0.05</v>
      </c>
      <c r="F56" s="12">
        <f>F55*E56</f>
        <v>6011.2522798165</v>
      </c>
      <c r="G56" s="12">
        <f>G55*E56</f>
        <v>4091.24311926605</v>
      </c>
      <c r="H56" s="12">
        <f>H55*E56</f>
        <v>861.708449541285</v>
      </c>
      <c r="I56" s="12"/>
      <c r="J56" s="3"/>
      <c r="K56" s="12">
        <f>K55*E56</f>
        <v>0</v>
      </c>
    </row>
    <row r="57" ht="18" customHeight="1" spans="1:11">
      <c r="A57" s="31" t="s">
        <v>98</v>
      </c>
      <c r="B57" s="104"/>
      <c r="C57" s="31"/>
      <c r="D57" s="59" t="s">
        <v>99</v>
      </c>
      <c r="E57" s="14">
        <v>0.03</v>
      </c>
      <c r="F57" s="12">
        <f>F55*E57</f>
        <v>3606.7513678899</v>
      </c>
      <c r="G57" s="12">
        <f>G55*E57</f>
        <v>2454.74587155963</v>
      </c>
      <c r="H57" s="12">
        <f>H55*E57</f>
        <v>517.025069724771</v>
      </c>
      <c r="I57" s="12"/>
      <c r="J57" s="3"/>
      <c r="K57" s="12">
        <f>K55*E57</f>
        <v>0</v>
      </c>
    </row>
    <row r="58" ht="18" customHeight="1" spans="1:11">
      <c r="A58" s="31"/>
      <c r="B58" s="96"/>
      <c r="C58" s="31"/>
      <c r="D58" s="59" t="s">
        <v>100</v>
      </c>
      <c r="E58" s="14">
        <v>0.02</v>
      </c>
      <c r="F58" s="12">
        <f>F55*E58</f>
        <v>2404.5009119266</v>
      </c>
      <c r="G58" s="12">
        <f>G55*E58</f>
        <v>1636.49724770642</v>
      </c>
      <c r="H58" s="12">
        <f>H55*E58</f>
        <v>344.683379816514</v>
      </c>
      <c r="I58" s="12"/>
      <c r="J58" s="3"/>
      <c r="K58" s="12">
        <f>K55*E58</f>
        <v>0</v>
      </c>
    </row>
    <row r="59" ht="18" customHeight="1" spans="1:11">
      <c r="A59" s="27" t="s">
        <v>101</v>
      </c>
      <c r="B59" s="105">
        <f t="shared" ref="B59:H59" si="5">SUM(B55:B58)</f>
        <v>7137.54110091756</v>
      </c>
      <c r="C59" s="31"/>
      <c r="D59" s="27" t="s">
        <v>101</v>
      </c>
      <c r="E59" s="27"/>
      <c r="F59" s="30">
        <f t="shared" si="5"/>
        <v>132247.550155963</v>
      </c>
      <c r="G59" s="30">
        <f t="shared" si="5"/>
        <v>90007.3486238532</v>
      </c>
      <c r="H59" s="30">
        <f t="shared" si="5"/>
        <v>18957.5858899083</v>
      </c>
      <c r="I59" s="30">
        <v>65</v>
      </c>
      <c r="J59" s="3"/>
      <c r="K59" s="30">
        <f>SUM(K55:K58)</f>
        <v>0</v>
      </c>
    </row>
    <row r="60" ht="18" customHeight="1" spans="1:11">
      <c r="A60" s="61"/>
      <c r="B60" s="57"/>
      <c r="C60" s="1"/>
      <c r="D60" s="10" t="s">
        <v>102</v>
      </c>
      <c r="E60" s="62">
        <v>0.0003</v>
      </c>
      <c r="F60" s="24">
        <f>G12*E60</f>
        <v>451.6332</v>
      </c>
      <c r="G60" s="24">
        <f>G7*E60</f>
        <v>297.297</v>
      </c>
      <c r="H60" s="24">
        <f>G8*E60</f>
        <v>73.2</v>
      </c>
      <c r="I60" s="3"/>
      <c r="J60" s="3"/>
      <c r="K60" s="24">
        <f>G11*E60</f>
        <v>0</v>
      </c>
    </row>
    <row r="61" ht="18" customHeight="1" spans="1:11">
      <c r="A61" s="61"/>
      <c r="B61" s="57"/>
      <c r="C61" s="1"/>
      <c r="D61" s="10" t="s">
        <v>103</v>
      </c>
      <c r="E61" s="62">
        <v>0.0006</v>
      </c>
      <c r="F61" s="24">
        <f>B12*E61</f>
        <v>828.684770642202</v>
      </c>
      <c r="G61" s="24">
        <f>B7*E61</f>
        <v>545.499082568807</v>
      </c>
      <c r="H61" s="24">
        <f>B8*E61</f>
        <v>134.311926605505</v>
      </c>
      <c r="I61" s="3"/>
      <c r="J61" s="3"/>
      <c r="K61" s="24">
        <f>B11*E61</f>
        <v>0</v>
      </c>
    </row>
    <row r="62" ht="18" customHeight="1" spans="1:11">
      <c r="A62" s="61"/>
      <c r="B62" s="57"/>
      <c r="C62" s="1"/>
      <c r="D62" s="27" t="s">
        <v>101</v>
      </c>
      <c r="E62" s="62"/>
      <c r="F62" s="30">
        <f t="shared" ref="F62:H62" si="6">F60+F61</f>
        <v>1280.3179706422</v>
      </c>
      <c r="G62" s="30">
        <f t="shared" si="6"/>
        <v>842.796082568807</v>
      </c>
      <c r="H62" s="30">
        <f t="shared" si="6"/>
        <v>207.511926605505</v>
      </c>
      <c r="I62" s="3"/>
      <c r="J62" s="3"/>
      <c r="K62" s="30">
        <f>K60+K61</f>
        <v>0</v>
      </c>
    </row>
    <row r="63" ht="18" customHeight="1" spans="3:11">
      <c r="C63" s="5"/>
      <c r="D63" s="29" t="s">
        <v>22</v>
      </c>
      <c r="E63" s="29"/>
      <c r="F63" s="29">
        <f t="shared" ref="F63:H63" si="7">F59+F62</f>
        <v>133527.868126605</v>
      </c>
      <c r="G63" s="29">
        <f t="shared" si="7"/>
        <v>90850.144706422</v>
      </c>
      <c r="H63" s="29">
        <f t="shared" si="7"/>
        <v>19165.0978165138</v>
      </c>
      <c r="I63" s="3"/>
      <c r="J63" s="3"/>
      <c r="K63" s="29">
        <f>K59+K62</f>
        <v>0</v>
      </c>
    </row>
    <row r="64" ht="18" customHeight="1" spans="3:11">
      <c r="C64" s="5"/>
      <c r="D64" s="10" t="s">
        <v>104</v>
      </c>
      <c r="E64" s="62">
        <v>0.01</v>
      </c>
      <c r="F64" s="106">
        <f>G12*E64</f>
        <v>15054.44</v>
      </c>
      <c r="G64" s="106">
        <f>B7*E64</f>
        <v>9091.65137614679</v>
      </c>
      <c r="H64" s="106">
        <f>B8*E64</f>
        <v>2238.53211009174</v>
      </c>
      <c r="I64" s="3"/>
      <c r="J64" s="3"/>
      <c r="K64" s="106">
        <f>B11*E64</f>
        <v>0</v>
      </c>
    </row>
    <row r="65" ht="18" customHeight="1" spans="3:11">
      <c r="C65" s="5"/>
      <c r="F65" s="4">
        <v>38128.6730963302</v>
      </c>
      <c r="G65" s="4">
        <f>B52*0.25</f>
        <v>-6673.87174311915</v>
      </c>
      <c r="K65" s="1">
        <f>B52*0.25</f>
        <v>-6673.87174311915</v>
      </c>
    </row>
    <row r="66" ht="18" customHeight="1" spans="3:6">
      <c r="C66" s="5"/>
      <c r="F66" s="4">
        <v>11926.51</v>
      </c>
    </row>
    <row r="67" ht="18" customHeight="1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</sheetData>
  <autoFilter ref="A14:O66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workbookViewId="0">
      <selection activeCell="K8" sqref="K8"/>
    </sheetView>
  </sheetViews>
  <sheetFormatPr defaultColWidth="9" defaultRowHeight="11.25"/>
  <cols>
    <col min="1" max="1" width="10.775" style="5" customWidth="1"/>
    <col min="2" max="2" width="15.6666666666667" style="4" customWidth="1"/>
    <col min="3" max="3" width="6" style="3" customWidth="1"/>
    <col min="4" max="4" width="13.3333333333333" style="3" customWidth="1"/>
    <col min="5" max="5" width="6.125" style="3" customWidth="1"/>
    <col min="6" max="6" width="13.1083333333333" style="4" customWidth="1"/>
    <col min="7" max="7" width="18.5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7" customWidth="1"/>
    <col min="12" max="12" width="20.375" style="1" customWidth="1"/>
    <col min="13" max="13" width="17.25" style="1" customWidth="1"/>
    <col min="14" max="14" width="8.375" style="1" customWidth="1"/>
    <col min="15" max="15" width="22.375" style="5" customWidth="1"/>
    <col min="16" max="16384" width="9" style="5"/>
  </cols>
  <sheetData>
    <row r="1" s="1" customFormat="1" ht="21.9" customHeight="1" spans="1:12">
      <c r="A1" s="8" t="s">
        <v>105</v>
      </c>
      <c r="B1" s="8"/>
      <c r="C1" s="8"/>
      <c r="D1" s="8"/>
      <c r="E1" s="8"/>
      <c r="F1" s="9"/>
      <c r="G1" s="9"/>
      <c r="H1" s="8"/>
      <c r="I1" s="9"/>
      <c r="J1" s="8"/>
      <c r="K1" s="64"/>
      <c r="L1" s="18"/>
    </row>
    <row r="2" s="1" customFormat="1" ht="18" customHeight="1" spans="1:12">
      <c r="A2" s="10" t="s">
        <v>1</v>
      </c>
      <c r="B2" s="11">
        <v>43717</v>
      </c>
      <c r="C2" s="12" t="s">
        <v>2</v>
      </c>
      <c r="D2" s="13">
        <v>2480000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64" t="s">
        <v>106</v>
      </c>
      <c r="L2" s="18"/>
    </row>
    <row r="3" s="1" customFormat="1" ht="18" customHeight="1" spans="1:12">
      <c r="A3" s="10" t="s">
        <v>7</v>
      </c>
      <c r="B3" s="17"/>
      <c r="C3" s="12" t="s">
        <v>8</v>
      </c>
      <c r="D3" s="12">
        <v>2044945.13</v>
      </c>
      <c r="E3" s="3"/>
      <c r="F3" s="4"/>
      <c r="G3" s="4"/>
      <c r="H3" s="18"/>
      <c r="I3" s="67"/>
      <c r="J3" s="18"/>
      <c r="K3" s="64"/>
      <c r="L3" s="18"/>
    </row>
    <row r="4" s="1" customFormat="1" ht="18" customHeight="1" spans="1:12">
      <c r="A4" s="5" t="s">
        <v>9</v>
      </c>
      <c r="B4" s="4"/>
      <c r="C4" s="3"/>
      <c r="D4" s="3"/>
      <c r="E4" s="3"/>
      <c r="F4" s="4"/>
      <c r="G4" s="4"/>
      <c r="H4" s="18"/>
      <c r="I4" s="67"/>
      <c r="J4" s="18"/>
      <c r="K4" s="64"/>
      <c r="L4" s="18"/>
    </row>
    <row r="5" s="1" customFormat="1" ht="18" customHeight="1" spans="1:11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  <c r="K5" s="7"/>
    </row>
    <row r="6" s="1" customFormat="1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7"/>
    </row>
    <row r="7" s="1" customFormat="1" ht="18" customHeight="1" spans="1:11">
      <c r="A7" s="22">
        <v>43733</v>
      </c>
      <c r="B7" s="12">
        <f>G7/(1+C7+E7)</f>
        <v>1251376.14678899</v>
      </c>
      <c r="C7" s="23">
        <v>0</v>
      </c>
      <c r="D7" s="24">
        <f>G7/(1+E7+C7)*C7</f>
        <v>0</v>
      </c>
      <c r="E7" s="23">
        <v>0.09</v>
      </c>
      <c r="F7" s="12">
        <f t="shared" ref="F7:F11" si="0">G7/(1+C7+E7)*E7</f>
        <v>112623.853211009</v>
      </c>
      <c r="G7" s="25">
        <v>1364000</v>
      </c>
      <c r="H7" s="22">
        <v>43738</v>
      </c>
      <c r="I7" s="12">
        <v>1364000</v>
      </c>
      <c r="J7" s="60" t="s">
        <v>21</v>
      </c>
      <c r="K7" s="7"/>
    </row>
    <row r="8" s="1" customFormat="1" ht="18" customHeight="1" spans="1:11">
      <c r="A8" s="22">
        <v>43773</v>
      </c>
      <c r="B8" s="12">
        <f>G8/(1+C8+E8)</f>
        <v>491743.119266055</v>
      </c>
      <c r="C8" s="23">
        <v>0</v>
      </c>
      <c r="D8" s="24">
        <f>G8/(1+E8+C8)*C8</f>
        <v>0</v>
      </c>
      <c r="E8" s="23">
        <v>0.09</v>
      </c>
      <c r="F8" s="12">
        <f t="shared" si="0"/>
        <v>44256.8807339449</v>
      </c>
      <c r="G8" s="25">
        <v>536000</v>
      </c>
      <c r="H8" s="22">
        <v>43782</v>
      </c>
      <c r="I8" s="68">
        <v>536000</v>
      </c>
      <c r="J8" s="69" t="s">
        <v>21</v>
      </c>
      <c r="K8" s="70"/>
    </row>
    <row r="9" s="1" customFormat="1" ht="18" customHeight="1" spans="1:11">
      <c r="A9" s="22">
        <v>43816</v>
      </c>
      <c r="B9" s="12">
        <f>G9/(1+C9+E9)</f>
        <v>91743.119266055</v>
      </c>
      <c r="C9" s="23">
        <v>0</v>
      </c>
      <c r="D9" s="24">
        <f>G9/(1+E9+C9)*C9</f>
        <v>0</v>
      </c>
      <c r="E9" s="23">
        <v>0.09</v>
      </c>
      <c r="F9" s="12">
        <f t="shared" si="0"/>
        <v>8256.88073394495</v>
      </c>
      <c r="G9" s="25">
        <v>100000</v>
      </c>
      <c r="H9" s="22"/>
      <c r="I9" s="68"/>
      <c r="J9" s="69"/>
      <c r="K9" s="70"/>
    </row>
    <row r="10" s="1" customFormat="1" ht="18" customHeight="1" spans="1:11">
      <c r="A10" s="22">
        <v>44235</v>
      </c>
      <c r="B10" s="12">
        <f>G10/(1+C10+E10)</f>
        <v>41233.9449541284</v>
      </c>
      <c r="C10" s="23">
        <v>0</v>
      </c>
      <c r="D10" s="24">
        <f>G10/(1+E10+C10)*C10</f>
        <v>0</v>
      </c>
      <c r="E10" s="23">
        <v>0.09</v>
      </c>
      <c r="F10" s="12">
        <f t="shared" si="0"/>
        <v>3711.05504587156</v>
      </c>
      <c r="G10" s="25">
        <v>44945</v>
      </c>
      <c r="H10" s="22"/>
      <c r="I10" s="68"/>
      <c r="J10" s="69"/>
      <c r="K10" s="70"/>
    </row>
    <row r="11" s="1" customFormat="1" ht="18" customHeight="1" spans="1:11">
      <c r="A11" s="22"/>
      <c r="B11" s="12">
        <f>G11/(1+C11+E11)</f>
        <v>0</v>
      </c>
      <c r="C11" s="26"/>
      <c r="D11" s="24">
        <f>G11/(1+E11+C11)*C11</f>
        <v>0</v>
      </c>
      <c r="E11" s="23">
        <v>0.07</v>
      </c>
      <c r="F11" s="12">
        <f t="shared" si="0"/>
        <v>0</v>
      </c>
      <c r="G11" s="25"/>
      <c r="H11" s="22">
        <v>43818</v>
      </c>
      <c r="I11" s="12">
        <v>100000</v>
      </c>
      <c r="J11" s="60"/>
      <c r="K11" s="7"/>
    </row>
    <row r="12" s="1" customFormat="1" ht="18" customHeight="1" spans="1:11">
      <c r="A12" s="27" t="s">
        <v>22</v>
      </c>
      <c r="B12" s="28">
        <f>SUM(B7:B11)</f>
        <v>1876096.33027523</v>
      </c>
      <c r="C12" s="29"/>
      <c r="D12" s="29">
        <f>SUM(D7:D11)</f>
        <v>0</v>
      </c>
      <c r="E12" s="29"/>
      <c r="F12" s="30">
        <f>SUM(F7:F11)</f>
        <v>168848.669724771</v>
      </c>
      <c r="G12" s="29">
        <f>SUM(G7:G11)</f>
        <v>2044945</v>
      </c>
      <c r="H12" s="31"/>
      <c r="I12" s="29">
        <f>SUM(I7:I11)</f>
        <v>2000000</v>
      </c>
      <c r="J12" s="31"/>
      <c r="K12" s="7"/>
    </row>
    <row r="13" s="1" customFormat="1" ht="18" customHeight="1" spans="1:12">
      <c r="A13" s="5" t="s">
        <v>23</v>
      </c>
      <c r="B13" s="4"/>
      <c r="C13" s="3"/>
      <c r="D13" s="3"/>
      <c r="E13" s="3"/>
      <c r="F13" s="4"/>
      <c r="G13" s="4"/>
      <c r="H13" s="3"/>
      <c r="I13" s="4">
        <f>D3-I12</f>
        <v>44945.1299999999</v>
      </c>
      <c r="J13" s="3"/>
      <c r="K13" s="71"/>
      <c r="L13" s="6"/>
    </row>
    <row r="14" s="1" customFormat="1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72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1" customFormat="1" ht="18" customHeight="1" spans="1:15">
      <c r="A15" s="33">
        <v>43770</v>
      </c>
      <c r="B15" s="34">
        <v>99900</v>
      </c>
      <c r="C15" s="19"/>
      <c r="D15" s="35" t="s">
        <v>107</v>
      </c>
      <c r="E15" s="36"/>
      <c r="F15" s="20"/>
      <c r="G15" s="37">
        <v>99000</v>
      </c>
      <c r="H15" s="19"/>
      <c r="I15" s="20"/>
      <c r="J15" s="19"/>
      <c r="K15" s="73" t="s">
        <v>108</v>
      </c>
      <c r="L15" s="21"/>
      <c r="M15" s="21"/>
      <c r="N15" s="21"/>
      <c r="O15" s="21"/>
    </row>
    <row r="16" s="1" customFormat="1" ht="18" customHeight="1" spans="1:15">
      <c r="A16" s="33">
        <v>43770</v>
      </c>
      <c r="B16" s="34">
        <v>99000</v>
      </c>
      <c r="C16" s="19"/>
      <c r="D16" s="35" t="s">
        <v>107</v>
      </c>
      <c r="E16" s="38"/>
      <c r="F16" s="20"/>
      <c r="G16" s="39">
        <v>99900</v>
      </c>
      <c r="H16" s="19"/>
      <c r="I16" s="20"/>
      <c r="J16" s="19"/>
      <c r="K16" s="73" t="s">
        <v>109</v>
      </c>
      <c r="L16" s="21"/>
      <c r="M16" s="21"/>
      <c r="N16" s="21"/>
      <c r="O16" s="21"/>
    </row>
    <row r="17" s="2" customFormat="1" ht="18" customHeight="1" spans="1:15">
      <c r="A17" s="33">
        <v>43770</v>
      </c>
      <c r="B17" s="40">
        <f>ROUND(G17/(1+E17),2)</f>
        <v>99000</v>
      </c>
      <c r="C17" s="41"/>
      <c r="D17" s="35" t="s">
        <v>107</v>
      </c>
      <c r="E17" s="36"/>
      <c r="F17" s="42">
        <f>ROUND(G17/(1+E17)*E17,2)</f>
        <v>0</v>
      </c>
      <c r="G17" s="37">
        <v>99000</v>
      </c>
      <c r="H17" s="22"/>
      <c r="I17" s="12"/>
      <c r="J17" s="60"/>
      <c r="K17" s="74" t="s">
        <v>110</v>
      </c>
      <c r="L17" s="75" t="s">
        <v>111</v>
      </c>
      <c r="M17" s="76"/>
      <c r="N17" s="76"/>
      <c r="O17" s="75"/>
    </row>
    <row r="18" s="2" customFormat="1" ht="18" customHeight="1" spans="1:15">
      <c r="A18" s="43">
        <v>43800</v>
      </c>
      <c r="B18" s="44">
        <f>ROUND(G18/(1+E18),2)</f>
        <v>294000</v>
      </c>
      <c r="C18" s="45"/>
      <c r="D18" s="46" t="s">
        <v>36</v>
      </c>
      <c r="E18" s="38"/>
      <c r="F18" s="12">
        <f>ROUND(G18/(1+E18)*E18,2)</f>
        <v>0</v>
      </c>
      <c r="G18" s="39">
        <f>98000+98000+98000</f>
        <v>294000</v>
      </c>
      <c r="H18" s="22"/>
      <c r="I18" s="12"/>
      <c r="J18" s="60"/>
      <c r="K18" s="74" t="s">
        <v>112</v>
      </c>
      <c r="L18" s="75" t="s">
        <v>113</v>
      </c>
      <c r="M18" s="76" t="s">
        <v>41</v>
      </c>
      <c r="N18" s="76"/>
      <c r="O18" s="75"/>
    </row>
    <row r="19" s="2" customFormat="1" ht="18" customHeight="1" spans="1:15">
      <c r="A19" s="43">
        <v>43800</v>
      </c>
      <c r="B19" s="44">
        <f>ROUND(G19/(1+E19),2)</f>
        <v>485436.89</v>
      </c>
      <c r="C19" s="45"/>
      <c r="D19" s="46" t="s">
        <v>42</v>
      </c>
      <c r="E19" s="47">
        <v>0.03</v>
      </c>
      <c r="F19" s="12">
        <f>ROUND(G19/(1+E19)*E19,2)</f>
        <v>14563.11</v>
      </c>
      <c r="G19" s="39">
        <v>500000</v>
      </c>
      <c r="H19" s="22"/>
      <c r="I19" s="12"/>
      <c r="J19" s="60"/>
      <c r="K19" s="74" t="s">
        <v>43</v>
      </c>
      <c r="L19" s="75" t="s">
        <v>114</v>
      </c>
      <c r="M19" s="76"/>
      <c r="N19" s="76" t="s">
        <v>41</v>
      </c>
      <c r="O19" s="75"/>
    </row>
    <row r="20" s="2" customFormat="1" ht="18" customHeight="1" spans="1:15">
      <c r="A20" s="33">
        <v>43800</v>
      </c>
      <c r="B20" s="40">
        <f>ROUND(G20/(1+E20),2)</f>
        <v>722420.22</v>
      </c>
      <c r="C20" s="41"/>
      <c r="D20" s="35" t="s">
        <v>36</v>
      </c>
      <c r="E20" s="36"/>
      <c r="F20" s="42">
        <f>ROUND(G20/(1+E20)*E20,2)</f>
        <v>0</v>
      </c>
      <c r="G20" s="37">
        <f>100000*7+22420.22</f>
        <v>722420.22</v>
      </c>
      <c r="H20" s="22" t="s">
        <v>45</v>
      </c>
      <c r="I20" s="12">
        <v>484881</v>
      </c>
      <c r="J20" s="60" t="s">
        <v>21</v>
      </c>
      <c r="K20" s="74" t="s">
        <v>46</v>
      </c>
      <c r="L20" s="75" t="s">
        <v>47</v>
      </c>
      <c r="M20" s="76"/>
      <c r="N20" s="76"/>
      <c r="O20" s="75"/>
    </row>
    <row r="21" s="2" customFormat="1" ht="18" customHeight="1" spans="1:15">
      <c r="A21" s="33"/>
      <c r="B21" s="40">
        <f>ROUND(G21/(1+E21),2)</f>
        <v>0</v>
      </c>
      <c r="C21" s="41"/>
      <c r="D21" s="35"/>
      <c r="E21" s="36"/>
      <c r="F21" s="42">
        <f>ROUND(G21/(1+E21)*E21,2)</f>
        <v>0</v>
      </c>
      <c r="G21" s="37"/>
      <c r="H21" s="48">
        <v>43853</v>
      </c>
      <c r="I21" s="77">
        <v>100000</v>
      </c>
      <c r="J21" s="78" t="s">
        <v>21</v>
      </c>
      <c r="K21" s="79" t="s">
        <v>43</v>
      </c>
      <c r="L21" s="80" t="s">
        <v>115</v>
      </c>
      <c r="M21" s="76"/>
      <c r="N21" s="76"/>
      <c r="O21" s="75"/>
    </row>
    <row r="22" s="2" customFormat="1" ht="18" customHeight="1" spans="1:15">
      <c r="A22" s="33"/>
      <c r="B22" s="40"/>
      <c r="C22" s="41"/>
      <c r="D22" s="35"/>
      <c r="E22" s="36"/>
      <c r="F22" s="42"/>
      <c r="G22" s="37"/>
      <c r="H22" s="49">
        <v>43853</v>
      </c>
      <c r="I22" s="77">
        <v>-100000</v>
      </c>
      <c r="J22" s="69"/>
      <c r="K22" s="81" t="s">
        <v>116</v>
      </c>
      <c r="L22" s="82"/>
      <c r="M22" s="76"/>
      <c r="N22" s="76"/>
      <c r="O22" s="75"/>
    </row>
    <row r="23" s="2" customFormat="1" ht="18" customHeight="1" spans="1:15">
      <c r="A23" s="33"/>
      <c r="B23" s="40"/>
      <c r="C23" s="41"/>
      <c r="D23" s="35"/>
      <c r="E23" s="36"/>
      <c r="F23" s="42"/>
      <c r="G23" s="37"/>
      <c r="H23" s="49" t="s">
        <v>117</v>
      </c>
      <c r="I23" s="83">
        <v>400000</v>
      </c>
      <c r="J23" s="69" t="s">
        <v>21</v>
      </c>
      <c r="K23" s="81" t="s">
        <v>43</v>
      </c>
      <c r="L23" s="82"/>
      <c r="M23" s="76"/>
      <c r="N23" s="76"/>
      <c r="O23" s="75" t="s">
        <v>118</v>
      </c>
    </row>
    <row r="24" s="2" customFormat="1" ht="18" customHeight="1" spans="1:15">
      <c r="A24" s="33"/>
      <c r="B24" s="40"/>
      <c r="C24" s="41"/>
      <c r="D24" s="35"/>
      <c r="E24" s="36"/>
      <c r="F24" s="42"/>
      <c r="G24" s="37"/>
      <c r="H24" s="49"/>
      <c r="I24" s="83">
        <v>200000</v>
      </c>
      <c r="J24" s="69"/>
      <c r="K24" s="81" t="s">
        <v>119</v>
      </c>
      <c r="L24" s="82"/>
      <c r="M24" s="76"/>
      <c r="N24" s="76"/>
      <c r="O24" s="75" t="s">
        <v>62</v>
      </c>
    </row>
    <row r="25" s="2" customFormat="1" ht="18" customHeight="1" spans="1:15">
      <c r="A25" s="33"/>
      <c r="B25" s="40"/>
      <c r="C25" s="41"/>
      <c r="D25" s="35"/>
      <c r="E25" s="36"/>
      <c r="F25" s="42"/>
      <c r="G25" s="37"/>
      <c r="H25" s="49"/>
      <c r="I25" s="83">
        <v>200000</v>
      </c>
      <c r="J25" s="69" t="s">
        <v>120</v>
      </c>
      <c r="K25" s="74" t="s">
        <v>121</v>
      </c>
      <c r="L25" s="82"/>
      <c r="M25" s="76"/>
      <c r="N25" s="76"/>
      <c r="O25" s="75"/>
    </row>
    <row r="26" s="2" customFormat="1" ht="18" customHeight="1" spans="1:15">
      <c r="A26" s="33"/>
      <c r="B26" s="40">
        <f>ROUND(G26/(1+E26),2)</f>
        <v>0</v>
      </c>
      <c r="C26" s="41"/>
      <c r="D26" s="35"/>
      <c r="E26" s="36"/>
      <c r="F26" s="42">
        <f>ROUND(G26/(1+E26)*E26,2)</f>
        <v>0</v>
      </c>
      <c r="G26" s="37"/>
      <c r="H26" s="22" t="s">
        <v>71</v>
      </c>
      <c r="I26" s="77">
        <v>100000</v>
      </c>
      <c r="J26" s="60" t="s">
        <v>120</v>
      </c>
      <c r="K26" s="74" t="s">
        <v>122</v>
      </c>
      <c r="L26" s="75"/>
      <c r="M26" s="76"/>
      <c r="N26" s="76"/>
      <c r="O26" s="75"/>
    </row>
    <row r="27" s="2" customFormat="1" ht="18" customHeight="1" spans="1:15">
      <c r="A27" s="33"/>
      <c r="B27" s="40"/>
      <c r="C27" s="41"/>
      <c r="D27" s="35"/>
      <c r="E27" s="36"/>
      <c r="F27" s="42"/>
      <c r="G27" s="37"/>
      <c r="H27" s="50">
        <v>43935</v>
      </c>
      <c r="I27" s="84">
        <v>90979.78</v>
      </c>
      <c r="J27" s="76"/>
      <c r="K27" s="74" t="s">
        <v>57</v>
      </c>
      <c r="L27" s="76" t="s">
        <v>59</v>
      </c>
      <c r="M27" s="76"/>
      <c r="N27" s="76"/>
      <c r="O27" s="75"/>
    </row>
    <row r="28" s="2" customFormat="1" ht="18" customHeight="1" spans="1:15">
      <c r="A28" s="33"/>
      <c r="B28" s="40"/>
      <c r="C28" s="41"/>
      <c r="D28" s="35"/>
      <c r="E28" s="36"/>
      <c r="F28" s="42"/>
      <c r="G28" s="37"/>
      <c r="H28" s="50">
        <v>43935</v>
      </c>
      <c r="I28" s="84">
        <v>294000</v>
      </c>
      <c r="J28" s="76"/>
      <c r="K28" s="74" t="s">
        <v>123</v>
      </c>
      <c r="L28" s="76" t="s">
        <v>59</v>
      </c>
      <c r="M28" s="76"/>
      <c r="N28" s="76"/>
      <c r="O28" s="75"/>
    </row>
    <row r="29" s="2" customFormat="1" ht="18" customHeight="1" spans="1:15">
      <c r="A29" s="33"/>
      <c r="B29" s="40"/>
      <c r="C29" s="41"/>
      <c r="D29" s="35"/>
      <c r="E29" s="36"/>
      <c r="F29" s="42"/>
      <c r="G29" s="37"/>
      <c r="H29" s="50">
        <v>43935</v>
      </c>
      <c r="I29" s="84">
        <v>237539.22</v>
      </c>
      <c r="J29" s="76"/>
      <c r="K29" s="74" t="s">
        <v>46</v>
      </c>
      <c r="L29" s="75" t="s">
        <v>124</v>
      </c>
      <c r="M29" s="76"/>
      <c r="N29" s="76"/>
      <c r="O29" s="75"/>
    </row>
    <row r="30" s="2" customFormat="1" ht="18" customHeight="1" spans="1:15">
      <c r="A30" s="33"/>
      <c r="B30" s="40"/>
      <c r="C30" s="41"/>
      <c r="D30" s="35"/>
      <c r="E30" s="36"/>
      <c r="F30" s="42"/>
      <c r="G30" s="37"/>
      <c r="H30" s="50"/>
      <c r="I30" s="84"/>
      <c r="J30" s="76"/>
      <c r="K30" s="74"/>
      <c r="L30" s="75"/>
      <c r="M30" s="76"/>
      <c r="N30" s="76"/>
      <c r="O30" s="75"/>
    </row>
    <row r="31" s="2" customFormat="1" ht="18" customHeight="1" spans="1:15">
      <c r="A31" s="33"/>
      <c r="B31" s="40"/>
      <c r="C31" s="41"/>
      <c r="D31" s="35"/>
      <c r="E31" s="36"/>
      <c r="F31" s="42"/>
      <c r="G31" s="37"/>
      <c r="H31" s="50"/>
      <c r="I31" s="42"/>
      <c r="J31" s="76"/>
      <c r="K31" s="74"/>
      <c r="L31" s="75"/>
      <c r="M31" s="76"/>
      <c r="N31" s="76"/>
      <c r="O31" s="75"/>
    </row>
    <row r="32" s="2" customFormat="1" ht="18" customHeight="1" spans="1:15">
      <c r="A32" s="33"/>
      <c r="B32" s="40"/>
      <c r="C32" s="41"/>
      <c r="D32" s="35"/>
      <c r="E32" s="36"/>
      <c r="F32" s="42"/>
      <c r="G32" s="37"/>
      <c r="H32" s="50" t="s">
        <v>64</v>
      </c>
      <c r="I32" s="42">
        <v>250</v>
      </c>
      <c r="J32" s="76" t="s">
        <v>66</v>
      </c>
      <c r="K32" s="74" t="s">
        <v>67</v>
      </c>
      <c r="L32" s="75"/>
      <c r="M32" s="76"/>
      <c r="N32" s="76"/>
      <c r="O32" s="75"/>
    </row>
    <row r="33" s="2" customFormat="1" ht="18" customHeight="1" spans="1:15">
      <c r="A33" s="33"/>
      <c r="B33" s="40">
        <f t="shared" ref="B33:B34" si="1">ROUND(G33/(1+E33),2)</f>
        <v>0</v>
      </c>
      <c r="C33" s="41"/>
      <c r="D33" s="35"/>
      <c r="E33" s="36"/>
      <c r="F33" s="42">
        <f t="shared" ref="F33:F34" si="2">ROUND(G33/(1+E33)*E33,2)</f>
        <v>0</v>
      </c>
      <c r="G33" s="37"/>
      <c r="H33" s="50" t="s">
        <v>64</v>
      </c>
      <c r="I33" s="42">
        <v>1651</v>
      </c>
      <c r="J33" s="76" t="s">
        <v>69</v>
      </c>
      <c r="K33" s="74" t="s">
        <v>125</v>
      </c>
      <c r="L33" s="75"/>
      <c r="M33" s="76"/>
      <c r="N33" s="76"/>
      <c r="O33" s="75"/>
    </row>
    <row r="34" s="2" customFormat="1" ht="18" customHeight="1" spans="1:15">
      <c r="A34" s="33"/>
      <c r="B34" s="40">
        <f t="shared" si="1"/>
        <v>104495</v>
      </c>
      <c r="C34" s="41"/>
      <c r="D34" s="35"/>
      <c r="E34" s="36"/>
      <c r="F34" s="42">
        <f t="shared" si="2"/>
        <v>0</v>
      </c>
      <c r="G34" s="37">
        <v>104495</v>
      </c>
      <c r="H34" s="50" t="s">
        <v>64</v>
      </c>
      <c r="I34" s="42">
        <v>104495</v>
      </c>
      <c r="J34" s="76" t="s">
        <v>66</v>
      </c>
      <c r="K34" s="74" t="s">
        <v>126</v>
      </c>
      <c r="L34" s="75"/>
      <c r="M34" s="76"/>
      <c r="N34" s="76"/>
      <c r="O34" s="75"/>
    </row>
    <row r="35" s="2" customFormat="1" ht="18" customHeight="1" spans="1:15">
      <c r="A35" s="33"/>
      <c r="B35" s="42"/>
      <c r="C35" s="41"/>
      <c r="D35" s="35"/>
      <c r="E35" s="36"/>
      <c r="F35" s="42"/>
      <c r="G35" s="37"/>
      <c r="H35" s="22" t="s">
        <v>64</v>
      </c>
      <c r="I35" s="42">
        <v>-28915</v>
      </c>
      <c r="J35" s="60" t="s">
        <v>63</v>
      </c>
      <c r="K35" s="74" t="s">
        <v>127</v>
      </c>
      <c r="L35" s="75"/>
      <c r="M35" s="76"/>
      <c r="N35" s="76"/>
      <c r="O35" s="75"/>
    </row>
    <row r="36" s="2" customFormat="1" ht="18" customHeight="1" spans="1:15">
      <c r="A36" s="33"/>
      <c r="B36" s="42">
        <f t="shared" ref="B36:B45" si="3">ROUND(G36/(1+E36),2)</f>
        <v>0</v>
      </c>
      <c r="C36" s="41"/>
      <c r="D36" s="35"/>
      <c r="E36" s="36"/>
      <c r="F36" s="42">
        <f t="shared" ref="F36:F45" si="4">ROUND(G36/(1+E36)*E36,2)</f>
        <v>0</v>
      </c>
      <c r="G36" s="37"/>
      <c r="H36" s="22" t="s">
        <v>76</v>
      </c>
      <c r="I36" s="42">
        <v>28915</v>
      </c>
      <c r="J36" s="60" t="s">
        <v>72</v>
      </c>
      <c r="K36" s="74" t="s">
        <v>77</v>
      </c>
      <c r="L36" s="75"/>
      <c r="M36" s="76"/>
      <c r="N36" s="76"/>
      <c r="O36" s="75"/>
    </row>
    <row r="37" s="2" customFormat="1" ht="18" customHeight="1" spans="1:15">
      <c r="A37" s="33"/>
      <c r="B37" s="42">
        <f t="shared" si="3"/>
        <v>0</v>
      </c>
      <c r="C37" s="41"/>
      <c r="D37" s="35"/>
      <c r="E37" s="36"/>
      <c r="F37" s="42">
        <f t="shared" si="4"/>
        <v>0</v>
      </c>
      <c r="G37" s="37"/>
      <c r="H37" s="22" t="s">
        <v>76</v>
      </c>
      <c r="I37" s="42">
        <v>322</v>
      </c>
      <c r="J37" s="60" t="s">
        <v>66</v>
      </c>
      <c r="K37" s="74" t="s">
        <v>78</v>
      </c>
      <c r="L37" s="75"/>
      <c r="M37" s="76"/>
      <c r="N37" s="76"/>
      <c r="O37" s="75"/>
    </row>
    <row r="38" s="2" customFormat="1" ht="18" customHeight="1" spans="1:15">
      <c r="A38" s="33"/>
      <c r="B38" s="42">
        <f t="shared" si="3"/>
        <v>0</v>
      </c>
      <c r="C38" s="41"/>
      <c r="D38" s="35"/>
      <c r="E38" s="36"/>
      <c r="F38" s="42">
        <f t="shared" si="4"/>
        <v>0</v>
      </c>
      <c r="G38" s="37"/>
      <c r="H38" s="22" t="s">
        <v>76</v>
      </c>
      <c r="I38" s="42">
        <v>18349</v>
      </c>
      <c r="J38" s="60" t="s">
        <v>66</v>
      </c>
      <c r="K38" s="74" t="s">
        <v>128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si="3"/>
        <v>0</v>
      </c>
      <c r="C39" s="41"/>
      <c r="D39" s="35"/>
      <c r="E39" s="36"/>
      <c r="F39" s="42">
        <f t="shared" si="4"/>
        <v>0</v>
      </c>
      <c r="G39" s="37"/>
      <c r="H39" s="22" t="s">
        <v>76</v>
      </c>
      <c r="I39" s="42">
        <v>1701</v>
      </c>
      <c r="J39" s="60" t="s">
        <v>66</v>
      </c>
      <c r="K39" s="74" t="s">
        <v>80</v>
      </c>
      <c r="L39" s="75"/>
      <c r="M39" s="76"/>
      <c r="N39" s="76"/>
      <c r="O39" s="75"/>
    </row>
    <row r="40" s="2" customFormat="1" ht="18" customHeight="1" spans="1:15">
      <c r="A40" s="33"/>
      <c r="B40" s="42">
        <f t="shared" si="3"/>
        <v>0</v>
      </c>
      <c r="C40" s="41"/>
      <c r="D40" s="35"/>
      <c r="E40" s="36"/>
      <c r="F40" s="42">
        <f t="shared" si="4"/>
        <v>0</v>
      </c>
      <c r="G40" s="37"/>
      <c r="H40" s="22" t="s">
        <v>76</v>
      </c>
      <c r="I40" s="42">
        <v>165632</v>
      </c>
      <c r="J40" s="60" t="s">
        <v>66</v>
      </c>
      <c r="K40" s="74" t="s">
        <v>79</v>
      </c>
      <c r="L40" s="75"/>
      <c r="M40" s="76"/>
      <c r="N40" s="76"/>
      <c r="O40" s="75"/>
    </row>
    <row r="41" s="2" customFormat="1" ht="18" customHeight="1" spans="1:15">
      <c r="A41" s="33"/>
      <c r="B41" s="42">
        <f t="shared" si="3"/>
        <v>0</v>
      </c>
      <c r="C41" s="41"/>
      <c r="D41" s="35"/>
      <c r="E41" s="36"/>
      <c r="F41" s="42">
        <f t="shared" si="4"/>
        <v>0</v>
      </c>
      <c r="G41" s="25"/>
      <c r="H41" s="22" t="s">
        <v>76</v>
      </c>
      <c r="I41" s="85">
        <v>-400000</v>
      </c>
      <c r="J41" s="60" t="s">
        <v>66</v>
      </c>
      <c r="K41" s="86" t="s">
        <v>129</v>
      </c>
      <c r="L41" s="75" t="s">
        <v>130</v>
      </c>
      <c r="M41" s="76"/>
      <c r="N41" s="76"/>
      <c r="O41" s="75"/>
    </row>
    <row r="42" s="2" customFormat="1" ht="18" customHeight="1" spans="1:15">
      <c r="A42" s="33"/>
      <c r="B42" s="42">
        <f t="shared" si="3"/>
        <v>0</v>
      </c>
      <c r="C42" s="41"/>
      <c r="D42" s="35"/>
      <c r="E42" s="36"/>
      <c r="F42" s="42">
        <f t="shared" si="4"/>
        <v>0</v>
      </c>
      <c r="G42" s="25"/>
      <c r="H42" s="22" t="s">
        <v>76</v>
      </c>
      <c r="I42" s="42">
        <v>100</v>
      </c>
      <c r="J42" s="60" t="s">
        <v>66</v>
      </c>
      <c r="K42" s="74" t="s">
        <v>67</v>
      </c>
      <c r="L42" s="75"/>
      <c r="M42" s="76"/>
      <c r="N42" s="76"/>
      <c r="O42" s="75"/>
    </row>
    <row r="43" s="2" customFormat="1" ht="18" customHeight="1" spans="1:15">
      <c r="A43" s="33"/>
      <c r="B43" s="42">
        <f t="shared" si="3"/>
        <v>0</v>
      </c>
      <c r="C43" s="41"/>
      <c r="D43" s="35"/>
      <c r="E43" s="36"/>
      <c r="F43" s="42">
        <f t="shared" si="4"/>
        <v>0</v>
      </c>
      <c r="G43" s="25"/>
      <c r="H43" s="22" t="s">
        <v>76</v>
      </c>
      <c r="I43" s="42">
        <v>100</v>
      </c>
      <c r="J43" s="60" t="s">
        <v>66</v>
      </c>
      <c r="K43" s="74" t="s">
        <v>82</v>
      </c>
      <c r="L43" s="75"/>
      <c r="M43" s="76"/>
      <c r="N43" s="76"/>
      <c r="O43" s="75"/>
    </row>
    <row r="44" s="2" customFormat="1" ht="18" customHeight="1" spans="1:15">
      <c r="A44" s="33"/>
      <c r="B44" s="42">
        <f t="shared" si="3"/>
        <v>100000</v>
      </c>
      <c r="C44" s="41"/>
      <c r="D44" s="35"/>
      <c r="E44" s="36"/>
      <c r="F44" s="42">
        <f t="shared" si="4"/>
        <v>0</v>
      </c>
      <c r="G44" s="25">
        <f>100000</f>
        <v>100000</v>
      </c>
      <c r="H44" s="22" t="s">
        <v>76</v>
      </c>
      <c r="I44" s="42">
        <f>G44</f>
        <v>100000</v>
      </c>
      <c r="J44" s="60" t="s">
        <v>66</v>
      </c>
      <c r="K44" s="74" t="s">
        <v>81</v>
      </c>
      <c r="L44" s="75"/>
      <c r="M44" s="76"/>
      <c r="N44" s="76"/>
      <c r="O44" s="75"/>
    </row>
    <row r="45" s="1" customFormat="1" ht="18" customHeight="1" spans="1:15">
      <c r="A45" s="29" t="s">
        <v>22</v>
      </c>
      <c r="B45" s="28">
        <f>SUM(B15:B44)</f>
        <v>2004252.11</v>
      </c>
      <c r="C45" s="29"/>
      <c r="D45" s="51"/>
      <c r="E45" s="51"/>
      <c r="F45" s="30">
        <f>SUM(F15:F44)</f>
        <v>14563.11</v>
      </c>
      <c r="G45" s="52">
        <f>SUM(G15:G44)</f>
        <v>2018815.22</v>
      </c>
      <c r="H45" s="53"/>
      <c r="I45" s="29">
        <f>SUM(I15:I44)</f>
        <v>2000000</v>
      </c>
      <c r="J45" s="87"/>
      <c r="K45" s="88"/>
      <c r="L45" s="31"/>
      <c r="M45" s="60"/>
      <c r="N45" s="60"/>
      <c r="O45" s="31"/>
    </row>
    <row r="46" s="1" customFormat="1" ht="18" customHeight="1" spans="1:14">
      <c r="A46" s="54" t="s">
        <v>83</v>
      </c>
      <c r="B46" s="55">
        <f>B12*0.96</f>
        <v>1801052.47706422</v>
      </c>
      <c r="C46" s="54"/>
      <c r="D46" s="56"/>
      <c r="E46" s="56"/>
      <c r="F46" s="57"/>
      <c r="G46" s="58"/>
      <c r="H46" s="53"/>
      <c r="I46" s="29"/>
      <c r="K46" s="89"/>
      <c r="M46" s="90"/>
      <c r="N46" s="90"/>
    </row>
    <row r="47" s="1" customFormat="1" ht="18" customHeight="1" spans="1:14">
      <c r="A47" s="54" t="s">
        <v>84</v>
      </c>
      <c r="B47" s="54">
        <f>B46-B45</f>
        <v>-203199.632935779</v>
      </c>
      <c r="C47" s="54"/>
      <c r="D47" s="56"/>
      <c r="E47" s="56"/>
      <c r="F47" s="58"/>
      <c r="G47" s="58"/>
      <c r="H47" s="21" t="s">
        <v>85</v>
      </c>
      <c r="I47" s="29">
        <f>I12-I45</f>
        <v>0</v>
      </c>
      <c r="K47" s="91"/>
      <c r="M47" s="90"/>
      <c r="N47" s="90"/>
    </row>
    <row r="48" s="3" customFormat="1" ht="18" customHeight="1" spans="1:14">
      <c r="A48" s="5" t="s">
        <v>86</v>
      </c>
      <c r="B48" s="4"/>
      <c r="C48" s="5"/>
      <c r="F48" s="4"/>
      <c r="G48" s="4"/>
      <c r="I48" s="4"/>
      <c r="J48" s="6"/>
      <c r="K48" s="7"/>
      <c r="L48" s="1"/>
      <c r="M48" s="1"/>
      <c r="N48" s="1"/>
    </row>
    <row r="49" s="4" customFormat="1" ht="18" customHeight="1" spans="1:14">
      <c r="A49" s="21" t="s">
        <v>87</v>
      </c>
      <c r="B49" s="20" t="s">
        <v>88</v>
      </c>
      <c r="C49" s="31"/>
      <c r="D49" s="21" t="s">
        <v>87</v>
      </c>
      <c r="E49" s="19" t="s">
        <v>16</v>
      </c>
      <c r="F49" s="20" t="s">
        <v>88</v>
      </c>
      <c r="G49" s="20" t="s">
        <v>89</v>
      </c>
      <c r="H49" s="20" t="s">
        <v>90</v>
      </c>
      <c r="I49" s="20" t="s">
        <v>91</v>
      </c>
      <c r="J49" s="6"/>
      <c r="K49" s="92" t="s">
        <v>92</v>
      </c>
      <c r="L49" s="1"/>
      <c r="M49" s="1"/>
      <c r="N49" s="1"/>
    </row>
    <row r="50" s="4" customFormat="1" ht="18" customHeight="1" spans="1:16">
      <c r="A50" s="31" t="s">
        <v>93</v>
      </c>
      <c r="B50" s="42">
        <f>(B12-B45)*0.25</f>
        <v>-32038.9449311927</v>
      </c>
      <c r="C50" s="31"/>
      <c r="D50" s="59" t="s">
        <v>94</v>
      </c>
      <c r="E50" s="60" t="s">
        <v>95</v>
      </c>
      <c r="F50" s="30">
        <f>F12-F45</f>
        <v>154285.559724771</v>
      </c>
      <c r="G50" s="30">
        <f>F7</f>
        <v>112623.853211009</v>
      </c>
      <c r="H50" s="30">
        <f>F8-F19</f>
        <v>29693.7707339449</v>
      </c>
      <c r="I50" s="93"/>
      <c r="J50" s="94"/>
      <c r="K50" s="95">
        <f>F11</f>
        <v>0</v>
      </c>
      <c r="L50" s="1"/>
      <c r="M50" s="1"/>
      <c r="N50" s="1"/>
      <c r="P50" s="4" t="s">
        <v>131</v>
      </c>
    </row>
    <row r="51" s="4" customFormat="1" ht="18" customHeight="1" spans="1:14">
      <c r="A51" s="31" t="s">
        <v>96</v>
      </c>
      <c r="B51" s="44"/>
      <c r="C51" s="31"/>
      <c r="D51" s="59" t="s">
        <v>97</v>
      </c>
      <c r="E51" s="14">
        <v>0.05</v>
      </c>
      <c r="F51" s="12">
        <f>F50*E51</f>
        <v>7714.27798623853</v>
      </c>
      <c r="G51" s="12">
        <f>G50*E51</f>
        <v>5631.19266055046</v>
      </c>
      <c r="H51" s="12">
        <f>H50*E51</f>
        <v>1484.68853669725</v>
      </c>
      <c r="I51" s="96"/>
      <c r="J51" s="6"/>
      <c r="K51" s="97">
        <f>K50*E51</f>
        <v>0</v>
      </c>
      <c r="L51" s="1"/>
      <c r="M51" s="1"/>
      <c r="N51" s="1"/>
    </row>
    <row r="52" s="4" customFormat="1" ht="18" customHeight="1" spans="1:14">
      <c r="A52" s="31" t="s">
        <v>98</v>
      </c>
      <c r="B52" s="44"/>
      <c r="C52" s="31"/>
      <c r="D52" s="59" t="s">
        <v>99</v>
      </c>
      <c r="E52" s="14">
        <v>0.03</v>
      </c>
      <c r="F52" s="12">
        <f>F50*E52</f>
        <v>4628.56679174312</v>
      </c>
      <c r="G52" s="12">
        <f>G50*E52</f>
        <v>3378.71559633028</v>
      </c>
      <c r="H52" s="12">
        <f>H50*E52</f>
        <v>890.813122018348</v>
      </c>
      <c r="I52" s="96"/>
      <c r="J52" s="6"/>
      <c r="K52" s="97">
        <f>K50*E52</f>
        <v>0</v>
      </c>
      <c r="L52" s="1"/>
      <c r="M52" s="1"/>
      <c r="N52" s="1"/>
    </row>
    <row r="53" s="4" customFormat="1" ht="18" customHeight="1" spans="1:14">
      <c r="A53" s="31"/>
      <c r="B53" s="12"/>
      <c r="C53" s="31"/>
      <c r="D53" s="59" t="s">
        <v>100</v>
      </c>
      <c r="E53" s="14">
        <v>0.02</v>
      </c>
      <c r="F53" s="12">
        <f>F50*E53</f>
        <v>3085.71119449541</v>
      </c>
      <c r="G53" s="12">
        <f>G50*E53</f>
        <v>2252.47706422018</v>
      </c>
      <c r="H53" s="12">
        <f>H50*E53</f>
        <v>593.875414678899</v>
      </c>
      <c r="I53" s="96"/>
      <c r="J53" s="6"/>
      <c r="K53" s="97">
        <f>K50*E53</f>
        <v>0</v>
      </c>
      <c r="L53" s="1"/>
      <c r="M53" s="1"/>
      <c r="N53" s="1"/>
    </row>
    <row r="54" s="4" customFormat="1" ht="18" customHeight="1" spans="1:14">
      <c r="A54" s="27" t="s">
        <v>101</v>
      </c>
      <c r="B54" s="28">
        <f t="shared" ref="B54:H54" si="5">SUM(B50:B53)</f>
        <v>-32038.9449311927</v>
      </c>
      <c r="C54" s="31"/>
      <c r="D54" s="27" t="s">
        <v>101</v>
      </c>
      <c r="E54" s="27"/>
      <c r="F54" s="30">
        <f t="shared" si="5"/>
        <v>169714.115697248</v>
      </c>
      <c r="G54" s="30">
        <f t="shared" si="5"/>
        <v>123886.23853211</v>
      </c>
      <c r="H54" s="30">
        <f t="shared" si="5"/>
        <v>32663.1478073394</v>
      </c>
      <c r="I54" s="93">
        <v>321</v>
      </c>
      <c r="J54" s="6"/>
      <c r="K54" s="95">
        <f>SUM(K50:K53)</f>
        <v>0</v>
      </c>
      <c r="L54" s="1"/>
      <c r="M54" s="1"/>
      <c r="N54" s="1"/>
    </row>
    <row r="55" s="4" customFormat="1" ht="18" customHeight="1" spans="1:14">
      <c r="A55" s="61"/>
      <c r="B55" s="57"/>
      <c r="C55" s="1"/>
      <c r="D55" s="10" t="s">
        <v>102</v>
      </c>
      <c r="E55" s="62">
        <v>0.0003</v>
      </c>
      <c r="F55" s="24">
        <f>G12*E55</f>
        <v>613.4835</v>
      </c>
      <c r="G55" s="24">
        <f>G7*E55</f>
        <v>409.2</v>
      </c>
      <c r="H55" s="24">
        <f>G8*E55</f>
        <v>160.8</v>
      </c>
      <c r="J55" s="6"/>
      <c r="K55" s="98">
        <f>G11*E55</f>
        <v>0</v>
      </c>
      <c r="L55" s="1"/>
      <c r="M55" s="1"/>
      <c r="N55" s="1"/>
    </row>
    <row r="56" s="4" customFormat="1" ht="18" customHeight="1" spans="1:14">
      <c r="A56" s="61"/>
      <c r="B56" s="57"/>
      <c r="C56" s="1"/>
      <c r="D56" s="10" t="s">
        <v>103</v>
      </c>
      <c r="E56" s="62">
        <v>0.0006</v>
      </c>
      <c r="F56" s="24">
        <f>B12*E56</f>
        <v>1125.65779816514</v>
      </c>
      <c r="G56" s="24">
        <f>B7*E56</f>
        <v>750.825688073394</v>
      </c>
      <c r="H56" s="24">
        <f>B8*E56</f>
        <v>295.045871559633</v>
      </c>
      <c r="J56" s="6"/>
      <c r="K56" s="98">
        <f>B11*E56</f>
        <v>0</v>
      </c>
      <c r="L56" s="1"/>
      <c r="M56" s="1"/>
      <c r="N56" s="1"/>
    </row>
    <row r="57" s="4" customFormat="1" ht="18" customHeight="1" spans="1:14">
      <c r="A57" s="5"/>
      <c r="C57" s="5"/>
      <c r="D57" s="63" t="s">
        <v>101</v>
      </c>
      <c r="E57" s="63"/>
      <c r="F57" s="63">
        <f t="shared" ref="F57:H57" si="6">F55+F56</f>
        <v>1739.14129816514</v>
      </c>
      <c r="G57" s="63">
        <f t="shared" si="6"/>
        <v>1160.02568807339</v>
      </c>
      <c r="H57" s="63">
        <f t="shared" si="6"/>
        <v>455.845871559633</v>
      </c>
      <c r="J57" s="6"/>
      <c r="K57" s="99">
        <f>K55+K56</f>
        <v>0</v>
      </c>
      <c r="L57" s="1"/>
      <c r="M57" s="1"/>
      <c r="N57" s="1"/>
    </row>
    <row r="58" s="4" customFormat="1" ht="18" customHeight="1" spans="1:14">
      <c r="A58" s="5"/>
      <c r="C58" s="5"/>
      <c r="D58" s="63" t="s">
        <v>22</v>
      </c>
      <c r="E58" s="63"/>
      <c r="F58" s="63">
        <f t="shared" ref="F58:H58" si="7">F54+F57</f>
        <v>171453.256995413</v>
      </c>
      <c r="G58" s="63">
        <f t="shared" si="7"/>
        <v>125046.264220183</v>
      </c>
      <c r="H58" s="63">
        <f t="shared" si="7"/>
        <v>33118.9936788991</v>
      </c>
      <c r="J58" s="6"/>
      <c r="K58" s="99">
        <f>K54+K57</f>
        <v>0</v>
      </c>
      <c r="L58" s="1"/>
      <c r="M58" s="1"/>
      <c r="N58" s="1"/>
    </row>
    <row r="59" s="3" customFormat="1" ht="18" customHeight="1" spans="1:14">
      <c r="A59" s="5"/>
      <c r="B59" s="4"/>
      <c r="C59" s="5"/>
      <c r="D59" s="12" t="s">
        <v>104</v>
      </c>
      <c r="E59" s="14">
        <v>0.01</v>
      </c>
      <c r="F59" s="29">
        <f>G12*E59</f>
        <v>20449.45</v>
      </c>
      <c r="G59" s="29">
        <f>B7*E59</f>
        <v>12513.7614678899</v>
      </c>
      <c r="H59" s="29">
        <f>B8*E59</f>
        <v>4917.43119266055</v>
      </c>
      <c r="I59" s="4"/>
      <c r="J59" s="6"/>
      <c r="K59" s="97">
        <f>B11*E59</f>
        <v>0</v>
      </c>
      <c r="L59" s="1"/>
      <c r="M59" s="1"/>
      <c r="N59" s="1"/>
    </row>
    <row r="60" s="3" customFormat="1" ht="18" customHeight="1" spans="1:14">
      <c r="A60" s="5"/>
      <c r="B60" s="4"/>
      <c r="C60" s="5"/>
      <c r="F60" s="4">
        <f>B47*0.25</f>
        <v>-50799.9082339448</v>
      </c>
      <c r="G60" s="4">
        <f>B47*0.25</f>
        <v>-50799.9082339448</v>
      </c>
      <c r="I60" s="4"/>
      <c r="J60" s="6"/>
      <c r="K60" s="7"/>
      <c r="L60" s="1"/>
      <c r="M60" s="1"/>
      <c r="N60" s="1"/>
    </row>
    <row r="61" s="3" customFormat="1" ht="18" customHeight="1" spans="1:14">
      <c r="A61" s="5"/>
      <c r="B61" s="4"/>
      <c r="C61" s="5"/>
      <c r="F61" s="4">
        <v>18348.62</v>
      </c>
      <c r="G61" s="4"/>
      <c r="I61" s="4"/>
      <c r="J61" s="6"/>
      <c r="K61" s="7"/>
      <c r="L61" s="1"/>
      <c r="M61" s="1"/>
      <c r="N61" s="1"/>
    </row>
    <row r="62" s="3" customFormat="1" ht="18" customHeight="1" spans="1:14">
      <c r="A62" s="5"/>
      <c r="B62" s="4"/>
      <c r="C62" s="5"/>
      <c r="F62" s="4"/>
      <c r="G62" s="4"/>
      <c r="I62" s="4"/>
      <c r="J62" s="6"/>
      <c r="K62" s="7"/>
      <c r="L62" s="1"/>
      <c r="M62" s="1"/>
      <c r="N62" s="1"/>
    </row>
    <row r="63" s="3" customFormat="1" spans="1:14">
      <c r="A63" s="5"/>
      <c r="B63" s="4"/>
      <c r="C63" s="5"/>
      <c r="F63" s="4"/>
      <c r="G63" s="4"/>
      <c r="I63" s="4"/>
      <c r="J63" s="6"/>
      <c r="K63" s="7"/>
      <c r="L63" s="1"/>
      <c r="M63" s="1"/>
      <c r="N63" s="1"/>
    </row>
    <row r="64" s="3" customFormat="1" spans="1:14">
      <c r="A64" s="5"/>
      <c r="B64" s="4"/>
      <c r="C64" s="5"/>
      <c r="F64" s="4"/>
      <c r="G64" s="4"/>
      <c r="I64" s="4"/>
      <c r="J64" s="6"/>
      <c r="K64" s="7"/>
      <c r="L64" s="1"/>
      <c r="M64" s="1"/>
      <c r="N64" s="1"/>
    </row>
    <row r="65" s="3" customFormat="1" spans="1:14">
      <c r="A65" s="5"/>
      <c r="B65" s="4"/>
      <c r="C65" s="5"/>
      <c r="F65" s="4"/>
      <c r="G65" s="4"/>
      <c r="I65" s="4"/>
      <c r="J65" s="6"/>
      <c r="K65" s="7"/>
      <c r="L65" s="1"/>
      <c r="M65" s="1"/>
      <c r="N65" s="1"/>
    </row>
    <row r="66" s="3" customFormat="1" spans="1:14">
      <c r="A66" s="5"/>
      <c r="B66" s="4"/>
      <c r="C66" s="5"/>
      <c r="F66" s="4"/>
      <c r="G66" s="4"/>
      <c r="I66" s="4"/>
      <c r="J66" s="6"/>
      <c r="K66" s="7"/>
      <c r="L66" s="1"/>
      <c r="M66" s="1"/>
      <c r="N66" s="1"/>
    </row>
    <row r="67" s="3" customFormat="1" spans="1:14">
      <c r="A67" s="5"/>
      <c r="B67" s="4"/>
      <c r="C67" s="5"/>
      <c r="F67" s="4"/>
      <c r="G67" s="4"/>
      <c r="I67" s="4"/>
      <c r="J67" s="6"/>
      <c r="K67" s="7"/>
      <c r="L67" s="1"/>
      <c r="M67" s="1"/>
      <c r="N67" s="1"/>
    </row>
    <row r="68" s="3" customFormat="1" spans="1:14">
      <c r="A68" s="5"/>
      <c r="B68" s="4"/>
      <c r="C68" s="5"/>
      <c r="F68" s="4"/>
      <c r="G68" s="4"/>
      <c r="I68" s="4"/>
      <c r="J68" s="6"/>
      <c r="K68" s="7"/>
      <c r="L68" s="1"/>
      <c r="M68" s="1"/>
      <c r="N68" s="1"/>
    </row>
    <row r="69" s="3" customFormat="1" spans="1:14">
      <c r="A69" s="5"/>
      <c r="B69" s="4"/>
      <c r="C69" s="5"/>
      <c r="F69" s="4"/>
      <c r="G69" s="4"/>
      <c r="I69" s="4"/>
      <c r="J69" s="6"/>
      <c r="K69" s="7"/>
      <c r="L69" s="1"/>
      <c r="M69" s="1"/>
      <c r="N69" s="1"/>
    </row>
    <row r="70" s="3" customFormat="1" spans="1:14">
      <c r="A70" s="5"/>
      <c r="B70" s="4"/>
      <c r="C70" s="5"/>
      <c r="F70" s="4"/>
      <c r="G70" s="4"/>
      <c r="I70" s="4"/>
      <c r="J70" s="6"/>
      <c r="K70" s="7"/>
      <c r="L70" s="1"/>
      <c r="M70" s="1"/>
      <c r="N70" s="1"/>
    </row>
    <row r="71" s="3" customFormat="1" spans="1:14">
      <c r="A71" s="5"/>
      <c r="B71" s="4"/>
      <c r="C71" s="5"/>
      <c r="F71" s="4"/>
      <c r="G71" s="4"/>
      <c r="I71" s="4"/>
      <c r="J71" s="6"/>
      <c r="K71" s="7"/>
      <c r="L71" s="1"/>
      <c r="M71" s="1"/>
      <c r="N71" s="1"/>
    </row>
    <row r="72" s="3" customFormat="1" spans="1:14">
      <c r="A72" s="5"/>
      <c r="B72" s="4"/>
      <c r="C72" s="5"/>
      <c r="F72" s="4"/>
      <c r="G72" s="4"/>
      <c r="I72" s="4"/>
      <c r="J72" s="6"/>
      <c r="K72" s="7"/>
      <c r="L72" s="1"/>
      <c r="M72" s="1"/>
      <c r="N72" s="1"/>
    </row>
    <row r="73" s="3" customFormat="1" spans="1:14">
      <c r="A73" s="5"/>
      <c r="B73" s="4"/>
      <c r="C73" s="5"/>
      <c r="F73" s="4"/>
      <c r="G73" s="4"/>
      <c r="I73" s="4"/>
      <c r="J73" s="6"/>
      <c r="K73" s="7"/>
      <c r="L73" s="1"/>
      <c r="M73" s="1"/>
      <c r="N73" s="1"/>
    </row>
    <row r="74" s="3" customFormat="1" spans="1:14">
      <c r="A74" s="5"/>
      <c r="B74" s="4"/>
      <c r="C74" s="5"/>
      <c r="F74" s="4"/>
      <c r="G74" s="4"/>
      <c r="I74" s="4"/>
      <c r="J74" s="6"/>
      <c r="K74" s="7"/>
      <c r="L74" s="1"/>
      <c r="M74" s="1"/>
      <c r="N74" s="1"/>
    </row>
    <row r="75" s="3" customFormat="1" spans="1:14">
      <c r="A75" s="5"/>
      <c r="B75" s="4"/>
      <c r="C75" s="5"/>
      <c r="F75" s="4"/>
      <c r="G75" s="4"/>
      <c r="I75" s="4"/>
      <c r="J75" s="6"/>
      <c r="K75" s="7"/>
      <c r="L75" s="1"/>
      <c r="M75" s="1"/>
      <c r="N75" s="1"/>
    </row>
    <row r="76" s="3" customFormat="1" spans="1:14">
      <c r="A76" s="5"/>
      <c r="B76" s="4"/>
      <c r="C76" s="5"/>
      <c r="F76" s="4"/>
      <c r="G76" s="4"/>
      <c r="I76" s="4"/>
      <c r="J76" s="6"/>
      <c r="K76" s="7"/>
      <c r="L76" s="1"/>
      <c r="M76" s="1"/>
      <c r="N76" s="1"/>
    </row>
    <row r="77" s="3" customFormat="1" spans="1:14">
      <c r="A77" s="5"/>
      <c r="B77" s="4"/>
      <c r="C77" s="5"/>
      <c r="F77" s="4"/>
      <c r="G77" s="4"/>
      <c r="I77" s="4"/>
      <c r="J77" s="6"/>
      <c r="K77" s="7"/>
      <c r="L77" s="1"/>
      <c r="M77" s="1"/>
      <c r="N77" s="1"/>
    </row>
    <row r="78" s="3" customFormat="1" spans="1:14">
      <c r="A78" s="5"/>
      <c r="B78" s="4"/>
      <c r="C78" s="5"/>
      <c r="F78" s="4"/>
      <c r="G78" s="4"/>
      <c r="I78" s="4"/>
      <c r="J78" s="6"/>
      <c r="K78" s="7"/>
      <c r="L78" s="1"/>
      <c r="M78" s="1"/>
      <c r="N78" s="1"/>
    </row>
  </sheetData>
  <autoFilter ref="A14:P6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庐江县柯坦镇柯坦社区竹园、塘拐、虎洞村大堰、小堰等5个自然村庄</vt:lpstr>
      <vt:lpstr>庐江县柯坦镇柿树村罗店等3个自然村庄小型公益性设施建设工程施工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2021-12-17T00:59:00Z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22DABE7408AC41B0A4D68FED079726BD</vt:lpwstr>
  </property>
</Properties>
</file>