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Sheet1" sheetId="1" r:id="rId1"/>
  </sheets>
  <definedNames>
    <definedName name="_xlnm._FilterDatabase" localSheetId="0" hidden="1">Sheet1!$A$31:$O$60</definedName>
  </definedNames>
  <calcPr calcId="144525" concurrentCalc="0"/>
</workbook>
</file>

<file path=xl/comments1.xml><?xml version="1.0" encoding="utf-8"?>
<comments xmlns="http://schemas.openxmlformats.org/spreadsheetml/2006/main">
  <authors>
    <author>cw09</author>
    <author>cw05</author>
    <author>cw015</author>
  </authors>
  <commentList>
    <comment ref="G8" authorId="0">
      <text>
        <r>
          <rPr>
            <sz val="9"/>
            <rFont val="宋体"/>
            <charset val="134"/>
          </rPr>
          <t>cw09有工程款在账户里未支付</t>
        </r>
      </text>
    </comment>
    <comment ref="A52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3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5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2次中已扣</t>
        </r>
      </text>
    </comment>
    <comment ref="H58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20.1.6已扣</t>
        </r>
      </text>
    </comment>
    <comment ref="G59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19.12.20已扣</t>
        </r>
      </text>
    </comment>
    <comment ref="E60" authorId="0">
      <text>
        <r>
          <rPr>
            <sz val="9"/>
            <rFont val="宋体"/>
            <charset val="134"/>
          </rPr>
          <t>cw09:
企税按照2%   何总</t>
        </r>
      </text>
    </comment>
    <comment ref="G60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19.12.20已扣</t>
        </r>
      </text>
    </comment>
    <comment ref="H60" authorId="2">
      <text>
        <r>
          <rPr>
            <sz val="9"/>
            <rFont val="宋体"/>
            <charset val="134"/>
          </rPr>
          <t>20.1.6已扣</t>
        </r>
      </text>
    </comment>
  </commentList>
</comments>
</file>

<file path=xl/sharedStrings.xml><?xml version="1.0" encoding="utf-8"?>
<sst xmlns="http://schemas.openxmlformats.org/spreadsheetml/2006/main" count="150" uniqueCount="92">
  <si>
    <t>省道S257线东涌镇路段整治维修工程项目</t>
  </si>
  <si>
    <t>中标日期</t>
  </si>
  <si>
    <t>中标价</t>
  </si>
  <si>
    <t>负责人</t>
  </si>
  <si>
    <t>杨学良</t>
  </si>
  <si>
    <t>建设单位</t>
  </si>
  <si>
    <t>广州市道路养护中心南城养护所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</si>
  <si>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</si>
  <si>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</si>
  <si>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</si>
  <si>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</si>
  <si>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</si>
  <si>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</si>
  <si>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</si>
  <si>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</si>
  <si>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</si>
  <si>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</si>
  <si>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</si>
  <si>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</si>
  <si>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</si>
  <si>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</si>
  <si>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专户</t>
  </si>
  <si>
    <t>民生银行广州分行</t>
  </si>
  <si>
    <t>工资户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</si>
  <si>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</si>
  <si>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</si>
  <si>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</si>
  <si>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</si>
  <si>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</si>
  <si>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</si>
  <si>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</si>
  <si>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</si>
  <si>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</si>
  <si>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</si>
  <si>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</si>
  <si>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</si>
  <si>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</si>
  <si>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</si>
  <si>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杨佰恩</t>
  </si>
  <si>
    <t>间接费用</t>
  </si>
  <si>
    <t>专</t>
  </si>
  <si>
    <t>广州路新道路工程有限公司</t>
  </si>
  <si>
    <t>沥青</t>
  </si>
  <si>
    <t>有</t>
  </si>
  <si>
    <t>广州金晖建筑劳务有限公司</t>
  </si>
  <si>
    <t>建筑劳务</t>
  </si>
  <si>
    <t>安徽昌达</t>
  </si>
  <si>
    <t>费用</t>
  </si>
  <si>
    <t>工资专户</t>
  </si>
  <si>
    <t>深圳市贡和建材有限公司</t>
  </si>
  <si>
    <t>机制砂1500吨、碎石4350吨</t>
  </si>
  <si>
    <t>深圳市观峰庭机械租赁有限公司</t>
  </si>
  <si>
    <t>机械租赁</t>
  </si>
  <si>
    <t>扣</t>
  </si>
  <si>
    <t>外管证4.14办理</t>
  </si>
  <si>
    <t>王童变更账户</t>
  </si>
  <si>
    <t>收</t>
  </si>
  <si>
    <t>专户转徽行</t>
  </si>
  <si>
    <t>手续费</t>
  </si>
  <si>
    <t>企税2%</t>
  </si>
  <si>
    <t>印花水利</t>
  </si>
  <si>
    <t>增值税及附加</t>
  </si>
  <si>
    <t>建造师占用费</t>
  </si>
  <si>
    <t>财务手续费</t>
  </si>
  <si>
    <t>2019.10.8外经证+2019.11.5王童开户出场费+2019.8.26-2019.11.26建造师占用费</t>
  </si>
  <si>
    <t>暂扣</t>
  </si>
  <si>
    <t>企税(成本不够）</t>
  </si>
  <si>
    <t>水利基金</t>
  </si>
  <si>
    <t>管理费</t>
  </si>
  <si>
    <t>按照合同价扣除</t>
  </si>
  <si>
    <t>孙卡</t>
  </si>
  <si>
    <t>19.11.5孙卡退还税金</t>
  </si>
  <si>
    <t>19.10.12交于孙圣超卡税金</t>
  </si>
  <si>
    <t>应提供成本</t>
  </si>
  <si>
    <t>可支付金额</t>
  </si>
  <si>
    <t>尚需提供成本</t>
  </si>
  <si>
    <t>公司代缴税金：</t>
  </si>
  <si>
    <t>税种</t>
  </si>
  <si>
    <t>税额</t>
  </si>
  <si>
    <t>19.10月开票税金</t>
  </si>
  <si>
    <t>19.12月开票税金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</si>
  <si>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</si>
  <si>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</si>
  <si>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</si>
  <si>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</si>
  <si>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</si>
  <si>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</si>
  <si>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</si>
  <si>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</si>
  <si>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</si>
  <si>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19.10月开票应缴纳税金</t>
  </si>
  <si>
    <t>11-5退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</si>
</sst>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yy/m/d;@"/>
    <numFmt numFmtId="179" formatCode="#,##0_ "/>
    <numFmt numFmtId="180" formatCode="yyyy&quot;年&quot;m&quot;月&quot;;@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4" fillId="0" borderId="0" xfId="0" applyFont="1"/>
    <xf numFmtId="176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horizontal="center" vertical="center"/>
    </xf>
    <xf numFmtId="9" fontId="2" fillId="0" borderId="2" xfId="11" applyFont="1" applyFill="1" applyBorder="1" applyAlignment="1">
      <alignment horizontal="center" vertical="center"/>
    </xf>
    <xf numFmtId="9" fontId="2" fillId="0" borderId="2" xfId="11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6" fillId="0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7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6" fillId="3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tabSelected="1" topLeftCell="A43" workbookViewId="0">
      <selection activeCell="H25" sqref="H25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1.375" style="5" customWidth="1"/>
    <col min="5" max="5" width="6" style="5" customWidth="1"/>
    <col min="6" max="6" width="13.125" style="4" customWidth="1"/>
    <col min="7" max="7" width="14.125" style="4" customWidth="1"/>
    <col min="8" max="8" width="12.875" style="5" customWidth="1"/>
    <col min="9" max="9" width="20.875" style="4" customWidth="1"/>
    <col min="10" max="10" width="7.87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18" customHeight="1" spans="1:12">
      <c r="A2" s="10" t="s">
        <v>1</v>
      </c>
      <c r="B2" s="11">
        <v>43706</v>
      </c>
      <c r="C2" s="12" t="s">
        <v>2</v>
      </c>
      <c r="D2" s="13">
        <v>5117457</v>
      </c>
      <c r="E2" s="14" t="s">
        <v>3</v>
      </c>
      <c r="F2" s="15" t="s">
        <v>4</v>
      </c>
      <c r="G2" s="16" t="s">
        <v>5</v>
      </c>
      <c r="H2" s="17" t="s">
        <v>6</v>
      </c>
      <c r="I2" s="56"/>
      <c r="J2" s="57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58"/>
      <c r="J3" s="19"/>
      <c r="K3" s="19"/>
      <c r="L3" s="19"/>
    </row>
    <row r="4" ht="18" customHeight="1" spans="1:12">
      <c r="A4" s="3" t="s">
        <v>9</v>
      </c>
      <c r="H4" s="19"/>
      <c r="I4" s="58"/>
      <c r="J4" s="19"/>
      <c r="K4" s="19"/>
      <c r="L4" s="19"/>
    </row>
    <row r="5" ht="18" customHeight="1" spans="1:11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  <c r="K5" s="7">
        <f>D2*0.02</f>
        <v>102349.14</v>
      </c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43750</v>
      </c>
      <c r="B7" s="24">
        <f t="shared" ref="B7:B12" si="0">G7/(1+C7+E7)</f>
        <v>1408474.40366972</v>
      </c>
      <c r="C7" s="25">
        <v>0.02</v>
      </c>
      <c r="D7" s="26">
        <f t="shared" ref="D7:D12" si="1">G7/(1+E7+C7)*C7</f>
        <v>28169.4880733945</v>
      </c>
      <c r="E7" s="27">
        <v>0.07</v>
      </c>
      <c r="F7" s="24">
        <f t="shared" ref="F7:F12" si="2">G7/(1+C7+E7)*E7</f>
        <v>98593.2082568807</v>
      </c>
      <c r="G7" s="28">
        <v>1535237.1</v>
      </c>
      <c r="H7" s="23">
        <v>43815</v>
      </c>
      <c r="I7" s="24">
        <v>1535237.1</v>
      </c>
      <c r="J7" s="59" t="s">
        <v>21</v>
      </c>
    </row>
    <row r="8" ht="18" customHeight="1" spans="1:11">
      <c r="A8" s="23">
        <v>43816</v>
      </c>
      <c r="B8" s="24">
        <f t="shared" si="0"/>
        <v>2213576.97247706</v>
      </c>
      <c r="C8" s="25">
        <v>0.02</v>
      </c>
      <c r="D8" s="26">
        <f t="shared" si="1"/>
        <v>44271.5394495413</v>
      </c>
      <c r="E8" s="27">
        <v>0.07</v>
      </c>
      <c r="F8" s="24">
        <f t="shared" si="2"/>
        <v>154950.388073394</v>
      </c>
      <c r="G8" s="28">
        <v>2412798.9</v>
      </c>
      <c r="H8" s="23">
        <v>43832</v>
      </c>
      <c r="I8" s="24">
        <v>1766366.88</v>
      </c>
      <c r="J8" s="59" t="s">
        <v>21</v>
      </c>
      <c r="K8" s="7" t="s">
        <v>22</v>
      </c>
    </row>
    <row r="9" ht="18" customHeight="1" spans="1:11">
      <c r="A9" s="29">
        <v>0</v>
      </c>
      <c r="B9" s="26">
        <f t="shared" si="0"/>
        <v>0</v>
      </c>
      <c r="C9" s="30">
        <v>0.02</v>
      </c>
      <c r="D9" s="26">
        <f t="shared" si="1"/>
        <v>0</v>
      </c>
      <c r="E9" s="31">
        <v>0.07</v>
      </c>
      <c r="F9" s="26">
        <f t="shared" si="2"/>
        <v>0</v>
      </c>
      <c r="G9" s="28">
        <v>0</v>
      </c>
      <c r="H9" s="23">
        <v>43832</v>
      </c>
      <c r="I9" s="24">
        <v>646432.02</v>
      </c>
      <c r="J9" s="59" t="s">
        <v>21</v>
      </c>
      <c r="K9" s="7" t="s">
        <v>23</v>
      </c>
    </row>
    <row r="10" ht="18" customHeight="1" spans="1:10">
      <c r="A10" s="23"/>
      <c r="B10" s="24">
        <f t="shared" si="0"/>
        <v>0</v>
      </c>
      <c r="C10" s="25">
        <v>0.02</v>
      </c>
      <c r="D10" s="26">
        <f t="shared" si="1"/>
        <v>0</v>
      </c>
      <c r="E10" s="27">
        <v>0.07</v>
      </c>
      <c r="F10" s="24">
        <f t="shared" si="2"/>
        <v>0</v>
      </c>
      <c r="G10" s="28"/>
      <c r="H10" s="23">
        <v>44355</v>
      </c>
      <c r="I10" s="24">
        <v>975977</v>
      </c>
      <c r="J10" s="59" t="s">
        <v>21</v>
      </c>
    </row>
    <row r="11" ht="18" customHeight="1" spans="1:10">
      <c r="A11" s="23"/>
      <c r="B11" s="24">
        <f t="shared" si="0"/>
        <v>0</v>
      </c>
      <c r="C11" s="25">
        <v>0.02</v>
      </c>
      <c r="D11" s="26">
        <f t="shared" si="1"/>
        <v>0</v>
      </c>
      <c r="E11" s="27">
        <v>0.07</v>
      </c>
      <c r="F11" s="24">
        <f t="shared" si="2"/>
        <v>0</v>
      </c>
      <c r="G11" s="28"/>
      <c r="H11" s="23"/>
      <c r="I11" s="24"/>
      <c r="J11" s="59"/>
    </row>
    <row r="12" ht="18" customHeight="1" spans="1:10">
      <c r="A12" s="23"/>
      <c r="B12" s="24">
        <f t="shared" si="0"/>
        <v>0</v>
      </c>
      <c r="C12" s="25">
        <v>0.02</v>
      </c>
      <c r="D12" s="26">
        <f t="shared" si="1"/>
        <v>0</v>
      </c>
      <c r="E12" s="27">
        <v>0.07</v>
      </c>
      <c r="F12" s="24">
        <f t="shared" si="2"/>
        <v>0</v>
      </c>
      <c r="G12" s="28"/>
      <c r="H12" s="23"/>
      <c r="I12" s="24"/>
      <c r="J12" s="59"/>
    </row>
    <row r="13" ht="18" customHeight="1" spans="1:10">
      <c r="A13" s="32" t="s">
        <v>24</v>
      </c>
      <c r="B13" s="33">
        <f>SUM(B7:B12)</f>
        <v>3622051.37614679</v>
      </c>
      <c r="C13" s="34"/>
      <c r="D13" s="35">
        <f>SUM(D7:D12)</f>
        <v>72441.0275229358</v>
      </c>
      <c r="E13" s="34"/>
      <c r="F13" s="36">
        <f>SUM(F7:F12)</f>
        <v>253543.596330275</v>
      </c>
      <c r="G13" s="35">
        <f>SUM(G7:G12)</f>
        <v>3948036</v>
      </c>
      <c r="H13" s="37"/>
      <c r="I13" s="35">
        <f>SUM(I7:I12)</f>
        <v>4924013</v>
      </c>
      <c r="J13" s="37"/>
    </row>
    <row r="14" ht="18" customHeight="1" spans="1:12">
      <c r="A14" s="3" t="s">
        <v>25</v>
      </c>
      <c r="J14" s="5"/>
      <c r="K14" s="5"/>
      <c r="L14" s="6"/>
    </row>
    <row r="15" ht="18" customHeight="1" spans="1:15">
      <c r="A15" s="38" t="s">
        <v>26</v>
      </c>
      <c r="B15" s="21" t="s">
        <v>27</v>
      </c>
      <c r="C15" s="20" t="s">
        <v>28</v>
      </c>
      <c r="D15" s="20" t="s">
        <v>29</v>
      </c>
      <c r="E15" s="20" t="s">
        <v>16</v>
      </c>
      <c r="F15" s="21" t="s">
        <v>30</v>
      </c>
      <c r="G15" s="21" t="s">
        <v>14</v>
      </c>
      <c r="H15" s="20" t="s">
        <v>31</v>
      </c>
      <c r="I15" s="21" t="s">
        <v>32</v>
      </c>
      <c r="J15" s="20" t="s">
        <v>20</v>
      </c>
      <c r="K15" s="60" t="s">
        <v>33</v>
      </c>
      <c r="L15" s="22" t="s">
        <v>34</v>
      </c>
      <c r="M15" s="22" t="s">
        <v>35</v>
      </c>
      <c r="N15" s="22" t="s">
        <v>36</v>
      </c>
      <c r="O15" s="22" t="s">
        <v>37</v>
      </c>
    </row>
    <row r="16" s="1" customFormat="1" ht="18" customHeight="1" spans="1:15">
      <c r="A16" s="39"/>
      <c r="B16" s="18">
        <f t="shared" ref="B16:B29" si="3">ROUND(G16/(1+E16),2)</f>
        <v>0</v>
      </c>
      <c r="C16" s="40"/>
      <c r="D16" s="41"/>
      <c r="E16" s="42"/>
      <c r="F16" s="18">
        <f t="shared" ref="F16:F29" si="4">ROUND(G16/(1+E16)*E16,2)</f>
        <v>0</v>
      </c>
      <c r="G16" s="28"/>
      <c r="H16" s="23"/>
      <c r="I16" s="24"/>
      <c r="J16" s="59"/>
      <c r="K16" s="61"/>
      <c r="L16" s="62"/>
      <c r="M16" s="63"/>
      <c r="N16" s="63"/>
      <c r="O16" s="62"/>
    </row>
    <row r="17" s="1" customFormat="1" ht="18" customHeight="1" spans="1:15">
      <c r="A17" s="39">
        <v>43757</v>
      </c>
      <c r="B17" s="18">
        <f t="shared" si="3"/>
        <v>4605.71</v>
      </c>
      <c r="C17" s="40"/>
      <c r="D17" s="41"/>
      <c r="E17" s="42"/>
      <c r="F17" s="18">
        <f t="shared" si="4"/>
        <v>0</v>
      </c>
      <c r="G17" s="28">
        <v>4605.71</v>
      </c>
      <c r="H17" s="23"/>
      <c r="I17" s="24"/>
      <c r="J17" s="59"/>
      <c r="K17" s="61" t="s">
        <v>38</v>
      </c>
      <c r="L17" s="62" t="s">
        <v>39</v>
      </c>
      <c r="M17" s="63"/>
      <c r="N17" s="63"/>
      <c r="O17" s="62"/>
    </row>
    <row r="18" s="1" customFormat="1" ht="18" customHeight="1" spans="1:15">
      <c r="A18" s="39">
        <v>43757</v>
      </c>
      <c r="B18" s="18">
        <f t="shared" si="3"/>
        <v>1076106.19</v>
      </c>
      <c r="C18" s="40"/>
      <c r="D18" s="41" t="s">
        <v>40</v>
      </c>
      <c r="E18" s="43">
        <v>0.13</v>
      </c>
      <c r="F18" s="18">
        <f t="shared" si="4"/>
        <v>139893.81</v>
      </c>
      <c r="G18" s="28">
        <v>1216000</v>
      </c>
      <c r="H18" s="23">
        <v>43819</v>
      </c>
      <c r="I18" s="24">
        <v>1090000</v>
      </c>
      <c r="J18" s="59" t="s">
        <v>21</v>
      </c>
      <c r="K18" s="61" t="s">
        <v>41</v>
      </c>
      <c r="L18" s="62" t="s">
        <v>42</v>
      </c>
      <c r="M18" s="63" t="s">
        <v>43</v>
      </c>
      <c r="N18" s="63" t="s">
        <v>43</v>
      </c>
      <c r="O18" s="62"/>
    </row>
    <row r="19" s="1" customFormat="1" ht="18" customHeight="1" spans="1:15">
      <c r="A19" s="39">
        <v>43757</v>
      </c>
      <c r="B19" s="18">
        <f t="shared" si="3"/>
        <v>291747.57</v>
      </c>
      <c r="C19" s="40"/>
      <c r="D19" s="41" t="s">
        <v>40</v>
      </c>
      <c r="E19" s="43">
        <v>0.03</v>
      </c>
      <c r="F19" s="18">
        <f t="shared" si="4"/>
        <v>8752.43</v>
      </c>
      <c r="G19" s="28">
        <v>300500</v>
      </c>
      <c r="H19" s="23">
        <v>43819</v>
      </c>
      <c r="I19" s="26">
        <v>305000</v>
      </c>
      <c r="J19" s="64" t="s">
        <v>21</v>
      </c>
      <c r="K19" s="65" t="s">
        <v>44</v>
      </c>
      <c r="L19" s="66" t="s">
        <v>45</v>
      </c>
      <c r="M19" s="63" t="s">
        <v>43</v>
      </c>
      <c r="N19" s="63"/>
      <c r="O19" s="62"/>
    </row>
    <row r="20" s="1" customFormat="1" ht="18" customHeight="1" spans="1:15">
      <c r="A20" s="39"/>
      <c r="B20" s="18">
        <f t="shared" si="3"/>
        <v>0</v>
      </c>
      <c r="C20" s="40"/>
      <c r="D20" s="41"/>
      <c r="E20" s="42"/>
      <c r="F20" s="18">
        <f t="shared" si="4"/>
        <v>0</v>
      </c>
      <c r="G20" s="28"/>
      <c r="H20" s="23">
        <v>43819</v>
      </c>
      <c r="I20" s="26">
        <v>139627.14</v>
      </c>
      <c r="J20" s="64" t="s">
        <v>21</v>
      </c>
      <c r="K20" s="65" t="s">
        <v>46</v>
      </c>
      <c r="L20" s="66" t="s">
        <v>47</v>
      </c>
      <c r="M20" s="63"/>
      <c r="N20" s="63"/>
      <c r="O20" s="62"/>
    </row>
    <row r="21" s="1" customFormat="1" ht="18" customHeight="1" spans="1:15">
      <c r="A21" s="39">
        <v>43800</v>
      </c>
      <c r="B21" s="18">
        <f t="shared" si="3"/>
        <v>1110712.62</v>
      </c>
      <c r="C21" s="40"/>
      <c r="D21" s="41" t="s">
        <v>40</v>
      </c>
      <c r="E21" s="43">
        <v>0.03</v>
      </c>
      <c r="F21" s="18">
        <f t="shared" si="4"/>
        <v>33321.38</v>
      </c>
      <c r="G21" s="28">
        <f>144034+1000000</f>
        <v>1144034</v>
      </c>
      <c r="H21" s="23">
        <v>43836</v>
      </c>
      <c r="I21" s="26">
        <v>640000</v>
      </c>
      <c r="J21" s="64" t="s">
        <v>48</v>
      </c>
      <c r="K21" s="65" t="s">
        <v>44</v>
      </c>
      <c r="L21" s="66" t="s">
        <v>45</v>
      </c>
      <c r="M21" s="63" t="s">
        <v>43</v>
      </c>
      <c r="N21" s="63"/>
      <c r="O21" s="62"/>
    </row>
    <row r="22" s="1" customFormat="1" ht="18" customHeight="1" spans="1:15">
      <c r="A22" s="39">
        <v>43800</v>
      </c>
      <c r="B22" s="18">
        <f t="shared" si="3"/>
        <v>1158737.86</v>
      </c>
      <c r="C22" s="40"/>
      <c r="D22" s="41" t="s">
        <v>40</v>
      </c>
      <c r="E22" s="43">
        <v>0.03</v>
      </c>
      <c r="F22" s="18">
        <f t="shared" si="4"/>
        <v>34762.14</v>
      </c>
      <c r="G22" s="28">
        <f>232500+444000+517000</f>
        <v>1193500</v>
      </c>
      <c r="H22" s="23">
        <v>43836</v>
      </c>
      <c r="I22" s="26">
        <v>1193500</v>
      </c>
      <c r="J22" s="64" t="s">
        <v>21</v>
      </c>
      <c r="K22" s="65" t="s">
        <v>49</v>
      </c>
      <c r="L22" s="66" t="s">
        <v>50</v>
      </c>
      <c r="M22" s="63" t="s">
        <v>43</v>
      </c>
      <c r="N22" s="63" t="s">
        <v>43</v>
      </c>
      <c r="O22" s="62"/>
    </row>
    <row r="23" s="1" customFormat="1" ht="18" customHeight="1" spans="1:15">
      <c r="A23" s="39">
        <v>43800</v>
      </c>
      <c r="B23" s="18">
        <f t="shared" si="3"/>
        <v>825825.24</v>
      </c>
      <c r="C23" s="40"/>
      <c r="D23" s="41" t="s">
        <v>40</v>
      </c>
      <c r="E23" s="43">
        <v>0.03</v>
      </c>
      <c r="F23" s="18">
        <f t="shared" si="4"/>
        <v>24774.76</v>
      </c>
      <c r="G23" s="28">
        <f>475600+375000</f>
        <v>850600</v>
      </c>
      <c r="H23" s="23">
        <v>43836</v>
      </c>
      <c r="I23" s="26">
        <v>500000</v>
      </c>
      <c r="J23" s="64" t="s">
        <v>21</v>
      </c>
      <c r="K23" s="65" t="s">
        <v>51</v>
      </c>
      <c r="L23" s="66" t="s">
        <v>52</v>
      </c>
      <c r="M23" s="63" t="s">
        <v>43</v>
      </c>
      <c r="N23" s="63"/>
      <c r="O23" s="62"/>
    </row>
    <row r="24" s="1" customFormat="1" ht="18" customHeight="1" spans="1:15">
      <c r="A24" s="39"/>
      <c r="B24" s="18">
        <f t="shared" si="3"/>
        <v>0</v>
      </c>
      <c r="C24" s="40"/>
      <c r="D24" s="41"/>
      <c r="E24" s="43"/>
      <c r="F24" s="18">
        <f t="shared" si="4"/>
        <v>0</v>
      </c>
      <c r="G24" s="28"/>
      <c r="H24" s="23">
        <v>43836</v>
      </c>
      <c r="I24" s="26">
        <v>66951</v>
      </c>
      <c r="J24" s="64" t="s">
        <v>21</v>
      </c>
      <c r="K24" s="65" t="s">
        <v>46</v>
      </c>
      <c r="L24" s="66" t="s">
        <v>47</v>
      </c>
      <c r="M24" s="63"/>
      <c r="N24" s="63"/>
      <c r="O24" s="62"/>
    </row>
    <row r="25" s="1" customFormat="1" ht="18" customHeight="1" spans="1:15">
      <c r="A25" s="39">
        <v>44317</v>
      </c>
      <c r="B25" s="18">
        <f t="shared" si="3"/>
        <v>0</v>
      </c>
      <c r="C25" s="40"/>
      <c r="D25" s="41" t="s">
        <v>40</v>
      </c>
      <c r="E25" s="43">
        <v>0.13</v>
      </c>
      <c r="F25" s="18">
        <f t="shared" si="4"/>
        <v>0</v>
      </c>
      <c r="G25" s="28">
        <v>0</v>
      </c>
      <c r="H25" s="23"/>
      <c r="I25" s="26"/>
      <c r="J25" s="64"/>
      <c r="K25" s="65" t="s">
        <v>41</v>
      </c>
      <c r="L25" s="62" t="s">
        <v>42</v>
      </c>
      <c r="M25" s="63"/>
      <c r="N25" s="63"/>
      <c r="O25" s="62"/>
    </row>
    <row r="26" s="1" customFormat="1" ht="18" customHeight="1" spans="1:15">
      <c r="A26" s="39"/>
      <c r="B26" s="18"/>
      <c r="C26" s="40"/>
      <c r="D26" s="41"/>
      <c r="E26" s="43"/>
      <c r="F26" s="18"/>
      <c r="G26" s="28"/>
      <c r="H26" s="23"/>
      <c r="I26" s="26"/>
      <c r="J26" s="64"/>
      <c r="K26" s="65"/>
      <c r="L26" s="62"/>
      <c r="M26" s="63"/>
      <c r="N26" s="63"/>
      <c r="O26" s="62"/>
    </row>
    <row r="27" s="1" customFormat="1" ht="18" customHeight="1" spans="1:15">
      <c r="A27" s="39"/>
      <c r="B27" s="18"/>
      <c r="C27" s="40"/>
      <c r="D27" s="41"/>
      <c r="E27" s="43"/>
      <c r="F27" s="18"/>
      <c r="G27" s="28"/>
      <c r="H27" s="23"/>
      <c r="I27" s="26"/>
      <c r="J27" s="64"/>
      <c r="K27" s="65"/>
      <c r="L27" s="66"/>
      <c r="M27" s="63"/>
      <c r="N27" s="63"/>
      <c r="O27" s="62"/>
    </row>
    <row r="28" s="1" customFormat="1" ht="18" customHeight="1" spans="1:15">
      <c r="A28" s="39"/>
      <c r="B28" s="18"/>
      <c r="C28" s="40"/>
      <c r="D28" s="41"/>
      <c r="E28" s="43"/>
      <c r="F28" s="18"/>
      <c r="G28" s="28"/>
      <c r="H28" s="23"/>
      <c r="I28" s="26"/>
      <c r="J28" s="64"/>
      <c r="K28" s="65"/>
      <c r="L28" s="66"/>
      <c r="M28" s="63"/>
      <c r="N28" s="63"/>
      <c r="O28" s="62"/>
    </row>
    <row r="29" s="1" customFormat="1" ht="18" customHeight="1" spans="1:15">
      <c r="A29" s="39"/>
      <c r="B29" s="18">
        <f>ROUND(G29/(1+E29),2)</f>
        <v>0</v>
      </c>
      <c r="C29" s="40"/>
      <c r="D29" s="41"/>
      <c r="E29" s="43"/>
      <c r="F29" s="18">
        <f>ROUND(G29/(1+E29)*E29,2)</f>
        <v>0</v>
      </c>
      <c r="G29" s="28"/>
      <c r="H29" s="23">
        <v>44288</v>
      </c>
      <c r="I29" s="67">
        <v>500</v>
      </c>
      <c r="J29" s="68" t="s">
        <v>53</v>
      </c>
      <c r="K29" s="69" t="s">
        <v>54</v>
      </c>
      <c r="L29" s="62"/>
      <c r="M29" s="63"/>
      <c r="N29" s="63"/>
      <c r="O29" s="62"/>
    </row>
    <row r="30" s="1" customFormat="1" ht="18" customHeight="1" spans="1:15">
      <c r="A30" s="39"/>
      <c r="B30" s="18">
        <f>ROUND(G30/(1+E30),2)</f>
        <v>0</v>
      </c>
      <c r="C30" s="40"/>
      <c r="D30" s="41"/>
      <c r="E30" s="43"/>
      <c r="F30" s="18">
        <f>ROUND(G30/(1+E30)*E30,2)</f>
        <v>0</v>
      </c>
      <c r="G30" s="28"/>
      <c r="H30" s="23">
        <v>44288</v>
      </c>
      <c r="I30" s="67">
        <v>1000</v>
      </c>
      <c r="J30" s="68" t="s">
        <v>53</v>
      </c>
      <c r="K30" s="69" t="s">
        <v>55</v>
      </c>
      <c r="L30" s="62"/>
      <c r="M30" s="63"/>
      <c r="N30" s="63"/>
      <c r="O30" s="62"/>
    </row>
    <row r="31" s="1" customFormat="1" ht="18" customHeight="1" spans="1:15">
      <c r="A31" s="39"/>
      <c r="B31" s="18">
        <f>ROUND(G31/(1+E31),2)</f>
        <v>0</v>
      </c>
      <c r="C31" s="40"/>
      <c r="D31" s="41"/>
      <c r="E31" s="43"/>
      <c r="F31" s="18">
        <f>ROUND(G31/(1+E31)*E31,2)</f>
        <v>0</v>
      </c>
      <c r="G31" s="28"/>
      <c r="H31" s="23">
        <v>43836</v>
      </c>
      <c r="I31" s="24">
        <v>-66951</v>
      </c>
      <c r="J31" s="59" t="s">
        <v>56</v>
      </c>
      <c r="K31" s="61" t="s">
        <v>57</v>
      </c>
      <c r="L31" s="62"/>
      <c r="M31" s="63"/>
      <c r="N31" s="63"/>
      <c r="O31" s="62"/>
    </row>
    <row r="32" s="1" customFormat="1" ht="18" customHeight="1" spans="1:15">
      <c r="A32" s="39"/>
      <c r="B32" s="18">
        <f>ROUND(G32/(1+E32),2)</f>
        <v>0</v>
      </c>
      <c r="C32" s="40"/>
      <c r="D32" s="41"/>
      <c r="E32" s="43"/>
      <c r="F32" s="18">
        <f t="shared" ref="F31:F37" si="5">ROUND(G32/(1+E32)*E32,2)</f>
        <v>0</v>
      </c>
      <c r="G32" s="28"/>
      <c r="H32" s="23">
        <v>43836</v>
      </c>
      <c r="I32" s="24">
        <v>400</v>
      </c>
      <c r="J32" s="59" t="s">
        <v>53</v>
      </c>
      <c r="K32" s="61" t="s">
        <v>58</v>
      </c>
      <c r="L32" s="62"/>
      <c r="M32" s="63"/>
      <c r="N32" s="63"/>
      <c r="O32" s="62"/>
    </row>
    <row r="33" s="1" customFormat="1" ht="18" customHeight="1" spans="1:15">
      <c r="A33" s="39"/>
      <c r="B33" s="18">
        <f t="shared" ref="B31:B36" si="6">ROUND(G33/(1+E33),2)</f>
        <v>0</v>
      </c>
      <c r="C33" s="40"/>
      <c r="D33" s="41"/>
      <c r="E33" s="42"/>
      <c r="F33" s="18">
        <f t="shared" si="5"/>
        <v>0</v>
      </c>
      <c r="G33" s="28"/>
      <c r="H33" s="23">
        <v>43836</v>
      </c>
      <c r="I33" s="26">
        <v>48256</v>
      </c>
      <c r="J33" s="59" t="s">
        <v>53</v>
      </c>
      <c r="K33" s="61" t="s">
        <v>59</v>
      </c>
      <c r="L33" s="62"/>
      <c r="M33" s="63"/>
      <c r="N33" s="63"/>
      <c r="O33" s="62"/>
    </row>
    <row r="34" s="1" customFormat="1" ht="18" customHeight="1" spans="1:15">
      <c r="A34" s="39"/>
      <c r="B34" s="18">
        <f t="shared" si="6"/>
        <v>0</v>
      </c>
      <c r="C34" s="40"/>
      <c r="D34" s="41"/>
      <c r="E34" s="42"/>
      <c r="F34" s="18">
        <f t="shared" si="5"/>
        <v>0</v>
      </c>
      <c r="G34" s="28"/>
      <c r="H34" s="23">
        <v>43836</v>
      </c>
      <c r="I34" s="26">
        <v>2052</v>
      </c>
      <c r="J34" s="59" t="s">
        <v>53</v>
      </c>
      <c r="K34" s="61" t="s">
        <v>60</v>
      </c>
      <c r="L34" s="62"/>
      <c r="M34" s="63"/>
      <c r="N34" s="63"/>
      <c r="O34" s="62"/>
    </row>
    <row r="35" s="1" customFormat="1" ht="18" customHeight="1" spans="1:15">
      <c r="A35" s="39"/>
      <c r="B35" s="18">
        <f t="shared" si="6"/>
        <v>0</v>
      </c>
      <c r="C35" s="40"/>
      <c r="D35" s="41"/>
      <c r="E35" s="42"/>
      <c r="F35" s="18">
        <f t="shared" si="5"/>
        <v>0</v>
      </c>
      <c r="G35" s="28"/>
      <c r="H35" s="23">
        <v>43836</v>
      </c>
      <c r="I35" s="26">
        <v>13243</v>
      </c>
      <c r="J35" s="59" t="s">
        <v>53</v>
      </c>
      <c r="K35" s="61" t="s">
        <v>61</v>
      </c>
      <c r="L35" s="62"/>
      <c r="M35" s="63"/>
      <c r="N35" s="63"/>
      <c r="O35" s="62"/>
    </row>
    <row r="36" s="1" customFormat="1" ht="18" customHeight="1" spans="1:15">
      <c r="A36" s="39"/>
      <c r="B36" s="18">
        <f t="shared" si="6"/>
        <v>0</v>
      </c>
      <c r="C36" s="40"/>
      <c r="D36" s="41"/>
      <c r="E36" s="42"/>
      <c r="F36" s="18">
        <f t="shared" si="5"/>
        <v>0</v>
      </c>
      <c r="G36" s="28"/>
      <c r="H36" s="23">
        <v>43836</v>
      </c>
      <c r="I36" s="24">
        <v>3000</v>
      </c>
      <c r="J36" s="59" t="s">
        <v>53</v>
      </c>
      <c r="K36" s="61" t="s">
        <v>62</v>
      </c>
      <c r="L36" s="62"/>
      <c r="M36" s="63"/>
      <c r="N36" s="63"/>
      <c r="O36" s="62"/>
    </row>
    <row r="37" s="1" customFormat="1" ht="18" customHeight="1" spans="1:15">
      <c r="A37" s="39"/>
      <c r="B37" s="18">
        <f t="shared" ref="B37:B43" si="7">ROUND(G37/(1+E37),2)</f>
        <v>0</v>
      </c>
      <c r="C37" s="40"/>
      <c r="D37" s="41"/>
      <c r="E37" s="42"/>
      <c r="F37" s="18">
        <f t="shared" si="5"/>
        <v>0</v>
      </c>
      <c r="G37" s="28"/>
      <c r="H37" s="23">
        <v>43819</v>
      </c>
      <c r="I37" s="24">
        <v>-139627.14</v>
      </c>
      <c r="J37" s="59" t="s">
        <v>56</v>
      </c>
      <c r="K37" s="61" t="s">
        <v>57</v>
      </c>
      <c r="L37" s="62"/>
      <c r="M37" s="63"/>
      <c r="N37" s="63"/>
      <c r="O37" s="62"/>
    </row>
    <row r="38" s="1" customFormat="1" ht="18" customHeight="1" spans="1:15">
      <c r="A38" s="39"/>
      <c r="B38" s="18">
        <f t="shared" si="7"/>
        <v>0</v>
      </c>
      <c r="C38" s="40"/>
      <c r="D38" s="41"/>
      <c r="E38" s="42"/>
      <c r="F38" s="18">
        <f t="shared" ref="F37:F43" si="8">ROUND(G38/(1+E38)*E38,2)</f>
        <v>0</v>
      </c>
      <c r="G38" s="28"/>
      <c r="H38" s="23">
        <v>43819</v>
      </c>
      <c r="I38" s="26">
        <v>300</v>
      </c>
      <c r="J38" s="59" t="s">
        <v>53</v>
      </c>
      <c r="K38" s="61" t="s">
        <v>63</v>
      </c>
      <c r="L38" s="62"/>
      <c r="M38" s="63"/>
      <c r="N38" s="63"/>
      <c r="O38" s="62"/>
    </row>
    <row r="39" s="1" customFormat="1" ht="18" customHeight="1" spans="1:15">
      <c r="A39" s="39"/>
      <c r="B39" s="18">
        <f t="shared" si="7"/>
        <v>0</v>
      </c>
      <c r="C39" s="40"/>
      <c r="D39" s="41"/>
      <c r="E39" s="42"/>
      <c r="F39" s="18">
        <f t="shared" si="8"/>
        <v>0</v>
      </c>
      <c r="G39" s="28"/>
      <c r="H39" s="23">
        <v>43819</v>
      </c>
      <c r="I39" s="26">
        <v>6000</v>
      </c>
      <c r="J39" s="59" t="s">
        <v>53</v>
      </c>
      <c r="K39" s="61" t="s">
        <v>64</v>
      </c>
      <c r="L39" s="62"/>
      <c r="M39" s="63"/>
      <c r="N39" s="63"/>
      <c r="O39" s="62"/>
    </row>
    <row r="40" s="1" customFormat="1" ht="18" customHeight="1" spans="1:15">
      <c r="A40" s="39"/>
      <c r="B40" s="18">
        <f t="shared" si="7"/>
        <v>0</v>
      </c>
      <c r="C40" s="40"/>
      <c r="D40" s="41"/>
      <c r="E40" s="42"/>
      <c r="F40" s="18">
        <f t="shared" si="8"/>
        <v>0</v>
      </c>
      <c r="G40" s="28"/>
      <c r="H40" s="23">
        <v>43819</v>
      </c>
      <c r="I40" s="26">
        <v>1962</v>
      </c>
      <c r="J40" s="59" t="s">
        <v>65</v>
      </c>
      <c r="K40" s="61" t="s">
        <v>66</v>
      </c>
      <c r="L40" s="62"/>
      <c r="M40" s="63"/>
      <c r="N40" s="63"/>
      <c r="O40" s="62"/>
    </row>
    <row r="41" s="1" customFormat="1" ht="18" customHeight="1" spans="1:15">
      <c r="A41" s="39"/>
      <c r="B41" s="18">
        <f t="shared" si="7"/>
        <v>0</v>
      </c>
      <c r="C41" s="40"/>
      <c r="D41" s="41"/>
      <c r="E41" s="42"/>
      <c r="F41" s="18">
        <f t="shared" si="8"/>
        <v>0</v>
      </c>
      <c r="G41" s="28"/>
      <c r="H41" s="23">
        <v>43819</v>
      </c>
      <c r="I41" s="26">
        <v>28170</v>
      </c>
      <c r="J41" s="59" t="s">
        <v>53</v>
      </c>
      <c r="K41" s="61" t="s">
        <v>59</v>
      </c>
      <c r="L41" s="62"/>
      <c r="M41" s="63"/>
      <c r="N41" s="63"/>
      <c r="O41" s="62"/>
    </row>
    <row r="42" s="1" customFormat="1" ht="18" customHeight="1" spans="1:15">
      <c r="A42" s="39"/>
      <c r="B42" s="18">
        <f t="shared" si="7"/>
        <v>0</v>
      </c>
      <c r="C42" s="40"/>
      <c r="D42" s="41"/>
      <c r="E42" s="42"/>
      <c r="F42" s="18">
        <f t="shared" si="8"/>
        <v>0</v>
      </c>
      <c r="G42" s="28"/>
      <c r="H42" s="23">
        <v>43819</v>
      </c>
      <c r="I42" s="26">
        <v>846</v>
      </c>
      <c r="J42" s="59" t="s">
        <v>53</v>
      </c>
      <c r="K42" s="61" t="s">
        <v>67</v>
      </c>
      <c r="L42" s="62"/>
      <c r="M42" s="63"/>
      <c r="N42" s="63"/>
      <c r="O42" s="62"/>
    </row>
    <row r="43" s="1" customFormat="1" ht="18" customHeight="1" spans="1:15">
      <c r="A43" s="39"/>
      <c r="B43" s="18">
        <f t="shared" si="7"/>
        <v>102349.14</v>
      </c>
      <c r="C43" s="40"/>
      <c r="D43" s="41"/>
      <c r="E43" s="42"/>
      <c r="F43" s="18">
        <f t="shared" si="8"/>
        <v>0</v>
      </c>
      <c r="G43" s="28">
        <v>102349.14</v>
      </c>
      <c r="H43" s="23">
        <v>43819</v>
      </c>
      <c r="I43" s="26">
        <v>102349.14</v>
      </c>
      <c r="J43" s="59" t="s">
        <v>53</v>
      </c>
      <c r="K43" s="61" t="s">
        <v>68</v>
      </c>
      <c r="L43" s="62" t="s">
        <v>69</v>
      </c>
      <c r="M43" s="63"/>
      <c r="N43" s="63"/>
      <c r="O43" s="62"/>
    </row>
    <row r="44" s="2" customFormat="1" ht="18" customHeight="1" spans="1:15">
      <c r="A44" s="39"/>
      <c r="B44" s="18"/>
      <c r="C44" s="40"/>
      <c r="D44" s="41"/>
      <c r="E44" s="42"/>
      <c r="F44" s="18"/>
      <c r="G44" s="44"/>
      <c r="H44" s="23"/>
      <c r="I44" s="26">
        <v>108452.53</v>
      </c>
      <c r="J44" s="70" t="s">
        <v>70</v>
      </c>
      <c r="K44" s="61" t="s">
        <v>71</v>
      </c>
      <c r="L44" s="62"/>
      <c r="M44" s="63"/>
      <c r="N44" s="63"/>
      <c r="O44" s="62"/>
    </row>
    <row r="45" s="2" customFormat="1" ht="18" customHeight="1" spans="1:15">
      <c r="A45" s="39"/>
      <c r="B45" s="18"/>
      <c r="C45" s="40"/>
      <c r="D45" s="41"/>
      <c r="E45" s="42"/>
      <c r="F45" s="18"/>
      <c r="G45" s="44"/>
      <c r="H45" s="23"/>
      <c r="I45" s="26">
        <v>-108452.53</v>
      </c>
      <c r="J45" s="70" t="s">
        <v>70</v>
      </c>
      <c r="K45" s="61" t="s">
        <v>72</v>
      </c>
      <c r="L45" s="62"/>
      <c r="M45" s="63"/>
      <c r="N45" s="63"/>
      <c r="O45" s="62"/>
    </row>
    <row r="46" ht="18" customHeight="1" spans="1:15">
      <c r="A46" s="34" t="s">
        <v>24</v>
      </c>
      <c r="B46" s="33">
        <f>SUM(B16:B43)</f>
        <v>4570084.33</v>
      </c>
      <c r="C46" s="34"/>
      <c r="D46" s="45"/>
      <c r="E46" s="45"/>
      <c r="F46" s="36">
        <f>SUM(F16:F43)</f>
        <v>241504.52</v>
      </c>
      <c r="G46" s="46">
        <f>SUM(G16:G43)</f>
        <v>4811588.85</v>
      </c>
      <c r="H46" s="22" t="s">
        <v>24</v>
      </c>
      <c r="I46" s="35">
        <f>SUM(I16:I43)</f>
        <v>3936578.14</v>
      </c>
      <c r="J46" s="71"/>
      <c r="K46" s="45"/>
      <c r="L46" s="37"/>
      <c r="M46" s="59"/>
      <c r="N46" s="59"/>
      <c r="O46" s="37"/>
    </row>
    <row r="47" ht="18" customHeight="1" spans="1:14">
      <c r="A47" s="47" t="s">
        <v>73</v>
      </c>
      <c r="B47" s="48">
        <f>B13*0.92</f>
        <v>3332287.26605505</v>
      </c>
      <c r="C47" s="47"/>
      <c r="D47" s="49"/>
      <c r="E47" s="49"/>
      <c r="F47" s="48"/>
      <c r="G47" s="48">
        <f>G13-G46</f>
        <v>-863552.85</v>
      </c>
      <c r="H47" s="22" t="s">
        <v>74</v>
      </c>
      <c r="I47" s="35">
        <f>I13-I46</f>
        <v>987434.86</v>
      </c>
      <c r="J47" s="7"/>
      <c r="K47" s="72"/>
      <c r="M47" s="73"/>
      <c r="N47" s="73"/>
    </row>
    <row r="48" ht="18" customHeight="1" spans="1:14">
      <c r="A48" s="47" t="s">
        <v>75</v>
      </c>
      <c r="B48" s="48">
        <f>B47-B46</f>
        <v>-1237797.06394495</v>
      </c>
      <c r="C48" s="47"/>
      <c r="D48" s="49"/>
      <c r="E48" s="49"/>
      <c r="F48" s="48"/>
      <c r="G48" s="48"/>
      <c r="H48" s="50"/>
      <c r="I48" s="48"/>
      <c r="J48" s="7"/>
      <c r="K48" s="72"/>
      <c r="M48" s="73"/>
      <c r="N48" s="73"/>
    </row>
    <row r="49" ht="18" customHeight="1" spans="1:3">
      <c r="A49" s="3" t="s">
        <v>76</v>
      </c>
      <c r="C49" s="3"/>
    </row>
    <row r="50" ht="18" customHeight="1" spans="1:10">
      <c r="A50" s="22" t="s">
        <v>77</v>
      </c>
      <c r="B50" s="21" t="s">
        <v>78</v>
      </c>
      <c r="C50" s="37"/>
      <c r="D50" s="22" t="s">
        <v>77</v>
      </c>
      <c r="E50" s="20" t="s">
        <v>16</v>
      </c>
      <c r="F50" s="21" t="s">
        <v>78</v>
      </c>
      <c r="G50" s="21" t="s">
        <v>79</v>
      </c>
      <c r="H50" s="21" t="s">
        <v>80</v>
      </c>
      <c r="I50" s="7"/>
      <c r="J50" s="7"/>
    </row>
    <row r="51" ht="18" customHeight="1" spans="1:10">
      <c r="A51" s="37" t="s">
        <v>81</v>
      </c>
      <c r="B51" s="18">
        <f>(B47-B46)*0.25</f>
        <v>-309449.265986239</v>
      </c>
      <c r="C51" s="37"/>
      <c r="D51" s="32" t="s">
        <v>82</v>
      </c>
      <c r="E51" s="22" t="s">
        <v>83</v>
      </c>
      <c r="F51" s="51">
        <f>F13-F46</f>
        <v>12039.0763302752</v>
      </c>
      <c r="G51" s="51">
        <v>0</v>
      </c>
      <c r="H51" s="51">
        <f>F7+F8-SUM(F18:F23)</f>
        <v>12039.0763302752</v>
      </c>
      <c r="I51" s="7"/>
      <c r="J51" s="7"/>
    </row>
    <row r="52" ht="18" customHeight="1" spans="1:10">
      <c r="A52" s="37" t="s">
        <v>84</v>
      </c>
      <c r="B52" s="52" t="s">
        <v>85</v>
      </c>
      <c r="C52" s="37"/>
      <c r="D52" s="53" t="s">
        <v>86</v>
      </c>
      <c r="E52" s="14">
        <v>0.07</v>
      </c>
      <c r="F52" s="26">
        <f>F51*E52</f>
        <v>842.735343119265</v>
      </c>
      <c r="G52" s="26">
        <v>0</v>
      </c>
      <c r="H52" s="26">
        <f>H51*0.05</f>
        <v>601.953816513761</v>
      </c>
      <c r="I52" s="7"/>
      <c r="J52" s="7"/>
    </row>
    <row r="53" ht="18" customHeight="1" spans="1:10">
      <c r="A53" s="37" t="s">
        <v>67</v>
      </c>
      <c r="B53" s="52"/>
      <c r="C53" s="37"/>
      <c r="D53" s="53" t="s">
        <v>87</v>
      </c>
      <c r="E53" s="14">
        <v>0.03</v>
      </c>
      <c r="F53" s="26">
        <f>F51*E53</f>
        <v>361.172289908256</v>
      </c>
      <c r="G53" s="26">
        <v>0</v>
      </c>
      <c r="H53" s="26">
        <f>H51*E53</f>
        <v>361.172289908256</v>
      </c>
      <c r="I53" s="7"/>
      <c r="J53" s="7"/>
    </row>
    <row r="54" ht="18" customHeight="1" spans="1:10">
      <c r="A54" s="37"/>
      <c r="B54" s="24"/>
      <c r="C54" s="37"/>
      <c r="D54" s="53" t="s">
        <v>88</v>
      </c>
      <c r="E54" s="14">
        <v>0.02</v>
      </c>
      <c r="F54" s="26">
        <f>F51*E54</f>
        <v>240.781526605504</v>
      </c>
      <c r="G54" s="26">
        <v>0</v>
      </c>
      <c r="H54" s="26">
        <f>H51*E54</f>
        <v>240.781526605504</v>
      </c>
      <c r="I54" s="7"/>
      <c r="J54" s="7"/>
    </row>
    <row r="55" ht="18" customHeight="1" spans="1:10">
      <c r="A55" s="32" t="s">
        <v>89</v>
      </c>
      <c r="B55" s="33">
        <f>SUM(B51:B54)</f>
        <v>-309449.265986239</v>
      </c>
      <c r="C55" s="37"/>
      <c r="D55" s="38" t="s">
        <v>89</v>
      </c>
      <c r="E55" s="32"/>
      <c r="F55" s="51">
        <f>SUM(F51:F54)</f>
        <v>13483.7654899082</v>
      </c>
      <c r="G55" s="51">
        <v>0</v>
      </c>
      <c r="H55" s="51">
        <f>SUM(H51:H54)</f>
        <v>13242.9839633027</v>
      </c>
      <c r="I55" s="7"/>
      <c r="J55" s="7"/>
    </row>
    <row r="56" ht="18" customHeight="1" spans="3:10">
      <c r="C56" s="3"/>
      <c r="D56" s="12" t="s">
        <v>84</v>
      </c>
      <c r="E56" s="54">
        <v>0.0003</v>
      </c>
      <c r="F56" s="26">
        <f>G13*E56</f>
        <v>1184.4108</v>
      </c>
      <c r="G56" s="26">
        <v>0</v>
      </c>
      <c r="H56" s="55">
        <f>G8*E56</f>
        <v>723.83967</v>
      </c>
      <c r="I56" s="7"/>
      <c r="J56" s="7"/>
    </row>
    <row r="57" ht="18" customHeight="1" spans="3:10">
      <c r="C57" s="3"/>
      <c r="D57" s="12" t="s">
        <v>67</v>
      </c>
      <c r="E57" s="54">
        <v>0.0006</v>
      </c>
      <c r="F57" s="24">
        <f>B13*E57</f>
        <v>2173.23082568807</v>
      </c>
      <c r="G57" s="24">
        <f>B7*E57</f>
        <v>845.084642201835</v>
      </c>
      <c r="H57" s="24">
        <f>B8*E57</f>
        <v>1328.14618348624</v>
      </c>
      <c r="I57" s="7"/>
      <c r="J57" s="7"/>
    </row>
    <row r="58" ht="18" customHeight="1" spans="3:10">
      <c r="C58" s="3"/>
      <c r="D58" s="20" t="s">
        <v>89</v>
      </c>
      <c r="E58" s="45"/>
      <c r="F58" s="35">
        <f>F57+F56</f>
        <v>3357.64162568807</v>
      </c>
      <c r="G58" s="35">
        <f>G57</f>
        <v>845.084642201835</v>
      </c>
      <c r="H58" s="35">
        <f>H56+H57</f>
        <v>2051.98585348624</v>
      </c>
      <c r="I58" s="7"/>
      <c r="J58" s="7"/>
    </row>
    <row r="59" ht="18" customHeight="1" spans="3:10">
      <c r="C59" s="3"/>
      <c r="D59" s="20" t="s">
        <v>24</v>
      </c>
      <c r="E59" s="34"/>
      <c r="F59" s="36">
        <f>F55+F58</f>
        <v>16841.4071155963</v>
      </c>
      <c r="G59" s="36">
        <f>G55+G58</f>
        <v>845.084642201835</v>
      </c>
      <c r="H59" s="36">
        <f>H55+H58</f>
        <v>15294.969816789</v>
      </c>
      <c r="I59" s="7"/>
      <c r="J59" s="7"/>
    </row>
    <row r="60" ht="18" customHeight="1" spans="3:10">
      <c r="C60" s="3"/>
      <c r="D60" s="34" t="s">
        <v>81</v>
      </c>
      <c r="E60" s="45">
        <v>0.02</v>
      </c>
      <c r="F60" s="36">
        <f>B13*E60</f>
        <v>72441.0275229358</v>
      </c>
      <c r="G60" s="36">
        <f>B7*E60</f>
        <v>28169.4880733945</v>
      </c>
      <c r="H60" s="36">
        <f>G8*E60</f>
        <v>48255.978</v>
      </c>
      <c r="I60" s="7"/>
      <c r="J60" s="7"/>
    </row>
    <row r="61" ht="18" customHeight="1" spans="3:3">
      <c r="C61" s="3"/>
    </row>
    <row r="62" ht="18" customHeight="1" spans="3:6">
      <c r="C62" s="3"/>
      <c r="F62" s="4" t="s">
        <v>90</v>
      </c>
    </row>
    <row r="63" ht="18" customHeight="1" spans="3:6">
      <c r="C63" s="3"/>
      <c r="F63" s="4">
        <f>F7</f>
        <v>98593.2082568807</v>
      </c>
    </row>
    <row r="64" spans="3:6">
      <c r="C64" s="3"/>
      <c r="F64" s="24">
        <f>F63*E52</f>
        <v>6901.52457798165</v>
      </c>
    </row>
    <row r="65" spans="3:6">
      <c r="C65" s="3"/>
      <c r="F65" s="4">
        <f>F63*E53</f>
        <v>2957.79624770642</v>
      </c>
    </row>
    <row r="66" spans="3:6">
      <c r="C66" s="3"/>
      <c r="F66" s="4">
        <f>F63*E54</f>
        <v>1971.86416513761</v>
      </c>
    </row>
    <row r="67" spans="3:6">
      <c r="C67" s="3"/>
      <c r="F67" s="4">
        <f>SUM(F63:F66)</f>
        <v>110424.393247706</v>
      </c>
    </row>
    <row r="68" spans="3:6">
      <c r="C68" s="3"/>
      <c r="F68" s="74" t="s">
        <v>91</v>
      </c>
    </row>
    <row r="69" spans="3:3">
      <c r="C69" s="3"/>
    </row>
    <row r="70" spans="3:3">
      <c r="C70" s="3"/>
    </row>
    <row r="71" spans="3:3">
      <c r="C71" s="3"/>
    </row>
    <row r="72" spans="3:3">
      <c r="C72" s="3"/>
    </row>
    <row r="73" spans="3:3">
      <c r="C73" s="3"/>
    </row>
    <row r="74" spans="3:3">
      <c r="C74" s="3"/>
    </row>
    <row r="75" spans="3:3">
      <c r="C75" s="3"/>
    </row>
    <row r="76" spans="3:3">
      <c r="C76" s="3"/>
    </row>
    <row r="77" spans="3:3">
      <c r="C77" s="3"/>
    </row>
    <row r="78" spans="3:3">
      <c r="C78" s="3"/>
    </row>
    <row r="79" spans="3:3">
      <c r="C79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若脂含梅</cp:lastModifiedBy>
  <dcterms:created xsi:type="dcterms:W3CDTF">2016-07-12T06:03:00Z</dcterms:created>
  <cp:lastPrinted>2016-11-23T10:22:00Z</cp:lastPrinted>
  <dcterms:modified xsi:type="dcterms:W3CDTF">2021-07-08T06:36:08Z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