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080" windowHeight="12645"/>
  </bookViews>
  <sheets>
    <sheet name="新" sheetId="1" r:id="rId1"/>
    <sheet name="供应商" sheetId="3" r:id="rId2"/>
    <sheet name="旧" sheetId="2" r:id="rId3"/>
  </sheets>
  <definedNames>
    <definedName name="_xlnm._FilterDatabase" localSheetId="0" hidden="1">新!$A$21:$O$36</definedName>
  </definedNames>
  <calcPr calcId="144525"/>
  <pivotCaches>
    <pivotCache cacheId="3" r:id="rId4"/>
  </pivotCaches>
</workbook>
</file>

<file path=xl/calcChain.xml><?xml version="1.0" encoding="utf-8"?>
<calcChain xmlns="http://schemas.openxmlformats.org/spreadsheetml/2006/main">
  <c r="F48" i="1" l="1"/>
  <c r="B48" i="1"/>
  <c r="F47" i="1"/>
  <c r="B47" i="1"/>
  <c r="F43" i="1"/>
  <c r="B43" i="1"/>
  <c r="F42" i="1"/>
  <c r="B42" i="1"/>
  <c r="F41" i="1"/>
  <c r="B41" i="1"/>
  <c r="F40" i="1"/>
  <c r="B40" i="1"/>
  <c r="F39" i="1"/>
  <c r="B39" i="1"/>
  <c r="D3" i="3"/>
  <c r="D4" i="3"/>
  <c r="D5" i="3"/>
  <c r="D6" i="3"/>
  <c r="G95" i="1" l="1"/>
  <c r="H95" i="1"/>
  <c r="I95" i="1"/>
  <c r="G92" i="1"/>
  <c r="H92" i="1"/>
  <c r="I92" i="1"/>
  <c r="G93" i="1"/>
  <c r="H93" i="1"/>
  <c r="I93" i="1"/>
  <c r="G94" i="1"/>
  <c r="H94" i="1"/>
  <c r="I94" i="1"/>
  <c r="F52" i="1" l="1"/>
  <c r="B52" i="1"/>
  <c r="F51" i="1"/>
  <c r="B51" i="1"/>
  <c r="F50" i="1"/>
  <c r="B50" i="1"/>
  <c r="F49" i="1"/>
  <c r="B49" i="1"/>
  <c r="F46" i="1"/>
  <c r="B46" i="1"/>
  <c r="F45" i="1"/>
  <c r="B45" i="1"/>
  <c r="F44" i="1"/>
  <c r="B44" i="1"/>
  <c r="F59" i="1" l="1"/>
  <c r="B59" i="1"/>
  <c r="F58" i="1"/>
  <c r="B58" i="1"/>
  <c r="F57" i="1"/>
  <c r="B57" i="1"/>
  <c r="F56" i="1"/>
  <c r="B56" i="1"/>
  <c r="F53" i="1"/>
  <c r="B53" i="1"/>
  <c r="F38" i="1"/>
  <c r="B38" i="1"/>
  <c r="F37" i="1"/>
  <c r="B37" i="1"/>
  <c r="B34" i="1"/>
  <c r="F34" i="1"/>
  <c r="B35" i="1"/>
  <c r="F35" i="1"/>
  <c r="B36" i="1"/>
  <c r="F36" i="1"/>
  <c r="B54" i="1"/>
  <c r="F54" i="1"/>
  <c r="B55" i="1"/>
  <c r="F55" i="1"/>
  <c r="B60" i="1"/>
  <c r="F60" i="1"/>
  <c r="I61" i="2" l="1"/>
  <c r="H61" i="2"/>
  <c r="G61" i="2"/>
  <c r="F61" i="2"/>
  <c r="I60" i="2"/>
  <c r="H60" i="2"/>
  <c r="F60" i="2"/>
  <c r="I59" i="2"/>
  <c r="H59" i="2"/>
  <c r="G59" i="2"/>
  <c r="F59" i="2"/>
  <c r="I58" i="2"/>
  <c r="H58" i="2"/>
  <c r="G58" i="2"/>
  <c r="F58" i="2"/>
  <c r="I57" i="2"/>
  <c r="H57" i="2"/>
  <c r="G57" i="2"/>
  <c r="F57" i="2"/>
  <c r="F56" i="2"/>
  <c r="B56" i="2"/>
  <c r="F55" i="2"/>
  <c r="F54" i="2"/>
  <c r="F53" i="2"/>
  <c r="F52" i="2"/>
  <c r="B52" i="2"/>
  <c r="B49" i="2"/>
  <c r="I48" i="2"/>
  <c r="G48" i="2"/>
  <c r="B48" i="2"/>
  <c r="I47" i="2"/>
  <c r="G47" i="2"/>
  <c r="F47" i="2"/>
  <c r="B47" i="2"/>
  <c r="F46" i="2"/>
  <c r="B46" i="2"/>
  <c r="F45" i="2"/>
  <c r="B45" i="2"/>
  <c r="I44" i="2"/>
  <c r="G44" i="2"/>
  <c r="F44" i="2"/>
  <c r="B44" i="2"/>
  <c r="F43" i="2"/>
  <c r="B43" i="2"/>
  <c r="F42" i="2"/>
  <c r="B42" i="2"/>
  <c r="F41" i="2"/>
  <c r="B41" i="2"/>
  <c r="F40" i="2"/>
  <c r="B40" i="2"/>
  <c r="I39" i="2"/>
  <c r="G39" i="2"/>
  <c r="F39" i="2"/>
  <c r="B39" i="2"/>
  <c r="F38" i="2"/>
  <c r="B38" i="2"/>
  <c r="F37" i="2"/>
  <c r="B37" i="2"/>
  <c r="F35" i="2"/>
  <c r="B35" i="2"/>
  <c r="F34" i="2"/>
  <c r="B34" i="2"/>
  <c r="F33" i="2"/>
  <c r="B33" i="2"/>
  <c r="G32" i="2"/>
  <c r="F32" i="2"/>
  <c r="B32" i="2"/>
  <c r="F31" i="2"/>
  <c r="B31" i="2"/>
  <c r="G19" i="2"/>
  <c r="F19" i="2"/>
  <c r="B19" i="2"/>
  <c r="F18" i="2"/>
  <c r="B18" i="2"/>
  <c r="F17" i="2"/>
  <c r="B17" i="2"/>
  <c r="F16" i="2"/>
  <c r="B16" i="2"/>
  <c r="I13" i="2"/>
  <c r="G13" i="2"/>
  <c r="F13" i="2"/>
  <c r="D13" i="2"/>
  <c r="B13" i="2"/>
  <c r="F10" i="2"/>
  <c r="D10" i="2"/>
  <c r="B10" i="2"/>
  <c r="F9" i="2"/>
  <c r="D9" i="2"/>
  <c r="B9" i="2"/>
  <c r="F8" i="2"/>
  <c r="D8" i="2"/>
  <c r="B8" i="2"/>
  <c r="F7" i="2"/>
  <c r="D7" i="2"/>
  <c r="B7" i="2"/>
  <c r="L100" i="1"/>
  <c r="K100" i="1"/>
  <c r="I100" i="1"/>
  <c r="L96" i="1"/>
  <c r="K96" i="1"/>
  <c r="I96" i="1"/>
  <c r="H96" i="1"/>
  <c r="G96" i="1"/>
  <c r="F96" i="1"/>
  <c r="K95" i="1"/>
  <c r="K94" i="1"/>
  <c r="K93" i="1"/>
  <c r="K92" i="1"/>
  <c r="B92" i="1"/>
  <c r="K91" i="1"/>
  <c r="I86" i="1"/>
  <c r="I87" i="1" s="1"/>
  <c r="G86" i="1"/>
  <c r="G87" i="1" s="1"/>
  <c r="I85" i="1"/>
  <c r="G85" i="1"/>
  <c r="F85" i="1"/>
  <c r="B85" i="1"/>
  <c r="F84" i="1"/>
  <c r="B84" i="1"/>
  <c r="F83" i="1"/>
  <c r="B83" i="1"/>
  <c r="F82" i="1"/>
  <c r="B82" i="1"/>
  <c r="F81" i="1"/>
  <c r="B81" i="1"/>
  <c r="I80" i="1"/>
  <c r="G80" i="1"/>
  <c r="F80" i="1"/>
  <c r="B80" i="1"/>
  <c r="F79" i="1"/>
  <c r="B79" i="1"/>
  <c r="F78" i="1"/>
  <c r="B78" i="1"/>
  <c r="F76" i="1"/>
  <c r="B76" i="1"/>
  <c r="F75" i="1"/>
  <c r="B75" i="1"/>
  <c r="F74" i="1"/>
  <c r="B74" i="1"/>
  <c r="G73" i="1"/>
  <c r="F73" i="1"/>
  <c r="B73" i="1"/>
  <c r="F72" i="1"/>
  <c r="B72" i="1"/>
  <c r="F71" i="1"/>
  <c r="B71" i="1"/>
  <c r="F70" i="1"/>
  <c r="B70" i="1"/>
  <c r="F69" i="1"/>
  <c r="B69" i="1"/>
  <c r="F68" i="1"/>
  <c r="B68" i="1"/>
  <c r="F67" i="1"/>
  <c r="B67" i="1"/>
  <c r="F66" i="1"/>
  <c r="B66" i="1"/>
  <c r="F65" i="1"/>
  <c r="B65" i="1"/>
  <c r="F64" i="1"/>
  <c r="B64" i="1"/>
  <c r="F63" i="1"/>
  <c r="B63" i="1"/>
  <c r="F62" i="1"/>
  <c r="B62" i="1"/>
  <c r="F61" i="1"/>
  <c r="B61" i="1"/>
  <c r="F33" i="1"/>
  <c r="B33" i="1"/>
  <c r="F32" i="1"/>
  <c r="B32" i="1"/>
  <c r="F31" i="1"/>
  <c r="B31" i="1"/>
  <c r="F30" i="1"/>
  <c r="B30" i="1"/>
  <c r="F29" i="1"/>
  <c r="B29" i="1"/>
  <c r="F28" i="1"/>
  <c r="B28" i="1"/>
  <c r="F27" i="1"/>
  <c r="B27" i="1"/>
  <c r="F26" i="1"/>
  <c r="B26" i="1"/>
  <c r="G25" i="1"/>
  <c r="F25" i="1"/>
  <c r="B25" i="1"/>
  <c r="F24" i="1"/>
  <c r="B24" i="1"/>
  <c r="F23" i="1"/>
  <c r="B23" i="1"/>
  <c r="F22" i="1"/>
  <c r="B22" i="1"/>
  <c r="I19" i="1"/>
  <c r="G19" i="1"/>
  <c r="F16" i="1"/>
  <c r="D16" i="1"/>
  <c r="B16" i="1"/>
  <c r="F15" i="1"/>
  <c r="D15" i="1"/>
  <c r="B15" i="1"/>
  <c r="F14" i="1"/>
  <c r="D14" i="1"/>
  <c r="B14" i="1"/>
  <c r="F13" i="1"/>
  <c r="D13" i="1"/>
  <c r="B13" i="1"/>
  <c r="F12" i="1"/>
  <c r="D12" i="1"/>
  <c r="B12" i="1"/>
  <c r="F11" i="1"/>
  <c r="D11" i="1"/>
  <c r="B11" i="1"/>
  <c r="L97" i="1" s="1"/>
  <c r="L98" i="1" s="1"/>
  <c r="F10" i="1"/>
  <c r="D10" i="1"/>
  <c r="B10" i="1"/>
  <c r="K97" i="1" s="1"/>
  <c r="K98" i="1" s="1"/>
  <c r="K99" i="1" s="1"/>
  <c r="F9" i="1"/>
  <c r="D9" i="1"/>
  <c r="B9" i="1"/>
  <c r="I97" i="1" s="1"/>
  <c r="I98" i="1" s="1"/>
  <c r="I99" i="1" s="1"/>
  <c r="F8" i="1"/>
  <c r="D8" i="1"/>
  <c r="B8" i="1"/>
  <c r="H100" i="1" s="1"/>
  <c r="F7" i="1"/>
  <c r="D7" i="1"/>
  <c r="B7" i="1"/>
  <c r="G100" i="1" s="1"/>
  <c r="D2" i="3"/>
  <c r="D19" i="1" l="1"/>
  <c r="L91" i="1" s="1"/>
  <c r="F19" i="1"/>
  <c r="L94" i="1"/>
  <c r="L92" i="1"/>
  <c r="L93" i="1"/>
  <c r="G97" i="1"/>
  <c r="G98" i="1" s="1"/>
  <c r="H97" i="1"/>
  <c r="H98" i="1" s="1"/>
  <c r="H99" i="1" s="1"/>
  <c r="B19" i="1"/>
  <c r="B86" i="1"/>
  <c r="F86" i="1"/>
  <c r="L95" i="1" l="1"/>
  <c r="L99" i="1" s="1"/>
  <c r="F91" i="1"/>
  <c r="B87" i="1"/>
  <c r="F100" i="1"/>
  <c r="B93" i="1"/>
  <c r="F97" i="1"/>
  <c r="F98" i="1" s="1"/>
  <c r="F94" i="1" l="1"/>
  <c r="F93" i="1"/>
  <c r="F92" i="1"/>
  <c r="F95" i="1"/>
  <c r="F99" i="1" s="1"/>
  <c r="B91" i="1"/>
  <c r="B95" i="1" s="1"/>
  <c r="B88" i="1"/>
</calcChain>
</file>

<file path=xl/comments1.xml><?xml version="1.0" encoding="utf-8"?>
<comments xmlns="http://schemas.openxmlformats.org/spreadsheetml/2006/main">
  <authors>
    <author>cw09</author>
    <author>qyr</author>
    <author>cw05</author>
  </authors>
  <commentList>
    <comment ref="G8" authorId="0">
      <text>
        <r>
          <rPr>
            <sz val="9"/>
            <color indexed="81"/>
            <rFont val="宋体"/>
            <family val="3"/>
            <charset val="134"/>
          </rPr>
          <t>cw09:
12月份提供进项</t>
        </r>
      </text>
    </comment>
    <comment ref="I61" authorId="1">
      <text>
        <r>
          <rPr>
            <sz val="9"/>
            <color indexed="81"/>
            <rFont val="宋体"/>
            <family val="3"/>
            <charset val="134"/>
          </rPr>
          <t>qyr:
2021.2.8储金华转王光如徽行卡</t>
        </r>
      </text>
    </comment>
    <comment ref="A92" authorId="2">
      <text>
        <r>
          <rPr>
            <sz val="9"/>
            <color indexed="81"/>
            <rFont val="宋体"/>
            <family val="3"/>
            <charset val="134"/>
          </rPr>
          <t>cw05:
当地未缴，本地代扣代缴，含税价*0.0003。</t>
        </r>
      </text>
    </comment>
    <comment ref="A93" authorId="2">
      <text>
        <r>
          <rPr>
            <sz val="9"/>
            <color indexed="81"/>
            <rFont val="宋体"/>
            <family val="3"/>
            <charset val="134"/>
          </rPr>
          <t>cw05:
当地未缴，本地代扣代缴，不含税销售额*0.0006</t>
        </r>
      </text>
    </comment>
    <comment ref="E100" authorId="0">
      <text>
        <r>
          <rPr>
            <sz val="9"/>
            <color indexed="81"/>
            <rFont val="宋体"/>
            <family val="3"/>
            <charset val="134"/>
          </rPr>
          <t>cw09:
企税按照1个点扣 （朱敏）  施总与合作人沟通</t>
        </r>
      </text>
    </comment>
  </commentList>
</comments>
</file>

<file path=xl/comments2.xml><?xml version="1.0" encoding="utf-8"?>
<comments xmlns="http://schemas.openxmlformats.org/spreadsheetml/2006/main">
  <authors>
    <author>cw09</author>
    <author>cw05</author>
  </authors>
  <commentList>
    <comment ref="G8" authorId="0">
      <text>
        <r>
          <rPr>
            <sz val="9"/>
            <color indexed="81"/>
            <rFont val="宋体"/>
            <family val="3"/>
            <charset val="134"/>
          </rPr>
          <t>cw09:
12月份提供进项</t>
        </r>
      </text>
    </comment>
    <comment ref="A53" authorId="1">
      <text>
        <r>
          <rPr>
            <sz val="9"/>
            <color indexed="81"/>
            <rFont val="宋体"/>
            <family val="3"/>
            <charset val="134"/>
          </rPr>
          <t>cw05:
当地未缴，本地代扣代缴，含税价*0.0003。</t>
        </r>
      </text>
    </comment>
    <comment ref="A54" authorId="1">
      <text>
        <r>
          <rPr>
            <sz val="9"/>
            <color indexed="81"/>
            <rFont val="宋体"/>
            <family val="3"/>
            <charset val="134"/>
          </rPr>
          <t>cw05:
当地未缴，本地代扣代缴，不含税销售额*0.0006</t>
        </r>
      </text>
    </comment>
    <comment ref="E61" authorId="0">
      <text>
        <r>
          <rPr>
            <sz val="9"/>
            <color indexed="81"/>
            <rFont val="宋体"/>
            <family val="3"/>
            <charset val="134"/>
          </rPr>
          <t>cw09:
企税按照1个点扣 （朱敏）  施总与合作人沟通</t>
        </r>
      </text>
    </comment>
  </commentList>
</comments>
</file>

<file path=xl/sharedStrings.xml><?xml version="1.0" encoding="utf-8"?>
<sst xmlns="http://schemas.openxmlformats.org/spreadsheetml/2006/main" count="385" uniqueCount="125">
  <si>
    <t>庐江县郭河北路（内环北路-新渡路）工程施工</t>
  </si>
  <si>
    <t>中标日期</t>
  </si>
  <si>
    <t>中标价</t>
  </si>
  <si>
    <t>负责人</t>
  </si>
  <si>
    <t>张璐</t>
  </si>
  <si>
    <t>建设单位</t>
  </si>
  <si>
    <t>庐江县重点工程建设管理中心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</si>
  <si>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</si>
  <si>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</si>
  <si>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</si>
  <si>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</si>
  <si>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</si>
  <si>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</si>
  <si>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</si>
  <si>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</si>
  <si>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</si>
  <si>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</si>
  <si>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</si>
  <si>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</si>
  <si>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</si>
  <si>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</si>
  <si>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专户</t>
  </si>
  <si>
    <t>农民工工资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</si>
  <si>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</si>
  <si>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</si>
  <si>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</si>
  <si>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</si>
  <si>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</si>
  <si>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</si>
  <si>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</si>
  <si>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</si>
  <si>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</si>
  <si>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</si>
  <si>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</si>
  <si>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</si>
  <si>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</si>
  <si>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</si>
  <si>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专</t>
  </si>
  <si>
    <t>19-12-</t>
  </si>
  <si>
    <t>安徽兆博建设工程有限公司</t>
  </si>
  <si>
    <t>工程款</t>
  </si>
  <si>
    <t>有</t>
  </si>
  <si>
    <t>19.12-</t>
  </si>
  <si>
    <t>支付农民工工资</t>
  </si>
  <si>
    <t>18份</t>
  </si>
  <si>
    <t>10份</t>
  </si>
  <si>
    <t>普</t>
  </si>
  <si>
    <t>合肥市从宽建筑劳务有限公司</t>
  </si>
  <si>
    <t>工程劳务</t>
  </si>
  <si>
    <t>2021-143-4#-914977</t>
  </si>
  <si>
    <t>11份</t>
  </si>
  <si>
    <t>庐江县张建钢建筑劳务服务部</t>
  </si>
  <si>
    <t>2021-143-3#-1025023</t>
  </si>
  <si>
    <t>4份</t>
  </si>
  <si>
    <t>以前合同</t>
  </si>
  <si>
    <t>收</t>
  </si>
  <si>
    <t>5次</t>
  </si>
  <si>
    <t>扣</t>
  </si>
  <si>
    <t>王文伍出场8次*1500</t>
  </si>
  <si>
    <t>管理费（工程进度款2%）</t>
  </si>
  <si>
    <t>企税1%</t>
  </si>
  <si>
    <t>1-5次开票工程地缴税2%</t>
  </si>
  <si>
    <t>印花税、水利基金</t>
  </si>
  <si>
    <t>王光如（储金华）</t>
  </si>
  <si>
    <t>4次</t>
  </si>
  <si>
    <t>按进度款2%管理费</t>
  </si>
  <si>
    <t>3次</t>
  </si>
  <si>
    <t>退</t>
  </si>
  <si>
    <t>之前暂扣在共管账户的</t>
  </si>
  <si>
    <t>管理费</t>
  </si>
  <si>
    <t>印花水利</t>
  </si>
  <si>
    <t>孙会计</t>
  </si>
  <si>
    <t>2次</t>
  </si>
  <si>
    <t>暂扣</t>
  </si>
  <si>
    <t>共管账户</t>
  </si>
  <si>
    <t>1次</t>
  </si>
  <si>
    <t>应提供成本</t>
  </si>
  <si>
    <t>可支付金额</t>
  </si>
  <si>
    <t>尚需提供成本</t>
  </si>
  <si>
    <t>公司代缴税金：</t>
  </si>
  <si>
    <t>税种</t>
  </si>
  <si>
    <t>税额</t>
  </si>
  <si>
    <t>19.11月开票扣税</t>
  </si>
  <si>
    <t>19.12月开票扣税</t>
  </si>
  <si>
    <t>20.1月开票扣税</t>
  </si>
  <si>
    <t>2020年8月开票税金</t>
  </si>
  <si>
    <t>5次开票工程地缴税2%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</si>
  <si>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</si>
  <si>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</si>
  <si>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</si>
  <si>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</si>
  <si>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</si>
  <si>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</si>
  <si>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</si>
  <si>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</si>
  <si>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</si>
  <si>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后期办理要扣前期2%的增值税及附加</t>
  </si>
  <si>
    <t xml:space="preserve"> </t>
  </si>
  <si>
    <t>行标签</t>
  </si>
  <si>
    <t>(空白)</t>
  </si>
  <si>
    <t>总计</t>
  </si>
  <si>
    <t>求和项:价税合计</t>
  </si>
  <si>
    <t>求和项:付款金额</t>
  </si>
  <si>
    <t>安徽兆博建设工程有限公司</t>
    <phoneticPr fontId="1" type="noConversion"/>
  </si>
  <si>
    <t>农民工工资</t>
    <phoneticPr fontId="1" type="noConversion"/>
  </si>
  <si>
    <t>工资专户</t>
    <phoneticPr fontId="1" type="noConversion"/>
  </si>
  <si>
    <t>庐江县张建钢建筑劳务服务部</t>
    <phoneticPr fontId="1" type="noConversion"/>
  </si>
  <si>
    <t>王光如（储金华）</t>
    <phoneticPr fontId="1" type="noConversion"/>
  </si>
  <si>
    <t>5次算费用/王光如（储金华）</t>
    <phoneticPr fontId="1" type="noConversion"/>
  </si>
  <si>
    <t>庐江县人力资源和社会保障局</t>
    <phoneticPr fontId="1" type="noConversion"/>
  </si>
  <si>
    <t>农民工工资保证金退还</t>
    <phoneticPr fontId="1" type="noConversion"/>
  </si>
  <si>
    <t>中行</t>
    <phoneticPr fontId="1" type="noConversion"/>
  </si>
  <si>
    <t>2022/5/11银行账户管理转账手续费50元</t>
    <phoneticPr fontId="1" type="noConversion"/>
  </si>
  <si>
    <t>2023/7/19银行代扣手续费</t>
    <phoneticPr fontId="1" type="noConversion"/>
  </si>
  <si>
    <t>2023/11/16银行账户管理转账手续费50元</t>
    <phoneticPr fontId="1" type="noConversion"/>
  </si>
  <si>
    <t>2023/11/16银行账户管理转账手续费50元</t>
    <phoneticPr fontId="1" type="noConversion"/>
  </si>
  <si>
    <t>2024/4/24银行账户管理转账手续费（庐江惠民银行0019/0027账户各50）</t>
    <phoneticPr fontId="1" type="noConversion"/>
  </si>
  <si>
    <t>2024/8/1银行账户管理转账手续费50元</t>
    <phoneticPr fontId="1" type="noConversion"/>
  </si>
  <si>
    <t>现金</t>
    <phoneticPr fontId="1" type="noConversion"/>
  </si>
  <si>
    <t>收现</t>
    <phoneticPr fontId="1" type="noConversion"/>
  </si>
  <si>
    <t>张玉胜</t>
    <phoneticPr fontId="1" type="noConversion"/>
  </si>
  <si>
    <t>21.2月开票扣税</t>
    <phoneticPr fontId="1" type="noConversion"/>
  </si>
  <si>
    <t>21年2月开票抵扣进项不足扣税</t>
    <phoneticPr fontId="1" type="noConversion"/>
  </si>
  <si>
    <t>庐江县人力资源和社会保障局</t>
  </si>
  <si>
    <t>未付款金额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</si>
</sst>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#,##0.00_ "/>
    <numFmt numFmtId="177" formatCode="0.00_ "/>
    <numFmt numFmtId="178" formatCode="yy/m/d;@"/>
    <numFmt numFmtId="179" formatCode="yyyy&quot;年&quot;m&quot;月&quot;;@"/>
    <numFmt numFmtId="180" formatCode="#,##0_ "/>
  </numFmts>
  <fonts count="10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rgb="FF333333"/>
      <name val="ˎ̥"/>
      <family val="1"/>
    </font>
    <font>
      <b/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sz val="9"/>
      <color rgb="FF333333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theme="9" tint="-0.249977111117893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9" tint="0.79998168889431442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101">
    <xf numFmtId="0" fontId="0" fillId="0" borderId="0" xfId="0"/>
    <xf numFmtId="0" fontId="1" fillId="0" borderId="0" xfId="0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vertical="center"/>
    </xf>
    <xf numFmtId="0" fontId="4" fillId="0" borderId="0" xfId="0" applyFont="1"/>
    <xf numFmtId="176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77" fontId="2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/>
    </xf>
    <xf numFmtId="178" fontId="3" fillId="0" borderId="0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9" fontId="2" fillId="0" borderId="2" xfId="2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9" fontId="2" fillId="0" borderId="2" xfId="2" applyNumberFormat="1" applyFont="1" applyBorder="1" applyAlignment="1">
      <alignment horizontal="center" vertical="center"/>
    </xf>
    <xf numFmtId="177" fontId="1" fillId="2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78" fontId="5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3" borderId="2" xfId="2" applyNumberFormat="1" applyFont="1" applyFill="1" applyBorder="1" applyAlignment="1">
      <alignment horizontal="center" vertical="center"/>
    </xf>
    <xf numFmtId="9" fontId="1" fillId="3" borderId="2" xfId="2" applyFont="1" applyFill="1" applyBorder="1" applyAlignment="1">
      <alignment horizontal="center" vertical="center"/>
    </xf>
    <xf numFmtId="177" fontId="5" fillId="4" borderId="2" xfId="0" applyNumberFormat="1" applyFont="1" applyFill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177" fontId="5" fillId="5" borderId="2" xfId="0" applyNumberFormat="1" applyFont="1" applyFill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77" fontId="2" fillId="6" borderId="2" xfId="0" applyNumberFormat="1" applyFont="1" applyFill="1" applyBorder="1" applyAlignment="1">
      <alignment vertical="center"/>
    </xf>
    <xf numFmtId="177" fontId="2" fillId="4" borderId="2" xfId="0" applyNumberFormat="1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vertical="center"/>
    </xf>
    <xf numFmtId="178" fontId="1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176" fontId="2" fillId="7" borderId="2" xfId="0" applyNumberFormat="1" applyFont="1" applyFill="1" applyBorder="1" applyAlignment="1">
      <alignment vertical="center"/>
    </xf>
    <xf numFmtId="176" fontId="5" fillId="4" borderId="2" xfId="0" applyNumberFormat="1" applyFont="1" applyFill="1" applyBorder="1" applyAlignment="1">
      <alignment vertical="center"/>
    </xf>
    <xf numFmtId="176" fontId="5" fillId="5" borderId="2" xfId="0" applyNumberFormat="1" applyFont="1" applyFill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43" fontId="1" fillId="0" borderId="2" xfId="1" applyFont="1" applyBorder="1" applyAlignment="1">
      <alignment vertical="center"/>
    </xf>
    <xf numFmtId="43" fontId="1" fillId="2" borderId="2" xfId="1" applyFont="1" applyFill="1" applyBorder="1" applyAlignment="1">
      <alignment vertical="center"/>
    </xf>
    <xf numFmtId="43" fontId="2" fillId="0" borderId="2" xfId="1" applyFont="1" applyBorder="1" applyAlignment="1">
      <alignment vertical="center"/>
    </xf>
    <xf numFmtId="43" fontId="5" fillId="0" borderId="2" xfId="1" applyFont="1" applyBorder="1" applyAlignment="1">
      <alignment vertical="center"/>
    </xf>
    <xf numFmtId="43" fontId="2" fillId="0" borderId="2" xfId="1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0" applyNumberForma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left" vertical="center"/>
    </xf>
    <xf numFmtId="177" fontId="2" fillId="0" borderId="4" xfId="0" applyNumberFormat="1" applyFont="1" applyBorder="1" applyAlignment="1">
      <alignment horizontal="left" vertical="center"/>
    </xf>
    <xf numFmtId="178" fontId="2" fillId="0" borderId="5" xfId="0" applyNumberFormat="1" applyFont="1" applyBorder="1" applyAlignment="1">
      <alignment horizontal="left" vertical="center"/>
    </xf>
    <xf numFmtId="176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1" fillId="0" borderId="7" xfId="0" applyNumberFormat="1" applyFont="1" applyBorder="1" applyAlignment="1">
      <alignment horizontal="center"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178" fontId="1" fillId="0" borderId="6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3" fontId="3" fillId="0" borderId="0" xfId="0" pivotButton="1" applyNumberFormat="1" applyFont="1" applyAlignment="1">
      <alignment horizontal="center" vertical="center"/>
    </xf>
    <xf numFmtId="43" fontId="3" fillId="0" borderId="0" xfId="0" applyNumberFormat="1" applyFont="1" applyAlignment="1">
      <alignment vertical="center"/>
    </xf>
    <xf numFmtId="43" fontId="9" fillId="8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</cellXfs>
  <cellStyles count="3">
    <cellStyle name="百分比" xfId="2" builtinId="5"/>
    <cellStyle name="常规" xfId="0" builtinId="0"/>
    <cellStyle name="千位分隔" xfId="1" builtinId="3"/>
  </cellStyles>
  <dxfs count="9">
    <dxf>
      <font>
        <b/>
      </font>
    </dxf>
    <dxf>
      <font>
        <b/>
      </font>
    </dxf>
    <dxf>
      <alignment horizontal="center" readingOrder="0"/>
    </dxf>
    <dxf>
      <alignment vertical="center" readingOrder="0"/>
    </dxf>
    <dxf>
      <numFmt numFmtId="35" formatCode="_ * #,##0.00_ ;_ * \-#,##0.00_ ;_ * &quot;-&quot;??_ ;_ @_ "/>
    </dxf>
    <dxf>
      <alignment vertical="center" readingOrder="0"/>
    </dxf>
    <dxf>
      <numFmt numFmtId="35" formatCode="_ * #,##0.00_ ;_ * \-#,##0.00_ ;_ * &quot;-&quot;??_ ;_ @_ "/>
    </dxf>
    <dxf>
      <numFmt numFmtId="35" formatCode="_ * #,##0.00_ ;_ * \-#,##0.00_ ;_ * &quot;-&quot;??_ ;_ @_ "/>
    </dxf>
    <dxf>
      <alignment vertical="center" readingOrder="0"/>
    </dxf>
  </dxfs>
  <tableStyles count="0" defaultTableStyle="TableStyleMedium2"/>
  <colors>
    <mruColors>
      <color rgb="FFFFFF00"/>
      <color rgb="FFFFFF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466090</xdr:colOff>
      <xdr:row>100</xdr:row>
      <xdr:rowOff>200660</xdr:rowOff>
    </xdr:from>
    <xdr:to>
      <xdr:col>10</xdr:col>
      <xdr:colOff>1013460</xdr:colOff>
      <xdr:row>108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09940" y="18310225"/>
          <a:ext cx="1242695" cy="1228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2279650</xdr:colOff>
      <xdr:row>100</xdr:row>
      <xdr:rowOff>48895</xdr:rowOff>
    </xdr:from>
    <xdr:to>
      <xdr:col>12</xdr:col>
      <xdr:colOff>104775</xdr:colOff>
      <xdr:row>107</xdr:row>
      <xdr:rowOff>114300</xdr:rowOff>
    </xdr:to>
    <xdr:pic>
      <xdr:nvPicPr>
        <xdr:cNvPr id="3" name="图片 2" descr="~T5XIBI}P9Q%X76Z0F@%E1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90225" y="18158460"/>
          <a:ext cx="1196975" cy="132270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微软用户" refreshedDate="45764.425936574073" createdVersion="4" refreshedVersion="4" minRefreshableVersion="3" recordCount="24">
  <cacheSource type="worksheet">
    <worksheetSource ref="A21:O45" sheet="新"/>
  </cacheSource>
  <cacheFields count="15">
    <cacheField name="认证日期" numFmtId="179">
      <sharedItems containsNonDate="0" containsDate="1" containsString="0" containsBlank="1" minDate="2019-11-19T00:00:00" maxDate="2021-02-02T00:00:00"/>
    </cacheField>
    <cacheField name="成本金额" numFmtId="43">
      <sharedItems containsSemiMixedTypes="0" containsString="0" containsNumber="1" minValue="0" maxValue="1660550.46"/>
    </cacheField>
    <cacheField name="份数" numFmtId="180">
      <sharedItems containsBlank="1"/>
    </cacheField>
    <cacheField name="类型" numFmtId="0">
      <sharedItems containsBlank="1"/>
    </cacheField>
    <cacheField name="税率" numFmtId="9">
      <sharedItems containsString="0" containsBlank="1" containsNumber="1" minValue="0.09" maxValue="0.09"/>
    </cacheField>
    <cacheField name="进项税额" numFmtId="43">
      <sharedItems containsSemiMixedTypes="0" containsString="0" containsNumber="1" minValue="0" maxValue="149449.54"/>
    </cacheField>
    <cacheField name="价税合计" numFmtId="43">
      <sharedItems containsString="0" containsBlank="1" containsNumber="1" containsInteger="1" minValue="340000" maxValue="1810000"/>
    </cacheField>
    <cacheField name="付款日期" numFmtId="178">
      <sharedItems containsDate="1" containsBlank="1" containsMixedTypes="1" minDate="2020-01-16T00:00:00" maxDate="2024-09-25T00:00:00"/>
    </cacheField>
    <cacheField name="付款金额" numFmtId="176">
      <sharedItems containsString="0" containsBlank="1" containsNumber="1" containsInteger="1" minValue="-50000" maxValue="1450000"/>
    </cacheField>
    <cacheField name="银行" numFmtId="0">
      <sharedItems containsBlank="1"/>
    </cacheField>
    <cacheField name="销货单位" numFmtId="0">
      <sharedItems containsBlank="1" count="5">
        <s v="安徽兆博建设工程有限公司"/>
        <s v="合肥市从宽建筑劳务有限公司"/>
        <s v="庐江县张建钢建筑劳务服务部"/>
        <s v="庐江县人力资源和社会保障局"/>
        <m/>
      </sharedItems>
    </cacheField>
    <cacheField name="货物" numFmtId="0">
      <sharedItems containsBlank="1"/>
    </cacheField>
    <cacheField name="合同" numFmtId="0">
      <sharedItems containsBlank="1"/>
    </cacheField>
    <cacheField name="发货单" numFmtId="0">
      <sharedItems containsNonDate="0" containsString="0" containsBlank="1"/>
    </cacheField>
    <cacheField name="备注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d v="2019-11-19T00:00:00"/>
    <n v="1541284.4"/>
    <m/>
    <s v="专"/>
    <n v="0.09"/>
    <n v="138715.6"/>
    <n v="1680000"/>
    <s v="19-12-"/>
    <n v="1260000"/>
    <s v="专户"/>
    <x v="0"/>
    <s v="工程款"/>
    <s v="有"/>
    <m/>
    <m/>
  </r>
  <r>
    <m/>
    <n v="0"/>
    <m/>
    <m/>
    <m/>
    <n v="0"/>
    <m/>
    <s v="19-12-"/>
    <n v="254000"/>
    <s v="专户"/>
    <x v="0"/>
    <s v="农民工工资"/>
    <m/>
    <m/>
    <m/>
  </r>
  <r>
    <d v="2019-12-01T00:00:00"/>
    <n v="1201834.8600000001"/>
    <m/>
    <s v="专"/>
    <n v="0.09"/>
    <n v="108165.14"/>
    <n v="1310000"/>
    <s v="19.12-"/>
    <n v="1000000"/>
    <s v="专户"/>
    <x v="0"/>
    <s v="工程款"/>
    <s v="有"/>
    <m/>
    <m/>
  </r>
  <r>
    <d v="2020-01-01T00:00:00"/>
    <n v="1385321.1"/>
    <m/>
    <s v="专"/>
    <n v="0.09"/>
    <n v="124678.9"/>
    <n v="1510000"/>
    <m/>
    <m/>
    <m/>
    <x v="0"/>
    <s v="工程款"/>
    <s v="有"/>
    <m/>
    <m/>
  </r>
  <r>
    <m/>
    <n v="0"/>
    <m/>
    <m/>
    <m/>
    <n v="0"/>
    <m/>
    <d v="2020-01-16T00:00:00"/>
    <n v="1130000"/>
    <s v="专户"/>
    <x v="0"/>
    <s v="工程款"/>
    <m/>
    <m/>
    <m/>
  </r>
  <r>
    <m/>
    <n v="0"/>
    <m/>
    <m/>
    <m/>
    <n v="0"/>
    <m/>
    <d v="2020-01-16T00:00:00"/>
    <n v="856000"/>
    <s v="专户"/>
    <x v="0"/>
    <s v="农民工工资"/>
    <m/>
    <m/>
    <m/>
  </r>
  <r>
    <d v="2020-08-01T00:00:00"/>
    <n v="1660550.46"/>
    <s v="18份"/>
    <s v="专"/>
    <n v="0.09"/>
    <n v="149449.54"/>
    <n v="1810000"/>
    <m/>
    <m/>
    <m/>
    <x v="0"/>
    <s v="工程款"/>
    <s v="有"/>
    <m/>
    <m/>
  </r>
  <r>
    <m/>
    <n v="0"/>
    <m/>
    <m/>
    <m/>
    <n v="0"/>
    <m/>
    <d v="2020-09-08T00:00:00"/>
    <n v="360000"/>
    <s v="专户"/>
    <x v="0"/>
    <s v="农民工工资"/>
    <m/>
    <m/>
    <m/>
  </r>
  <r>
    <m/>
    <n v="0"/>
    <m/>
    <m/>
    <m/>
    <n v="0"/>
    <m/>
    <d v="2020-09-08T00:00:00"/>
    <n v="1450000"/>
    <s v="专户"/>
    <x v="0"/>
    <s v="工程款"/>
    <m/>
    <m/>
    <m/>
  </r>
  <r>
    <d v="2021-02-01T00:00:00"/>
    <n v="914977"/>
    <s v="10份"/>
    <s v="普"/>
    <m/>
    <n v="0"/>
    <n v="914977"/>
    <m/>
    <m/>
    <m/>
    <x v="1"/>
    <s v="工程劳务"/>
    <s v="2021-143-4#-914977"/>
    <m/>
    <m/>
  </r>
  <r>
    <d v="2021-02-01T00:00:00"/>
    <n v="1025023"/>
    <s v="11份"/>
    <s v="普"/>
    <m/>
    <n v="0"/>
    <n v="1025023"/>
    <m/>
    <m/>
    <m/>
    <x v="2"/>
    <s v="工程劳务"/>
    <s v="2021-143-3#-1025023"/>
    <m/>
    <m/>
  </r>
  <r>
    <d v="2021-02-01T00:00:00"/>
    <n v="311926.61"/>
    <s v="4份"/>
    <s v="专"/>
    <n v="0.09"/>
    <n v="28073.39"/>
    <n v="340000"/>
    <m/>
    <m/>
    <m/>
    <x v="0"/>
    <s v="工程款"/>
    <s v="以前合同"/>
    <m/>
    <m/>
  </r>
  <r>
    <m/>
    <n v="0"/>
    <m/>
    <m/>
    <m/>
    <n v="0"/>
    <m/>
    <d v="2021-02-08T00:00:00"/>
    <n v="914977"/>
    <s v="农民工专户"/>
    <x v="1"/>
    <s v="工程劳务"/>
    <m/>
    <m/>
    <m/>
  </r>
  <r>
    <m/>
    <n v="0"/>
    <m/>
    <m/>
    <m/>
    <n v="0"/>
    <m/>
    <d v="2021-02-08T00:00:00"/>
    <n v="1025023"/>
    <s v="农民工专户"/>
    <x v="2"/>
    <s v="工程劳务"/>
    <m/>
    <m/>
    <m/>
  </r>
  <r>
    <m/>
    <n v="0"/>
    <m/>
    <m/>
    <m/>
    <n v="0"/>
    <m/>
    <d v="2021-02-08T00:00:00"/>
    <n v="340000"/>
    <s v="专户"/>
    <x v="0"/>
    <s v="工程款"/>
    <m/>
    <m/>
    <m/>
  </r>
  <r>
    <m/>
    <n v="0"/>
    <m/>
    <m/>
    <m/>
    <n v="0"/>
    <m/>
    <d v="2024-09-24T00:00:00"/>
    <n v="-50000"/>
    <s v="中行"/>
    <x v="3"/>
    <s v="农民工工资保证金退还"/>
    <m/>
    <m/>
    <m/>
  </r>
  <r>
    <m/>
    <n v="0"/>
    <m/>
    <m/>
    <m/>
    <n v="0"/>
    <m/>
    <m/>
    <m/>
    <m/>
    <x v="4"/>
    <m/>
    <m/>
    <m/>
    <m/>
  </r>
  <r>
    <m/>
    <n v="0"/>
    <m/>
    <m/>
    <m/>
    <n v="0"/>
    <m/>
    <m/>
    <m/>
    <m/>
    <x v="4"/>
    <m/>
    <m/>
    <m/>
    <m/>
  </r>
  <r>
    <m/>
    <n v="0"/>
    <m/>
    <m/>
    <m/>
    <n v="0"/>
    <m/>
    <m/>
    <m/>
    <m/>
    <x v="4"/>
    <m/>
    <m/>
    <m/>
    <m/>
  </r>
  <r>
    <m/>
    <n v="0"/>
    <m/>
    <m/>
    <m/>
    <n v="0"/>
    <m/>
    <m/>
    <m/>
    <m/>
    <x v="4"/>
    <m/>
    <m/>
    <m/>
    <m/>
  </r>
  <r>
    <m/>
    <n v="0"/>
    <m/>
    <m/>
    <m/>
    <n v="0"/>
    <m/>
    <m/>
    <m/>
    <m/>
    <x v="4"/>
    <m/>
    <m/>
    <m/>
    <m/>
  </r>
  <r>
    <m/>
    <n v="0"/>
    <m/>
    <m/>
    <m/>
    <n v="0"/>
    <m/>
    <m/>
    <m/>
    <m/>
    <x v="4"/>
    <m/>
    <m/>
    <m/>
    <m/>
  </r>
  <r>
    <m/>
    <n v="0"/>
    <m/>
    <m/>
    <m/>
    <n v="0"/>
    <m/>
    <m/>
    <m/>
    <m/>
    <x v="4"/>
    <m/>
    <m/>
    <m/>
    <m/>
  </r>
  <r>
    <m/>
    <n v="0"/>
    <m/>
    <m/>
    <m/>
    <n v="0"/>
    <m/>
    <m/>
    <m/>
    <m/>
    <x v="4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3" applyNumberFormats="0" applyBorderFormats="0" applyFontFormats="0" applyPatternFormats="0" applyAlignmentFormats="0" applyWidthHeightFormats="1" dataCaption="值" updatedVersion="4" minRefreshableVersion="3" itemPrintTitles="1" createdVersion="4" indent="0" outline="1" outlineData="1" multipleFieldFilters="0">
  <location ref="A1:C7" firstHeaderRow="0" firstDataRow="1" firstDataCol="1"/>
  <pivotFields count="15"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axis="axisRow" showAll="0" sortType="ascending">
      <items count="6">
        <item x="0"/>
        <item x="1"/>
        <item x="3"/>
        <item x="2"/>
        <item x="4"/>
        <item t="default"/>
      </items>
    </pivotField>
    <pivotField showAll="0"/>
    <pivotField showAll="0"/>
    <pivotField showAll="0"/>
    <pivotField showAll="0"/>
  </pivotFields>
  <rowFields count="1">
    <field x="1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价税合计" fld="6" baseField="10" baseItem="0"/>
    <dataField name="求和项:付款金额" fld="8" baseField="10" baseItem="0"/>
  </dataFields>
  <formats count="5">
    <format dxfId="8">
      <pivotArea type="all" dataOnly="0" outline="0" fieldPosition="0"/>
    </format>
    <format dxfId="7">
      <pivotArea type="all" dataOnly="0" outline="0" fieldPosition="0"/>
    </format>
    <format dxfId="2">
      <pivotArea field="10" type="button" dataOnly="0" labelOnly="1" outline="0" axis="axisRow" fieldPosition="0"/>
    </format>
    <format dxfId="1">
      <pivotArea field="10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9"/>
  <sheetViews>
    <sheetView tabSelected="1" workbookViewId="0">
      <selection activeCell="M8" sqref="M8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9.125" style="5" customWidth="1"/>
    <col min="11" max="11" width="31.5" style="6" customWidth="1"/>
    <col min="12" max="12" width="12.75" style="6" customWidth="1"/>
    <col min="13" max="13" width="18.25" style="6" customWidth="1"/>
    <col min="14" max="14" width="5.625" style="6" customWidth="1"/>
    <col min="15" max="16384" width="9" style="6"/>
  </cols>
  <sheetData>
    <row r="1" spans="1:12" ht="21.95" customHeight="1">
      <c r="A1" s="79" t="s">
        <v>0</v>
      </c>
      <c r="B1" s="79"/>
      <c r="C1" s="79"/>
      <c r="D1" s="79"/>
      <c r="E1" s="79"/>
      <c r="F1" s="80"/>
      <c r="G1" s="80"/>
      <c r="H1" s="79"/>
      <c r="I1" s="80"/>
      <c r="J1" s="79"/>
      <c r="K1" s="15"/>
      <c r="L1" s="15"/>
    </row>
    <row r="2" spans="1:12" ht="18" customHeight="1">
      <c r="A2" s="7" t="s">
        <v>1</v>
      </c>
      <c r="B2" s="65">
        <v>43670</v>
      </c>
      <c r="C2" s="58" t="s">
        <v>2</v>
      </c>
      <c r="D2" s="58">
        <v>12170102.67</v>
      </c>
      <c r="E2" s="66" t="s">
        <v>3</v>
      </c>
      <c r="F2" s="78" t="s">
        <v>120</v>
      </c>
      <c r="G2" s="13" t="s">
        <v>5</v>
      </c>
      <c r="H2" s="81" t="s">
        <v>6</v>
      </c>
      <c r="I2" s="82"/>
      <c r="J2" s="83"/>
      <c r="K2" s="15"/>
      <c r="L2" s="15"/>
    </row>
    <row r="3" spans="1:12" ht="18" customHeight="1">
      <c r="A3" s="7" t="s">
        <v>7</v>
      </c>
      <c r="B3" s="65"/>
      <c r="C3" s="58" t="s">
        <v>8</v>
      </c>
      <c r="D3" s="58"/>
      <c r="E3" s="67"/>
      <c r="H3" s="15"/>
      <c r="I3" s="47"/>
      <c r="J3" s="15"/>
      <c r="K3" s="15"/>
      <c r="L3" s="15"/>
    </row>
    <row r="4" spans="1:12" ht="18" customHeight="1">
      <c r="A4" s="2" t="s">
        <v>9</v>
      </c>
      <c r="H4" s="15"/>
      <c r="I4" s="47"/>
      <c r="J4" s="15"/>
      <c r="K4" s="15"/>
      <c r="L4" s="15"/>
    </row>
    <row r="5" spans="1:12" ht="18" customHeight="1">
      <c r="A5" s="84" t="s">
        <v>10</v>
      </c>
      <c r="B5" s="85" t="s">
        <v>11</v>
      </c>
      <c r="C5" s="84" t="s">
        <v>12</v>
      </c>
      <c r="D5" s="84"/>
      <c r="E5" s="84" t="s">
        <v>13</v>
      </c>
      <c r="F5" s="85"/>
      <c r="G5" s="85" t="s">
        <v>14</v>
      </c>
      <c r="H5" s="86" t="s">
        <v>15</v>
      </c>
      <c r="I5" s="85"/>
      <c r="J5" s="86"/>
    </row>
    <row r="6" spans="1:12" ht="18" customHeight="1">
      <c r="A6" s="84"/>
      <c r="B6" s="85"/>
      <c r="C6" s="16" t="s">
        <v>16</v>
      </c>
      <c r="D6" s="16" t="s">
        <v>17</v>
      </c>
      <c r="E6" s="16" t="s">
        <v>16</v>
      </c>
      <c r="F6" s="17" t="s">
        <v>17</v>
      </c>
      <c r="G6" s="85"/>
      <c r="H6" s="18" t="s">
        <v>18</v>
      </c>
      <c r="I6" s="17" t="s">
        <v>19</v>
      </c>
      <c r="J6" s="18" t="s">
        <v>20</v>
      </c>
    </row>
    <row r="7" spans="1:12" ht="18" customHeight="1">
      <c r="A7" s="19">
        <v>43781</v>
      </c>
      <c r="B7" s="72">
        <f t="shared" ref="B7:B10" si="0">G7/(1+C7+E7)</f>
        <v>1541284.4036697247</v>
      </c>
      <c r="C7" s="23">
        <v>0.02</v>
      </c>
      <c r="D7" s="74">
        <f t="shared" ref="D7:D10" si="1">G7/(1+E7+C7)*C7</f>
        <v>30825.688073394496</v>
      </c>
      <c r="E7" s="23">
        <v>7.0000000000000007E-2</v>
      </c>
      <c r="F7" s="72">
        <f t="shared" ref="F7:F10" si="2">G7/(1+C7+E7)*E7</f>
        <v>107889.90825688074</v>
      </c>
      <c r="G7" s="71">
        <v>1680000</v>
      </c>
      <c r="H7" s="19">
        <v>43782</v>
      </c>
      <c r="I7" s="72">
        <v>420000</v>
      </c>
      <c r="J7" s="48" t="s">
        <v>105</v>
      </c>
    </row>
    <row r="8" spans="1:12" ht="18" customHeight="1">
      <c r="A8" s="19">
        <v>43809</v>
      </c>
      <c r="B8" s="72">
        <f t="shared" si="0"/>
        <v>1201834.8623853209</v>
      </c>
      <c r="C8" s="23">
        <v>0.02</v>
      </c>
      <c r="D8" s="74">
        <f t="shared" si="1"/>
        <v>24036.697247706419</v>
      </c>
      <c r="E8" s="23">
        <v>7.0000000000000007E-2</v>
      </c>
      <c r="F8" s="72">
        <f t="shared" si="2"/>
        <v>84128.440366972471</v>
      </c>
      <c r="G8" s="71">
        <v>1310000</v>
      </c>
      <c r="H8" s="19">
        <v>43782</v>
      </c>
      <c r="I8" s="72">
        <v>1260000</v>
      </c>
      <c r="J8" s="48" t="s">
        <v>21</v>
      </c>
    </row>
    <row r="9" spans="1:12" ht="18" customHeight="1">
      <c r="A9" s="19">
        <v>43838</v>
      </c>
      <c r="B9" s="72">
        <f t="shared" si="0"/>
        <v>1385321.1009174311</v>
      </c>
      <c r="C9" s="23">
        <v>0.02</v>
      </c>
      <c r="D9" s="74">
        <f t="shared" si="1"/>
        <v>27706.422018348621</v>
      </c>
      <c r="E9" s="23">
        <v>7.0000000000000007E-2</v>
      </c>
      <c r="F9" s="72">
        <f t="shared" si="2"/>
        <v>96972.477064220177</v>
      </c>
      <c r="G9" s="71">
        <v>1510000</v>
      </c>
      <c r="H9" s="19">
        <v>43811</v>
      </c>
      <c r="I9" s="72">
        <v>310000</v>
      </c>
      <c r="J9" s="48" t="s">
        <v>105</v>
      </c>
    </row>
    <row r="10" spans="1:12" ht="18" customHeight="1">
      <c r="A10" s="19">
        <v>44062</v>
      </c>
      <c r="B10" s="72">
        <f t="shared" si="0"/>
        <v>1660550.4587155962</v>
      </c>
      <c r="C10" s="23">
        <v>0.02</v>
      </c>
      <c r="D10" s="74">
        <f t="shared" si="1"/>
        <v>33211.009174311926</v>
      </c>
      <c r="E10" s="23">
        <v>7.0000000000000007E-2</v>
      </c>
      <c r="F10" s="72">
        <f t="shared" si="2"/>
        <v>116238.53211009175</v>
      </c>
      <c r="G10" s="71">
        <v>1810000</v>
      </c>
      <c r="H10" s="19">
        <v>43811</v>
      </c>
      <c r="I10" s="72">
        <v>1000000</v>
      </c>
      <c r="J10" s="48" t="s">
        <v>21</v>
      </c>
    </row>
    <row r="11" spans="1:12" ht="18" customHeight="1">
      <c r="A11" s="19">
        <v>44228</v>
      </c>
      <c r="B11" s="72">
        <f t="shared" ref="B11:B16" si="3">G11/(1+C11+E11)</f>
        <v>2091743.1192660548</v>
      </c>
      <c r="C11" s="23">
        <v>0.02</v>
      </c>
      <c r="D11" s="74">
        <f t="shared" ref="D11:D16" si="4">G11/(1+E11+C11)*C11</f>
        <v>41834.862385321096</v>
      </c>
      <c r="E11" s="23">
        <v>7.0000000000000007E-2</v>
      </c>
      <c r="F11" s="72">
        <f t="shared" ref="F11:F16" si="5">G11/(1+C11+E11)*E11</f>
        <v>146422.01834862385</v>
      </c>
      <c r="G11" s="71">
        <v>2280000</v>
      </c>
      <c r="H11" s="19">
        <v>43839</v>
      </c>
      <c r="I11" s="72">
        <v>1130000</v>
      </c>
      <c r="J11" s="48" t="s">
        <v>21</v>
      </c>
    </row>
    <row r="12" spans="1:12" ht="18" customHeight="1">
      <c r="A12" s="19"/>
      <c r="B12" s="72">
        <f t="shared" si="3"/>
        <v>0</v>
      </c>
      <c r="C12" s="21"/>
      <c r="D12" s="74">
        <f t="shared" si="4"/>
        <v>0</v>
      </c>
      <c r="E12" s="21"/>
      <c r="F12" s="72">
        <f t="shared" si="5"/>
        <v>0</v>
      </c>
      <c r="G12" s="71"/>
      <c r="H12" s="19">
        <v>43839</v>
      </c>
      <c r="I12" s="72">
        <v>380000</v>
      </c>
      <c r="J12" s="48" t="s">
        <v>21</v>
      </c>
    </row>
    <row r="13" spans="1:12" ht="18" customHeight="1">
      <c r="A13" s="19"/>
      <c r="B13" s="72">
        <f t="shared" si="3"/>
        <v>0</v>
      </c>
      <c r="C13" s="21"/>
      <c r="D13" s="74">
        <f t="shared" si="4"/>
        <v>0</v>
      </c>
      <c r="E13" s="21"/>
      <c r="F13" s="72">
        <f t="shared" si="5"/>
        <v>0</v>
      </c>
      <c r="G13" s="71"/>
      <c r="H13" s="19">
        <v>44078</v>
      </c>
      <c r="I13" s="72">
        <v>360000</v>
      </c>
      <c r="J13" s="48" t="s">
        <v>105</v>
      </c>
    </row>
    <row r="14" spans="1:12" ht="18" customHeight="1">
      <c r="A14" s="19"/>
      <c r="B14" s="72">
        <f t="shared" si="3"/>
        <v>0</v>
      </c>
      <c r="C14" s="21"/>
      <c r="D14" s="74">
        <f t="shared" si="4"/>
        <v>0</v>
      </c>
      <c r="E14" s="21"/>
      <c r="F14" s="72">
        <f t="shared" si="5"/>
        <v>0</v>
      </c>
      <c r="G14" s="71"/>
      <c r="H14" s="19">
        <v>44078</v>
      </c>
      <c r="I14" s="72">
        <v>1450000</v>
      </c>
      <c r="J14" s="48" t="s">
        <v>21</v>
      </c>
    </row>
    <row r="15" spans="1:12" ht="18" customHeight="1">
      <c r="A15" s="19"/>
      <c r="B15" s="72">
        <f t="shared" si="3"/>
        <v>0</v>
      </c>
      <c r="C15" s="21"/>
      <c r="D15" s="74">
        <f t="shared" si="4"/>
        <v>0</v>
      </c>
      <c r="E15" s="21"/>
      <c r="F15" s="72">
        <f t="shared" si="5"/>
        <v>0</v>
      </c>
      <c r="G15" s="71"/>
      <c r="H15" s="19">
        <v>44234</v>
      </c>
      <c r="I15" s="72">
        <v>1940000</v>
      </c>
      <c r="J15" s="48" t="s">
        <v>105</v>
      </c>
    </row>
    <row r="16" spans="1:12" ht="18" customHeight="1">
      <c r="A16" s="19"/>
      <c r="B16" s="72">
        <f t="shared" si="3"/>
        <v>0</v>
      </c>
      <c r="C16" s="21"/>
      <c r="D16" s="74">
        <f t="shared" si="4"/>
        <v>0</v>
      </c>
      <c r="E16" s="21"/>
      <c r="F16" s="72">
        <f t="shared" si="5"/>
        <v>0</v>
      </c>
      <c r="G16" s="71"/>
      <c r="H16" s="19">
        <v>44234</v>
      </c>
      <c r="I16" s="72">
        <v>340000</v>
      </c>
      <c r="J16" s="48" t="s">
        <v>21</v>
      </c>
    </row>
    <row r="17" spans="1:15" ht="18" customHeight="1">
      <c r="A17" s="19"/>
      <c r="B17" s="72"/>
      <c r="C17" s="21"/>
      <c r="D17" s="74"/>
      <c r="E17" s="21"/>
      <c r="F17" s="72"/>
      <c r="G17" s="71"/>
      <c r="H17" s="19"/>
      <c r="I17" s="72"/>
      <c r="J17" s="48"/>
    </row>
    <row r="18" spans="1:15" ht="18" customHeight="1">
      <c r="A18" s="19"/>
      <c r="B18" s="72"/>
      <c r="C18" s="21"/>
      <c r="D18" s="74"/>
      <c r="E18" s="21"/>
      <c r="F18" s="72"/>
      <c r="G18" s="71"/>
      <c r="H18" s="19"/>
      <c r="I18" s="72"/>
      <c r="J18" s="48"/>
    </row>
    <row r="19" spans="1:15" ht="18" customHeight="1">
      <c r="A19" s="25" t="s">
        <v>23</v>
      </c>
      <c r="B19" s="73">
        <f t="shared" ref="B19:G19" si="6">SUM(B7:B18)</f>
        <v>7880733.944954128</v>
      </c>
      <c r="C19" s="27"/>
      <c r="D19" s="73">
        <f t="shared" si="6"/>
        <v>157614.67889908256</v>
      </c>
      <c r="E19" s="27"/>
      <c r="F19" s="73">
        <f t="shared" si="6"/>
        <v>551651.37614678906</v>
      </c>
      <c r="G19" s="73">
        <f t="shared" si="6"/>
        <v>8590000</v>
      </c>
      <c r="H19" s="28"/>
      <c r="I19" s="73">
        <f>SUM(I7:I18)</f>
        <v>8590000</v>
      </c>
      <c r="J19" s="28"/>
    </row>
    <row r="20" spans="1:15" ht="18" customHeight="1">
      <c r="A20" s="2" t="s">
        <v>24</v>
      </c>
      <c r="J20" s="4"/>
      <c r="K20" s="4"/>
      <c r="L20" s="5"/>
    </row>
    <row r="21" spans="1:15" ht="18" customHeight="1">
      <c r="A21" s="29" t="s">
        <v>25</v>
      </c>
      <c r="B21" s="17" t="s">
        <v>26</v>
      </c>
      <c r="C21" s="16" t="s">
        <v>27</v>
      </c>
      <c r="D21" s="16" t="s">
        <v>28</v>
      </c>
      <c r="E21" s="16" t="s">
        <v>16</v>
      </c>
      <c r="F21" s="17" t="s">
        <v>29</v>
      </c>
      <c r="G21" s="17" t="s">
        <v>14</v>
      </c>
      <c r="H21" s="16" t="s">
        <v>30</v>
      </c>
      <c r="I21" s="17" t="s">
        <v>31</v>
      </c>
      <c r="J21" s="16" t="s">
        <v>20</v>
      </c>
      <c r="K21" s="49" t="s">
        <v>32</v>
      </c>
      <c r="L21" s="18" t="s">
        <v>33</v>
      </c>
      <c r="M21" s="18" t="s">
        <v>34</v>
      </c>
      <c r="N21" s="18" t="s">
        <v>35</v>
      </c>
      <c r="O21" s="18" t="s">
        <v>36</v>
      </c>
    </row>
    <row r="22" spans="1:15" s="1" customFormat="1" ht="18" customHeight="1">
      <c r="A22" s="30">
        <v>43788</v>
      </c>
      <c r="B22" s="70">
        <f t="shared" ref="B22:B60" si="7">ROUND(G22/(1+E22),2)</f>
        <v>1541284.4</v>
      </c>
      <c r="C22" s="31"/>
      <c r="D22" s="32" t="s">
        <v>37</v>
      </c>
      <c r="E22" s="33">
        <v>0.09</v>
      </c>
      <c r="F22" s="70">
        <f t="shared" ref="F22:F60" si="8">ROUND(G22/(1+E22)*E22,2)</f>
        <v>138715.6</v>
      </c>
      <c r="G22" s="71">
        <v>1680000</v>
      </c>
      <c r="H22" s="19" t="s">
        <v>38</v>
      </c>
      <c r="I22" s="9">
        <v>1260000</v>
      </c>
      <c r="J22" s="48" t="s">
        <v>21</v>
      </c>
      <c r="K22" s="50" t="s">
        <v>103</v>
      </c>
      <c r="L22" s="51" t="s">
        <v>40</v>
      </c>
      <c r="M22" s="52" t="s">
        <v>41</v>
      </c>
      <c r="N22" s="52"/>
      <c r="O22" s="51"/>
    </row>
    <row r="23" spans="1:15" s="1" customFormat="1" ht="18" customHeight="1">
      <c r="A23" s="30"/>
      <c r="B23" s="70">
        <f t="shared" si="7"/>
        <v>0</v>
      </c>
      <c r="C23" s="31"/>
      <c r="D23" s="32"/>
      <c r="E23" s="34"/>
      <c r="F23" s="70">
        <f t="shared" si="8"/>
        <v>0</v>
      </c>
      <c r="G23" s="71"/>
      <c r="H23" s="19" t="s">
        <v>38</v>
      </c>
      <c r="I23" s="9">
        <v>254000</v>
      </c>
      <c r="J23" s="48" t="s">
        <v>21</v>
      </c>
      <c r="K23" s="6" t="s">
        <v>103</v>
      </c>
      <c r="L23" s="51" t="s">
        <v>104</v>
      </c>
      <c r="M23" s="52"/>
      <c r="N23" s="52"/>
      <c r="O23" s="51"/>
    </row>
    <row r="24" spans="1:15" s="1" customFormat="1" ht="18" customHeight="1">
      <c r="A24" s="30">
        <v>43800</v>
      </c>
      <c r="B24" s="70">
        <f t="shared" si="7"/>
        <v>1201834.8600000001</v>
      </c>
      <c r="C24" s="31"/>
      <c r="D24" s="32" t="s">
        <v>37</v>
      </c>
      <c r="E24" s="33">
        <v>0.09</v>
      </c>
      <c r="F24" s="70">
        <f t="shared" si="8"/>
        <v>108165.14</v>
      </c>
      <c r="G24" s="71">
        <v>1310000</v>
      </c>
      <c r="H24" s="19" t="s">
        <v>42</v>
      </c>
      <c r="I24" s="9">
        <v>1000000</v>
      </c>
      <c r="J24" s="48" t="s">
        <v>21</v>
      </c>
      <c r="K24" s="50" t="s">
        <v>39</v>
      </c>
      <c r="L24" s="51" t="s">
        <v>40</v>
      </c>
      <c r="M24" s="52" t="s">
        <v>41</v>
      </c>
      <c r="N24" s="52"/>
      <c r="O24" s="51"/>
    </row>
    <row r="25" spans="1:15" s="1" customFormat="1" ht="18" customHeight="1">
      <c r="A25" s="30">
        <v>43831</v>
      </c>
      <c r="B25" s="70">
        <f t="shared" si="7"/>
        <v>1385321.1</v>
      </c>
      <c r="C25" s="31"/>
      <c r="D25" s="32" t="s">
        <v>37</v>
      </c>
      <c r="E25" s="33">
        <v>0.09</v>
      </c>
      <c r="F25" s="70">
        <f t="shared" si="8"/>
        <v>124678.9</v>
      </c>
      <c r="G25" s="71">
        <f>108000*13+106000</f>
        <v>1510000</v>
      </c>
      <c r="H25" s="19"/>
      <c r="I25" s="9"/>
      <c r="J25" s="48"/>
      <c r="K25" s="50" t="s">
        <v>39</v>
      </c>
      <c r="L25" s="51" t="s">
        <v>40</v>
      </c>
      <c r="M25" s="52" t="s">
        <v>41</v>
      </c>
      <c r="N25" s="52"/>
      <c r="O25" s="51"/>
    </row>
    <row r="26" spans="1:15" s="1" customFormat="1" ht="18" customHeight="1">
      <c r="A26" s="30"/>
      <c r="B26" s="70">
        <f t="shared" si="7"/>
        <v>0</v>
      </c>
      <c r="C26" s="31"/>
      <c r="D26" s="32"/>
      <c r="E26" s="33"/>
      <c r="F26" s="70">
        <f t="shared" si="8"/>
        <v>0</v>
      </c>
      <c r="G26" s="71"/>
      <c r="H26" s="19">
        <v>43846</v>
      </c>
      <c r="I26" s="9">
        <v>1130000</v>
      </c>
      <c r="J26" s="48" t="s">
        <v>21</v>
      </c>
      <c r="K26" s="50" t="s">
        <v>39</v>
      </c>
      <c r="L26" s="51" t="s">
        <v>40</v>
      </c>
      <c r="M26" s="52"/>
      <c r="N26" s="52"/>
      <c r="O26" s="51"/>
    </row>
    <row r="27" spans="1:15" s="1" customFormat="1" ht="18" customHeight="1">
      <c r="A27" s="30"/>
      <c r="B27" s="70">
        <f t="shared" si="7"/>
        <v>0</v>
      </c>
      <c r="C27" s="31"/>
      <c r="D27" s="32"/>
      <c r="E27" s="33"/>
      <c r="F27" s="70">
        <f t="shared" si="8"/>
        <v>0</v>
      </c>
      <c r="G27" s="71"/>
      <c r="H27" s="19">
        <v>43846</v>
      </c>
      <c r="I27" s="9">
        <v>856000</v>
      </c>
      <c r="J27" s="48" t="s">
        <v>21</v>
      </c>
      <c r="K27" s="6" t="s">
        <v>103</v>
      </c>
      <c r="L27" s="51" t="s">
        <v>104</v>
      </c>
      <c r="M27" s="52"/>
      <c r="N27" s="52"/>
      <c r="O27" s="51"/>
    </row>
    <row r="28" spans="1:15" s="1" customFormat="1" ht="18" customHeight="1">
      <c r="A28" s="30">
        <v>44044</v>
      </c>
      <c r="B28" s="70">
        <f t="shared" si="7"/>
        <v>1660550.46</v>
      </c>
      <c r="C28" s="31" t="s">
        <v>44</v>
      </c>
      <c r="D28" s="32" t="s">
        <v>37</v>
      </c>
      <c r="E28" s="33">
        <v>0.09</v>
      </c>
      <c r="F28" s="70">
        <f t="shared" si="8"/>
        <v>149449.54</v>
      </c>
      <c r="G28" s="71">
        <v>1810000</v>
      </c>
      <c r="H28" s="19"/>
      <c r="I28" s="9"/>
      <c r="J28" s="48"/>
      <c r="K28" s="50" t="s">
        <v>39</v>
      </c>
      <c r="L28" s="51" t="s">
        <v>40</v>
      </c>
      <c r="M28" s="52" t="s">
        <v>41</v>
      </c>
      <c r="N28" s="52"/>
      <c r="O28" s="51"/>
    </row>
    <row r="29" spans="1:15" s="1" customFormat="1" ht="18" customHeight="1">
      <c r="A29" s="30"/>
      <c r="B29" s="70">
        <f t="shared" si="7"/>
        <v>0</v>
      </c>
      <c r="C29" s="31"/>
      <c r="D29" s="32"/>
      <c r="E29" s="33"/>
      <c r="F29" s="70">
        <f t="shared" si="8"/>
        <v>0</v>
      </c>
      <c r="G29" s="71"/>
      <c r="H29" s="59">
        <v>44082</v>
      </c>
      <c r="I29" s="58">
        <v>360000</v>
      </c>
      <c r="J29" s="52" t="s">
        <v>21</v>
      </c>
      <c r="K29" s="6" t="s">
        <v>103</v>
      </c>
      <c r="L29" s="51" t="s">
        <v>104</v>
      </c>
      <c r="M29" s="52"/>
      <c r="N29" s="52"/>
      <c r="O29" s="51"/>
    </row>
    <row r="30" spans="1:15" s="1" customFormat="1" ht="18" customHeight="1">
      <c r="A30" s="30"/>
      <c r="B30" s="70">
        <f t="shared" si="7"/>
        <v>0</v>
      </c>
      <c r="C30" s="31"/>
      <c r="D30" s="32"/>
      <c r="E30" s="33"/>
      <c r="F30" s="70">
        <f t="shared" si="8"/>
        <v>0</v>
      </c>
      <c r="G30" s="71"/>
      <c r="H30" s="59">
        <v>44082</v>
      </c>
      <c r="I30" s="58">
        <v>1450000</v>
      </c>
      <c r="J30" s="52" t="s">
        <v>21</v>
      </c>
      <c r="K30" s="50" t="s">
        <v>39</v>
      </c>
      <c r="L30" s="51" t="s">
        <v>40</v>
      </c>
      <c r="M30" s="52"/>
      <c r="N30" s="52"/>
      <c r="O30" s="51"/>
    </row>
    <row r="31" spans="1:15" s="1" customFormat="1" ht="18" customHeight="1">
      <c r="A31" s="30">
        <v>44228</v>
      </c>
      <c r="B31" s="70">
        <f t="shared" si="7"/>
        <v>914977</v>
      </c>
      <c r="C31" s="31" t="s">
        <v>45</v>
      </c>
      <c r="D31" s="32" t="s">
        <v>46</v>
      </c>
      <c r="E31" s="33"/>
      <c r="F31" s="70">
        <f t="shared" si="8"/>
        <v>0</v>
      </c>
      <c r="G31" s="71">
        <v>914977</v>
      </c>
      <c r="H31" s="59"/>
      <c r="I31" s="58"/>
      <c r="J31" s="52"/>
      <c r="K31" s="50" t="s">
        <v>47</v>
      </c>
      <c r="L31" s="51" t="s">
        <v>48</v>
      </c>
      <c r="M31" s="48" t="s">
        <v>49</v>
      </c>
      <c r="N31" s="52"/>
      <c r="O31" s="51"/>
    </row>
    <row r="32" spans="1:15" s="1" customFormat="1" ht="18" customHeight="1">
      <c r="A32" s="30">
        <v>44228</v>
      </c>
      <c r="B32" s="70">
        <f t="shared" si="7"/>
        <v>1025023</v>
      </c>
      <c r="C32" s="31" t="s">
        <v>50</v>
      </c>
      <c r="D32" s="32" t="s">
        <v>46</v>
      </c>
      <c r="E32" s="33"/>
      <c r="F32" s="70">
        <f t="shared" si="8"/>
        <v>0</v>
      </c>
      <c r="G32" s="71">
        <v>1025023</v>
      </c>
      <c r="H32" s="59"/>
      <c r="I32" s="58"/>
      <c r="J32" s="52"/>
      <c r="K32" s="50" t="s">
        <v>51</v>
      </c>
      <c r="L32" s="51" t="s">
        <v>48</v>
      </c>
      <c r="M32" s="48" t="s">
        <v>52</v>
      </c>
      <c r="N32" s="52"/>
      <c r="O32" s="51"/>
    </row>
    <row r="33" spans="1:15" s="1" customFormat="1" ht="18" customHeight="1">
      <c r="A33" s="30">
        <v>44228</v>
      </c>
      <c r="B33" s="70">
        <f t="shared" si="7"/>
        <v>311926.61</v>
      </c>
      <c r="C33" s="31" t="s">
        <v>53</v>
      </c>
      <c r="D33" s="32" t="s">
        <v>37</v>
      </c>
      <c r="E33" s="33">
        <v>0.09</v>
      </c>
      <c r="F33" s="70">
        <f t="shared" si="8"/>
        <v>28073.39</v>
      </c>
      <c r="G33" s="71">
        <v>340000</v>
      </c>
      <c r="H33" s="59"/>
      <c r="I33" s="58"/>
      <c r="J33" s="52"/>
      <c r="K33" s="50" t="s">
        <v>39</v>
      </c>
      <c r="L33" s="51" t="s">
        <v>40</v>
      </c>
      <c r="M33" s="52" t="s">
        <v>54</v>
      </c>
      <c r="N33" s="52"/>
      <c r="O33" s="51"/>
    </row>
    <row r="34" spans="1:15" s="1" customFormat="1" ht="18" customHeight="1">
      <c r="A34" s="30"/>
      <c r="B34" s="70">
        <f t="shared" si="7"/>
        <v>0</v>
      </c>
      <c r="C34" s="31"/>
      <c r="D34" s="32"/>
      <c r="E34" s="33"/>
      <c r="F34" s="70">
        <f t="shared" si="8"/>
        <v>0</v>
      </c>
      <c r="G34" s="71"/>
      <c r="H34" s="19">
        <v>44235</v>
      </c>
      <c r="I34" s="9">
        <v>914977</v>
      </c>
      <c r="J34" s="48" t="s">
        <v>105</v>
      </c>
      <c r="K34" s="46" t="s">
        <v>47</v>
      </c>
      <c r="L34" s="51" t="s">
        <v>48</v>
      </c>
      <c r="M34" s="52"/>
      <c r="N34" s="52"/>
      <c r="O34" s="51"/>
    </row>
    <row r="35" spans="1:15" s="1" customFormat="1" ht="18" customHeight="1">
      <c r="A35" s="30"/>
      <c r="B35" s="70">
        <f t="shared" si="7"/>
        <v>0</v>
      </c>
      <c r="C35" s="31"/>
      <c r="D35" s="32"/>
      <c r="E35" s="33"/>
      <c r="F35" s="70">
        <f t="shared" si="8"/>
        <v>0</v>
      </c>
      <c r="G35" s="71"/>
      <c r="H35" s="19">
        <v>44235</v>
      </c>
      <c r="I35" s="9">
        <v>1025023</v>
      </c>
      <c r="J35" s="48" t="s">
        <v>105</v>
      </c>
      <c r="K35" s="46" t="s">
        <v>106</v>
      </c>
      <c r="L35" s="51" t="s">
        <v>48</v>
      </c>
      <c r="M35" s="52"/>
      <c r="N35" s="52"/>
      <c r="O35" s="51"/>
    </row>
    <row r="36" spans="1:15" s="1" customFormat="1" ht="18" customHeight="1">
      <c r="A36" s="30"/>
      <c r="B36" s="70">
        <f t="shared" si="7"/>
        <v>0</v>
      </c>
      <c r="C36" s="31"/>
      <c r="D36" s="32"/>
      <c r="E36" s="33"/>
      <c r="F36" s="70">
        <f t="shared" si="8"/>
        <v>0</v>
      </c>
      <c r="G36" s="71"/>
      <c r="H36" s="19">
        <v>44235</v>
      </c>
      <c r="I36" s="9">
        <v>340000</v>
      </c>
      <c r="J36" s="48" t="s">
        <v>21</v>
      </c>
      <c r="K36" s="46" t="s">
        <v>39</v>
      </c>
      <c r="L36" s="51" t="s">
        <v>40</v>
      </c>
      <c r="M36" s="52"/>
      <c r="N36" s="52"/>
      <c r="O36" s="51"/>
    </row>
    <row r="37" spans="1:15" s="1" customFormat="1" ht="18" customHeight="1">
      <c r="A37" s="30"/>
      <c r="B37" s="70">
        <f t="shared" ref="B37:B53" si="9">ROUND(G37/(1+E37),2)</f>
        <v>0</v>
      </c>
      <c r="C37" s="31"/>
      <c r="D37" s="32"/>
      <c r="E37" s="33"/>
      <c r="F37" s="70">
        <f t="shared" ref="F37:F53" si="10">ROUND(G37/(1+E37)*E37,2)</f>
        <v>0</v>
      </c>
      <c r="G37" s="71"/>
      <c r="H37" s="59">
        <v>45559</v>
      </c>
      <c r="I37" s="58">
        <v>-50000</v>
      </c>
      <c r="J37" s="52" t="s">
        <v>111</v>
      </c>
      <c r="K37" s="50" t="s">
        <v>109</v>
      </c>
      <c r="L37" s="51" t="s">
        <v>110</v>
      </c>
      <c r="M37" s="52"/>
      <c r="N37" s="52"/>
      <c r="O37" s="51"/>
    </row>
    <row r="38" spans="1:15" s="1" customFormat="1" ht="18" customHeight="1">
      <c r="A38" s="30"/>
      <c r="B38" s="70">
        <f t="shared" si="9"/>
        <v>0</v>
      </c>
      <c r="C38" s="31"/>
      <c r="D38" s="32"/>
      <c r="E38" s="33"/>
      <c r="F38" s="70">
        <f t="shared" si="10"/>
        <v>0</v>
      </c>
      <c r="G38" s="71"/>
      <c r="H38" s="59"/>
      <c r="I38" s="58"/>
      <c r="J38" s="52"/>
      <c r="K38" s="50"/>
      <c r="L38" s="51"/>
      <c r="M38" s="52"/>
      <c r="N38" s="52"/>
      <c r="O38" s="51"/>
    </row>
    <row r="39" spans="1:15" s="1" customFormat="1" ht="18" customHeight="1">
      <c r="A39" s="30"/>
      <c r="B39" s="70">
        <f t="shared" si="9"/>
        <v>0</v>
      </c>
      <c r="C39" s="31"/>
      <c r="D39" s="32"/>
      <c r="E39" s="33"/>
      <c r="F39" s="70">
        <f t="shared" si="10"/>
        <v>0</v>
      </c>
      <c r="G39" s="71"/>
      <c r="H39" s="59"/>
      <c r="I39" s="58"/>
      <c r="J39" s="52"/>
      <c r="K39" s="50"/>
      <c r="L39" s="51"/>
      <c r="M39" s="52"/>
      <c r="N39" s="52"/>
      <c r="O39" s="51"/>
    </row>
    <row r="40" spans="1:15" s="1" customFormat="1" ht="18" customHeight="1">
      <c r="A40" s="30"/>
      <c r="B40" s="70">
        <f t="shared" si="9"/>
        <v>0</v>
      </c>
      <c r="C40" s="31"/>
      <c r="D40" s="32"/>
      <c r="E40" s="33"/>
      <c r="F40" s="70">
        <f t="shared" si="10"/>
        <v>0</v>
      </c>
      <c r="G40" s="71"/>
      <c r="H40" s="59"/>
      <c r="I40" s="58"/>
      <c r="J40" s="52"/>
      <c r="K40" s="50"/>
      <c r="L40" s="51"/>
      <c r="M40" s="52"/>
      <c r="N40" s="52"/>
      <c r="O40" s="51"/>
    </row>
    <row r="41" spans="1:15" s="1" customFormat="1" ht="18" customHeight="1">
      <c r="A41" s="30"/>
      <c r="B41" s="70">
        <f t="shared" si="9"/>
        <v>0</v>
      </c>
      <c r="C41" s="31"/>
      <c r="D41" s="32"/>
      <c r="E41" s="33"/>
      <c r="F41" s="70">
        <f t="shared" si="10"/>
        <v>0</v>
      </c>
      <c r="G41" s="71"/>
      <c r="H41" s="59"/>
      <c r="I41" s="58"/>
      <c r="J41" s="52"/>
      <c r="K41" s="50"/>
      <c r="L41" s="51"/>
      <c r="M41" s="52"/>
      <c r="N41" s="52"/>
      <c r="O41" s="51"/>
    </row>
    <row r="42" spans="1:15" s="1" customFormat="1" ht="18" customHeight="1">
      <c r="A42" s="30"/>
      <c r="B42" s="70">
        <f t="shared" si="9"/>
        <v>0</v>
      </c>
      <c r="C42" s="31"/>
      <c r="D42" s="32"/>
      <c r="E42" s="33"/>
      <c r="F42" s="70">
        <f t="shared" si="10"/>
        <v>0</v>
      </c>
      <c r="G42" s="71"/>
      <c r="H42" s="59"/>
      <c r="I42" s="58"/>
      <c r="J42" s="52"/>
      <c r="K42" s="50"/>
      <c r="L42" s="51"/>
      <c r="M42" s="52"/>
      <c r="N42" s="52"/>
      <c r="O42" s="51"/>
    </row>
    <row r="43" spans="1:15" s="1" customFormat="1" ht="18" customHeight="1">
      <c r="A43" s="30"/>
      <c r="B43" s="70">
        <f t="shared" si="9"/>
        <v>0</v>
      </c>
      <c r="C43" s="31"/>
      <c r="D43" s="32"/>
      <c r="E43" s="33"/>
      <c r="F43" s="70">
        <f t="shared" si="10"/>
        <v>0</v>
      </c>
      <c r="G43" s="71"/>
      <c r="H43" s="59"/>
      <c r="I43" s="58"/>
      <c r="J43" s="52"/>
      <c r="K43" s="50"/>
      <c r="L43" s="51"/>
      <c r="M43" s="52"/>
      <c r="N43" s="52"/>
      <c r="O43" s="51"/>
    </row>
    <row r="44" spans="1:15" s="1" customFormat="1" ht="18" customHeight="1">
      <c r="A44" s="30"/>
      <c r="B44" s="70">
        <f t="shared" ref="B44:B52" si="11">ROUND(G44/(1+E44),2)</f>
        <v>0</v>
      </c>
      <c r="C44" s="31"/>
      <c r="D44" s="32"/>
      <c r="E44" s="33"/>
      <c r="F44" s="70">
        <f t="shared" ref="F44:F52" si="12">ROUND(G44/(1+E44)*E44,2)</f>
        <v>0</v>
      </c>
      <c r="G44" s="71"/>
      <c r="H44" s="59"/>
      <c r="I44" s="58"/>
      <c r="J44" s="52"/>
      <c r="K44" s="50"/>
      <c r="L44" s="51"/>
      <c r="M44" s="52"/>
      <c r="N44" s="52"/>
      <c r="O44" s="51"/>
    </row>
    <row r="45" spans="1:15" s="1" customFormat="1" ht="18" customHeight="1" thickBot="1">
      <c r="A45" s="30"/>
      <c r="B45" s="70">
        <f t="shared" si="11"/>
        <v>0</v>
      </c>
      <c r="C45" s="31"/>
      <c r="D45" s="32"/>
      <c r="E45" s="33"/>
      <c r="F45" s="70">
        <f t="shared" si="12"/>
        <v>0</v>
      </c>
      <c r="G45" s="71"/>
      <c r="H45" s="92"/>
      <c r="I45" s="93"/>
      <c r="J45" s="94"/>
      <c r="K45" s="95"/>
      <c r="L45" s="96"/>
      <c r="M45" s="94"/>
      <c r="N45" s="94"/>
      <c r="O45" s="96"/>
    </row>
    <row r="46" spans="1:15" s="1" customFormat="1" ht="18" customHeight="1" thickTop="1">
      <c r="A46" s="30"/>
      <c r="B46" s="70">
        <f t="shared" si="11"/>
        <v>0</v>
      </c>
      <c r="C46" s="31"/>
      <c r="D46" s="32"/>
      <c r="E46" s="33"/>
      <c r="F46" s="70">
        <f t="shared" si="12"/>
        <v>0</v>
      </c>
      <c r="G46" s="71"/>
      <c r="H46" s="87"/>
      <c r="I46" s="88"/>
      <c r="J46" s="89"/>
      <c r="K46" s="90"/>
      <c r="L46" s="91"/>
      <c r="M46" s="89"/>
      <c r="N46" s="89"/>
      <c r="O46" s="91"/>
    </row>
    <row r="47" spans="1:15" s="1" customFormat="1" ht="18" customHeight="1">
      <c r="A47" s="30"/>
      <c r="B47" s="70">
        <f t="shared" ref="B47:B48" si="13">ROUND(G47/(1+E47),2)</f>
        <v>0</v>
      </c>
      <c r="C47" s="31"/>
      <c r="D47" s="32"/>
      <c r="E47" s="33"/>
      <c r="F47" s="70">
        <f t="shared" ref="F47:F48" si="14">ROUND(G47/(1+E47)*E47,2)</f>
        <v>0</v>
      </c>
      <c r="G47" s="71"/>
      <c r="H47" s="59"/>
      <c r="I47" s="58"/>
      <c r="J47" s="52"/>
      <c r="K47" s="50"/>
      <c r="L47" s="51"/>
      <c r="M47" s="52"/>
      <c r="N47" s="52"/>
      <c r="O47" s="51"/>
    </row>
    <row r="48" spans="1:15" s="1" customFormat="1" ht="18" customHeight="1">
      <c r="A48" s="30"/>
      <c r="B48" s="70">
        <f t="shared" si="13"/>
        <v>0</v>
      </c>
      <c r="C48" s="31"/>
      <c r="D48" s="32"/>
      <c r="E48" s="33"/>
      <c r="F48" s="70">
        <f t="shared" si="14"/>
        <v>0</v>
      </c>
      <c r="G48" s="71"/>
      <c r="H48" s="59"/>
      <c r="I48" s="58"/>
      <c r="J48" s="52"/>
      <c r="K48" s="50"/>
      <c r="L48" s="51"/>
      <c r="M48" s="52"/>
      <c r="N48" s="52"/>
      <c r="O48" s="51"/>
    </row>
    <row r="49" spans="1:15" s="1" customFormat="1" ht="18" customHeight="1">
      <c r="A49" s="30"/>
      <c r="B49" s="70">
        <f t="shared" si="11"/>
        <v>0</v>
      </c>
      <c r="C49" s="31"/>
      <c r="D49" s="32"/>
      <c r="E49" s="33"/>
      <c r="F49" s="70">
        <f t="shared" si="12"/>
        <v>0</v>
      </c>
      <c r="G49" s="71"/>
      <c r="H49" s="59"/>
      <c r="I49" s="58"/>
      <c r="J49" s="52"/>
      <c r="K49" s="50"/>
      <c r="L49" s="51"/>
      <c r="M49" s="52"/>
      <c r="N49" s="52"/>
      <c r="O49" s="51"/>
    </row>
    <row r="50" spans="1:15" s="1" customFormat="1" ht="18" customHeight="1">
      <c r="A50" s="30"/>
      <c r="B50" s="70">
        <f t="shared" si="11"/>
        <v>0</v>
      </c>
      <c r="C50" s="31"/>
      <c r="D50" s="32"/>
      <c r="E50" s="33"/>
      <c r="F50" s="70">
        <f t="shared" si="12"/>
        <v>0</v>
      </c>
      <c r="G50" s="71"/>
      <c r="H50" s="59"/>
      <c r="I50" s="58"/>
      <c r="J50" s="52"/>
      <c r="K50" s="50"/>
      <c r="L50" s="51"/>
      <c r="M50" s="52"/>
      <c r="N50" s="52"/>
      <c r="O50" s="51"/>
    </row>
    <row r="51" spans="1:15" s="1" customFormat="1" ht="18" customHeight="1">
      <c r="A51" s="30"/>
      <c r="B51" s="70">
        <f t="shared" si="11"/>
        <v>0</v>
      </c>
      <c r="C51" s="31"/>
      <c r="D51" s="32"/>
      <c r="E51" s="33"/>
      <c r="F51" s="70">
        <f t="shared" si="12"/>
        <v>0</v>
      </c>
      <c r="G51" s="71"/>
      <c r="H51" s="59"/>
      <c r="I51" s="58"/>
      <c r="J51" s="52"/>
      <c r="K51" s="50"/>
      <c r="L51" s="51"/>
      <c r="M51" s="52"/>
      <c r="N51" s="52"/>
      <c r="O51" s="51"/>
    </row>
    <row r="52" spans="1:15" s="1" customFormat="1" ht="18" customHeight="1">
      <c r="A52" s="30"/>
      <c r="B52" s="70">
        <f t="shared" si="11"/>
        <v>0</v>
      </c>
      <c r="C52" s="31"/>
      <c r="D52" s="32"/>
      <c r="E52" s="33"/>
      <c r="F52" s="70">
        <f t="shared" si="12"/>
        <v>0</v>
      </c>
      <c r="G52" s="71"/>
      <c r="H52" s="59">
        <v>45561</v>
      </c>
      <c r="I52" s="58">
        <v>2877.06</v>
      </c>
      <c r="J52" s="52" t="s">
        <v>57</v>
      </c>
      <c r="K52" s="50" t="s">
        <v>122</v>
      </c>
      <c r="L52" s="51"/>
      <c r="M52" s="52"/>
      <c r="N52" s="52"/>
      <c r="O52" s="51"/>
    </row>
    <row r="53" spans="1:15" s="1" customFormat="1" ht="18" customHeight="1">
      <c r="A53" s="30"/>
      <c r="B53" s="70">
        <f t="shared" si="9"/>
        <v>0</v>
      </c>
      <c r="C53" s="31"/>
      <c r="D53" s="32"/>
      <c r="E53" s="33"/>
      <c r="F53" s="70">
        <f t="shared" si="10"/>
        <v>0</v>
      </c>
      <c r="G53" s="71"/>
      <c r="H53" s="59">
        <v>45561</v>
      </c>
      <c r="I53" s="58">
        <v>50</v>
      </c>
      <c r="J53" s="52" t="s">
        <v>57</v>
      </c>
      <c r="K53" s="50" t="s">
        <v>117</v>
      </c>
      <c r="L53" s="51"/>
      <c r="M53" s="52"/>
      <c r="N53" s="52"/>
      <c r="O53" s="51"/>
    </row>
    <row r="54" spans="1:15" s="1" customFormat="1" ht="18" customHeight="1">
      <c r="A54" s="30"/>
      <c r="B54" s="70">
        <f t="shared" si="7"/>
        <v>0</v>
      </c>
      <c r="C54" s="31"/>
      <c r="D54" s="32"/>
      <c r="E54" s="33"/>
      <c r="F54" s="70">
        <f t="shared" si="8"/>
        <v>0</v>
      </c>
      <c r="G54" s="71"/>
      <c r="H54" s="59">
        <v>45561</v>
      </c>
      <c r="I54" s="58">
        <v>50</v>
      </c>
      <c r="J54" s="52" t="s">
        <v>57</v>
      </c>
      <c r="K54" s="50" t="s">
        <v>117</v>
      </c>
      <c r="L54" s="51"/>
      <c r="M54" s="52"/>
      <c r="N54" s="52"/>
      <c r="O54" s="51"/>
    </row>
    <row r="55" spans="1:15" s="1" customFormat="1" ht="18" customHeight="1">
      <c r="A55" s="30"/>
      <c r="B55" s="70">
        <f t="shared" si="7"/>
        <v>0</v>
      </c>
      <c r="C55" s="31"/>
      <c r="D55" s="32"/>
      <c r="E55" s="33"/>
      <c r="F55" s="70">
        <f t="shared" si="8"/>
        <v>0</v>
      </c>
      <c r="G55" s="71"/>
      <c r="H55" s="59">
        <v>45561</v>
      </c>
      <c r="I55" s="58">
        <v>100</v>
      </c>
      <c r="J55" s="52" t="s">
        <v>57</v>
      </c>
      <c r="K55" s="50" t="s">
        <v>116</v>
      </c>
      <c r="L55" s="51"/>
      <c r="M55" s="52"/>
      <c r="N55" s="52"/>
      <c r="O55" s="51"/>
    </row>
    <row r="56" spans="1:15" s="1" customFormat="1" ht="18" customHeight="1">
      <c r="A56" s="30"/>
      <c r="B56" s="70">
        <f t="shared" si="7"/>
        <v>0</v>
      </c>
      <c r="C56" s="31"/>
      <c r="D56" s="32"/>
      <c r="E56" s="33"/>
      <c r="F56" s="70">
        <f t="shared" si="8"/>
        <v>0</v>
      </c>
      <c r="G56" s="71"/>
      <c r="H56" s="59">
        <v>45561</v>
      </c>
      <c r="I56" s="58">
        <v>50</v>
      </c>
      <c r="J56" s="52" t="s">
        <v>57</v>
      </c>
      <c r="K56" s="50" t="s">
        <v>115</v>
      </c>
      <c r="L56" s="51"/>
      <c r="M56" s="52"/>
      <c r="N56" s="52"/>
      <c r="O56" s="51"/>
    </row>
    <row r="57" spans="1:15" s="1" customFormat="1" ht="18" customHeight="1">
      <c r="A57" s="30"/>
      <c r="B57" s="70">
        <f t="shared" si="7"/>
        <v>0</v>
      </c>
      <c r="C57" s="31"/>
      <c r="D57" s="32"/>
      <c r="E57" s="33"/>
      <c r="F57" s="70">
        <f t="shared" si="8"/>
        <v>0</v>
      </c>
      <c r="G57" s="71"/>
      <c r="H57" s="59">
        <v>45561</v>
      </c>
      <c r="I57" s="58">
        <v>50</v>
      </c>
      <c r="J57" s="52" t="s">
        <v>57</v>
      </c>
      <c r="K57" s="50" t="s">
        <v>114</v>
      </c>
      <c r="L57" s="51"/>
      <c r="M57" s="52"/>
      <c r="N57" s="52"/>
      <c r="O57" s="51"/>
    </row>
    <row r="58" spans="1:15" s="1" customFormat="1" ht="18" customHeight="1">
      <c r="A58" s="30"/>
      <c r="B58" s="70">
        <f t="shared" ref="B58:B59" si="15">ROUND(G58/(1+E58),2)</f>
        <v>0</v>
      </c>
      <c r="C58" s="31"/>
      <c r="D58" s="32"/>
      <c r="E58" s="33"/>
      <c r="F58" s="70">
        <f t="shared" ref="F58:F59" si="16">ROUND(G58/(1+E58)*E58,2)</f>
        <v>0</v>
      </c>
      <c r="G58" s="71"/>
      <c r="H58" s="59">
        <v>45561</v>
      </c>
      <c r="I58" s="58">
        <v>100</v>
      </c>
      <c r="J58" s="52" t="s">
        <v>57</v>
      </c>
      <c r="K58" s="50" t="s">
        <v>113</v>
      </c>
      <c r="L58" s="51"/>
      <c r="M58" s="52"/>
      <c r="N58" s="52"/>
      <c r="O58" s="51"/>
    </row>
    <row r="59" spans="1:15" s="1" customFormat="1" ht="18" customHeight="1">
      <c r="A59" s="30"/>
      <c r="B59" s="70">
        <f t="shared" si="15"/>
        <v>0</v>
      </c>
      <c r="C59" s="31"/>
      <c r="D59" s="32"/>
      <c r="E59" s="33"/>
      <c r="F59" s="70">
        <f t="shared" si="16"/>
        <v>0</v>
      </c>
      <c r="G59" s="71"/>
      <c r="H59" s="59">
        <v>45561</v>
      </c>
      <c r="I59" s="58">
        <v>50</v>
      </c>
      <c r="J59" s="52" t="s">
        <v>57</v>
      </c>
      <c r="K59" s="50" t="s">
        <v>112</v>
      </c>
      <c r="L59" s="51"/>
      <c r="M59" s="52"/>
      <c r="N59" s="52"/>
      <c r="O59" s="51"/>
    </row>
    <row r="60" spans="1:15" s="1" customFormat="1" ht="18" customHeight="1">
      <c r="A60" s="30"/>
      <c r="B60" s="70">
        <f t="shared" si="7"/>
        <v>0</v>
      </c>
      <c r="C60" s="31"/>
      <c r="D60" s="32"/>
      <c r="E60" s="33"/>
      <c r="F60" s="70">
        <f t="shared" si="8"/>
        <v>0</v>
      </c>
      <c r="G60" s="71"/>
      <c r="H60" s="59">
        <v>45561</v>
      </c>
      <c r="I60" s="58">
        <v>50</v>
      </c>
      <c r="J60" s="52" t="s">
        <v>57</v>
      </c>
      <c r="K60" s="50" t="s">
        <v>112</v>
      </c>
      <c r="L60" s="51"/>
      <c r="M60" s="52"/>
      <c r="N60" s="52"/>
      <c r="O60" s="51"/>
    </row>
    <row r="61" spans="1:15" s="1" customFormat="1" ht="18" customHeight="1">
      <c r="A61" s="30"/>
      <c r="B61" s="70">
        <f t="shared" ref="B61:B71" si="17">ROUND(G61/(1+E61),2)</f>
        <v>0</v>
      </c>
      <c r="C61" s="31"/>
      <c r="D61" s="32"/>
      <c r="E61" s="33"/>
      <c r="F61" s="70">
        <f t="shared" ref="F61:F67" si="18">ROUND(G61/(1+E61)*E61,2)</f>
        <v>0</v>
      </c>
      <c r="G61" s="71"/>
      <c r="H61" s="59">
        <v>44235</v>
      </c>
      <c r="I61" s="58">
        <v>-258867.49</v>
      </c>
      <c r="J61" s="48" t="s">
        <v>119</v>
      </c>
      <c r="K61" s="50" t="s">
        <v>108</v>
      </c>
      <c r="L61" s="51"/>
      <c r="M61" s="52"/>
      <c r="N61" s="52"/>
      <c r="O61" s="51"/>
    </row>
    <row r="62" spans="1:15" s="1" customFormat="1" ht="18" customHeight="1">
      <c r="A62" s="30"/>
      <c r="B62" s="70">
        <f t="shared" si="17"/>
        <v>0</v>
      </c>
      <c r="C62" s="31"/>
      <c r="D62" s="32"/>
      <c r="E62" s="33"/>
      <c r="F62" s="70">
        <f t="shared" si="18"/>
        <v>0</v>
      </c>
      <c r="G62" s="71"/>
      <c r="H62" s="19" t="s">
        <v>56</v>
      </c>
      <c r="I62" s="9">
        <v>12000</v>
      </c>
      <c r="J62" s="52" t="s">
        <v>118</v>
      </c>
      <c r="K62" s="50" t="s">
        <v>58</v>
      </c>
      <c r="L62" s="51"/>
      <c r="M62" s="52"/>
      <c r="N62" s="52"/>
      <c r="O62" s="51"/>
    </row>
    <row r="63" spans="1:15" s="1" customFormat="1" ht="18" customHeight="1">
      <c r="A63" s="30"/>
      <c r="B63" s="70">
        <f t="shared" si="17"/>
        <v>45600</v>
      </c>
      <c r="C63" s="31"/>
      <c r="D63" s="32"/>
      <c r="E63" s="33"/>
      <c r="F63" s="70">
        <f t="shared" si="18"/>
        <v>0</v>
      </c>
      <c r="G63" s="71">
        <v>45600</v>
      </c>
      <c r="H63" s="19" t="s">
        <v>56</v>
      </c>
      <c r="I63" s="9">
        <v>45600</v>
      </c>
      <c r="J63" s="52" t="s">
        <v>118</v>
      </c>
      <c r="K63" s="50" t="s">
        <v>59</v>
      </c>
      <c r="L63" s="51"/>
      <c r="M63" s="52"/>
      <c r="N63" s="52"/>
      <c r="O63" s="51"/>
    </row>
    <row r="64" spans="1:15" s="1" customFormat="1" ht="18" customHeight="1">
      <c r="A64" s="30"/>
      <c r="B64" s="70">
        <f t="shared" si="17"/>
        <v>0</v>
      </c>
      <c r="C64" s="31"/>
      <c r="D64" s="32"/>
      <c r="E64" s="33"/>
      <c r="F64" s="70">
        <f t="shared" si="18"/>
        <v>0</v>
      </c>
      <c r="G64" s="71"/>
      <c r="H64" s="19" t="s">
        <v>56</v>
      </c>
      <c r="I64" s="9">
        <v>22800</v>
      </c>
      <c r="J64" s="52" t="s">
        <v>118</v>
      </c>
      <c r="K64" s="50" t="s">
        <v>60</v>
      </c>
      <c r="L64" s="51"/>
      <c r="M64" s="52"/>
      <c r="N64" s="52"/>
      <c r="O64" s="51"/>
    </row>
    <row r="65" spans="1:15" s="1" customFormat="1" ht="18" customHeight="1">
      <c r="A65" s="30"/>
      <c r="B65" s="70">
        <f t="shared" si="17"/>
        <v>0</v>
      </c>
      <c r="C65" s="31"/>
      <c r="D65" s="32"/>
      <c r="E65" s="33"/>
      <c r="F65" s="70">
        <f t="shared" si="18"/>
        <v>0</v>
      </c>
      <c r="G65" s="71"/>
      <c r="H65" s="19" t="s">
        <v>56</v>
      </c>
      <c r="I65" s="9">
        <v>176528.44</v>
      </c>
      <c r="J65" s="52" t="s">
        <v>118</v>
      </c>
      <c r="K65" s="50" t="s">
        <v>61</v>
      </c>
      <c r="L65" s="51"/>
      <c r="M65" s="52"/>
      <c r="N65" s="52"/>
      <c r="O65" s="51"/>
    </row>
    <row r="66" spans="1:15" s="1" customFormat="1" ht="18" customHeight="1">
      <c r="A66" s="30"/>
      <c r="B66" s="70">
        <f t="shared" si="17"/>
        <v>0</v>
      </c>
      <c r="C66" s="31"/>
      <c r="D66" s="32"/>
      <c r="E66" s="33"/>
      <c r="F66" s="70">
        <f t="shared" si="18"/>
        <v>0</v>
      </c>
      <c r="G66" s="71"/>
      <c r="H66" s="19" t="s">
        <v>56</v>
      </c>
      <c r="I66" s="9">
        <v>1939.05</v>
      </c>
      <c r="J66" s="52" t="s">
        <v>118</v>
      </c>
      <c r="K66" s="50" t="s">
        <v>62</v>
      </c>
      <c r="L66" s="51"/>
      <c r="M66" s="52"/>
      <c r="N66" s="52"/>
      <c r="O66" s="51"/>
    </row>
    <row r="67" spans="1:15" s="1" customFormat="1" ht="18" customHeight="1">
      <c r="A67" s="30"/>
      <c r="B67" s="70">
        <f t="shared" si="17"/>
        <v>0</v>
      </c>
      <c r="C67" s="31"/>
      <c r="D67" s="32"/>
      <c r="E67" s="33"/>
      <c r="F67" s="70">
        <f t="shared" si="18"/>
        <v>0</v>
      </c>
      <c r="G67" s="71"/>
      <c r="H67" s="19">
        <v>44078</v>
      </c>
      <c r="I67" s="9">
        <v>-55839.33</v>
      </c>
      <c r="J67" s="48" t="s">
        <v>119</v>
      </c>
      <c r="K67" s="50" t="s">
        <v>63</v>
      </c>
      <c r="L67" s="51"/>
      <c r="M67" s="52"/>
      <c r="N67" s="52"/>
      <c r="O67" s="51"/>
    </row>
    <row r="68" spans="1:15" s="1" customFormat="1" ht="18" customHeight="1">
      <c r="A68" s="30"/>
      <c r="B68" s="70">
        <f t="shared" si="17"/>
        <v>36200</v>
      </c>
      <c r="C68" s="31"/>
      <c r="D68" s="32"/>
      <c r="E68" s="33"/>
      <c r="F68" s="70">
        <f t="shared" ref="F68:F72" si="19">ROUND(G68/(1+E68)*E68,2)</f>
        <v>0</v>
      </c>
      <c r="G68" s="71">
        <v>36200</v>
      </c>
      <c r="H68" s="19" t="s">
        <v>64</v>
      </c>
      <c r="I68" s="9">
        <v>36200</v>
      </c>
      <c r="J68" s="52" t="s">
        <v>118</v>
      </c>
      <c r="K68" s="50" t="s">
        <v>65</v>
      </c>
      <c r="L68" s="51"/>
      <c r="M68" s="52"/>
      <c r="N68" s="52"/>
      <c r="O68" s="51"/>
    </row>
    <row r="69" spans="1:15" s="1" customFormat="1" ht="18" customHeight="1">
      <c r="A69" s="30"/>
      <c r="B69" s="70">
        <f t="shared" si="17"/>
        <v>0</v>
      </c>
      <c r="C69" s="31"/>
      <c r="D69" s="32"/>
      <c r="E69" s="33"/>
      <c r="F69" s="70">
        <f t="shared" si="19"/>
        <v>0</v>
      </c>
      <c r="G69" s="71"/>
      <c r="H69" s="19" t="s">
        <v>64</v>
      </c>
      <c r="I69" s="9">
        <v>18100</v>
      </c>
      <c r="J69" s="52" t="s">
        <v>118</v>
      </c>
      <c r="K69" s="50" t="s">
        <v>60</v>
      </c>
      <c r="L69" s="51"/>
      <c r="M69" s="52"/>
      <c r="N69" s="52"/>
      <c r="O69" s="51"/>
    </row>
    <row r="70" spans="1:15" s="1" customFormat="1" ht="18" customHeight="1">
      <c r="A70" s="30"/>
      <c r="B70" s="70">
        <f t="shared" si="17"/>
        <v>0</v>
      </c>
      <c r="C70" s="31"/>
      <c r="D70" s="32"/>
      <c r="E70" s="33"/>
      <c r="F70" s="70">
        <f t="shared" si="19"/>
        <v>0</v>
      </c>
      <c r="G70" s="71"/>
      <c r="H70" s="19" t="s">
        <v>64</v>
      </c>
      <c r="I70" s="9">
        <v>1539.33</v>
      </c>
      <c r="J70" s="52" t="s">
        <v>118</v>
      </c>
      <c r="K70" s="50" t="s">
        <v>62</v>
      </c>
      <c r="L70" s="51"/>
      <c r="M70" s="52"/>
      <c r="N70" s="52"/>
      <c r="O70" s="51"/>
    </row>
    <row r="71" spans="1:15" s="1" customFormat="1" ht="18" customHeight="1">
      <c r="A71" s="30"/>
      <c r="B71" s="70">
        <f t="shared" si="17"/>
        <v>0</v>
      </c>
      <c r="C71" s="31"/>
      <c r="D71" s="32"/>
      <c r="E71" s="33"/>
      <c r="F71" s="70">
        <f t="shared" si="19"/>
        <v>0</v>
      </c>
      <c r="G71" s="71"/>
      <c r="H71" s="19">
        <v>43844</v>
      </c>
      <c r="I71" s="9">
        <v>-46585</v>
      </c>
      <c r="J71" s="48" t="s">
        <v>119</v>
      </c>
      <c r="K71" s="50" t="s">
        <v>107</v>
      </c>
      <c r="L71" s="51"/>
      <c r="M71" s="52"/>
      <c r="N71" s="52"/>
      <c r="O71" s="51"/>
    </row>
    <row r="72" spans="1:15" s="1" customFormat="1" ht="18" customHeight="1">
      <c r="A72" s="30"/>
      <c r="B72" s="70">
        <f t="shared" ref="B72:B76" si="20">ROUND(G72/(1+E72),2)</f>
        <v>0</v>
      </c>
      <c r="C72" s="31"/>
      <c r="D72" s="32"/>
      <c r="E72" s="33"/>
      <c r="F72" s="70">
        <f t="shared" si="19"/>
        <v>0</v>
      </c>
      <c r="G72" s="71"/>
      <c r="H72" s="19" t="s">
        <v>66</v>
      </c>
      <c r="I72" s="9">
        <v>-476000</v>
      </c>
      <c r="J72" s="77" t="s">
        <v>67</v>
      </c>
      <c r="K72" s="50" t="s">
        <v>68</v>
      </c>
      <c r="L72" s="51"/>
      <c r="M72" s="52"/>
      <c r="N72" s="52"/>
      <c r="O72" s="51"/>
    </row>
    <row r="73" spans="1:15" s="1" customFormat="1" ht="18" customHeight="1">
      <c r="A73" s="30"/>
      <c r="B73" s="70">
        <f t="shared" si="20"/>
        <v>30200</v>
      </c>
      <c r="C73" s="31"/>
      <c r="D73" s="32"/>
      <c r="E73" s="33"/>
      <c r="F73" s="70">
        <f t="shared" ref="F73:F76" si="21">ROUND(G73/(1+E73)*E73,2)</f>
        <v>0</v>
      </c>
      <c r="G73" s="71">
        <f>I73</f>
        <v>30200</v>
      </c>
      <c r="H73" s="19" t="s">
        <v>66</v>
      </c>
      <c r="I73" s="9">
        <v>30200</v>
      </c>
      <c r="J73" s="52" t="s">
        <v>118</v>
      </c>
      <c r="K73" s="50" t="s">
        <v>69</v>
      </c>
      <c r="L73" s="51"/>
      <c r="M73" s="52"/>
      <c r="N73" s="52"/>
      <c r="O73" s="51"/>
    </row>
    <row r="74" spans="1:15" s="1" customFormat="1" ht="18" customHeight="1">
      <c r="A74" s="30"/>
      <c r="B74" s="70">
        <f t="shared" si="20"/>
        <v>0</v>
      </c>
      <c r="C74" s="31"/>
      <c r="D74" s="32"/>
      <c r="E74" s="33"/>
      <c r="F74" s="70">
        <f t="shared" si="21"/>
        <v>0</v>
      </c>
      <c r="G74" s="71"/>
      <c r="H74" s="19" t="s">
        <v>66</v>
      </c>
      <c r="I74" s="9">
        <v>15100</v>
      </c>
      <c r="J74" s="52" t="s">
        <v>118</v>
      </c>
      <c r="K74" s="50" t="s">
        <v>60</v>
      </c>
      <c r="L74" s="51"/>
      <c r="M74" s="52"/>
      <c r="N74" s="52"/>
      <c r="O74" s="51"/>
    </row>
    <row r="75" spans="1:15" s="1" customFormat="1" ht="18" customHeight="1">
      <c r="A75" s="30"/>
      <c r="B75" s="70">
        <f t="shared" si="20"/>
        <v>0</v>
      </c>
      <c r="C75" s="31"/>
      <c r="D75" s="32"/>
      <c r="E75" s="33"/>
      <c r="F75" s="70">
        <f t="shared" si="21"/>
        <v>0</v>
      </c>
      <c r="G75" s="71"/>
      <c r="H75" s="19" t="s">
        <v>66</v>
      </c>
      <c r="I75" s="60">
        <v>1285</v>
      </c>
      <c r="J75" s="52" t="s">
        <v>118</v>
      </c>
      <c r="K75" s="50" t="s">
        <v>70</v>
      </c>
      <c r="L75" s="51"/>
      <c r="M75" s="52"/>
      <c r="N75" s="52"/>
      <c r="O75" s="51"/>
    </row>
    <row r="76" spans="1:15" s="1" customFormat="1" ht="18" customHeight="1">
      <c r="A76" s="30"/>
      <c r="B76" s="70">
        <f t="shared" si="20"/>
        <v>0</v>
      </c>
      <c r="C76" s="31"/>
      <c r="D76" s="32"/>
      <c r="E76" s="33"/>
      <c r="F76" s="70">
        <f t="shared" si="21"/>
        <v>0</v>
      </c>
      <c r="G76" s="71"/>
      <c r="H76" s="19">
        <v>43816</v>
      </c>
      <c r="I76" s="61">
        <v>-39334</v>
      </c>
      <c r="J76" s="48" t="s">
        <v>119</v>
      </c>
      <c r="K76" s="50" t="s">
        <v>71</v>
      </c>
      <c r="L76" s="51"/>
      <c r="M76" s="52"/>
      <c r="N76" s="52"/>
      <c r="O76" s="51"/>
    </row>
    <row r="77" spans="1:15" s="1" customFormat="1" ht="18" customHeight="1">
      <c r="A77" s="30"/>
      <c r="B77" s="70"/>
      <c r="C77" s="31"/>
      <c r="D77" s="32"/>
      <c r="E77" s="33"/>
      <c r="F77" s="70"/>
      <c r="G77" s="71"/>
      <c r="H77" s="19" t="s">
        <v>72</v>
      </c>
      <c r="I77" s="61">
        <v>310000</v>
      </c>
      <c r="J77" s="77" t="s">
        <v>73</v>
      </c>
      <c r="K77" s="50" t="s">
        <v>74</v>
      </c>
      <c r="L77" s="51"/>
      <c r="M77" s="52"/>
      <c r="N77" s="52"/>
      <c r="O77" s="51"/>
    </row>
    <row r="78" spans="1:15" s="1" customFormat="1" ht="18" customHeight="1">
      <c r="A78" s="30"/>
      <c r="B78" s="70">
        <f t="shared" ref="B78:B85" si="22">ROUND(G78/(1+E78),2)</f>
        <v>0</v>
      </c>
      <c r="C78" s="31"/>
      <c r="D78" s="32"/>
      <c r="E78" s="34"/>
      <c r="F78" s="70">
        <f t="shared" ref="F78:F85" si="23">ROUND(G78/(1+E78)*E78,2)</f>
        <v>0</v>
      </c>
      <c r="G78" s="71"/>
      <c r="H78" s="19" t="s">
        <v>72</v>
      </c>
      <c r="I78" s="61">
        <v>12019</v>
      </c>
      <c r="J78" s="52" t="s">
        <v>118</v>
      </c>
      <c r="K78" s="50" t="s">
        <v>60</v>
      </c>
      <c r="L78" s="51"/>
      <c r="M78" s="52"/>
      <c r="N78" s="52"/>
      <c r="O78" s="51"/>
    </row>
    <row r="79" spans="1:15" s="1" customFormat="1" ht="18" customHeight="1">
      <c r="A79" s="30"/>
      <c r="B79" s="70">
        <f t="shared" si="22"/>
        <v>0</v>
      </c>
      <c r="C79" s="31"/>
      <c r="D79" s="32"/>
      <c r="E79" s="34"/>
      <c r="F79" s="70">
        <f t="shared" si="23"/>
        <v>0</v>
      </c>
      <c r="G79" s="71"/>
      <c r="H79" s="19" t="s">
        <v>72</v>
      </c>
      <c r="I79" s="61">
        <v>1115</v>
      </c>
      <c r="J79" s="52" t="s">
        <v>118</v>
      </c>
      <c r="K79" s="50" t="s">
        <v>70</v>
      </c>
      <c r="L79" s="51"/>
      <c r="M79" s="52"/>
      <c r="N79" s="52"/>
      <c r="O79" s="51"/>
    </row>
    <row r="80" spans="1:15" s="1" customFormat="1" ht="18" customHeight="1">
      <c r="A80" s="30"/>
      <c r="B80" s="70">
        <f t="shared" si="22"/>
        <v>26200</v>
      </c>
      <c r="C80" s="31"/>
      <c r="D80" s="32"/>
      <c r="E80" s="34"/>
      <c r="F80" s="70">
        <f t="shared" si="23"/>
        <v>0</v>
      </c>
      <c r="G80" s="71">
        <f>26200</f>
        <v>26200</v>
      </c>
      <c r="H80" s="19" t="s">
        <v>72</v>
      </c>
      <c r="I80" s="61">
        <f>G80</f>
        <v>26200</v>
      </c>
      <c r="J80" s="52" t="s">
        <v>118</v>
      </c>
      <c r="K80" s="50" t="s">
        <v>69</v>
      </c>
      <c r="L80" s="51"/>
      <c r="M80" s="52"/>
      <c r="N80" s="52"/>
      <c r="O80" s="51"/>
    </row>
    <row r="81" spans="1:15" s="1" customFormat="1" ht="18" customHeight="1">
      <c r="A81" s="30"/>
      <c r="B81" s="70">
        <f t="shared" si="22"/>
        <v>0</v>
      </c>
      <c r="C81" s="31"/>
      <c r="D81" s="32"/>
      <c r="E81" s="34"/>
      <c r="F81" s="70">
        <f t="shared" si="23"/>
        <v>0</v>
      </c>
      <c r="G81" s="71"/>
      <c r="H81" s="19">
        <v>43791</v>
      </c>
      <c r="I81" s="61">
        <v>-50442</v>
      </c>
      <c r="J81" s="48" t="s">
        <v>119</v>
      </c>
      <c r="K81" s="50" t="s">
        <v>71</v>
      </c>
      <c r="L81" s="51"/>
      <c r="M81" s="52"/>
      <c r="N81" s="52"/>
      <c r="O81" s="51"/>
    </row>
    <row r="82" spans="1:15" s="1" customFormat="1" ht="18" customHeight="1">
      <c r="A82" s="30"/>
      <c r="B82" s="70">
        <f t="shared" si="22"/>
        <v>0</v>
      </c>
      <c r="C82" s="31"/>
      <c r="D82" s="32"/>
      <c r="E82" s="34"/>
      <c r="F82" s="70">
        <f t="shared" si="23"/>
        <v>0</v>
      </c>
      <c r="G82" s="71"/>
      <c r="H82" s="19" t="s">
        <v>75</v>
      </c>
      <c r="I82" s="61">
        <v>15413</v>
      </c>
      <c r="J82" s="52" t="s">
        <v>118</v>
      </c>
      <c r="K82" s="50" t="s">
        <v>60</v>
      </c>
      <c r="L82" s="51"/>
      <c r="M82" s="52"/>
      <c r="N82" s="52"/>
      <c r="O82" s="51"/>
    </row>
    <row r="83" spans="1:15" s="1" customFormat="1" ht="18" customHeight="1">
      <c r="A83" s="30"/>
      <c r="B83" s="70">
        <f t="shared" si="22"/>
        <v>0</v>
      </c>
      <c r="C83" s="31"/>
      <c r="D83" s="32"/>
      <c r="E83" s="34"/>
      <c r="F83" s="70">
        <f t="shared" si="23"/>
        <v>0</v>
      </c>
      <c r="G83" s="71"/>
      <c r="H83" s="19" t="s">
        <v>75</v>
      </c>
      <c r="I83" s="61">
        <v>1429</v>
      </c>
      <c r="J83" s="52" t="s">
        <v>118</v>
      </c>
      <c r="K83" s="50" t="s">
        <v>70</v>
      </c>
      <c r="L83" s="51"/>
      <c r="M83" s="52"/>
      <c r="N83" s="52"/>
      <c r="O83" s="51"/>
    </row>
    <row r="84" spans="1:15" s="1" customFormat="1" ht="18" customHeight="1">
      <c r="A84" s="30"/>
      <c r="B84" s="70">
        <f t="shared" si="22"/>
        <v>0</v>
      </c>
      <c r="C84" s="31"/>
      <c r="D84" s="32"/>
      <c r="E84" s="34"/>
      <c r="F84" s="70">
        <f t="shared" si="23"/>
        <v>0</v>
      </c>
      <c r="G84" s="71"/>
      <c r="H84" s="19" t="s">
        <v>75</v>
      </c>
      <c r="I84" s="61">
        <v>166000</v>
      </c>
      <c r="J84" s="77" t="s">
        <v>73</v>
      </c>
      <c r="K84" s="50" t="s">
        <v>74</v>
      </c>
      <c r="L84" s="51"/>
      <c r="M84" s="52"/>
      <c r="N84" s="52"/>
      <c r="O84" s="51"/>
    </row>
    <row r="85" spans="1:15" s="1" customFormat="1" ht="18" customHeight="1">
      <c r="A85" s="30"/>
      <c r="B85" s="70">
        <f t="shared" si="22"/>
        <v>33600</v>
      </c>
      <c r="C85" s="31"/>
      <c r="D85" s="32"/>
      <c r="E85" s="34"/>
      <c r="F85" s="70">
        <f t="shared" si="23"/>
        <v>0</v>
      </c>
      <c r="G85" s="71">
        <f>33600</f>
        <v>33600</v>
      </c>
      <c r="H85" s="19" t="s">
        <v>75</v>
      </c>
      <c r="I85" s="61">
        <f>G85</f>
        <v>33600</v>
      </c>
      <c r="J85" s="52" t="s">
        <v>118</v>
      </c>
      <c r="K85" s="50" t="s">
        <v>69</v>
      </c>
      <c r="L85" s="51"/>
      <c r="M85" s="52"/>
      <c r="N85" s="52"/>
      <c r="O85" s="51"/>
    </row>
    <row r="86" spans="1:15" ht="18" customHeight="1">
      <c r="A86" s="27" t="s">
        <v>23</v>
      </c>
      <c r="B86" s="62">
        <f t="shared" ref="B86:G86" si="24">SUM(B22:B85)</f>
        <v>8212717.4300000006</v>
      </c>
      <c r="C86" s="27"/>
      <c r="D86" s="36"/>
      <c r="E86" s="36"/>
      <c r="F86" s="63">
        <f t="shared" si="24"/>
        <v>549082.57000000007</v>
      </c>
      <c r="G86" s="64">
        <f t="shared" si="24"/>
        <v>8761800</v>
      </c>
      <c r="H86" s="39"/>
      <c r="I86" s="27">
        <f>SUM(I22:I85)</f>
        <v>8543377.0600000005</v>
      </c>
      <c r="J86" s="55"/>
      <c r="K86" s="50"/>
      <c r="L86" s="28"/>
      <c r="M86" s="48"/>
      <c r="N86" s="48"/>
      <c r="O86" s="28"/>
    </row>
    <row r="87" spans="1:15" ht="18" customHeight="1">
      <c r="A87" s="40" t="s">
        <v>76</v>
      </c>
      <c r="B87" s="40">
        <f>B19*0.96</f>
        <v>7565504.5871559624</v>
      </c>
      <c r="C87" s="40"/>
      <c r="D87" s="42"/>
      <c r="E87" s="42"/>
      <c r="F87" s="40"/>
      <c r="G87" s="40">
        <f>G19-G86</f>
        <v>-171800</v>
      </c>
      <c r="H87" s="18" t="s">
        <v>77</v>
      </c>
      <c r="I87" s="27">
        <f>I19-I86</f>
        <v>46622.939999999478</v>
      </c>
      <c r="J87" s="6"/>
      <c r="K87" s="56"/>
      <c r="M87" s="57"/>
      <c r="N87" s="57"/>
    </row>
    <row r="88" spans="1:15" ht="18" customHeight="1">
      <c r="A88" s="40" t="s">
        <v>78</v>
      </c>
      <c r="B88" s="40">
        <f>B87-B86</f>
        <v>-647212.84284403827</v>
      </c>
      <c r="C88" s="40"/>
      <c r="D88" s="42"/>
      <c r="E88" s="42"/>
      <c r="F88" s="41"/>
      <c r="G88" s="41"/>
      <c r="H88" s="43"/>
      <c r="I88" s="41"/>
      <c r="J88" s="6"/>
      <c r="K88" s="56"/>
      <c r="M88" s="57"/>
      <c r="N88" s="57"/>
    </row>
    <row r="89" spans="1:15" ht="18" customHeight="1">
      <c r="A89" s="2" t="s">
        <v>79</v>
      </c>
      <c r="C89" s="2"/>
    </row>
    <row r="90" spans="1:15" ht="18" customHeight="1">
      <c r="A90" s="18" t="s">
        <v>80</v>
      </c>
      <c r="B90" s="17" t="s">
        <v>81</v>
      </c>
      <c r="C90" s="28"/>
      <c r="D90" s="18" t="s">
        <v>80</v>
      </c>
      <c r="E90" s="16" t="s">
        <v>16</v>
      </c>
      <c r="F90" s="17" t="s">
        <v>81</v>
      </c>
      <c r="G90" s="17" t="s">
        <v>82</v>
      </c>
      <c r="H90" s="17" t="s">
        <v>83</v>
      </c>
      <c r="I90" s="17" t="s">
        <v>121</v>
      </c>
      <c r="K90" s="28" t="s">
        <v>85</v>
      </c>
      <c r="L90" s="28" t="s">
        <v>86</v>
      </c>
    </row>
    <row r="91" spans="1:15" ht="18" customHeight="1">
      <c r="A91" s="28" t="s">
        <v>87</v>
      </c>
      <c r="B91" s="14">
        <f>(B87-B86)*0.25</f>
        <v>-161803.21071100957</v>
      </c>
      <c r="C91" s="28"/>
      <c r="D91" s="25" t="s">
        <v>88</v>
      </c>
      <c r="E91" s="18" t="s">
        <v>89</v>
      </c>
      <c r="F91" s="37">
        <f>F19-F86</f>
        <v>2568.8061467889929</v>
      </c>
      <c r="G91" s="37">
        <v>0</v>
      </c>
      <c r="H91" s="37">
        <v>0</v>
      </c>
      <c r="I91" s="37">
        <v>2568.8061467889929</v>
      </c>
      <c r="K91" s="63">
        <f>0</f>
        <v>0</v>
      </c>
      <c r="L91" s="63">
        <f>D19</f>
        <v>157614.67889908256</v>
      </c>
    </row>
    <row r="92" spans="1:15" ht="18" customHeight="1">
      <c r="A92" s="28" t="s">
        <v>90</v>
      </c>
      <c r="B92" s="44">
        <f>G19*0.0003</f>
        <v>2577</v>
      </c>
      <c r="C92" s="28"/>
      <c r="D92" s="45" t="s">
        <v>91</v>
      </c>
      <c r="E92" s="11">
        <v>7.0000000000000007E-2</v>
      </c>
      <c r="F92" s="20">
        <f>F91*$E92</f>
        <v>179.81643027522952</v>
      </c>
      <c r="G92" s="20">
        <f t="shared" ref="G92:I92" si="25">G91*$E92</f>
        <v>0</v>
      </c>
      <c r="H92" s="20">
        <f t="shared" si="25"/>
        <v>0</v>
      </c>
      <c r="I92" s="20">
        <f t="shared" si="25"/>
        <v>179.81643027522952</v>
      </c>
      <c r="K92" s="9">
        <f>K91*E92</f>
        <v>0</v>
      </c>
      <c r="L92" s="9">
        <f>L91*0.07</f>
        <v>11033.027522935779</v>
      </c>
    </row>
    <row r="93" spans="1:15" ht="18" customHeight="1">
      <c r="A93" s="28" t="s">
        <v>92</v>
      </c>
      <c r="B93" s="44">
        <f>B19*0.0006</f>
        <v>4728.4403669724761</v>
      </c>
      <c r="C93" s="28"/>
      <c r="D93" s="45" t="s">
        <v>93</v>
      </c>
      <c r="E93" s="11">
        <v>0.03</v>
      </c>
      <c r="F93" s="20">
        <f>F91*$E93</f>
        <v>77.064184403669785</v>
      </c>
      <c r="G93" s="20">
        <f t="shared" ref="G93:I93" si="26">G91*$E93</f>
        <v>0</v>
      </c>
      <c r="H93" s="20">
        <f t="shared" si="26"/>
        <v>0</v>
      </c>
      <c r="I93" s="20">
        <f t="shared" si="26"/>
        <v>77.064184403669785</v>
      </c>
      <c r="K93" s="9">
        <f>K91*E93</f>
        <v>0</v>
      </c>
      <c r="L93" s="9">
        <f>L91*E93</f>
        <v>4728.440366972477</v>
      </c>
    </row>
    <row r="94" spans="1:15" ht="18" customHeight="1">
      <c r="A94" s="28"/>
      <c r="B94" s="20"/>
      <c r="C94" s="28"/>
      <c r="D94" s="45" t="s">
        <v>94</v>
      </c>
      <c r="E94" s="11">
        <v>0.02</v>
      </c>
      <c r="F94" s="20">
        <f>F91*$E94</f>
        <v>51.376122935779861</v>
      </c>
      <c r="G94" s="20">
        <f t="shared" ref="G94:I94" si="27">G91*$E94</f>
        <v>0</v>
      </c>
      <c r="H94" s="20">
        <f t="shared" si="27"/>
        <v>0</v>
      </c>
      <c r="I94" s="20">
        <f t="shared" si="27"/>
        <v>51.376122935779861</v>
      </c>
      <c r="K94" s="9">
        <f>K91*E94</f>
        <v>0</v>
      </c>
      <c r="L94" s="9">
        <f>L91*E94</f>
        <v>3152.2935779816512</v>
      </c>
    </row>
    <row r="95" spans="1:15" ht="18" customHeight="1">
      <c r="A95" s="25" t="s">
        <v>95</v>
      </c>
      <c r="B95" s="35">
        <f>SUM(B91:B94)</f>
        <v>-154497.7703440371</v>
      </c>
      <c r="C95" s="28"/>
      <c r="D95" s="29" t="s">
        <v>95</v>
      </c>
      <c r="E95" s="25"/>
      <c r="F95" s="37">
        <f>SUM(F91:F94)</f>
        <v>2877.0628844036719</v>
      </c>
      <c r="G95" s="37">
        <f t="shared" ref="G95:I95" si="28">SUM(G91:G94)</f>
        <v>0</v>
      </c>
      <c r="H95" s="37">
        <f t="shared" si="28"/>
        <v>0</v>
      </c>
      <c r="I95" s="37">
        <f t="shared" si="28"/>
        <v>2877.0628844036719</v>
      </c>
      <c r="K95" s="63">
        <f>SUM(K91:K94)</f>
        <v>0</v>
      </c>
      <c r="L95" s="63">
        <f>SUM(L91:L94)</f>
        <v>176528.44036697247</v>
      </c>
    </row>
    <row r="96" spans="1:15" ht="18" customHeight="1">
      <c r="C96" s="2"/>
      <c r="D96" s="9" t="s">
        <v>90</v>
      </c>
      <c r="E96" s="46">
        <v>2.9999999999999997E-4</v>
      </c>
      <c r="F96" s="20">
        <f>G19*E96</f>
        <v>2577</v>
      </c>
      <c r="G96" s="20">
        <f>G7*E96</f>
        <v>504</v>
      </c>
      <c r="H96" s="20">
        <f>G8*E96</f>
        <v>393</v>
      </c>
      <c r="I96" s="20">
        <f>G9*E96</f>
        <v>453</v>
      </c>
      <c r="K96" s="9">
        <f>G10*0.0003</f>
        <v>543</v>
      </c>
      <c r="L96" s="9">
        <f>G11*E96</f>
        <v>684</v>
      </c>
    </row>
    <row r="97" spans="3:12" ht="18" customHeight="1">
      <c r="C97" s="2"/>
      <c r="D97" s="9" t="s">
        <v>92</v>
      </c>
      <c r="E97" s="46">
        <v>5.9999999999999995E-4</v>
      </c>
      <c r="F97" s="20">
        <f>B19*E97</f>
        <v>4728.4403669724761</v>
      </c>
      <c r="G97" s="20">
        <f>B7*E97</f>
        <v>924.77064220183479</v>
      </c>
      <c r="H97" s="20">
        <f>B8*E97</f>
        <v>721.10091743119256</v>
      </c>
      <c r="I97" s="20">
        <f>B9*E97</f>
        <v>831.19266055045853</v>
      </c>
      <c r="K97" s="9">
        <f>B10*0.0006</f>
        <v>996.33027522935765</v>
      </c>
      <c r="L97" s="9">
        <f>B11*E97</f>
        <v>1255.0458715596328</v>
      </c>
    </row>
    <row r="98" spans="3:12" ht="18" customHeight="1">
      <c r="C98" s="2"/>
      <c r="D98" s="16" t="s">
        <v>95</v>
      </c>
      <c r="E98" s="36"/>
      <c r="F98" s="26">
        <f>F97+F96</f>
        <v>7305.4403669724761</v>
      </c>
      <c r="G98" s="26">
        <f t="shared" ref="G98:I98" si="29">G96+G97</f>
        <v>1428.7706422018348</v>
      </c>
      <c r="H98" s="26">
        <f t="shared" si="29"/>
        <v>1114.1009174311926</v>
      </c>
      <c r="I98" s="26">
        <f t="shared" si="29"/>
        <v>1284.1926605504586</v>
      </c>
      <c r="K98" s="27">
        <f>K96+K97</f>
        <v>1539.3302752293575</v>
      </c>
      <c r="L98" s="27">
        <f>SUM(L96:L97)</f>
        <v>1939.0458715596328</v>
      </c>
    </row>
    <row r="99" spans="3:12" ht="18" customHeight="1">
      <c r="C99" s="2"/>
      <c r="D99" s="16" t="s">
        <v>23</v>
      </c>
      <c r="E99" s="27"/>
      <c r="F99" s="26">
        <f t="shared" ref="F99:I99" si="30">F95+F98</f>
        <v>10182.503251376147</v>
      </c>
      <c r="G99" s="26"/>
      <c r="H99" s="26">
        <f t="shared" si="30"/>
        <v>1114.1009174311926</v>
      </c>
      <c r="I99" s="26">
        <f t="shared" si="30"/>
        <v>4161.2555449541305</v>
      </c>
      <c r="K99" s="27">
        <f>K95+K98</f>
        <v>1539.3302752293575</v>
      </c>
      <c r="L99" s="27">
        <f>L95+L98</f>
        <v>178467.48623853212</v>
      </c>
    </row>
    <row r="100" spans="3:12" ht="18" customHeight="1">
      <c r="C100" s="2"/>
      <c r="D100" s="27" t="s">
        <v>87</v>
      </c>
      <c r="E100" s="36">
        <v>0.01</v>
      </c>
      <c r="F100" s="26">
        <f>B19*E100</f>
        <v>78807.339449541279</v>
      </c>
      <c r="G100" s="26">
        <f>B7*E100</f>
        <v>15412.844036697248</v>
      </c>
      <c r="H100" s="26">
        <f>B8*E100</f>
        <v>12018.34862385321</v>
      </c>
      <c r="I100" s="26">
        <f>G9*E100</f>
        <v>15100</v>
      </c>
      <c r="K100" s="27">
        <f>G10*E100</f>
        <v>18100</v>
      </c>
      <c r="L100" s="27">
        <f>G11*E100</f>
        <v>22800</v>
      </c>
    </row>
    <row r="101" spans="3:12" ht="18" customHeight="1">
      <c r="C101" s="2"/>
      <c r="K101" s="6" t="s">
        <v>96</v>
      </c>
    </row>
    <row r="102" spans="3:12" ht="18" customHeight="1">
      <c r="C102" s="2"/>
    </row>
    <row r="103" spans="3:12" ht="18" customHeight="1">
      <c r="C103" s="2"/>
    </row>
    <row r="104" spans="3:12">
      <c r="C104" s="2"/>
    </row>
    <row r="105" spans="3:12">
      <c r="C105" s="2"/>
    </row>
    <row r="106" spans="3:12">
      <c r="C106" s="2"/>
    </row>
    <row r="107" spans="3:12">
      <c r="C107" s="2"/>
    </row>
    <row r="108" spans="3:12">
      <c r="C108" s="2"/>
    </row>
    <row r="109" spans="3:12">
      <c r="C109" s="2"/>
    </row>
    <row r="110" spans="3:12">
      <c r="C110" s="2"/>
    </row>
    <row r="111" spans="3:12">
      <c r="C111" s="2"/>
    </row>
    <row r="112" spans="3:12">
      <c r="C112" s="2"/>
    </row>
    <row r="113" spans="3:3">
      <c r="C113" s="2"/>
    </row>
    <row r="114" spans="3:3">
      <c r="C114" s="2"/>
    </row>
    <row r="115" spans="3:3">
      <c r="C115" s="2"/>
    </row>
    <row r="116" spans="3:3">
      <c r="C116" s="2"/>
    </row>
    <row r="117" spans="3:3">
      <c r="C117" s="2"/>
    </row>
    <row r="118" spans="3:3">
      <c r="C118" s="2"/>
    </row>
    <row r="119" spans="3:3">
      <c r="C119" s="2"/>
    </row>
  </sheetData>
  <autoFilter ref="A21:O36"/>
  <mergeCells count="8">
    <mergeCell ref="A1:J1"/>
    <mergeCell ref="H2:J2"/>
    <mergeCell ref="C5:D5"/>
    <mergeCell ref="E5:F5"/>
    <mergeCell ref="H5:J5"/>
    <mergeCell ref="A5:A6"/>
    <mergeCell ref="B5:B6"/>
    <mergeCell ref="G5:G6"/>
  </mergeCells>
  <phoneticPr fontId="1" type="noConversion"/>
  <pageMargins left="0.235416666666667" right="0.235416666666667" top="0.31388888888888899" bottom="0.15625" header="0.31388888888888899" footer="0.31388888888888899"/>
  <pageSetup paperSize="9"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G8" sqref="G8"/>
    </sheetView>
  </sheetViews>
  <sheetFormatPr defaultRowHeight="27" customHeight="1"/>
  <cols>
    <col min="1" max="1" width="27.625" style="69" customWidth="1"/>
    <col min="2" max="3" width="19.875" style="68" customWidth="1"/>
    <col min="4" max="4" width="17.625" style="68" customWidth="1"/>
    <col min="5" max="16384" width="9" style="69"/>
  </cols>
  <sheetData>
    <row r="1" spans="1:4" s="100" customFormat="1" ht="27" customHeight="1">
      <c r="A1" s="97" t="s">
        <v>98</v>
      </c>
      <c r="B1" s="98" t="s">
        <v>101</v>
      </c>
      <c r="C1" s="98" t="s">
        <v>102</v>
      </c>
      <c r="D1" s="99" t="s">
        <v>124</v>
      </c>
    </row>
    <row r="2" spans="1:4" ht="27" customHeight="1">
      <c r="A2" s="76" t="s">
        <v>39</v>
      </c>
      <c r="B2" s="75">
        <v>6650000</v>
      </c>
      <c r="C2" s="75">
        <v>6650000</v>
      </c>
      <c r="D2" s="68">
        <f>GETPIVOTDATA("求和项:价税合计",$A$1,"销货单位",A2)-GETPIVOTDATA("求和项:付款金额",$A$1,"销货单位",A2)</f>
        <v>0</v>
      </c>
    </row>
    <row r="3" spans="1:4" ht="27" customHeight="1">
      <c r="A3" s="76" t="s">
        <v>47</v>
      </c>
      <c r="B3" s="75">
        <v>914977</v>
      </c>
      <c r="C3" s="75">
        <v>914977</v>
      </c>
      <c r="D3" s="68">
        <f t="shared" ref="D3:D6" si="0">GETPIVOTDATA("求和项:价税合计",$A$1,"销货单位",A3)-GETPIVOTDATA("求和项:付款金额",$A$1,"销货单位",A3)</f>
        <v>0</v>
      </c>
    </row>
    <row r="4" spans="1:4" ht="27" customHeight="1">
      <c r="A4" s="76" t="s">
        <v>123</v>
      </c>
      <c r="B4" s="75"/>
      <c r="C4" s="75">
        <v>-50000</v>
      </c>
      <c r="D4" s="68">
        <f t="shared" si="0"/>
        <v>50000</v>
      </c>
    </row>
    <row r="5" spans="1:4" ht="27" customHeight="1">
      <c r="A5" s="76" t="s">
        <v>51</v>
      </c>
      <c r="B5" s="75">
        <v>1025023</v>
      </c>
      <c r="C5" s="75">
        <v>1025023</v>
      </c>
      <c r="D5" s="68">
        <f t="shared" si="0"/>
        <v>0</v>
      </c>
    </row>
    <row r="6" spans="1:4" ht="27" customHeight="1">
      <c r="A6" s="76" t="s">
        <v>99</v>
      </c>
      <c r="B6" s="75"/>
      <c r="C6" s="75"/>
      <c r="D6" s="68">
        <f t="shared" si="0"/>
        <v>0</v>
      </c>
    </row>
    <row r="7" spans="1:4" ht="27" customHeight="1">
      <c r="A7" s="76" t="s">
        <v>100</v>
      </c>
      <c r="B7" s="75">
        <v>8590000</v>
      </c>
      <c r="C7" s="75">
        <v>8540000</v>
      </c>
    </row>
    <row r="8" spans="1:4" ht="27" customHeight="1">
      <c r="A8"/>
      <c r="B8"/>
      <c r="C8"/>
    </row>
  </sheetData>
  <phoneticPr fontId="1" type="noConversion"/>
  <pageMargins left="0.7" right="0.7" top="0.75" bottom="0.75" header="0.3" footer="0.3"/>
  <pageSetup paperSize="400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80"/>
  <sheetViews>
    <sheetView topLeftCell="D22" workbookViewId="0">
      <selection activeCell="B48" sqref="B48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13.87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spans="1:15" ht="21.95" customHeight="1">
      <c r="A1" s="79" t="s">
        <v>0</v>
      </c>
      <c r="B1" s="79"/>
      <c r="C1" s="79"/>
      <c r="D1" s="79"/>
      <c r="E1" s="79"/>
      <c r="F1" s="80"/>
      <c r="G1" s="80"/>
      <c r="H1" s="79"/>
      <c r="I1" s="80"/>
      <c r="J1" s="79"/>
      <c r="K1" s="15"/>
      <c r="L1" s="15"/>
    </row>
    <row r="2" spans="1:15" ht="18" customHeight="1">
      <c r="A2" s="7" t="s">
        <v>1</v>
      </c>
      <c r="B2" s="8">
        <v>43670</v>
      </c>
      <c r="C2" s="9" t="s">
        <v>2</v>
      </c>
      <c r="D2" s="10">
        <v>12170102.67</v>
      </c>
      <c r="E2" s="11" t="s">
        <v>3</v>
      </c>
      <c r="F2" s="12" t="s">
        <v>4</v>
      </c>
      <c r="G2" s="13" t="s">
        <v>5</v>
      </c>
      <c r="H2" s="81" t="s">
        <v>6</v>
      </c>
      <c r="I2" s="82"/>
      <c r="J2" s="83"/>
      <c r="K2" s="15"/>
      <c r="L2" s="15"/>
    </row>
    <row r="3" spans="1:15" ht="18" customHeight="1">
      <c r="A3" s="7" t="s">
        <v>7</v>
      </c>
      <c r="B3" s="14"/>
      <c r="C3" s="9" t="s">
        <v>8</v>
      </c>
      <c r="D3" s="9"/>
      <c r="H3" s="15"/>
      <c r="I3" s="47"/>
      <c r="J3" s="15"/>
      <c r="K3" s="15"/>
      <c r="L3" s="15"/>
    </row>
    <row r="4" spans="1:15" ht="18" customHeight="1">
      <c r="A4" s="2" t="s">
        <v>9</v>
      </c>
      <c r="H4" s="15"/>
      <c r="I4" s="47"/>
      <c r="J4" s="15"/>
      <c r="K4" s="15"/>
      <c r="L4" s="15"/>
    </row>
    <row r="5" spans="1:15" ht="18" customHeight="1">
      <c r="A5" s="84" t="s">
        <v>10</v>
      </c>
      <c r="B5" s="85" t="s">
        <v>11</v>
      </c>
      <c r="C5" s="84" t="s">
        <v>12</v>
      </c>
      <c r="D5" s="84"/>
      <c r="E5" s="84" t="s">
        <v>13</v>
      </c>
      <c r="F5" s="85"/>
      <c r="G5" s="85" t="s">
        <v>14</v>
      </c>
      <c r="H5" s="86" t="s">
        <v>15</v>
      </c>
      <c r="I5" s="85"/>
      <c r="J5" s="86"/>
    </row>
    <row r="6" spans="1:15" ht="18" customHeight="1">
      <c r="A6" s="84"/>
      <c r="B6" s="85"/>
      <c r="C6" s="16" t="s">
        <v>16</v>
      </c>
      <c r="D6" s="16" t="s">
        <v>17</v>
      </c>
      <c r="E6" s="16" t="s">
        <v>16</v>
      </c>
      <c r="F6" s="17" t="s">
        <v>17</v>
      </c>
      <c r="G6" s="85"/>
      <c r="H6" s="18" t="s">
        <v>18</v>
      </c>
      <c r="I6" s="17" t="s">
        <v>19</v>
      </c>
      <c r="J6" s="18" t="s">
        <v>20</v>
      </c>
    </row>
    <row r="7" spans="1:15" ht="18" customHeight="1">
      <c r="A7" s="19">
        <v>43781</v>
      </c>
      <c r="B7" s="20">
        <f t="shared" ref="B7:B8" si="0">G7/(1+C7+E7)</f>
        <v>1541284.40366972</v>
      </c>
      <c r="C7" s="21"/>
      <c r="D7" s="22">
        <f t="shared" ref="D7:D8" si="1">G7/(1+E7+C7)*C7</f>
        <v>0</v>
      </c>
      <c r="E7" s="23">
        <v>0.09</v>
      </c>
      <c r="F7" s="20">
        <f t="shared" ref="F7:F8" si="2">G7/(1+C7+E7)*E7</f>
        <v>138715.596330275</v>
      </c>
      <c r="G7" s="24">
        <v>1680000</v>
      </c>
      <c r="H7" s="19">
        <v>43782</v>
      </c>
      <c r="I7" s="20">
        <v>420000</v>
      </c>
      <c r="J7" s="48" t="s">
        <v>21</v>
      </c>
      <c r="K7" s="6" t="s">
        <v>22</v>
      </c>
    </row>
    <row r="8" spans="1:15" ht="18" customHeight="1">
      <c r="A8" s="19">
        <v>43809</v>
      </c>
      <c r="B8" s="20">
        <f t="shared" si="0"/>
        <v>1201834.86238532</v>
      </c>
      <c r="C8" s="21"/>
      <c r="D8" s="22">
        <f t="shared" si="1"/>
        <v>0</v>
      </c>
      <c r="E8" s="23">
        <v>0.09</v>
      </c>
      <c r="F8" s="20">
        <f t="shared" si="2"/>
        <v>108165.137614679</v>
      </c>
      <c r="G8" s="24">
        <v>1310000</v>
      </c>
      <c r="H8" s="19">
        <v>43782</v>
      </c>
      <c r="I8" s="20">
        <v>1260000</v>
      </c>
      <c r="J8" s="48" t="s">
        <v>21</v>
      </c>
    </row>
    <row r="9" spans="1:15" ht="18" customHeight="1">
      <c r="A9" s="19">
        <v>43838</v>
      </c>
      <c r="B9" s="20">
        <f t="shared" ref="B9:B10" si="3">G9/(1+C9+E9)</f>
        <v>1385321.1009174299</v>
      </c>
      <c r="C9" s="21"/>
      <c r="D9" s="22">
        <f t="shared" ref="D9:D10" si="4">G9/(1+E9+C9)*C9</f>
        <v>0</v>
      </c>
      <c r="E9" s="23">
        <v>0.09</v>
      </c>
      <c r="F9" s="20">
        <f t="shared" ref="F9:F10" si="5">G9/(1+C9+E9)*E9</f>
        <v>124678.899082569</v>
      </c>
      <c r="G9" s="24">
        <v>1510000</v>
      </c>
      <c r="H9" s="19">
        <v>43811</v>
      </c>
      <c r="I9" s="20">
        <v>310000</v>
      </c>
      <c r="J9" s="48" t="s">
        <v>21</v>
      </c>
    </row>
    <row r="10" spans="1:15" ht="18" customHeight="1">
      <c r="A10" s="19"/>
      <c r="B10" s="20">
        <f t="shared" si="3"/>
        <v>0</v>
      </c>
      <c r="C10" s="21"/>
      <c r="D10" s="22">
        <f t="shared" si="4"/>
        <v>0</v>
      </c>
      <c r="E10" s="21">
        <v>0.08</v>
      </c>
      <c r="F10" s="20">
        <f t="shared" si="5"/>
        <v>0</v>
      </c>
      <c r="G10" s="24"/>
      <c r="H10" s="19">
        <v>43811</v>
      </c>
      <c r="I10" s="20">
        <v>1000000</v>
      </c>
      <c r="J10" s="48" t="s">
        <v>21</v>
      </c>
    </row>
    <row r="11" spans="1:15" ht="18" customHeight="1">
      <c r="A11" s="19"/>
      <c r="B11" s="20"/>
      <c r="C11" s="21"/>
      <c r="D11" s="22"/>
      <c r="E11" s="21"/>
      <c r="F11" s="20"/>
      <c r="G11" s="24"/>
      <c r="H11" s="19">
        <v>43839</v>
      </c>
      <c r="I11" s="20">
        <v>1130000</v>
      </c>
      <c r="J11" s="48" t="s">
        <v>21</v>
      </c>
    </row>
    <row r="12" spans="1:15" ht="18" customHeight="1">
      <c r="A12" s="19"/>
      <c r="B12" s="20"/>
      <c r="C12" s="21"/>
      <c r="D12" s="22"/>
      <c r="E12" s="21"/>
      <c r="F12" s="20"/>
      <c r="G12" s="24"/>
      <c r="H12" s="19">
        <v>43839</v>
      </c>
      <c r="I12" s="20">
        <v>380000</v>
      </c>
      <c r="J12" s="48" t="s">
        <v>21</v>
      </c>
    </row>
    <row r="13" spans="1:15" ht="18" customHeight="1">
      <c r="A13" s="25" t="s">
        <v>23</v>
      </c>
      <c r="B13" s="26">
        <f t="shared" ref="B13:G13" si="6">SUM(B7:B12)</f>
        <v>4128440.3669724702</v>
      </c>
      <c r="C13" s="27"/>
      <c r="D13" s="26">
        <f>SUM(D7:D10)</f>
        <v>0</v>
      </c>
      <c r="E13" s="27"/>
      <c r="F13" s="26">
        <f t="shared" si="6"/>
        <v>371559.633027523</v>
      </c>
      <c r="G13" s="26">
        <f t="shared" si="6"/>
        <v>4500000</v>
      </c>
      <c r="H13" s="28"/>
      <c r="I13" s="26">
        <f>SUM(I7:I12)</f>
        <v>4500000</v>
      </c>
      <c r="J13" s="28"/>
    </row>
    <row r="14" spans="1:15" ht="18" customHeight="1">
      <c r="A14" s="2" t="s">
        <v>24</v>
      </c>
      <c r="J14" s="4"/>
      <c r="K14" s="4"/>
      <c r="L14" s="5"/>
    </row>
    <row r="15" spans="1:15" ht="18" customHeight="1">
      <c r="A15" s="29" t="s">
        <v>25</v>
      </c>
      <c r="B15" s="17" t="s">
        <v>26</v>
      </c>
      <c r="C15" s="16" t="s">
        <v>27</v>
      </c>
      <c r="D15" s="16" t="s">
        <v>28</v>
      </c>
      <c r="E15" s="16" t="s">
        <v>16</v>
      </c>
      <c r="F15" s="17" t="s">
        <v>29</v>
      </c>
      <c r="G15" s="17" t="s">
        <v>14</v>
      </c>
      <c r="H15" s="16" t="s">
        <v>30</v>
      </c>
      <c r="I15" s="17" t="s">
        <v>31</v>
      </c>
      <c r="J15" s="16" t="s">
        <v>20</v>
      </c>
      <c r="K15" s="49" t="s">
        <v>32</v>
      </c>
      <c r="L15" s="18" t="s">
        <v>33</v>
      </c>
      <c r="M15" s="18" t="s">
        <v>34</v>
      </c>
      <c r="N15" s="18" t="s">
        <v>35</v>
      </c>
      <c r="O15" s="18" t="s">
        <v>36</v>
      </c>
    </row>
    <row r="16" spans="1:15" s="1" customFormat="1" ht="18" customHeight="1">
      <c r="A16" s="30">
        <v>43788</v>
      </c>
      <c r="B16" s="14">
        <f t="shared" ref="B16:B19" si="7">ROUND(G16/(1+E16),2)</f>
        <v>1541284.4</v>
      </c>
      <c r="C16" s="31"/>
      <c r="D16" s="32" t="s">
        <v>37</v>
      </c>
      <c r="E16" s="33">
        <v>0.09</v>
      </c>
      <c r="F16" s="14">
        <f t="shared" ref="F16:F19" si="8">ROUND(G16/(1+E16)*E16,2)</f>
        <v>138715.6</v>
      </c>
      <c r="G16" s="24">
        <v>1680000</v>
      </c>
      <c r="H16" s="19" t="s">
        <v>38</v>
      </c>
      <c r="I16" s="20">
        <v>1260000</v>
      </c>
      <c r="J16" s="48" t="s">
        <v>21</v>
      </c>
      <c r="K16" s="50" t="s">
        <v>39</v>
      </c>
      <c r="L16" s="51" t="s">
        <v>40</v>
      </c>
      <c r="M16" s="52" t="s">
        <v>41</v>
      </c>
      <c r="N16" s="52"/>
      <c r="O16" s="51"/>
    </row>
    <row r="17" spans="1:15" s="1" customFormat="1" ht="18" customHeight="1">
      <c r="A17" s="30"/>
      <c r="B17" s="14">
        <f t="shared" si="7"/>
        <v>0</v>
      </c>
      <c r="C17" s="31"/>
      <c r="D17" s="32"/>
      <c r="E17" s="34"/>
      <c r="F17" s="14">
        <f t="shared" si="8"/>
        <v>0</v>
      </c>
      <c r="G17" s="24"/>
      <c r="H17" s="19" t="s">
        <v>38</v>
      </c>
      <c r="I17" s="20">
        <v>254000</v>
      </c>
      <c r="J17" s="48" t="s">
        <v>21</v>
      </c>
      <c r="K17" s="6" t="s">
        <v>22</v>
      </c>
      <c r="L17" s="51"/>
      <c r="M17" s="52"/>
      <c r="N17" s="52"/>
      <c r="O17" s="51"/>
    </row>
    <row r="18" spans="1:15" s="1" customFormat="1" ht="18" customHeight="1">
      <c r="A18" s="30">
        <v>43800</v>
      </c>
      <c r="B18" s="14">
        <f t="shared" si="7"/>
        <v>1201834.8600000001</v>
      </c>
      <c r="C18" s="31"/>
      <c r="D18" s="32" t="s">
        <v>37</v>
      </c>
      <c r="E18" s="33">
        <v>0.09</v>
      </c>
      <c r="F18" s="14">
        <f t="shared" si="8"/>
        <v>108165.14</v>
      </c>
      <c r="G18" s="24">
        <v>1310000</v>
      </c>
      <c r="H18" s="19" t="s">
        <v>42</v>
      </c>
      <c r="I18" s="20">
        <v>1000000</v>
      </c>
      <c r="J18" s="48" t="s">
        <v>21</v>
      </c>
      <c r="K18" s="50" t="s">
        <v>39</v>
      </c>
      <c r="L18" s="51" t="s">
        <v>40</v>
      </c>
      <c r="M18" s="52" t="s">
        <v>41</v>
      </c>
      <c r="N18" s="52"/>
      <c r="O18" s="51"/>
    </row>
    <row r="19" spans="1:15" s="1" customFormat="1" ht="18" customHeight="1">
      <c r="A19" s="30">
        <v>43831</v>
      </c>
      <c r="B19" s="14">
        <f t="shared" si="7"/>
        <v>1385321.1</v>
      </c>
      <c r="C19" s="31"/>
      <c r="D19" s="32" t="s">
        <v>37</v>
      </c>
      <c r="E19" s="33">
        <v>0.09</v>
      </c>
      <c r="F19" s="14">
        <f t="shared" si="8"/>
        <v>124678.9</v>
      </c>
      <c r="G19" s="24">
        <f>108000*13+106000</f>
        <v>1510000</v>
      </c>
      <c r="H19" s="19"/>
      <c r="I19" s="20"/>
      <c r="J19" s="48"/>
      <c r="K19" s="50" t="s">
        <v>39</v>
      </c>
      <c r="L19" s="51" t="s">
        <v>40</v>
      </c>
      <c r="M19" s="52" t="s">
        <v>41</v>
      </c>
      <c r="N19" s="52"/>
      <c r="O19" s="51"/>
    </row>
    <row r="20" spans="1:15" s="1" customFormat="1" ht="18" customHeight="1">
      <c r="A20" s="30"/>
      <c r="B20" s="14"/>
      <c r="C20" s="31"/>
      <c r="D20" s="32"/>
      <c r="E20" s="33"/>
      <c r="F20" s="14"/>
      <c r="G20" s="24"/>
      <c r="H20" s="19">
        <v>43846</v>
      </c>
      <c r="I20" s="20">
        <v>1130000</v>
      </c>
      <c r="J20" s="48" t="s">
        <v>21</v>
      </c>
      <c r="K20" s="50" t="s">
        <v>39</v>
      </c>
      <c r="L20" s="51" t="s">
        <v>40</v>
      </c>
      <c r="M20" s="52"/>
      <c r="N20" s="52"/>
      <c r="O20" s="51"/>
    </row>
    <row r="21" spans="1:15" s="1" customFormat="1" ht="18" customHeight="1">
      <c r="A21" s="30"/>
      <c r="B21" s="14"/>
      <c r="C21" s="31"/>
      <c r="D21" s="32"/>
      <c r="E21" s="33"/>
      <c r="F21" s="14"/>
      <c r="G21" s="24"/>
      <c r="H21" s="19">
        <v>43846</v>
      </c>
      <c r="I21" s="20">
        <v>856000</v>
      </c>
      <c r="J21" s="48" t="s">
        <v>21</v>
      </c>
      <c r="K21" s="50" t="s">
        <v>43</v>
      </c>
      <c r="L21" s="51"/>
      <c r="M21" s="52"/>
      <c r="N21" s="52"/>
      <c r="O21" s="51"/>
    </row>
    <row r="22" spans="1:15" s="1" customFormat="1" ht="18" customHeight="1">
      <c r="A22" s="30"/>
      <c r="B22" s="14"/>
      <c r="C22" s="31"/>
      <c r="D22" s="32"/>
      <c r="E22" s="33"/>
      <c r="F22" s="14"/>
      <c r="G22" s="24"/>
      <c r="H22" s="19"/>
      <c r="I22" s="20"/>
      <c r="J22" s="48"/>
      <c r="K22" s="50"/>
      <c r="L22" s="51"/>
      <c r="M22" s="52"/>
      <c r="N22" s="52"/>
      <c r="O22" s="51"/>
    </row>
    <row r="23" spans="1:15" s="1" customFormat="1" ht="18" customHeight="1">
      <c r="A23" s="30"/>
      <c r="B23" s="14"/>
      <c r="C23" s="31"/>
      <c r="D23" s="32"/>
      <c r="E23" s="33"/>
      <c r="F23" s="14"/>
      <c r="G23" s="24"/>
      <c r="H23" s="19"/>
      <c r="I23" s="20"/>
      <c r="J23" s="48"/>
      <c r="K23" s="50"/>
      <c r="L23" s="51"/>
      <c r="M23" s="52"/>
      <c r="N23" s="52"/>
      <c r="O23" s="51"/>
    </row>
    <row r="24" spans="1:15" s="1" customFormat="1" ht="18" customHeight="1">
      <c r="A24" s="30"/>
      <c r="B24" s="14"/>
      <c r="C24" s="31"/>
      <c r="D24" s="32"/>
      <c r="E24" s="33"/>
      <c r="F24" s="14"/>
      <c r="G24" s="24"/>
      <c r="H24" s="19"/>
      <c r="I24" s="20"/>
      <c r="J24" s="48"/>
      <c r="K24" s="50"/>
      <c r="L24" s="51"/>
      <c r="M24" s="52"/>
      <c r="N24" s="52"/>
      <c r="O24" s="51"/>
    </row>
    <row r="25" spans="1:15" s="1" customFormat="1" ht="18" customHeight="1">
      <c r="A25" s="30"/>
      <c r="B25" s="14"/>
      <c r="C25" s="31"/>
      <c r="D25" s="32"/>
      <c r="E25" s="33"/>
      <c r="F25" s="14"/>
      <c r="G25" s="24"/>
      <c r="H25" s="19"/>
      <c r="I25" s="20"/>
      <c r="J25" s="48"/>
      <c r="K25" s="50"/>
      <c r="L25" s="51"/>
      <c r="M25" s="52"/>
      <c r="N25" s="52"/>
      <c r="O25" s="51"/>
    </row>
    <row r="26" spans="1:15" s="1" customFormat="1" ht="18" customHeight="1">
      <c r="A26" s="30"/>
      <c r="B26" s="14"/>
      <c r="C26" s="31"/>
      <c r="D26" s="32"/>
      <c r="E26" s="33"/>
      <c r="F26" s="14"/>
      <c r="G26" s="24"/>
      <c r="H26" s="19"/>
      <c r="I26" s="20"/>
      <c r="J26" s="48"/>
      <c r="K26" s="50"/>
      <c r="L26" s="51"/>
      <c r="M26" s="52"/>
      <c r="N26" s="52"/>
      <c r="O26" s="51"/>
    </row>
    <row r="27" spans="1:15" s="1" customFormat="1" ht="18" customHeight="1">
      <c r="A27" s="30"/>
      <c r="B27" s="14"/>
      <c r="C27" s="31"/>
      <c r="D27" s="32"/>
      <c r="E27" s="33"/>
      <c r="F27" s="14"/>
      <c r="G27" s="24"/>
      <c r="H27" s="19"/>
      <c r="I27" s="20"/>
      <c r="J27" s="48"/>
      <c r="K27" s="50"/>
      <c r="L27" s="51"/>
      <c r="M27" s="52"/>
      <c r="N27" s="52"/>
      <c r="O27" s="51"/>
    </row>
    <row r="28" spans="1:15" s="1" customFormat="1" ht="18" customHeight="1">
      <c r="A28" s="30"/>
      <c r="B28" s="14"/>
      <c r="C28" s="31"/>
      <c r="D28" s="32"/>
      <c r="E28" s="33"/>
      <c r="F28" s="14"/>
      <c r="G28" s="24"/>
      <c r="H28" s="19"/>
      <c r="I28" s="20"/>
      <c r="J28" s="48"/>
      <c r="K28" s="50"/>
      <c r="L28" s="51"/>
      <c r="M28" s="52"/>
      <c r="N28" s="52"/>
      <c r="O28" s="51"/>
    </row>
    <row r="29" spans="1:15" s="1" customFormat="1" ht="18" customHeight="1">
      <c r="A29" s="30"/>
      <c r="B29" s="14"/>
      <c r="C29" s="31"/>
      <c r="D29" s="32"/>
      <c r="E29" s="33"/>
      <c r="F29" s="14"/>
      <c r="G29" s="24"/>
      <c r="H29" s="19"/>
      <c r="I29" s="20"/>
      <c r="J29" s="48"/>
      <c r="K29" s="50"/>
      <c r="L29" s="51"/>
      <c r="M29" s="52"/>
      <c r="N29" s="52"/>
      <c r="O29" s="51"/>
    </row>
    <row r="30" spans="1:15" s="1" customFormat="1" ht="18" customHeight="1">
      <c r="A30" s="30"/>
      <c r="B30" s="14"/>
      <c r="C30" s="31"/>
      <c r="D30" s="32"/>
      <c r="E30" s="33"/>
      <c r="F30" s="14"/>
      <c r="G30" s="24"/>
      <c r="H30" s="19">
        <v>43844</v>
      </c>
      <c r="I30" s="20">
        <v>-46585</v>
      </c>
      <c r="J30" s="48" t="s">
        <v>55</v>
      </c>
      <c r="K30" s="50" t="s">
        <v>63</v>
      </c>
      <c r="L30" s="51"/>
      <c r="M30" s="52"/>
      <c r="N30" s="52"/>
      <c r="O30" s="51"/>
    </row>
    <row r="31" spans="1:15" s="1" customFormat="1" ht="18" customHeight="1">
      <c r="A31" s="30"/>
      <c r="B31" s="14">
        <f t="shared" ref="B31:B35" si="9">ROUND(G31/(1+E31),2)</f>
        <v>0</v>
      </c>
      <c r="C31" s="31"/>
      <c r="D31" s="32"/>
      <c r="E31" s="33"/>
      <c r="F31" s="14">
        <f t="shared" ref="F31:F35" si="10">ROUND(G31/(1+E31)*E31,2)</f>
        <v>0</v>
      </c>
      <c r="G31" s="24"/>
      <c r="H31" s="19" t="s">
        <v>66</v>
      </c>
      <c r="I31" s="20">
        <v>-476000</v>
      </c>
      <c r="J31" s="48" t="s">
        <v>67</v>
      </c>
      <c r="K31" s="50" t="s">
        <v>68</v>
      </c>
      <c r="L31" s="51"/>
      <c r="M31" s="52"/>
      <c r="N31" s="52"/>
      <c r="O31" s="51"/>
    </row>
    <row r="32" spans="1:15" s="1" customFormat="1" ht="18" customHeight="1">
      <c r="A32" s="30"/>
      <c r="B32" s="14">
        <f t="shared" si="9"/>
        <v>30200</v>
      </c>
      <c r="C32" s="31"/>
      <c r="D32" s="32"/>
      <c r="E32" s="33"/>
      <c r="F32" s="14">
        <f t="shared" si="10"/>
        <v>0</v>
      </c>
      <c r="G32" s="24">
        <f>I32</f>
        <v>30200</v>
      </c>
      <c r="H32" s="19" t="s">
        <v>66</v>
      </c>
      <c r="I32" s="20">
        <v>30200</v>
      </c>
      <c r="J32" s="48" t="s">
        <v>57</v>
      </c>
      <c r="K32" s="50" t="s">
        <v>69</v>
      </c>
      <c r="L32" s="51"/>
      <c r="M32" s="52"/>
      <c r="N32" s="52"/>
      <c r="O32" s="51"/>
    </row>
    <row r="33" spans="1:15" s="1" customFormat="1" ht="18" customHeight="1">
      <c r="A33" s="30"/>
      <c r="B33" s="14">
        <f t="shared" si="9"/>
        <v>0</v>
      </c>
      <c r="C33" s="31"/>
      <c r="D33" s="32"/>
      <c r="E33" s="33"/>
      <c r="F33" s="14">
        <f t="shared" si="10"/>
        <v>0</v>
      </c>
      <c r="G33" s="24"/>
      <c r="H33" s="19" t="s">
        <v>66</v>
      </c>
      <c r="I33" s="20">
        <v>15100</v>
      </c>
      <c r="J33" s="48" t="s">
        <v>57</v>
      </c>
      <c r="K33" s="50" t="s">
        <v>60</v>
      </c>
      <c r="L33" s="51"/>
      <c r="M33" s="52"/>
      <c r="N33" s="52"/>
      <c r="O33" s="51"/>
    </row>
    <row r="34" spans="1:15" s="1" customFormat="1" ht="18" customHeight="1">
      <c r="A34" s="30"/>
      <c r="B34" s="14">
        <f t="shared" si="9"/>
        <v>0</v>
      </c>
      <c r="C34" s="31"/>
      <c r="D34" s="32"/>
      <c r="E34" s="33"/>
      <c r="F34" s="14">
        <f t="shared" si="10"/>
        <v>0</v>
      </c>
      <c r="G34" s="24"/>
      <c r="H34" s="19" t="s">
        <v>66</v>
      </c>
      <c r="I34" s="22">
        <v>1285</v>
      </c>
      <c r="J34" s="48" t="s">
        <v>57</v>
      </c>
      <c r="K34" s="50" t="s">
        <v>70</v>
      </c>
      <c r="L34" s="51"/>
      <c r="M34" s="52"/>
      <c r="N34" s="52"/>
      <c r="O34" s="51"/>
    </row>
    <row r="35" spans="1:15" s="1" customFormat="1" ht="18" customHeight="1">
      <c r="A35" s="30"/>
      <c r="B35" s="14">
        <f t="shared" si="9"/>
        <v>0</v>
      </c>
      <c r="C35" s="31"/>
      <c r="D35" s="32"/>
      <c r="E35" s="33"/>
      <c r="F35" s="14">
        <f t="shared" si="10"/>
        <v>0</v>
      </c>
      <c r="G35" s="24"/>
      <c r="H35" s="19">
        <v>43816</v>
      </c>
      <c r="I35" s="53">
        <v>-39334</v>
      </c>
      <c r="J35" s="48" t="s">
        <v>55</v>
      </c>
      <c r="K35" s="50" t="s">
        <v>71</v>
      </c>
      <c r="L35" s="51"/>
      <c r="M35" s="52"/>
      <c r="N35" s="52"/>
      <c r="O35" s="51"/>
    </row>
    <row r="36" spans="1:15" s="1" customFormat="1" ht="18" customHeight="1">
      <c r="A36" s="30"/>
      <c r="B36" s="14"/>
      <c r="C36" s="31"/>
      <c r="D36" s="32"/>
      <c r="E36" s="33"/>
      <c r="F36" s="14"/>
      <c r="G36" s="24"/>
      <c r="H36" s="19" t="s">
        <v>72</v>
      </c>
      <c r="I36" s="22">
        <v>310000</v>
      </c>
      <c r="J36" s="48" t="s">
        <v>73</v>
      </c>
      <c r="K36" s="50" t="s">
        <v>74</v>
      </c>
      <c r="L36" s="51"/>
      <c r="M36" s="52"/>
      <c r="N36" s="52"/>
      <c r="O36" s="51"/>
    </row>
    <row r="37" spans="1:15" s="1" customFormat="1" ht="18" customHeight="1">
      <c r="A37" s="30"/>
      <c r="B37" s="14">
        <f>ROUND(G37/(1+E37),2)</f>
        <v>0</v>
      </c>
      <c r="C37" s="31"/>
      <c r="D37" s="32"/>
      <c r="E37" s="34"/>
      <c r="F37" s="14">
        <f>ROUND(G37/(1+E37)*E37,2)</f>
        <v>0</v>
      </c>
      <c r="G37" s="24"/>
      <c r="H37" s="19" t="s">
        <v>72</v>
      </c>
      <c r="I37" s="53">
        <v>12019</v>
      </c>
      <c r="J37" s="48" t="s">
        <v>57</v>
      </c>
      <c r="K37" s="50" t="s">
        <v>60</v>
      </c>
      <c r="L37" s="51"/>
      <c r="M37" s="52"/>
      <c r="N37" s="52"/>
      <c r="O37" s="51"/>
    </row>
    <row r="38" spans="1:15" s="1" customFormat="1" ht="18" customHeight="1">
      <c r="A38" s="30"/>
      <c r="B38" s="14">
        <f t="shared" ref="B38:B42" si="11">ROUND(G38/(1+E38),2)</f>
        <v>0</v>
      </c>
      <c r="C38" s="31"/>
      <c r="D38" s="32"/>
      <c r="E38" s="34"/>
      <c r="F38" s="14">
        <f t="shared" ref="F38:F42" si="12">ROUND(G38/(1+E38)*E38,2)</f>
        <v>0</v>
      </c>
      <c r="G38" s="24"/>
      <c r="H38" s="19" t="s">
        <v>72</v>
      </c>
      <c r="I38" s="53">
        <v>1115</v>
      </c>
      <c r="J38" s="48" t="s">
        <v>57</v>
      </c>
      <c r="K38" s="50" t="s">
        <v>70</v>
      </c>
      <c r="L38" s="51"/>
      <c r="M38" s="52"/>
      <c r="N38" s="52"/>
      <c r="O38" s="51"/>
    </row>
    <row r="39" spans="1:15" s="1" customFormat="1" ht="18" customHeight="1">
      <c r="A39" s="30"/>
      <c r="B39" s="14">
        <f t="shared" si="11"/>
        <v>26200</v>
      </c>
      <c r="C39" s="31"/>
      <c r="D39" s="32"/>
      <c r="E39" s="34"/>
      <c r="F39" s="14">
        <f t="shared" si="12"/>
        <v>0</v>
      </c>
      <c r="G39" s="24">
        <f>26200</f>
        <v>26200</v>
      </c>
      <c r="H39" s="19" t="s">
        <v>72</v>
      </c>
      <c r="I39" s="53">
        <f>G39</f>
        <v>26200</v>
      </c>
      <c r="J39" s="48" t="s">
        <v>57</v>
      </c>
      <c r="K39" s="50" t="s">
        <v>69</v>
      </c>
      <c r="L39" s="51"/>
      <c r="M39" s="52"/>
      <c r="N39" s="52"/>
      <c r="O39" s="51"/>
    </row>
    <row r="40" spans="1:15" s="1" customFormat="1" ht="18" customHeight="1">
      <c r="A40" s="30"/>
      <c r="B40" s="14">
        <f t="shared" si="11"/>
        <v>0</v>
      </c>
      <c r="C40" s="31"/>
      <c r="D40" s="32"/>
      <c r="E40" s="34"/>
      <c r="F40" s="14">
        <f t="shared" si="12"/>
        <v>0</v>
      </c>
      <c r="G40" s="24"/>
      <c r="H40" s="19">
        <v>43791</v>
      </c>
      <c r="I40" s="54">
        <v>-50442</v>
      </c>
      <c r="J40" s="48" t="s">
        <v>55</v>
      </c>
      <c r="K40" s="50" t="s">
        <v>71</v>
      </c>
      <c r="L40" s="51"/>
      <c r="M40" s="52"/>
      <c r="N40" s="52"/>
      <c r="O40" s="51"/>
    </row>
    <row r="41" spans="1:15" s="1" customFormat="1" ht="18" customHeight="1">
      <c r="A41" s="30"/>
      <c r="B41" s="14">
        <f t="shared" si="11"/>
        <v>0</v>
      </c>
      <c r="C41" s="31"/>
      <c r="D41" s="32"/>
      <c r="E41" s="34"/>
      <c r="F41" s="14">
        <f t="shared" si="12"/>
        <v>0</v>
      </c>
      <c r="G41" s="24"/>
      <c r="H41" s="19" t="s">
        <v>75</v>
      </c>
      <c r="I41" s="54">
        <v>15413</v>
      </c>
      <c r="J41" s="48" t="s">
        <v>57</v>
      </c>
      <c r="K41" s="50" t="s">
        <v>60</v>
      </c>
      <c r="L41" s="51"/>
      <c r="M41" s="52"/>
      <c r="N41" s="52"/>
      <c r="O41" s="51"/>
    </row>
    <row r="42" spans="1:15" s="1" customFormat="1" ht="18" customHeight="1">
      <c r="A42" s="30"/>
      <c r="B42" s="14">
        <f t="shared" si="11"/>
        <v>0</v>
      </c>
      <c r="C42" s="31"/>
      <c r="D42" s="32"/>
      <c r="E42" s="34"/>
      <c r="F42" s="14">
        <f t="shared" si="12"/>
        <v>0</v>
      </c>
      <c r="G42" s="24"/>
      <c r="H42" s="19" t="s">
        <v>75</v>
      </c>
      <c r="I42" s="54">
        <v>1429</v>
      </c>
      <c r="J42" s="48" t="s">
        <v>57</v>
      </c>
      <c r="K42" s="50" t="s">
        <v>70</v>
      </c>
      <c r="L42" s="51"/>
      <c r="M42" s="52"/>
      <c r="N42" s="52"/>
      <c r="O42" s="51"/>
    </row>
    <row r="43" spans="1:15" s="1" customFormat="1" ht="18" customHeight="1">
      <c r="A43" s="30"/>
      <c r="B43" s="14">
        <f t="shared" ref="B43:B46" si="13">ROUND(G43/(1+E43),2)</f>
        <v>0</v>
      </c>
      <c r="C43" s="31"/>
      <c r="D43" s="32"/>
      <c r="E43" s="34"/>
      <c r="F43" s="14">
        <f t="shared" ref="F43:F46" si="14">ROUND(G43/(1+E43)*E43,2)</f>
        <v>0</v>
      </c>
      <c r="G43" s="24"/>
      <c r="H43" s="19" t="s">
        <v>75</v>
      </c>
      <c r="I43" s="22">
        <v>166000</v>
      </c>
      <c r="J43" s="48" t="s">
        <v>73</v>
      </c>
      <c r="K43" s="50" t="s">
        <v>74</v>
      </c>
      <c r="L43" s="51"/>
      <c r="M43" s="52"/>
      <c r="N43" s="52"/>
      <c r="O43" s="51"/>
    </row>
    <row r="44" spans="1:15" s="1" customFormat="1" ht="18" customHeight="1">
      <c r="A44" s="30"/>
      <c r="B44" s="14">
        <f t="shared" si="13"/>
        <v>33600</v>
      </c>
      <c r="C44" s="31"/>
      <c r="D44" s="32"/>
      <c r="E44" s="34"/>
      <c r="F44" s="14">
        <f t="shared" si="14"/>
        <v>0</v>
      </c>
      <c r="G44" s="24">
        <f>33600</f>
        <v>33600</v>
      </c>
      <c r="H44" s="19" t="s">
        <v>75</v>
      </c>
      <c r="I44" s="54">
        <f>G44</f>
        <v>33600</v>
      </c>
      <c r="J44" s="48" t="s">
        <v>57</v>
      </c>
      <c r="K44" s="50" t="s">
        <v>69</v>
      </c>
      <c r="L44" s="51"/>
      <c r="M44" s="52"/>
      <c r="N44" s="52"/>
      <c r="O44" s="51"/>
    </row>
    <row r="45" spans="1:15" s="1" customFormat="1" ht="18" customHeight="1">
      <c r="A45" s="30"/>
      <c r="B45" s="14">
        <f t="shared" si="13"/>
        <v>0</v>
      </c>
      <c r="C45" s="31"/>
      <c r="D45" s="32"/>
      <c r="E45" s="34"/>
      <c r="F45" s="14">
        <f t="shared" si="14"/>
        <v>0</v>
      </c>
      <c r="G45" s="24"/>
      <c r="H45" s="19"/>
      <c r="I45" s="20"/>
      <c r="J45" s="48"/>
      <c r="K45" s="50"/>
      <c r="L45" s="51"/>
      <c r="M45" s="52"/>
      <c r="N45" s="52"/>
      <c r="O45" s="51"/>
    </row>
    <row r="46" spans="1:15" s="1" customFormat="1" ht="18" customHeight="1">
      <c r="A46" s="30"/>
      <c r="B46" s="14">
        <f t="shared" si="13"/>
        <v>0</v>
      </c>
      <c r="C46" s="31"/>
      <c r="D46" s="32"/>
      <c r="E46" s="34"/>
      <c r="F46" s="14">
        <f t="shared" si="14"/>
        <v>0</v>
      </c>
      <c r="G46" s="24"/>
      <c r="H46" s="19"/>
      <c r="I46" s="20"/>
      <c r="J46" s="48"/>
      <c r="L46" s="51"/>
      <c r="M46" s="52"/>
      <c r="N46" s="52"/>
      <c r="O46" s="51"/>
    </row>
    <row r="47" spans="1:15" ht="18" customHeight="1">
      <c r="A47" s="27" t="s">
        <v>23</v>
      </c>
      <c r="B47" s="35">
        <f t="shared" ref="B47:G47" si="15">SUM(B16:B46)</f>
        <v>4218440.3600000003</v>
      </c>
      <c r="C47" s="27"/>
      <c r="D47" s="36"/>
      <c r="E47" s="36"/>
      <c r="F47" s="37">
        <f t="shared" si="15"/>
        <v>371559.64</v>
      </c>
      <c r="G47" s="38">
        <f t="shared" si="15"/>
        <v>4590000</v>
      </c>
      <c r="H47" s="39"/>
      <c r="I47" s="26">
        <f>SUM(I16:I46)</f>
        <v>4500000</v>
      </c>
      <c r="J47" s="55"/>
      <c r="K47" s="50"/>
      <c r="L47" s="28"/>
      <c r="M47" s="48"/>
      <c r="N47" s="48"/>
      <c r="O47" s="28"/>
    </row>
    <row r="48" spans="1:15" ht="18" customHeight="1">
      <c r="A48" s="40" t="s">
        <v>76</v>
      </c>
      <c r="B48" s="41">
        <f>B13*(1-E61)</f>
        <v>4087155.9633027501</v>
      </c>
      <c r="C48" s="40"/>
      <c r="D48" s="42"/>
      <c r="E48" s="42"/>
      <c r="F48" s="41"/>
      <c r="G48" s="41">
        <f>G13-G47</f>
        <v>-90000</v>
      </c>
      <c r="H48" s="18" t="s">
        <v>77</v>
      </c>
      <c r="I48" s="26">
        <f>I13-I47</f>
        <v>0</v>
      </c>
      <c r="J48" s="6"/>
      <c r="K48" s="56"/>
      <c r="M48" s="57"/>
      <c r="N48" s="57"/>
    </row>
    <row r="49" spans="1:14" ht="18" customHeight="1">
      <c r="A49" s="40" t="s">
        <v>78</v>
      </c>
      <c r="B49" s="41">
        <f>B48-B47</f>
        <v>-131284.396697249</v>
      </c>
      <c r="C49" s="40"/>
      <c r="D49" s="42"/>
      <c r="E49" s="42"/>
      <c r="F49" s="41"/>
      <c r="G49" s="41"/>
      <c r="H49" s="43"/>
      <c r="I49" s="41"/>
      <c r="J49" s="6"/>
      <c r="K49" s="56"/>
      <c r="M49" s="57"/>
      <c r="N49" s="57"/>
    </row>
    <row r="50" spans="1:14" ht="18" customHeight="1">
      <c r="A50" s="2" t="s">
        <v>79</v>
      </c>
      <c r="C50" s="2"/>
    </row>
    <row r="51" spans="1:14" ht="18" customHeight="1">
      <c r="A51" s="18" t="s">
        <v>80</v>
      </c>
      <c r="B51" s="17" t="s">
        <v>81</v>
      </c>
      <c r="C51" s="28"/>
      <c r="D51" s="18" t="s">
        <v>80</v>
      </c>
      <c r="E51" s="16" t="s">
        <v>16</v>
      </c>
      <c r="F51" s="17" t="s">
        <v>81</v>
      </c>
      <c r="G51" s="17" t="s">
        <v>82</v>
      </c>
      <c r="H51" s="17" t="s">
        <v>83</v>
      </c>
      <c r="I51" s="17" t="s">
        <v>84</v>
      </c>
    </row>
    <row r="52" spans="1:14" ht="18" customHeight="1">
      <c r="A52" s="28" t="s">
        <v>87</v>
      </c>
      <c r="B52" s="14">
        <f>(B48-B47)*0.25</f>
        <v>-32821.099174312301</v>
      </c>
      <c r="C52" s="28"/>
      <c r="D52" s="25" t="s">
        <v>88</v>
      </c>
      <c r="E52" s="18" t="s">
        <v>89</v>
      </c>
      <c r="F52" s="37">
        <f>F13-F47</f>
        <v>-6.9724770146422097E-3</v>
      </c>
      <c r="G52" s="37">
        <v>0</v>
      </c>
      <c r="H52" s="37">
        <v>0</v>
      </c>
      <c r="I52" s="37">
        <v>0</v>
      </c>
    </row>
    <row r="53" spans="1:14" ht="18" customHeight="1">
      <c r="A53" s="28" t="s">
        <v>90</v>
      </c>
      <c r="B53" s="44"/>
      <c r="C53" s="28"/>
      <c r="D53" s="45" t="s">
        <v>91</v>
      </c>
      <c r="E53" s="11">
        <v>0.05</v>
      </c>
      <c r="F53" s="20">
        <f>F52*E53</f>
        <v>-3.4862385073210997E-4</v>
      </c>
      <c r="G53" s="20">
        <v>0</v>
      </c>
      <c r="H53" s="20">
        <v>0</v>
      </c>
      <c r="I53" s="20">
        <v>0</v>
      </c>
    </row>
    <row r="54" spans="1:14" ht="18" customHeight="1">
      <c r="A54" s="28" t="s">
        <v>92</v>
      </c>
      <c r="B54" s="44"/>
      <c r="C54" s="28"/>
      <c r="D54" s="45" t="s">
        <v>93</v>
      </c>
      <c r="E54" s="11">
        <v>0.03</v>
      </c>
      <c r="F54" s="20">
        <f>F52*E54</f>
        <v>-2.09174310439266E-4</v>
      </c>
      <c r="G54" s="20">
        <v>0</v>
      </c>
      <c r="H54" s="20">
        <v>0</v>
      </c>
      <c r="I54" s="20">
        <v>0</v>
      </c>
    </row>
    <row r="55" spans="1:14" ht="18" customHeight="1">
      <c r="A55" s="28"/>
      <c r="B55" s="20"/>
      <c r="C55" s="28"/>
      <c r="D55" s="45" t="s">
        <v>94</v>
      </c>
      <c r="E55" s="11">
        <v>0.02</v>
      </c>
      <c r="F55" s="20">
        <f>F52*E55</f>
        <v>-1.3944954029284401E-4</v>
      </c>
      <c r="G55" s="20">
        <v>0</v>
      </c>
      <c r="H55" s="20">
        <v>0</v>
      </c>
      <c r="I55" s="20">
        <v>0</v>
      </c>
    </row>
    <row r="56" spans="1:14" ht="18" customHeight="1">
      <c r="A56" s="25" t="s">
        <v>95</v>
      </c>
      <c r="B56" s="35">
        <f>SUM(B52:B55)</f>
        <v>-32821.099174312301</v>
      </c>
      <c r="C56" s="28"/>
      <c r="D56" s="29" t="s">
        <v>95</v>
      </c>
      <c r="E56" s="25"/>
      <c r="F56" s="37">
        <f>SUM(F52:F55)</f>
        <v>-7.6697247161064304E-3</v>
      </c>
      <c r="G56" s="37">
        <v>0</v>
      </c>
      <c r="H56" s="37">
        <v>0</v>
      </c>
      <c r="I56" s="37">
        <v>0</v>
      </c>
    </row>
    <row r="57" spans="1:14" ht="18" customHeight="1">
      <c r="C57" s="2"/>
      <c r="D57" s="9" t="s">
        <v>90</v>
      </c>
      <c r="E57" s="46">
        <v>2.9999999999999997E-4</v>
      </c>
      <c r="F57" s="20">
        <f>G13*E57</f>
        <v>1350</v>
      </c>
      <c r="G57" s="20">
        <f>G7*E57</f>
        <v>504</v>
      </c>
      <c r="H57" s="20">
        <f>G8*E57</f>
        <v>393</v>
      </c>
      <c r="I57" s="20">
        <f>G9*E57</f>
        <v>453</v>
      </c>
      <c r="K57" s="6" t="s">
        <v>97</v>
      </c>
    </row>
    <row r="58" spans="1:14" ht="18" customHeight="1">
      <c r="C58" s="2"/>
      <c r="D58" s="9" t="s">
        <v>92</v>
      </c>
      <c r="E58" s="46">
        <v>5.9999999999999995E-4</v>
      </c>
      <c r="F58" s="20">
        <f>B13*E58</f>
        <v>2477.0642201834798</v>
      </c>
      <c r="G58" s="20">
        <f>B7*E58</f>
        <v>924.77064220183195</v>
      </c>
      <c r="H58" s="20">
        <f>B8*E58</f>
        <v>721.10091743119199</v>
      </c>
      <c r="I58" s="20">
        <f>B9*E58</f>
        <v>831.19266055045898</v>
      </c>
    </row>
    <row r="59" spans="1:14" ht="18" customHeight="1">
      <c r="C59" s="2"/>
      <c r="D59" s="16" t="s">
        <v>95</v>
      </c>
      <c r="E59" s="36"/>
      <c r="F59" s="26">
        <f>F58+F57</f>
        <v>3827.0642201834798</v>
      </c>
      <c r="G59" s="26">
        <f t="shared" ref="G59:I59" si="16">G57+G58</f>
        <v>1428.77064220183</v>
      </c>
      <c r="H59" s="26">
        <f t="shared" si="16"/>
        <v>1114.1009174311901</v>
      </c>
      <c r="I59" s="26">
        <f t="shared" si="16"/>
        <v>1284.19266055046</v>
      </c>
    </row>
    <row r="60" spans="1:14" ht="18" customHeight="1">
      <c r="C60" s="2"/>
      <c r="D60" s="16" t="s">
        <v>23</v>
      </c>
      <c r="E60" s="27"/>
      <c r="F60" s="26">
        <f t="shared" ref="F60:I60" si="17">F56+F59</f>
        <v>3827.0565504587598</v>
      </c>
      <c r="G60" s="26"/>
      <c r="H60" s="26">
        <f t="shared" si="17"/>
        <v>1114.1009174311901</v>
      </c>
      <c r="I60" s="26">
        <f t="shared" si="17"/>
        <v>1284.19266055046</v>
      </c>
    </row>
    <row r="61" spans="1:14" ht="18" customHeight="1">
      <c r="C61" s="2"/>
      <c r="D61" s="27" t="s">
        <v>87</v>
      </c>
      <c r="E61" s="36">
        <v>0.01</v>
      </c>
      <c r="F61" s="26">
        <f>B13*E61</f>
        <v>41284.403669724699</v>
      </c>
      <c r="G61" s="26">
        <f>B7*E61</f>
        <v>15412.844036697201</v>
      </c>
      <c r="H61" s="26">
        <f>B8*E61</f>
        <v>12018.3486238532</v>
      </c>
      <c r="I61" s="26">
        <f>G9*E61</f>
        <v>15100</v>
      </c>
    </row>
    <row r="62" spans="1:14" ht="18" customHeight="1">
      <c r="C62" s="2"/>
    </row>
    <row r="63" spans="1:14" ht="18" customHeight="1">
      <c r="C63" s="2"/>
    </row>
    <row r="64" spans="1:14" ht="18" customHeight="1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  <row r="71" spans="3:3">
      <c r="C71" s="2"/>
    </row>
    <row r="72" spans="3:3">
      <c r="C72" s="2"/>
    </row>
    <row r="73" spans="3:3">
      <c r="C73" s="2"/>
    </row>
    <row r="74" spans="3:3">
      <c r="C74" s="2"/>
    </row>
    <row r="75" spans="3:3">
      <c r="C75" s="2"/>
    </row>
    <row r="76" spans="3:3">
      <c r="C76" s="2"/>
    </row>
    <row r="77" spans="3:3">
      <c r="C77" s="2"/>
    </row>
    <row r="78" spans="3:3">
      <c r="C78" s="2"/>
    </row>
    <row r="79" spans="3:3">
      <c r="C79" s="2"/>
    </row>
    <row r="80" spans="3:3">
      <c r="C80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honeticPr fontId="1" type="noConversion"/>
  <pageMargins left="0.235416666666667" right="0.235416666666667" top="0.31388888888888899" bottom="0.15625" header="0.31388888888888899" footer="0.31388888888888899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</vt:lpstr>
      <vt:lpstr>供应商</vt:lpstr>
      <vt:lpstr>旧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微软用户</cp:lastModifiedBy>
  <cp:lastPrinted>2016-11-23T10:22:00Z</cp:lastPrinted>
  <dcterms:created xsi:type="dcterms:W3CDTF">2016-07-12T06:03:00Z</dcterms:created>
  <dcterms:modified xsi:type="dcterms:W3CDTF">2025-04-17T02:17:39Z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2052-10.1.0.5559</vt:lpwstr>
  </property>
  <property fmtid="{D5CDD505-2E9C-101B-9397-08002B2CF9AE}" pid="3" name="ICV">
    <vt:lpwstr>6BDA78B89EE04422A722EA5A15E33224</vt:lpwstr>
  </property>
</Properties>
</file>