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三次" sheetId="4" r:id="rId1"/>
    <sheet name="第二次" sheetId="3" r:id="rId2"/>
    <sheet name="新" sheetId="2" r:id="rId3"/>
    <sheet name="旧" sheetId="1" r:id="rId4"/>
  </sheets>
  <definedNames>
    <definedName name="_xlnm._FilterDatabase" localSheetId="0" hidden="1">第三次!$A$18:$O$174</definedName>
    <definedName name="_xlnm._FilterDatabase" localSheetId="1" hidden="1">第二次!$A$14:$O$92</definedName>
    <definedName name="_xlnm._FilterDatabase" localSheetId="2" hidden="1">新!$A$14:$O$75</definedName>
    <definedName name="_xlnm._FilterDatabase" localSheetId="3" hidden="1">旧!$A$13:$O$54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  <author>Administrator</author>
  </authors>
  <commentList>
    <comment ref="G165" authorId="0">
      <text>
        <r>
          <rPr>
            <b/>
            <sz val="9"/>
            <rFont val="宋体"/>
            <charset val="134"/>
          </rPr>
          <t>qyr本次税金不需扣，</t>
        </r>
      </text>
    </comment>
    <comment ref="A166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6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16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开票税金，项目费用在后期工程款中扣除，吴总同意</t>
        </r>
      </text>
    </comment>
  </commentList>
</comments>
</file>

<file path=xl/comments2.xml><?xml version="1.0" encoding="utf-8"?>
<comments xmlns="http://schemas.openxmlformats.org/spreadsheetml/2006/main">
  <authors>
    <author>qyr</author>
    <author>cw05</author>
    <author>Administrator</author>
  </authors>
  <commentList>
    <comment ref="G83" authorId="0">
      <text>
        <r>
          <rPr>
            <b/>
            <sz val="9"/>
            <rFont val="宋体"/>
            <charset val="134"/>
          </rPr>
          <t>qyr本次税金不需扣，</t>
        </r>
      </text>
    </comment>
    <comment ref="A8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8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开票税金，项目费用在后期工程款中扣除，吴总同意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A6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A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<sst xmlns="http://schemas.openxmlformats.org/spreadsheetml/2006/main" count="1089" uniqueCount="199">
  <si>
    <t xml:space="preserve">C11428  临泉县2019年农村公路二期建设项目（X106（张新至陶老）、X110（谢马路）县乡道路改建工程）施工项目二标段
</t>
  </si>
  <si>
    <t>中标日期</t>
  </si>
  <si>
    <t>中标价</t>
  </si>
  <si>
    <t>负责人</t>
  </si>
  <si>
    <r>
      <rPr>
        <sz val="9"/>
        <color rgb="FF333333"/>
        <rFont val="宋体"/>
        <charset val="134"/>
      </rPr>
      <t>李玉龙</t>
    </r>
    <r>
      <rPr>
        <sz val="9"/>
        <color rgb="FF333333"/>
        <rFont val="ˎ̥"/>
        <charset val="134"/>
      </rPr>
      <t>13956759501</t>
    </r>
  </si>
  <si>
    <t>建设单位</t>
  </si>
  <si>
    <t>临泉县重点工程建设服务中心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</si>
  <si>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</si>
  <si>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</si>
  <si>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</si>
  <si>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</si>
  <si>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</si>
  <si>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</si>
  <si>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</si>
  <si>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</si>
  <si>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</si>
  <si>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</si>
  <si>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</si>
  <si>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</si>
  <si>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</si>
  <si>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</si>
  <si>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</si>
  <si>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</si>
  <si>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</si>
  <si>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</si>
  <si>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</si>
  <si>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</si>
  <si>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</si>
  <si>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</si>
  <si>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</si>
  <si>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</si>
  <si>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</si>
  <si>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</si>
  <si>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</si>
  <si>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</si>
  <si>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</si>
  <si>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</si>
  <si>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19-8-</t>
  </si>
  <si>
    <t>徽行</t>
  </si>
  <si>
    <t>李玉龙</t>
  </si>
  <si>
    <t>收垫付担保费</t>
  </si>
  <si>
    <t>深圳市诚建通非融性资担保有限公司</t>
  </si>
  <si>
    <t>付担保费</t>
  </si>
  <si>
    <t>19-9-</t>
  </si>
  <si>
    <t>临泉县王志文建材有限公司</t>
  </si>
  <si>
    <t>安徽苑元汇建筑工程有限公司</t>
  </si>
  <si>
    <t>19-10-</t>
  </si>
  <si>
    <t>专</t>
  </si>
  <si>
    <t xml:space="preserve"> 临泉县王志文建材有限公司</t>
  </si>
  <si>
    <t>螺纹钢57.2吨</t>
  </si>
  <si>
    <t>有</t>
  </si>
  <si>
    <t>收代付材料款</t>
  </si>
  <si>
    <t>安徽诚谊建设工程有限公司</t>
  </si>
  <si>
    <t>水泥405.61吨</t>
  </si>
  <si>
    <t>水泥2222.16吨</t>
  </si>
  <si>
    <t>中国太平洋人寿保险股份有限公司阜阳中心支公司</t>
  </si>
  <si>
    <t>保险费</t>
  </si>
  <si>
    <t>安徽省建筑工程质量第二监督检测站阜阳分站</t>
  </si>
  <si>
    <t>检测费</t>
  </si>
  <si>
    <t>水泥875.56吨</t>
  </si>
  <si>
    <t>合同1317000</t>
  </si>
  <si>
    <t>普</t>
  </si>
  <si>
    <t>阜阳市江河水利工程质量检测有限公司</t>
  </si>
  <si>
    <t>试验费</t>
  </si>
  <si>
    <t>阜阳开发区北光测绘仪器经营部</t>
  </si>
  <si>
    <t>水准仪、对讲机</t>
  </si>
  <si>
    <t>临泉县军伟交通安全设施有限公司</t>
  </si>
  <si>
    <t>反光路锥</t>
  </si>
  <si>
    <t>临泉县喆钰商贸有限公司</t>
  </si>
  <si>
    <t>反光衣、警戒线</t>
  </si>
  <si>
    <t>临泉县雷子地毯经营店</t>
  </si>
  <si>
    <t>土工布</t>
  </si>
  <si>
    <t>安徽阜阳临泉石油分公司</t>
  </si>
  <si>
    <t>加油票</t>
  </si>
  <si>
    <t>安全防护设施</t>
  </si>
  <si>
    <t>安徽仲泽恒建设工程有限公司</t>
  </si>
  <si>
    <t>劳务</t>
  </si>
  <si>
    <t>合同8839664.5</t>
  </si>
  <si>
    <t>李玉龙（垫付材料款）</t>
  </si>
  <si>
    <t>李玉龙（安徽仲泽恒建设工程有限公司）</t>
  </si>
  <si>
    <t>水泥</t>
  </si>
  <si>
    <t>安徽智宏建设投资有限公司</t>
  </si>
  <si>
    <t>合同价3090105.28</t>
  </si>
  <si>
    <t>临泉县奇玉建材经销部</t>
  </si>
  <si>
    <t>生石灰</t>
  </si>
  <si>
    <t>专代</t>
  </si>
  <si>
    <t>有，合同价1301960</t>
  </si>
  <si>
    <t>沥青分包</t>
  </si>
  <si>
    <t>路面分包</t>
  </si>
  <si>
    <t>退还垫付材料</t>
  </si>
  <si>
    <t>普票</t>
  </si>
  <si>
    <t>钢筋款</t>
  </si>
  <si>
    <t>安徽立质工程试验检测有限公司</t>
  </si>
  <si>
    <t>有，合同价140000</t>
  </si>
  <si>
    <t>专票</t>
  </si>
  <si>
    <t>工程服务</t>
  </si>
  <si>
    <t>李玉龙（冠县通路交通设施有限公司）</t>
  </si>
  <si>
    <t>冠县通路交通设施有限公司</t>
  </si>
  <si>
    <t>检测</t>
  </si>
  <si>
    <t>（垫付材料款）</t>
  </si>
  <si>
    <t>1份</t>
  </si>
  <si>
    <t>中国石化销售股份有限公司安徽阜阳临泉石油分公司</t>
  </si>
  <si>
    <t>汽油</t>
  </si>
  <si>
    <t>8份</t>
  </si>
  <si>
    <t>临泉县振通建材有限公司</t>
  </si>
  <si>
    <t>护坡砖2751厘米</t>
  </si>
  <si>
    <t>有，合同价71500</t>
  </si>
  <si>
    <t>护坡砖</t>
  </si>
  <si>
    <t>立柱874支、柱帽880个</t>
  </si>
  <si>
    <t>有，合同价337309</t>
  </si>
  <si>
    <t>7份</t>
  </si>
  <si>
    <t>单柱式标牌49套、悬臂式标牌5套</t>
  </si>
  <si>
    <t>有，合同价62190</t>
  </si>
  <si>
    <t>十孔普板780片、加强板113片等</t>
  </si>
  <si>
    <t>临泉县城关镇三合制管厂</t>
  </si>
  <si>
    <t>涵管186节</t>
  </si>
  <si>
    <t>有，合同价88320</t>
  </si>
  <si>
    <t>护栏</t>
  </si>
  <si>
    <t>管涵</t>
  </si>
  <si>
    <t>普（邮政代）</t>
  </si>
  <si>
    <t>王小辉</t>
  </si>
  <si>
    <t>安全标示牌、劳保</t>
  </si>
  <si>
    <t>6份</t>
  </si>
  <si>
    <t>沈丘县华俊再生资源有限公司</t>
  </si>
  <si>
    <t>碎石3200吨，黄沙1250吨</t>
  </si>
  <si>
    <t>2份</t>
  </si>
  <si>
    <t>安徽隆茂工程材料有限公司</t>
  </si>
  <si>
    <t>挖掘机、压路机等</t>
  </si>
  <si>
    <t>钢筋56.824吨</t>
  </si>
  <si>
    <t>3份</t>
  </si>
  <si>
    <t>临泉县欣苑木制品有限公司</t>
  </si>
  <si>
    <t>建筑模板200立方米</t>
  </si>
  <si>
    <t>砂石</t>
  </si>
  <si>
    <t>机械</t>
  </si>
  <si>
    <t>钢筋</t>
  </si>
  <si>
    <t>模板</t>
  </si>
  <si>
    <t>安保</t>
  </si>
  <si>
    <t>5份</t>
  </si>
  <si>
    <t>安徽春源建设工程有限公司</t>
  </si>
  <si>
    <t>建筑安装</t>
  </si>
  <si>
    <t>合同价42万</t>
  </si>
  <si>
    <t>临泉县王飞建材经销部（王飞法人户）</t>
  </si>
  <si>
    <t>黄沙1250吨、碎石3200吨</t>
  </si>
  <si>
    <t>合同价60万</t>
  </si>
  <si>
    <t>王飞</t>
  </si>
  <si>
    <t>砂石（法人户）</t>
  </si>
  <si>
    <t>8-2次</t>
  </si>
  <si>
    <t>扣</t>
  </si>
  <si>
    <t>转账手续费</t>
  </si>
  <si>
    <t>8次</t>
  </si>
  <si>
    <t>企税1%</t>
  </si>
  <si>
    <t>7次</t>
  </si>
  <si>
    <t>增值税及附加</t>
  </si>
  <si>
    <t>6次</t>
  </si>
  <si>
    <t>周转金支付材料款转账手续费2次</t>
  </si>
  <si>
    <t>全部管理费</t>
  </si>
  <si>
    <t>5次</t>
  </si>
  <si>
    <t>补扣</t>
  </si>
  <si>
    <t>转账手续费（周转金转账）</t>
  </si>
  <si>
    <t>到账2%管理费</t>
  </si>
  <si>
    <t>4次</t>
  </si>
  <si>
    <t>3次</t>
  </si>
  <si>
    <t>2次</t>
  </si>
  <si>
    <t>退</t>
  </si>
  <si>
    <t>企税（成本不够）</t>
  </si>
  <si>
    <t>调整</t>
  </si>
  <si>
    <t>前期周转金</t>
  </si>
  <si>
    <t>印章（2020.2.11~2020.7.11  1000*5=5000）</t>
  </si>
  <si>
    <t>1次</t>
  </si>
  <si>
    <t>建造师暂用费11个月*1500，外经证500</t>
  </si>
  <si>
    <t>暂扣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</si>
  <si>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</si>
  <si>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</si>
  <si>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</si>
  <si>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</si>
  <si>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</si>
  <si>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</si>
  <si>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</si>
  <si>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2019.12月开票税金</t>
  </si>
  <si>
    <t>2020年5月开票税金</t>
  </si>
  <si>
    <t>2020年6月开票税金</t>
  </si>
  <si>
    <t>2020年6月19开票税金</t>
  </si>
  <si>
    <t>2020年8月开票税金</t>
  </si>
  <si>
    <t>2020年9月开票税金</t>
  </si>
  <si>
    <t>2020年10月开票税金</t>
  </si>
  <si>
    <t>2020年12月开票税金</t>
  </si>
  <si>
    <t>企业所得税</t>
  </si>
  <si>
    <t>增值税</t>
  </si>
  <si>
    <t>差额</t>
  </si>
  <si>
    <t>印花税</t>
  </si>
  <si>
    <t>异地已交</t>
  </si>
  <si>
    <t>城市维护建设税</t>
  </si>
  <si>
    <t>水利基金</t>
  </si>
  <si>
    <t>教育费附加</t>
  </si>
  <si>
    <t>地方教育费附加</t>
  </si>
  <si>
    <t>小计</t>
  </si>
  <si>
    <t>补扣增值税及附加，截止21.11.9之前</t>
  </si>
  <si>
    <t>2020.5月开票税金</t>
  </si>
  <si>
    <t xml:space="preserve">临泉县2019年农村公路二期建设项目（X106（张新至陶老）、X110（谢马路）县乡道路改建工程）施工项目二标段
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</si>
</sst>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/m/d;@"/>
    <numFmt numFmtId="178" formatCode="#,##0.00_ "/>
    <numFmt numFmtId="179" formatCode="yyyy&quot;年&quot;m&quot;月&quot;;@"/>
    <numFmt numFmtId="180" formatCode="#,##0_ "/>
    <numFmt numFmtId="181" formatCode="yyyy/m/d;@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333333"/>
      <name val="宋体"/>
      <charset val="134"/>
    </font>
    <font>
      <sz val="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top" wrapText="1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8" fontId="4" fillId="0" borderId="0" xfId="0" applyNumberFormat="1" applyFont="1"/>
    <xf numFmtId="0" fontId="6" fillId="0" borderId="2" xfId="0" applyFont="1" applyBorder="1" applyAlignment="1">
      <alignment horizontal="center"/>
    </xf>
    <xf numFmtId="181" fontId="5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8" fontId="5" fillId="6" borderId="0" xfId="0" applyNumberFormat="1" applyFont="1" applyFill="1" applyBorder="1" applyAlignment="1">
      <alignment vertical="center" wrapText="1"/>
    </xf>
    <xf numFmtId="178" fontId="2" fillId="6" borderId="0" xfId="0" applyNumberFormat="1" applyFont="1" applyFill="1" applyBorder="1" applyAlignment="1">
      <alignment vertical="center" wrapText="1"/>
    </xf>
    <xf numFmtId="178" fontId="5" fillId="0" borderId="0" xfId="0" applyNumberFormat="1" applyFont="1" applyBorder="1" applyAlignment="1">
      <alignment vertical="center" wrapText="1"/>
    </xf>
    <xf numFmtId="181" fontId="2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6" borderId="0" xfId="0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78" fontId="8" fillId="6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3"/>
  <sheetViews>
    <sheetView tabSelected="1" topLeftCell="A147" workbookViewId="0">
      <selection activeCell="P175" sqref="P17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2" customWidth="1"/>
    <col min="12" max="12" width="12.75" style="6" customWidth="1"/>
    <col min="13" max="13" width="13.5" style="62" customWidth="1"/>
    <col min="14" max="14" width="5.625" style="6" customWidth="1"/>
    <col min="15" max="15" width="12" style="6" customWidth="1"/>
    <col min="16" max="16" width="13.5" style="6" customWidth="1"/>
    <col min="17" max="17" width="11.125" style="6"/>
    <col min="18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73"/>
      <c r="L1" s="19"/>
    </row>
    <row r="2" ht="18" customHeight="1" spans="1:12">
      <c r="A2" s="10" t="s">
        <v>1</v>
      </c>
      <c r="B2" s="11">
        <v>43647</v>
      </c>
      <c r="C2" s="12" t="s">
        <v>2</v>
      </c>
      <c r="D2" s="63">
        <v>19673369</v>
      </c>
      <c r="E2" s="14" t="s">
        <v>3</v>
      </c>
      <c r="F2" s="64" t="s">
        <v>4</v>
      </c>
      <c r="G2" s="16" t="s">
        <v>5</v>
      </c>
      <c r="H2" s="17" t="s">
        <v>6</v>
      </c>
      <c r="I2" s="50"/>
      <c r="J2" s="51"/>
      <c r="K2" s="73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73"/>
      <c r="L3" s="19"/>
    </row>
    <row r="4" ht="18" customHeight="1" spans="1:12">
      <c r="A4" s="2" t="s">
        <v>9</v>
      </c>
      <c r="H4" s="19"/>
      <c r="I4" s="52"/>
      <c r="J4" s="19"/>
      <c r="K4" s="73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100">
        <v>43805</v>
      </c>
      <c r="B7" s="12">
        <f t="shared" ref="B7:B14" si="0">G7/(1+C7+E7)</f>
        <v>1354175.2293578</v>
      </c>
      <c r="C7" s="66">
        <v>0.02</v>
      </c>
      <c r="D7" s="67">
        <f t="shared" ref="D7:D14" si="1">G7/(1+E7+C7)*C7</f>
        <v>27083.504587156</v>
      </c>
      <c r="E7" s="66">
        <v>0.07</v>
      </c>
      <c r="F7" s="12">
        <f t="shared" ref="F7:F14" si="2">G7/(1+C7+E7)*E7</f>
        <v>94792.2660550459</v>
      </c>
      <c r="G7" s="68">
        <v>1476051</v>
      </c>
      <c r="H7" s="23">
        <v>43812</v>
      </c>
      <c r="I7" s="12">
        <v>1470000</v>
      </c>
      <c r="J7" s="22" t="s">
        <v>21</v>
      </c>
    </row>
    <row r="8" ht="18" customHeight="1" spans="1:10">
      <c r="A8" s="100">
        <v>43963</v>
      </c>
      <c r="B8" s="12">
        <f t="shared" si="0"/>
        <v>1297200.91743119</v>
      </c>
      <c r="C8" s="25">
        <v>0.02</v>
      </c>
      <c r="D8" s="67">
        <f t="shared" si="1"/>
        <v>25944.0183486238</v>
      </c>
      <c r="E8" s="66">
        <v>0.07</v>
      </c>
      <c r="F8" s="12">
        <f t="shared" si="2"/>
        <v>90804.0642201835</v>
      </c>
      <c r="G8" s="68">
        <v>1413949</v>
      </c>
      <c r="H8" s="23">
        <v>43973</v>
      </c>
      <c r="I8" s="12">
        <v>1420000</v>
      </c>
      <c r="J8" s="53" t="s">
        <v>21</v>
      </c>
    </row>
    <row r="9" ht="18" customHeight="1" spans="1:10">
      <c r="A9" s="100">
        <v>43987</v>
      </c>
      <c r="B9" s="12">
        <f t="shared" si="0"/>
        <v>2045871.55963303</v>
      </c>
      <c r="C9" s="25">
        <v>0.02</v>
      </c>
      <c r="D9" s="67">
        <f t="shared" si="1"/>
        <v>40917.4311926605</v>
      </c>
      <c r="E9" s="66">
        <v>0.07</v>
      </c>
      <c r="F9" s="12">
        <f t="shared" si="2"/>
        <v>143211.009174312</v>
      </c>
      <c r="G9" s="68">
        <v>2230000</v>
      </c>
      <c r="H9" s="23">
        <v>43994</v>
      </c>
      <c r="I9" s="12">
        <v>2230000</v>
      </c>
      <c r="J9" s="53" t="s">
        <v>22</v>
      </c>
    </row>
    <row r="10" ht="18" customHeight="1" spans="1:10">
      <c r="A10" s="100">
        <v>44001</v>
      </c>
      <c r="B10" s="12">
        <f t="shared" si="0"/>
        <v>2788990.82568807</v>
      </c>
      <c r="C10" s="25">
        <v>0.02</v>
      </c>
      <c r="D10" s="67">
        <f t="shared" si="1"/>
        <v>55779.8165137615</v>
      </c>
      <c r="E10" s="66">
        <v>0.07</v>
      </c>
      <c r="F10" s="12">
        <f t="shared" si="2"/>
        <v>195229.357798165</v>
      </c>
      <c r="G10" s="68">
        <v>3040000</v>
      </c>
      <c r="H10" s="23">
        <v>44011</v>
      </c>
      <c r="I10" s="12">
        <v>3040000</v>
      </c>
      <c r="J10" s="53" t="s">
        <v>22</v>
      </c>
    </row>
    <row r="11" ht="18" customHeight="1" spans="1:10">
      <c r="A11" s="100">
        <v>44049</v>
      </c>
      <c r="B11" s="12">
        <f t="shared" si="0"/>
        <v>3055045.87155963</v>
      </c>
      <c r="C11" s="25">
        <v>0.02</v>
      </c>
      <c r="D11" s="67">
        <f t="shared" si="1"/>
        <v>61100.9174311927</v>
      </c>
      <c r="E11" s="66">
        <v>0.07</v>
      </c>
      <c r="F11" s="12">
        <f t="shared" si="2"/>
        <v>213853.211009174</v>
      </c>
      <c r="G11" s="68">
        <v>3330000</v>
      </c>
      <c r="H11" s="23">
        <v>44057</v>
      </c>
      <c r="I11" s="12">
        <v>3330000</v>
      </c>
      <c r="J11" s="53" t="s">
        <v>22</v>
      </c>
    </row>
    <row r="12" ht="18" customHeight="1" spans="1:10">
      <c r="A12" s="100">
        <v>44075</v>
      </c>
      <c r="B12" s="12">
        <f t="shared" si="0"/>
        <v>1055045.87155963</v>
      </c>
      <c r="C12" s="25">
        <v>0.02</v>
      </c>
      <c r="D12" s="67">
        <f t="shared" si="1"/>
        <v>21100.9174311927</v>
      </c>
      <c r="E12" s="66">
        <v>0.07</v>
      </c>
      <c r="F12" s="12">
        <f t="shared" si="2"/>
        <v>73853.2110091743</v>
      </c>
      <c r="G12" s="68">
        <v>1150000</v>
      </c>
      <c r="H12" s="23">
        <v>44085</v>
      </c>
      <c r="I12" s="12">
        <v>1150000</v>
      </c>
      <c r="J12" s="53" t="s">
        <v>22</v>
      </c>
    </row>
    <row r="13" ht="18" customHeight="1" spans="1:10">
      <c r="A13" s="100">
        <v>44113</v>
      </c>
      <c r="B13" s="12">
        <f t="shared" si="0"/>
        <v>2568807.33944954</v>
      </c>
      <c r="C13" s="25">
        <v>0.02</v>
      </c>
      <c r="D13" s="67">
        <f t="shared" si="1"/>
        <v>51376.1467889908</v>
      </c>
      <c r="E13" s="66">
        <v>0.07</v>
      </c>
      <c r="F13" s="12">
        <f t="shared" si="2"/>
        <v>179816.513761468</v>
      </c>
      <c r="G13" s="68">
        <v>2800000</v>
      </c>
      <c r="H13" s="23">
        <v>44131</v>
      </c>
      <c r="I13" s="12">
        <v>2690000</v>
      </c>
      <c r="J13" s="53" t="s">
        <v>22</v>
      </c>
    </row>
    <row r="14" ht="18" customHeight="1" spans="1:10">
      <c r="A14" s="100">
        <v>44166</v>
      </c>
      <c r="B14" s="12">
        <f t="shared" si="0"/>
        <v>2495412.8440367</v>
      </c>
      <c r="C14" s="25">
        <v>0.02</v>
      </c>
      <c r="D14" s="67">
        <f t="shared" si="1"/>
        <v>49908.2568807339</v>
      </c>
      <c r="E14" s="66">
        <v>0.07</v>
      </c>
      <c r="F14" s="12">
        <f t="shared" si="2"/>
        <v>174678.899082569</v>
      </c>
      <c r="G14" s="68">
        <v>2720000</v>
      </c>
      <c r="H14" s="23">
        <v>44176</v>
      </c>
      <c r="I14" s="12">
        <v>2830000</v>
      </c>
      <c r="J14" s="53" t="s">
        <v>22</v>
      </c>
    </row>
    <row r="15" ht="18" customHeight="1" spans="1:10">
      <c r="A15" s="100"/>
      <c r="B15" s="12"/>
      <c r="C15" s="25"/>
      <c r="D15" s="67"/>
      <c r="E15" s="66"/>
      <c r="F15" s="12"/>
      <c r="G15" s="68"/>
      <c r="H15" s="23"/>
      <c r="I15" s="12"/>
      <c r="J15" s="53"/>
    </row>
    <row r="16" ht="18" customHeight="1" spans="1:10">
      <c r="A16" s="28" t="s">
        <v>23</v>
      </c>
      <c r="B16" s="69">
        <f>SUM(B7:B15)</f>
        <v>16660550.4587156</v>
      </c>
      <c r="C16" s="30"/>
      <c r="D16" s="30">
        <f>SUM(D7:D15)</f>
        <v>333211.009174312</v>
      </c>
      <c r="E16" s="30"/>
      <c r="F16" s="70">
        <f>SUM(F7:F15)</f>
        <v>1166238.53211009</v>
      </c>
      <c r="G16" s="30">
        <f>SUM(G7:G15)</f>
        <v>18160000</v>
      </c>
      <c r="H16" s="33"/>
      <c r="I16" s="30">
        <f>SUM(I7:I15)</f>
        <v>18160000</v>
      </c>
      <c r="J16" s="33"/>
    </row>
    <row r="17" ht="18" customHeight="1" spans="1:12">
      <c r="A17" s="2" t="s">
        <v>24</v>
      </c>
      <c r="J17" s="4"/>
      <c r="K17" s="74"/>
      <c r="L17" s="5"/>
    </row>
    <row r="18" ht="18" customHeight="1" spans="1:15">
      <c r="A18" s="34" t="s">
        <v>25</v>
      </c>
      <c r="B18" s="21" t="s">
        <v>26</v>
      </c>
      <c r="C18" s="20" t="s">
        <v>27</v>
      </c>
      <c r="D18" s="20" t="s">
        <v>28</v>
      </c>
      <c r="E18" s="20" t="s">
        <v>16</v>
      </c>
      <c r="F18" s="21" t="s">
        <v>29</v>
      </c>
      <c r="G18" s="21" t="s">
        <v>14</v>
      </c>
      <c r="H18" s="20" t="s">
        <v>30</v>
      </c>
      <c r="I18" s="21" t="s">
        <v>31</v>
      </c>
      <c r="J18" s="20" t="s">
        <v>20</v>
      </c>
      <c r="K18" s="75" t="s">
        <v>32</v>
      </c>
      <c r="L18" s="22" t="s">
        <v>33</v>
      </c>
      <c r="M18" s="84" t="s">
        <v>34</v>
      </c>
      <c r="N18" s="22" t="s">
        <v>35</v>
      </c>
      <c r="O18" s="22" t="s">
        <v>36</v>
      </c>
    </row>
    <row r="19" s="1" customFormat="1" ht="18" customHeight="1" spans="1:15">
      <c r="A19" s="35"/>
      <c r="B19" s="71">
        <f t="shared" ref="B19:B81" si="3">ROUND(G19/(1+E19),2)</f>
        <v>0</v>
      </c>
      <c r="C19" s="36"/>
      <c r="D19" s="37"/>
      <c r="E19" s="38"/>
      <c r="F19" s="71">
        <f t="shared" ref="F19:F81" si="4">ROUND(G19/(1+E19)*E19,2)</f>
        <v>0</v>
      </c>
      <c r="G19" s="68"/>
      <c r="H19" s="23" t="s">
        <v>37</v>
      </c>
      <c r="I19" s="71">
        <v>-196733.6</v>
      </c>
      <c r="J19" s="53" t="s">
        <v>38</v>
      </c>
      <c r="K19" s="76" t="s">
        <v>39</v>
      </c>
      <c r="L19" s="56" t="s">
        <v>40</v>
      </c>
      <c r="M19" s="85"/>
      <c r="N19" s="57"/>
      <c r="O19" s="56"/>
    </row>
    <row r="20" s="1" customFormat="1" ht="18" customHeight="1" spans="1:15">
      <c r="A20" s="35"/>
      <c r="B20" s="71"/>
      <c r="C20" s="36"/>
      <c r="D20" s="37"/>
      <c r="E20" s="38"/>
      <c r="F20" s="71"/>
      <c r="G20" s="68"/>
      <c r="H20" s="23" t="s">
        <v>37</v>
      </c>
      <c r="I20" s="71">
        <v>196734</v>
      </c>
      <c r="J20" s="53" t="s">
        <v>21</v>
      </c>
      <c r="K20" s="76" t="s">
        <v>41</v>
      </c>
      <c r="L20" s="56" t="s">
        <v>42</v>
      </c>
      <c r="M20" s="85"/>
      <c r="N20" s="57"/>
      <c r="O20" s="56"/>
    </row>
    <row r="21" s="1" customFormat="1" ht="18" customHeight="1" spans="1:15">
      <c r="A21" s="35"/>
      <c r="B21" s="71"/>
      <c r="C21" s="36"/>
      <c r="D21" s="37"/>
      <c r="E21" s="38"/>
      <c r="F21" s="71"/>
      <c r="G21" s="68"/>
      <c r="H21" s="23" t="s">
        <v>43</v>
      </c>
      <c r="I21" s="71">
        <v>-157986</v>
      </c>
      <c r="J21" s="53" t="s">
        <v>38</v>
      </c>
      <c r="K21" s="76" t="s">
        <v>39</v>
      </c>
      <c r="L21" s="56"/>
      <c r="M21" s="85"/>
      <c r="N21" s="57"/>
      <c r="O21" s="56"/>
    </row>
    <row r="22" s="1" customFormat="1" ht="18" customHeight="1" spans="1:15">
      <c r="A22" s="35"/>
      <c r="B22" s="71">
        <f t="shared" si="3"/>
        <v>0</v>
      </c>
      <c r="C22" s="36"/>
      <c r="D22" s="37"/>
      <c r="E22" s="38"/>
      <c r="F22" s="71">
        <f t="shared" si="4"/>
        <v>0</v>
      </c>
      <c r="G22" s="68"/>
      <c r="H22" s="23" t="s">
        <v>43</v>
      </c>
      <c r="I22" s="71">
        <v>157986</v>
      </c>
      <c r="J22" s="53" t="s">
        <v>21</v>
      </c>
      <c r="K22" s="76" t="s">
        <v>44</v>
      </c>
      <c r="L22" s="56"/>
      <c r="M22" s="85"/>
      <c r="N22" s="57"/>
      <c r="O22" s="56"/>
    </row>
    <row r="23" s="1" customFormat="1" ht="18" customHeight="1" spans="1:15">
      <c r="A23" s="35"/>
      <c r="B23" s="71">
        <f t="shared" si="3"/>
        <v>0</v>
      </c>
      <c r="C23" s="36"/>
      <c r="D23" s="37"/>
      <c r="E23" s="38"/>
      <c r="F23" s="71">
        <f t="shared" si="4"/>
        <v>0</v>
      </c>
      <c r="G23" s="68"/>
      <c r="H23" s="23" t="s">
        <v>43</v>
      </c>
      <c r="I23" s="71">
        <v>-200000</v>
      </c>
      <c r="J23" s="53" t="s">
        <v>38</v>
      </c>
      <c r="K23" s="76" t="s">
        <v>39</v>
      </c>
      <c r="L23" s="56"/>
      <c r="M23" s="85"/>
      <c r="N23" s="57"/>
      <c r="O23" s="56"/>
    </row>
    <row r="24" s="1" customFormat="1" ht="18" customHeight="1" spans="1:15">
      <c r="A24" s="35"/>
      <c r="B24" s="71">
        <f t="shared" si="3"/>
        <v>0</v>
      </c>
      <c r="C24" s="36"/>
      <c r="D24" s="37"/>
      <c r="E24" s="38"/>
      <c r="F24" s="71">
        <f t="shared" si="4"/>
        <v>0</v>
      </c>
      <c r="G24" s="68"/>
      <c r="H24" s="23" t="s">
        <v>43</v>
      </c>
      <c r="I24" s="71">
        <v>200000</v>
      </c>
      <c r="J24" s="53" t="s">
        <v>21</v>
      </c>
      <c r="K24" s="76" t="s">
        <v>45</v>
      </c>
      <c r="L24" s="56"/>
      <c r="M24" s="85"/>
      <c r="N24" s="57"/>
      <c r="O24" s="56"/>
    </row>
    <row r="25" s="1" customFormat="1" ht="18" customHeight="1" spans="1:15">
      <c r="A25" s="35"/>
      <c r="B25" s="71">
        <f t="shared" si="3"/>
        <v>0</v>
      </c>
      <c r="C25" s="36"/>
      <c r="D25" s="37"/>
      <c r="E25" s="38"/>
      <c r="F25" s="71">
        <f t="shared" si="4"/>
        <v>0</v>
      </c>
      <c r="G25" s="68"/>
      <c r="H25" s="23" t="s">
        <v>46</v>
      </c>
      <c r="I25" s="71">
        <v>-200000</v>
      </c>
      <c r="J25" s="53" t="s">
        <v>38</v>
      </c>
      <c r="K25" s="76" t="s">
        <v>39</v>
      </c>
      <c r="L25" s="56"/>
      <c r="M25" s="85"/>
      <c r="N25" s="57"/>
      <c r="O25" s="56"/>
    </row>
    <row r="26" s="1" customFormat="1" ht="18" customHeight="1" spans="1:15">
      <c r="A26" s="35"/>
      <c r="B26" s="71">
        <f t="shared" si="3"/>
        <v>0</v>
      </c>
      <c r="C26" s="36"/>
      <c r="D26" s="37"/>
      <c r="E26" s="38"/>
      <c r="F26" s="71">
        <f t="shared" si="4"/>
        <v>0</v>
      </c>
      <c r="G26" s="68"/>
      <c r="H26" s="23" t="s">
        <v>46</v>
      </c>
      <c r="I26" s="71">
        <v>200000</v>
      </c>
      <c r="J26" s="53" t="s">
        <v>21</v>
      </c>
      <c r="K26" s="76" t="s">
        <v>45</v>
      </c>
      <c r="L26" s="56"/>
      <c r="M26" s="85"/>
      <c r="N26" s="57"/>
      <c r="O26" s="56"/>
    </row>
    <row r="27" s="1" customFormat="1" ht="18" customHeight="1" spans="1:15">
      <c r="A27" s="35">
        <v>43739</v>
      </c>
      <c r="B27" s="71">
        <f t="shared" si="3"/>
        <v>196527.43</v>
      </c>
      <c r="C27" s="36"/>
      <c r="D27" s="37" t="s">
        <v>47</v>
      </c>
      <c r="E27" s="39">
        <v>0.13</v>
      </c>
      <c r="F27" s="71">
        <f t="shared" si="4"/>
        <v>25548.57</v>
      </c>
      <c r="G27" s="68">
        <v>222076</v>
      </c>
      <c r="H27" s="23"/>
      <c r="I27" s="71"/>
      <c r="J27" s="53"/>
      <c r="K27" s="76" t="s">
        <v>48</v>
      </c>
      <c r="L27" s="56" t="s">
        <v>49</v>
      </c>
      <c r="M27" s="85" t="s">
        <v>50</v>
      </c>
      <c r="N27" s="57" t="s">
        <v>50</v>
      </c>
      <c r="O27" s="56"/>
    </row>
    <row r="28" s="1" customFormat="1" ht="18" customHeight="1" spans="1:15">
      <c r="A28" s="35"/>
      <c r="B28" s="71">
        <f t="shared" si="3"/>
        <v>0</v>
      </c>
      <c r="C28" s="36"/>
      <c r="D28" s="37"/>
      <c r="E28" s="38"/>
      <c r="F28" s="71">
        <f t="shared" si="4"/>
        <v>0</v>
      </c>
      <c r="G28" s="68"/>
      <c r="H28" s="23" t="s">
        <v>46</v>
      </c>
      <c r="I28" s="71">
        <v>-200000</v>
      </c>
      <c r="J28" s="53" t="s">
        <v>38</v>
      </c>
      <c r="K28" s="76" t="s">
        <v>39</v>
      </c>
      <c r="L28" s="55" t="s">
        <v>51</v>
      </c>
      <c r="M28" s="85"/>
      <c r="N28" s="57"/>
      <c r="O28" s="56"/>
    </row>
    <row r="29" s="1" customFormat="1" ht="18" customHeight="1" spans="1:15">
      <c r="A29" s="35"/>
      <c r="B29" s="71">
        <f t="shared" si="3"/>
        <v>0</v>
      </c>
      <c r="C29" s="36"/>
      <c r="D29" s="37"/>
      <c r="E29" s="38"/>
      <c r="F29" s="71">
        <f t="shared" si="4"/>
        <v>0</v>
      </c>
      <c r="G29" s="68"/>
      <c r="H29" s="23" t="s">
        <v>46</v>
      </c>
      <c r="I29" s="71">
        <v>200000</v>
      </c>
      <c r="J29" s="53" t="s">
        <v>21</v>
      </c>
      <c r="K29" s="76" t="s">
        <v>45</v>
      </c>
      <c r="L29" s="56"/>
      <c r="M29" s="85"/>
      <c r="N29" s="57"/>
      <c r="O29" s="56"/>
    </row>
    <row r="30" s="1" customFormat="1" ht="18" customHeight="1" spans="1:15">
      <c r="A30" s="35"/>
      <c r="B30" s="71">
        <f t="shared" si="3"/>
        <v>0</v>
      </c>
      <c r="C30" s="36"/>
      <c r="D30" s="37"/>
      <c r="E30" s="38"/>
      <c r="F30" s="71">
        <f t="shared" si="4"/>
        <v>0</v>
      </c>
      <c r="G30" s="68"/>
      <c r="H30" s="23" t="s">
        <v>46</v>
      </c>
      <c r="I30" s="71">
        <v>-115600</v>
      </c>
      <c r="J30" s="53" t="s">
        <v>38</v>
      </c>
      <c r="K30" s="76" t="s">
        <v>39</v>
      </c>
      <c r="L30" s="55" t="s">
        <v>51</v>
      </c>
      <c r="M30" s="85"/>
      <c r="N30" s="57"/>
      <c r="O30" s="56"/>
    </row>
    <row r="31" s="1" customFormat="1" ht="18" customHeight="1" spans="1:15">
      <c r="A31" s="35">
        <v>43739</v>
      </c>
      <c r="B31" s="71">
        <f t="shared" si="3"/>
        <v>102300.88</v>
      </c>
      <c r="C31" s="36"/>
      <c r="D31" s="37" t="s">
        <v>47</v>
      </c>
      <c r="E31" s="39">
        <v>0.13</v>
      </c>
      <c r="F31" s="71">
        <f t="shared" si="4"/>
        <v>13299.12</v>
      </c>
      <c r="G31" s="68">
        <v>115600</v>
      </c>
      <c r="H31" s="23" t="s">
        <v>46</v>
      </c>
      <c r="I31" s="71">
        <v>115600</v>
      </c>
      <c r="J31" s="53" t="s">
        <v>21</v>
      </c>
      <c r="K31" s="76" t="s">
        <v>52</v>
      </c>
      <c r="L31" s="56" t="s">
        <v>53</v>
      </c>
      <c r="M31" s="85" t="s">
        <v>50</v>
      </c>
      <c r="N31" s="57" t="s">
        <v>50</v>
      </c>
      <c r="O31" s="56"/>
    </row>
    <row r="32" s="1" customFormat="1" ht="18" customHeight="1" spans="1:15">
      <c r="A32" s="35"/>
      <c r="B32" s="71">
        <f t="shared" si="3"/>
        <v>0</v>
      </c>
      <c r="C32" s="36"/>
      <c r="D32" s="37"/>
      <c r="E32" s="38"/>
      <c r="F32" s="71">
        <f t="shared" si="4"/>
        <v>0</v>
      </c>
      <c r="G32" s="68"/>
      <c r="H32" s="23">
        <v>43775</v>
      </c>
      <c r="I32" s="71">
        <v>-200000</v>
      </c>
      <c r="J32" s="53" t="s">
        <v>38</v>
      </c>
      <c r="K32" s="76" t="s">
        <v>39</v>
      </c>
      <c r="L32" s="55" t="s">
        <v>51</v>
      </c>
      <c r="M32" s="85"/>
      <c r="N32" s="57"/>
      <c r="O32" s="56"/>
    </row>
    <row r="33" s="1" customFormat="1" ht="18" customHeight="1" spans="1:15">
      <c r="A33" s="35"/>
      <c r="B33" s="71">
        <f t="shared" si="3"/>
        <v>0</v>
      </c>
      <c r="C33" s="36"/>
      <c r="D33" s="37"/>
      <c r="E33" s="38"/>
      <c r="F33" s="71">
        <f t="shared" si="4"/>
        <v>0</v>
      </c>
      <c r="G33" s="68"/>
      <c r="H33" s="23">
        <v>43775</v>
      </c>
      <c r="I33" s="71">
        <v>200000</v>
      </c>
      <c r="J33" s="53" t="s">
        <v>21</v>
      </c>
      <c r="K33" s="76" t="s">
        <v>45</v>
      </c>
      <c r="L33" s="56"/>
      <c r="M33" s="85"/>
      <c r="N33" s="57"/>
      <c r="O33" s="56"/>
    </row>
    <row r="34" s="1" customFormat="1" ht="18" customHeight="1" spans="1:15">
      <c r="A34" s="35"/>
      <c r="B34" s="71">
        <f t="shared" si="3"/>
        <v>0</v>
      </c>
      <c r="C34" s="36"/>
      <c r="D34" s="37"/>
      <c r="E34" s="38"/>
      <c r="F34" s="71">
        <f t="shared" si="4"/>
        <v>0</v>
      </c>
      <c r="G34" s="68"/>
      <c r="H34" s="23">
        <v>43789</v>
      </c>
      <c r="I34" s="71">
        <v>-200000</v>
      </c>
      <c r="J34" s="53" t="s">
        <v>38</v>
      </c>
      <c r="K34" s="76" t="s">
        <v>39</v>
      </c>
      <c r="L34" s="55" t="s">
        <v>51</v>
      </c>
      <c r="M34" s="85"/>
      <c r="N34" s="57"/>
      <c r="O34" s="56"/>
    </row>
    <row r="35" s="1" customFormat="1" ht="18" customHeight="1" spans="1:15">
      <c r="A35" s="35">
        <v>43770</v>
      </c>
      <c r="B35" s="71">
        <f t="shared" si="3"/>
        <v>884955.75</v>
      </c>
      <c r="C35" s="36"/>
      <c r="D35" s="37" t="s">
        <v>47</v>
      </c>
      <c r="E35" s="39">
        <v>0.13</v>
      </c>
      <c r="F35" s="71">
        <f t="shared" si="4"/>
        <v>115044.25</v>
      </c>
      <c r="G35" s="68">
        <v>1000000</v>
      </c>
      <c r="H35" s="23">
        <v>43789</v>
      </c>
      <c r="I35" s="71">
        <v>200000</v>
      </c>
      <c r="J35" s="53" t="s">
        <v>21</v>
      </c>
      <c r="K35" s="76" t="s">
        <v>45</v>
      </c>
      <c r="L35" s="56" t="s">
        <v>54</v>
      </c>
      <c r="M35" s="85" t="s">
        <v>50</v>
      </c>
      <c r="N35" s="57" t="s">
        <v>50</v>
      </c>
      <c r="O35" s="56"/>
    </row>
    <row r="36" s="1" customFormat="1" ht="18" customHeight="1" spans="1:15">
      <c r="A36" s="35"/>
      <c r="B36" s="71">
        <f t="shared" si="3"/>
        <v>0</v>
      </c>
      <c r="C36" s="36"/>
      <c r="D36" s="37"/>
      <c r="E36" s="38"/>
      <c r="F36" s="71">
        <f t="shared" si="4"/>
        <v>0</v>
      </c>
      <c r="G36" s="68"/>
      <c r="H36" s="23">
        <v>43791</v>
      </c>
      <c r="I36" s="71">
        <v>16000</v>
      </c>
      <c r="J36" s="53" t="s">
        <v>38</v>
      </c>
      <c r="K36" s="76" t="s">
        <v>39</v>
      </c>
      <c r="L36" s="56"/>
      <c r="M36" s="85"/>
      <c r="N36" s="57"/>
      <c r="O36" s="56"/>
    </row>
    <row r="37" s="1" customFormat="1" ht="18" customHeight="1" spans="1:15">
      <c r="A37" s="35"/>
      <c r="B37" s="71">
        <f t="shared" si="3"/>
        <v>0</v>
      </c>
      <c r="C37" s="36"/>
      <c r="D37" s="37"/>
      <c r="E37" s="38"/>
      <c r="F37" s="71">
        <f t="shared" si="4"/>
        <v>0</v>
      </c>
      <c r="G37" s="68"/>
      <c r="H37" s="23">
        <v>43791</v>
      </c>
      <c r="I37" s="71">
        <v>-16000</v>
      </c>
      <c r="J37" s="53" t="s">
        <v>21</v>
      </c>
      <c r="K37" s="76" t="s">
        <v>55</v>
      </c>
      <c r="L37" s="56" t="s">
        <v>56</v>
      </c>
      <c r="M37" s="85"/>
      <c r="N37" s="57"/>
      <c r="O37" s="56"/>
    </row>
    <row r="38" s="1" customFormat="1" ht="18" customHeight="1" spans="1:15">
      <c r="A38" s="35"/>
      <c r="B38" s="71">
        <f t="shared" si="3"/>
        <v>0</v>
      </c>
      <c r="C38" s="36"/>
      <c r="D38" s="37"/>
      <c r="E38" s="38"/>
      <c r="F38" s="71">
        <f t="shared" si="4"/>
        <v>0</v>
      </c>
      <c r="G38" s="68"/>
      <c r="H38" s="23">
        <v>43798</v>
      </c>
      <c r="I38" s="71">
        <v>7000</v>
      </c>
      <c r="J38" s="53" t="s">
        <v>21</v>
      </c>
      <c r="K38" s="58" t="s">
        <v>57</v>
      </c>
      <c r="L38" s="58" t="s">
        <v>58</v>
      </c>
      <c r="M38" s="85"/>
      <c r="N38" s="57"/>
      <c r="O38" s="56"/>
    </row>
    <row r="39" s="1" customFormat="1" ht="18" customHeight="1" spans="1:15">
      <c r="A39" s="35"/>
      <c r="B39" s="71">
        <f t="shared" si="3"/>
        <v>0</v>
      </c>
      <c r="C39" s="36"/>
      <c r="D39" s="37"/>
      <c r="E39" s="38"/>
      <c r="F39" s="71">
        <f t="shared" si="4"/>
        <v>0</v>
      </c>
      <c r="G39" s="68"/>
      <c r="H39" s="23">
        <v>43798</v>
      </c>
      <c r="I39" s="71">
        <v>-7000</v>
      </c>
      <c r="J39" s="53" t="s">
        <v>38</v>
      </c>
      <c r="K39" s="76" t="s">
        <v>39</v>
      </c>
      <c r="L39" s="56"/>
      <c r="M39" s="85"/>
      <c r="N39" s="57"/>
      <c r="O39" s="56"/>
    </row>
    <row r="40" s="1" customFormat="1" ht="18" customHeight="1" spans="1:15">
      <c r="A40" s="35">
        <v>43922</v>
      </c>
      <c r="B40" s="71">
        <f t="shared" si="3"/>
        <v>325805.31</v>
      </c>
      <c r="C40" s="36"/>
      <c r="D40" s="37" t="s">
        <v>47</v>
      </c>
      <c r="E40" s="39">
        <v>0.13</v>
      </c>
      <c r="F40" s="71">
        <f t="shared" si="4"/>
        <v>42354.69</v>
      </c>
      <c r="G40" s="68">
        <v>368160</v>
      </c>
      <c r="H40" s="23"/>
      <c r="I40" s="71"/>
      <c r="J40" s="53"/>
      <c r="K40" s="76" t="s">
        <v>45</v>
      </c>
      <c r="L40" s="56" t="s">
        <v>59</v>
      </c>
      <c r="M40" s="85" t="s">
        <v>50</v>
      </c>
      <c r="N40" s="57" t="s">
        <v>50</v>
      </c>
      <c r="O40" s="1" t="s">
        <v>60</v>
      </c>
    </row>
    <row r="41" s="1" customFormat="1" ht="18" customHeight="1" spans="1:15">
      <c r="A41" s="35">
        <v>43952</v>
      </c>
      <c r="B41" s="71">
        <f t="shared" si="3"/>
        <v>1800</v>
      </c>
      <c r="C41" s="36"/>
      <c r="D41" s="37" t="s">
        <v>61</v>
      </c>
      <c r="E41" s="39"/>
      <c r="F41" s="71">
        <f t="shared" si="4"/>
        <v>0</v>
      </c>
      <c r="G41" s="68">
        <v>1800</v>
      </c>
      <c r="H41" s="23"/>
      <c r="I41" s="71"/>
      <c r="J41" s="53"/>
      <c r="K41" s="76" t="s">
        <v>62</v>
      </c>
      <c r="L41" s="56" t="s">
        <v>63</v>
      </c>
      <c r="M41" s="85"/>
      <c r="N41" s="57"/>
      <c r="O41" s="56"/>
    </row>
    <row r="42" s="1" customFormat="1" ht="25" customHeight="1" spans="1:15">
      <c r="A42" s="35">
        <v>43952</v>
      </c>
      <c r="B42" s="71">
        <f t="shared" si="3"/>
        <v>11550</v>
      </c>
      <c r="C42" s="36"/>
      <c r="D42" s="37" t="s">
        <v>61</v>
      </c>
      <c r="E42" s="39"/>
      <c r="F42" s="71">
        <f t="shared" si="4"/>
        <v>0</v>
      </c>
      <c r="G42" s="68">
        <v>11550</v>
      </c>
      <c r="H42" s="23"/>
      <c r="I42" s="71"/>
      <c r="J42" s="53"/>
      <c r="K42" s="76" t="s">
        <v>64</v>
      </c>
      <c r="L42" s="56" t="s">
        <v>65</v>
      </c>
      <c r="M42" s="85"/>
      <c r="N42" s="57"/>
      <c r="O42" s="56"/>
    </row>
    <row r="43" s="1" customFormat="1" ht="18" customHeight="1" spans="1:15">
      <c r="A43" s="35">
        <v>43952</v>
      </c>
      <c r="B43" s="71">
        <f t="shared" si="3"/>
        <v>1200</v>
      </c>
      <c r="C43" s="36"/>
      <c r="D43" s="37" t="s">
        <v>61</v>
      </c>
      <c r="E43" s="39"/>
      <c r="F43" s="71">
        <f t="shared" si="4"/>
        <v>0</v>
      </c>
      <c r="G43" s="68">
        <v>1200</v>
      </c>
      <c r="H43" s="23"/>
      <c r="I43" s="71"/>
      <c r="J43" s="53"/>
      <c r="K43" s="76" t="s">
        <v>66</v>
      </c>
      <c r="L43" s="56" t="s">
        <v>67</v>
      </c>
      <c r="M43" s="85"/>
      <c r="N43" s="57"/>
      <c r="O43" s="56"/>
    </row>
    <row r="44" s="1" customFormat="1" ht="18" customHeight="1" spans="1:15">
      <c r="A44" s="35">
        <v>43952</v>
      </c>
      <c r="B44" s="71">
        <f t="shared" si="3"/>
        <v>500</v>
      </c>
      <c r="C44" s="36"/>
      <c r="D44" s="37" t="s">
        <v>61</v>
      </c>
      <c r="E44" s="39"/>
      <c r="F44" s="71">
        <f t="shared" si="4"/>
        <v>0</v>
      </c>
      <c r="G44" s="68">
        <v>500</v>
      </c>
      <c r="H44" s="23"/>
      <c r="I44" s="71"/>
      <c r="J44" s="53"/>
      <c r="K44" s="76" t="s">
        <v>68</v>
      </c>
      <c r="L44" s="56" t="s">
        <v>69</v>
      </c>
      <c r="M44" s="85"/>
      <c r="N44" s="57"/>
      <c r="O44" s="56"/>
    </row>
    <row r="45" s="1" customFormat="1" ht="18" customHeight="1" spans="1:15">
      <c r="A45" s="35">
        <v>43952</v>
      </c>
      <c r="B45" s="71">
        <f t="shared" si="3"/>
        <v>2470</v>
      </c>
      <c r="C45" s="36"/>
      <c r="D45" s="37" t="s">
        <v>61</v>
      </c>
      <c r="E45" s="39"/>
      <c r="F45" s="71">
        <f t="shared" si="4"/>
        <v>0</v>
      </c>
      <c r="G45" s="68">
        <v>2470</v>
      </c>
      <c r="H45" s="23"/>
      <c r="I45" s="71"/>
      <c r="J45" s="53"/>
      <c r="K45" s="76" t="s">
        <v>70</v>
      </c>
      <c r="L45" s="56" t="s">
        <v>71</v>
      </c>
      <c r="M45" s="85"/>
      <c r="N45" s="57"/>
      <c r="O45" s="56"/>
    </row>
    <row r="46" s="1" customFormat="1" ht="18" customHeight="1" spans="1:15">
      <c r="A46" s="35">
        <v>43952</v>
      </c>
      <c r="B46" s="71">
        <f t="shared" si="3"/>
        <v>2666</v>
      </c>
      <c r="C46" s="36"/>
      <c r="D46" s="37" t="s">
        <v>61</v>
      </c>
      <c r="E46" s="39"/>
      <c r="F46" s="71">
        <f t="shared" si="4"/>
        <v>0</v>
      </c>
      <c r="G46" s="68">
        <v>2666</v>
      </c>
      <c r="H46" s="23"/>
      <c r="I46" s="71"/>
      <c r="J46" s="53"/>
      <c r="K46" s="76" t="s">
        <v>72</v>
      </c>
      <c r="L46" s="56" t="s">
        <v>73</v>
      </c>
      <c r="M46" s="85"/>
      <c r="N46" s="57"/>
      <c r="O46" s="56"/>
    </row>
    <row r="47" s="1" customFormat="1" ht="18" customHeight="1" spans="1:15">
      <c r="A47" s="35">
        <v>43952</v>
      </c>
      <c r="B47" s="71">
        <f t="shared" si="3"/>
        <v>2000</v>
      </c>
      <c r="C47" s="36"/>
      <c r="D47" s="37" t="s">
        <v>61</v>
      </c>
      <c r="E47" s="38"/>
      <c r="F47" s="71">
        <f t="shared" si="4"/>
        <v>0</v>
      </c>
      <c r="G47" s="68">
        <v>2000</v>
      </c>
      <c r="H47" s="23"/>
      <c r="I47" s="71"/>
      <c r="J47" s="53"/>
      <c r="K47" s="76" t="s">
        <v>66</v>
      </c>
      <c r="L47" s="56" t="s">
        <v>74</v>
      </c>
      <c r="M47" s="85"/>
      <c r="N47" s="57"/>
      <c r="O47" s="56"/>
    </row>
    <row r="48" s="1" customFormat="1" ht="18" customHeight="1" spans="1:15">
      <c r="A48" s="35">
        <v>43952</v>
      </c>
      <c r="B48" s="71">
        <f t="shared" si="3"/>
        <v>1100917.43</v>
      </c>
      <c r="C48" s="36"/>
      <c r="D48" s="37" t="s">
        <v>47</v>
      </c>
      <c r="E48" s="39">
        <v>0.09</v>
      </c>
      <c r="F48" s="71">
        <f t="shared" si="4"/>
        <v>99082.57</v>
      </c>
      <c r="G48" s="68">
        <v>1200000</v>
      </c>
      <c r="H48" s="23"/>
      <c r="I48" s="71"/>
      <c r="J48" s="53"/>
      <c r="K48" s="76" t="s">
        <v>75</v>
      </c>
      <c r="L48" s="56" t="s">
        <v>76</v>
      </c>
      <c r="M48" s="85" t="s">
        <v>50</v>
      </c>
      <c r="N48" s="57"/>
      <c r="O48" s="1" t="s">
        <v>77</v>
      </c>
    </row>
    <row r="49" s="1" customFormat="1" ht="18" customHeight="1" spans="1:15">
      <c r="A49" s="35"/>
      <c r="B49" s="71">
        <f t="shared" si="3"/>
        <v>0</v>
      </c>
      <c r="C49" s="36"/>
      <c r="D49" s="37"/>
      <c r="E49" s="39"/>
      <c r="F49" s="71">
        <f t="shared" si="4"/>
        <v>0</v>
      </c>
      <c r="G49" s="68"/>
      <c r="H49" s="23">
        <v>43804</v>
      </c>
      <c r="I49" s="71">
        <v>-200000</v>
      </c>
      <c r="J49" s="53" t="s">
        <v>38</v>
      </c>
      <c r="K49" s="76" t="s">
        <v>39</v>
      </c>
      <c r="L49" s="56"/>
      <c r="M49" s="85"/>
      <c r="N49" s="57"/>
      <c r="O49" s="56"/>
    </row>
    <row r="50" s="1" customFormat="1" ht="18" customHeight="1" spans="1:15">
      <c r="A50" s="35"/>
      <c r="B50" s="71">
        <f t="shared" si="3"/>
        <v>0</v>
      </c>
      <c r="C50" s="36"/>
      <c r="D50" s="37"/>
      <c r="E50" s="39"/>
      <c r="F50" s="71">
        <f t="shared" si="4"/>
        <v>0</v>
      </c>
      <c r="G50" s="68"/>
      <c r="H50" s="23">
        <v>43804</v>
      </c>
      <c r="I50" s="71">
        <v>200000</v>
      </c>
      <c r="J50" s="53" t="s">
        <v>21</v>
      </c>
      <c r="K50" s="76" t="s">
        <v>45</v>
      </c>
      <c r="L50" s="56"/>
      <c r="M50" s="85"/>
      <c r="N50" s="57"/>
      <c r="O50" s="56"/>
    </row>
    <row r="51" s="1" customFormat="1" ht="18" customHeight="1" spans="1:15">
      <c r="A51" s="35"/>
      <c r="B51" s="71">
        <f t="shared" si="3"/>
        <v>0</v>
      </c>
      <c r="C51" s="36"/>
      <c r="D51" s="37"/>
      <c r="E51" s="38"/>
      <c r="F51" s="71">
        <f t="shared" si="4"/>
        <v>0</v>
      </c>
      <c r="G51" s="68"/>
      <c r="H51" s="23">
        <v>43819</v>
      </c>
      <c r="I51" s="71">
        <v>1377995</v>
      </c>
      <c r="J51" s="53"/>
      <c r="K51" s="76" t="s">
        <v>78</v>
      </c>
      <c r="L51" s="56"/>
      <c r="M51" s="85"/>
      <c r="N51" s="57"/>
      <c r="O51" s="56"/>
    </row>
    <row r="52" s="1" customFormat="1" ht="18" customHeight="1" spans="1:15">
      <c r="A52" s="35"/>
      <c r="B52" s="71">
        <f t="shared" si="3"/>
        <v>0</v>
      </c>
      <c r="C52" s="36"/>
      <c r="D52" s="37"/>
      <c r="E52" s="38"/>
      <c r="F52" s="71">
        <f t="shared" si="4"/>
        <v>0</v>
      </c>
      <c r="G52" s="68"/>
      <c r="H52" s="23">
        <v>43965</v>
      </c>
      <c r="I52" s="71">
        <v>-400000</v>
      </c>
      <c r="J52" s="53" t="s">
        <v>38</v>
      </c>
      <c r="K52" s="77" t="s">
        <v>79</v>
      </c>
      <c r="L52" s="56"/>
      <c r="M52" s="85"/>
      <c r="N52" s="57"/>
      <c r="O52" s="56"/>
    </row>
    <row r="53" s="1" customFormat="1" ht="18" customHeight="1" spans="1:15">
      <c r="A53" s="35"/>
      <c r="B53" s="71">
        <f t="shared" si="3"/>
        <v>0</v>
      </c>
      <c r="C53" s="36"/>
      <c r="D53" s="37"/>
      <c r="E53" s="38"/>
      <c r="F53" s="71">
        <f t="shared" si="4"/>
        <v>0</v>
      </c>
      <c r="G53" s="68"/>
      <c r="H53" s="23">
        <v>43966</v>
      </c>
      <c r="I53" s="71">
        <v>400000</v>
      </c>
      <c r="J53" s="53" t="s">
        <v>21</v>
      </c>
      <c r="K53" s="77" t="s">
        <v>75</v>
      </c>
      <c r="L53" s="56"/>
      <c r="M53" s="85"/>
      <c r="N53" s="57"/>
      <c r="O53" s="56"/>
    </row>
    <row r="54" s="1" customFormat="1" ht="18" customHeight="1" spans="1:15">
      <c r="A54" s="35"/>
      <c r="B54" s="71">
        <f t="shared" si="3"/>
        <v>0</v>
      </c>
      <c r="C54" s="36"/>
      <c r="D54" s="37"/>
      <c r="E54" s="38"/>
      <c r="F54" s="71">
        <f t="shared" si="4"/>
        <v>0</v>
      </c>
      <c r="G54" s="68"/>
      <c r="H54" s="23">
        <v>43977</v>
      </c>
      <c r="I54" s="71">
        <v>168160</v>
      </c>
      <c r="J54" s="53"/>
      <c r="K54" s="77" t="s">
        <v>45</v>
      </c>
      <c r="L54" s="33" t="s">
        <v>80</v>
      </c>
      <c r="M54" s="85"/>
      <c r="N54" s="57"/>
      <c r="O54" s="56"/>
    </row>
    <row r="55" s="1" customFormat="1" ht="18" customHeight="1" spans="1:15">
      <c r="A55" s="35"/>
      <c r="B55" s="71">
        <f t="shared" si="3"/>
        <v>0</v>
      </c>
      <c r="C55" s="36"/>
      <c r="D55" s="37"/>
      <c r="E55" s="38"/>
      <c r="F55" s="71">
        <f t="shared" si="4"/>
        <v>0</v>
      </c>
      <c r="G55" s="68"/>
      <c r="H55" s="23">
        <v>43977</v>
      </c>
      <c r="I55" s="71">
        <v>800000</v>
      </c>
      <c r="J55" s="53"/>
      <c r="K55" s="77" t="s">
        <v>75</v>
      </c>
      <c r="L55" s="33" t="s">
        <v>76</v>
      </c>
      <c r="M55" s="85"/>
      <c r="N55" s="57"/>
      <c r="O55" s="56"/>
    </row>
    <row r="56" s="1" customFormat="1" ht="18" customHeight="1" spans="1:15">
      <c r="A56" s="35"/>
      <c r="B56" s="71">
        <f t="shared" si="3"/>
        <v>0</v>
      </c>
      <c r="C56" s="36"/>
      <c r="D56" s="37"/>
      <c r="E56" s="38"/>
      <c r="F56" s="71">
        <f t="shared" si="4"/>
        <v>0</v>
      </c>
      <c r="G56" s="68"/>
      <c r="H56" s="81">
        <v>43978</v>
      </c>
      <c r="I56" s="71">
        <v>434863.51</v>
      </c>
      <c r="J56" s="57"/>
      <c r="K56" s="76" t="s">
        <v>81</v>
      </c>
      <c r="L56" s="33" t="s">
        <v>76</v>
      </c>
      <c r="M56" s="85"/>
      <c r="N56" s="57"/>
      <c r="O56" s="56"/>
    </row>
    <row r="57" s="1" customFormat="1" ht="18" customHeight="1" spans="1:15">
      <c r="A57" s="35">
        <v>43952</v>
      </c>
      <c r="B57" s="71">
        <f t="shared" si="3"/>
        <v>434863.51</v>
      </c>
      <c r="C57" s="36"/>
      <c r="D57" s="37" t="s">
        <v>61</v>
      </c>
      <c r="E57" s="38"/>
      <c r="F57" s="71">
        <f t="shared" si="4"/>
        <v>0</v>
      </c>
      <c r="G57" s="68">
        <v>434863.51</v>
      </c>
      <c r="H57" s="81"/>
      <c r="I57" s="71"/>
      <c r="J57" s="57"/>
      <c r="K57" s="76" t="s">
        <v>81</v>
      </c>
      <c r="L57" s="33" t="s">
        <v>76</v>
      </c>
      <c r="M57" s="85" t="s">
        <v>50</v>
      </c>
      <c r="N57" s="57"/>
      <c r="O57" s="56" t="s">
        <v>82</v>
      </c>
    </row>
    <row r="58" s="1" customFormat="1" ht="18" customHeight="1" spans="1:15">
      <c r="A58" s="35"/>
      <c r="B58" s="71">
        <f t="shared" si="3"/>
        <v>0</v>
      </c>
      <c r="C58" s="36"/>
      <c r="D58" s="37"/>
      <c r="E58" s="38"/>
      <c r="F58" s="71">
        <f t="shared" si="4"/>
        <v>0</v>
      </c>
      <c r="G58" s="68"/>
      <c r="H58" s="82">
        <v>43990</v>
      </c>
      <c r="I58" s="86">
        <v>-500000</v>
      </c>
      <c r="J58" s="87" t="s">
        <v>38</v>
      </c>
      <c r="K58" s="88" t="s">
        <v>39</v>
      </c>
      <c r="L58" s="89"/>
      <c r="M58" s="85"/>
      <c r="N58" s="57"/>
      <c r="O58" s="56"/>
    </row>
    <row r="59" s="1" customFormat="1" ht="18" customHeight="1" spans="1:15">
      <c r="A59" s="35"/>
      <c r="B59" s="71">
        <f t="shared" si="3"/>
        <v>0</v>
      </c>
      <c r="C59" s="36"/>
      <c r="D59" s="37"/>
      <c r="E59" s="38"/>
      <c r="F59" s="71">
        <f t="shared" si="4"/>
        <v>0</v>
      </c>
      <c r="G59" s="68"/>
      <c r="H59" s="82">
        <v>43991</v>
      </c>
      <c r="I59" s="86">
        <v>500000</v>
      </c>
      <c r="J59" s="87" t="s">
        <v>21</v>
      </c>
      <c r="K59" s="88" t="s">
        <v>83</v>
      </c>
      <c r="L59" s="89" t="s">
        <v>84</v>
      </c>
      <c r="M59" s="85"/>
      <c r="N59" s="57"/>
      <c r="O59" s="56"/>
    </row>
    <row r="60" s="1" customFormat="1" ht="18" customHeight="1" spans="1:15">
      <c r="A60" s="35">
        <v>43983</v>
      </c>
      <c r="B60" s="71">
        <f t="shared" si="3"/>
        <v>1289069.31</v>
      </c>
      <c r="C60" s="36"/>
      <c r="D60" s="37" t="s">
        <v>85</v>
      </c>
      <c r="E60" s="39">
        <v>0.01</v>
      </c>
      <c r="F60" s="71">
        <f t="shared" si="4"/>
        <v>12890.69</v>
      </c>
      <c r="G60" s="68">
        <v>1301960</v>
      </c>
      <c r="H60" s="81"/>
      <c r="I60" s="71"/>
      <c r="J60" s="57"/>
      <c r="K60" s="88" t="s">
        <v>83</v>
      </c>
      <c r="L60" s="89" t="s">
        <v>84</v>
      </c>
      <c r="M60" s="85" t="s">
        <v>86</v>
      </c>
      <c r="N60" s="57" t="s">
        <v>50</v>
      </c>
      <c r="O60" s="56"/>
    </row>
    <row r="61" s="1" customFormat="1" ht="18" customHeight="1" spans="1:15">
      <c r="A61" s="35"/>
      <c r="B61" s="71">
        <f t="shared" si="3"/>
        <v>0</v>
      </c>
      <c r="C61" s="36"/>
      <c r="D61" s="37"/>
      <c r="E61" s="38"/>
      <c r="F61" s="71">
        <f t="shared" si="4"/>
        <v>0</v>
      </c>
      <c r="G61" s="68"/>
      <c r="H61" s="81">
        <v>43992</v>
      </c>
      <c r="I61" s="71">
        <v>-700000</v>
      </c>
      <c r="J61" s="87" t="s">
        <v>38</v>
      </c>
      <c r="K61" s="88" t="s">
        <v>39</v>
      </c>
      <c r="L61" s="56"/>
      <c r="M61" s="85"/>
      <c r="N61" s="57"/>
      <c r="O61" s="56"/>
    </row>
    <row r="62" s="1" customFormat="1" ht="18" customHeight="1" spans="1:15">
      <c r="A62" s="35"/>
      <c r="B62" s="71">
        <f t="shared" si="3"/>
        <v>0</v>
      </c>
      <c r="C62" s="36"/>
      <c r="D62" s="37"/>
      <c r="E62" s="38"/>
      <c r="F62" s="71">
        <f t="shared" si="4"/>
        <v>0</v>
      </c>
      <c r="G62" s="68"/>
      <c r="H62" s="81">
        <v>43993</v>
      </c>
      <c r="I62" s="71">
        <v>700000</v>
      </c>
      <c r="J62" s="87" t="s">
        <v>21</v>
      </c>
      <c r="K62" s="88" t="s">
        <v>83</v>
      </c>
      <c r="L62" s="89" t="s">
        <v>84</v>
      </c>
      <c r="M62" s="85"/>
      <c r="N62" s="57"/>
      <c r="O62" s="56"/>
    </row>
    <row r="63" s="1" customFormat="1" ht="18" customHeight="1" spans="1:15">
      <c r="A63" s="35">
        <v>43983</v>
      </c>
      <c r="B63" s="71">
        <f t="shared" si="3"/>
        <v>2752293.58</v>
      </c>
      <c r="C63" s="36"/>
      <c r="D63" s="37" t="s">
        <v>47</v>
      </c>
      <c r="E63" s="39">
        <v>0.09</v>
      </c>
      <c r="F63" s="71">
        <f t="shared" si="4"/>
        <v>247706.42</v>
      </c>
      <c r="G63" s="68">
        <v>3000000</v>
      </c>
      <c r="H63" s="81"/>
      <c r="I63" s="71"/>
      <c r="J63" s="57"/>
      <c r="K63" s="77" t="s">
        <v>75</v>
      </c>
      <c r="L63" s="33" t="s">
        <v>87</v>
      </c>
      <c r="M63" s="101"/>
      <c r="N63" s="57"/>
      <c r="O63" s="56"/>
    </row>
    <row r="64" s="1" customFormat="1" ht="18" customHeight="1" spans="1:15">
      <c r="A64" s="35"/>
      <c r="B64" s="71">
        <f t="shared" si="3"/>
        <v>0</v>
      </c>
      <c r="C64" s="36"/>
      <c r="D64" s="37"/>
      <c r="E64" s="39"/>
      <c r="F64" s="71">
        <f t="shared" si="4"/>
        <v>0</v>
      </c>
      <c r="G64" s="68"/>
      <c r="H64" s="81">
        <v>43999</v>
      </c>
      <c r="I64" s="71">
        <v>101960</v>
      </c>
      <c r="J64" s="57"/>
      <c r="K64" s="76" t="s">
        <v>83</v>
      </c>
      <c r="L64" s="56" t="s">
        <v>84</v>
      </c>
      <c r="M64" s="101"/>
      <c r="N64" s="57"/>
      <c r="O64" s="56"/>
    </row>
    <row r="65" s="1" customFormat="1" ht="18" customHeight="1" spans="1:15">
      <c r="A65" s="35"/>
      <c r="B65" s="71">
        <f t="shared" si="3"/>
        <v>0</v>
      </c>
      <c r="C65" s="36"/>
      <c r="D65" s="37"/>
      <c r="E65" s="39"/>
      <c r="F65" s="71">
        <f t="shared" si="4"/>
        <v>0</v>
      </c>
      <c r="G65" s="68"/>
      <c r="H65" s="81">
        <v>43999</v>
      </c>
      <c r="I65" s="71">
        <v>550000</v>
      </c>
      <c r="J65" s="57"/>
      <c r="K65" s="76" t="s">
        <v>81</v>
      </c>
      <c r="L65" s="56" t="s">
        <v>76</v>
      </c>
      <c r="M65" s="101"/>
      <c r="N65" s="57"/>
      <c r="O65" s="56"/>
    </row>
    <row r="66" s="1" customFormat="1" ht="18" customHeight="1" spans="1:15">
      <c r="A66" s="35"/>
      <c r="B66" s="71">
        <f t="shared" si="3"/>
        <v>0</v>
      </c>
      <c r="C66" s="36"/>
      <c r="D66" s="37"/>
      <c r="E66" s="39"/>
      <c r="F66" s="71">
        <f t="shared" si="4"/>
        <v>0</v>
      </c>
      <c r="G66" s="68"/>
      <c r="H66" s="81">
        <v>43999</v>
      </c>
      <c r="I66" s="71">
        <v>1000000</v>
      </c>
      <c r="J66" s="57"/>
      <c r="K66" s="76" t="s">
        <v>75</v>
      </c>
      <c r="L66" s="56" t="s">
        <v>88</v>
      </c>
      <c r="M66" s="101"/>
      <c r="N66" s="57"/>
      <c r="O66" s="56"/>
    </row>
    <row r="67" s="1" customFormat="1" ht="18" customHeight="1" spans="1:15">
      <c r="A67" s="35"/>
      <c r="B67" s="71">
        <f t="shared" si="3"/>
        <v>0</v>
      </c>
      <c r="C67" s="36"/>
      <c r="D67" s="37"/>
      <c r="E67" s="39"/>
      <c r="F67" s="71">
        <f t="shared" si="4"/>
        <v>0</v>
      </c>
      <c r="G67" s="68"/>
      <c r="H67" s="81">
        <v>43999</v>
      </c>
      <c r="I67" s="71">
        <v>510740</v>
      </c>
      <c r="J67" s="57"/>
      <c r="K67" s="76" t="s">
        <v>39</v>
      </c>
      <c r="L67" s="56" t="s">
        <v>89</v>
      </c>
      <c r="M67" s="101"/>
      <c r="N67" s="57"/>
      <c r="O67" s="56"/>
    </row>
    <row r="68" s="1" customFormat="1" ht="18" customHeight="1" spans="1:15">
      <c r="A68" s="35">
        <v>43983</v>
      </c>
      <c r="B68" s="71">
        <f t="shared" si="3"/>
        <v>550000</v>
      </c>
      <c r="C68" s="36"/>
      <c r="D68" s="37" t="s">
        <v>90</v>
      </c>
      <c r="E68" s="39"/>
      <c r="F68" s="71">
        <f t="shared" si="4"/>
        <v>0</v>
      </c>
      <c r="G68" s="68">
        <v>550000</v>
      </c>
      <c r="H68" s="81"/>
      <c r="I68" s="71"/>
      <c r="J68" s="57"/>
      <c r="K68" s="76" t="s">
        <v>81</v>
      </c>
      <c r="L68" s="33" t="s">
        <v>76</v>
      </c>
      <c r="M68" s="101"/>
      <c r="N68" s="57"/>
      <c r="O68" s="56"/>
    </row>
    <row r="69" s="1" customFormat="1" ht="18" customHeight="1" spans="1:15">
      <c r="A69" s="35"/>
      <c r="B69" s="71">
        <f t="shared" si="3"/>
        <v>0</v>
      </c>
      <c r="C69" s="36"/>
      <c r="D69" s="37"/>
      <c r="E69" s="39"/>
      <c r="F69" s="71">
        <f t="shared" ref="F69:F83" si="5">ROUND(G69/(1+E69)*E69,2)</f>
        <v>0</v>
      </c>
      <c r="G69" s="68"/>
      <c r="H69" s="23">
        <v>44014</v>
      </c>
      <c r="I69" s="12">
        <v>1000000</v>
      </c>
      <c r="J69" s="53"/>
      <c r="K69" s="77" t="s">
        <v>75</v>
      </c>
      <c r="L69" s="33" t="s">
        <v>88</v>
      </c>
      <c r="M69" s="101"/>
      <c r="N69" s="57"/>
      <c r="O69" s="56"/>
    </row>
    <row r="70" s="1" customFormat="1" ht="18" customHeight="1" spans="1:15">
      <c r="A70" s="35"/>
      <c r="B70" s="71">
        <f t="shared" si="3"/>
        <v>0</v>
      </c>
      <c r="C70" s="36"/>
      <c r="D70" s="37"/>
      <c r="E70" s="39"/>
      <c r="F70" s="71">
        <f t="shared" si="5"/>
        <v>0</v>
      </c>
      <c r="G70" s="68"/>
      <c r="H70" s="23">
        <v>44014</v>
      </c>
      <c r="I70" s="12">
        <v>884360</v>
      </c>
      <c r="J70" s="53"/>
      <c r="K70" s="77" t="s">
        <v>81</v>
      </c>
      <c r="L70" s="33" t="s">
        <v>76</v>
      </c>
      <c r="M70" s="101"/>
      <c r="N70" s="57"/>
      <c r="O70" s="56"/>
    </row>
    <row r="71" s="1" customFormat="1" ht="18" customHeight="1" spans="1:15">
      <c r="A71" s="35"/>
      <c r="B71" s="71">
        <f t="shared" si="3"/>
        <v>0</v>
      </c>
      <c r="C71" s="36"/>
      <c r="D71" s="37"/>
      <c r="E71" s="39"/>
      <c r="F71" s="71">
        <f t="shared" si="5"/>
        <v>0</v>
      </c>
      <c r="G71" s="68"/>
      <c r="H71" s="23">
        <v>44014</v>
      </c>
      <c r="I71" s="12">
        <v>64090</v>
      </c>
      <c r="J71" s="53"/>
      <c r="K71" s="77" t="s">
        <v>44</v>
      </c>
      <c r="L71" s="33" t="s">
        <v>91</v>
      </c>
      <c r="M71" s="101"/>
      <c r="N71" s="57"/>
      <c r="O71" s="56"/>
    </row>
    <row r="72" s="1" customFormat="1" ht="18" customHeight="1" spans="1:15">
      <c r="A72" s="35"/>
      <c r="B72" s="71">
        <f t="shared" si="3"/>
        <v>0</v>
      </c>
      <c r="C72" s="36"/>
      <c r="D72" s="37"/>
      <c r="E72" s="39"/>
      <c r="F72" s="71">
        <f t="shared" si="5"/>
        <v>0</v>
      </c>
      <c r="G72" s="68"/>
      <c r="H72" s="81">
        <v>44015</v>
      </c>
      <c r="I72" s="71">
        <v>1000000</v>
      </c>
      <c r="J72" s="57"/>
      <c r="K72" s="76" t="s">
        <v>75</v>
      </c>
      <c r="L72" s="56" t="s">
        <v>88</v>
      </c>
      <c r="M72" s="101"/>
      <c r="N72" s="57"/>
      <c r="O72" s="56"/>
    </row>
    <row r="73" s="1" customFormat="1" ht="18" customHeight="1" spans="1:15">
      <c r="A73" s="35">
        <v>44013</v>
      </c>
      <c r="B73" s="71">
        <f t="shared" si="3"/>
        <v>884360</v>
      </c>
      <c r="C73" s="36"/>
      <c r="D73" s="37" t="s">
        <v>90</v>
      </c>
      <c r="E73" s="39"/>
      <c r="F73" s="71">
        <f t="shared" si="5"/>
        <v>0</v>
      </c>
      <c r="G73" s="68">
        <v>884360</v>
      </c>
      <c r="H73" s="81"/>
      <c r="I73" s="90"/>
      <c r="J73" s="91"/>
      <c r="K73" s="76" t="s">
        <v>81</v>
      </c>
      <c r="L73" s="33" t="s">
        <v>76</v>
      </c>
      <c r="M73" s="101"/>
      <c r="N73" s="57"/>
      <c r="O73" s="56"/>
    </row>
    <row r="74" s="1" customFormat="1" ht="18" customHeight="1" spans="1:15">
      <c r="A74" s="35">
        <v>44044</v>
      </c>
      <c r="B74" s="71">
        <f t="shared" si="3"/>
        <v>100000</v>
      </c>
      <c r="C74" s="36"/>
      <c r="D74" s="37" t="s">
        <v>61</v>
      </c>
      <c r="E74" s="39"/>
      <c r="F74" s="71">
        <f t="shared" si="5"/>
        <v>0</v>
      </c>
      <c r="G74" s="68">
        <v>100000</v>
      </c>
      <c r="H74" s="81"/>
      <c r="I74" s="90"/>
      <c r="J74" s="91"/>
      <c r="K74" s="76" t="s">
        <v>92</v>
      </c>
      <c r="L74" s="56" t="s">
        <v>58</v>
      </c>
      <c r="M74" s="101" t="s">
        <v>93</v>
      </c>
      <c r="N74" s="57"/>
      <c r="O74" s="56"/>
    </row>
    <row r="75" s="1" customFormat="1" ht="18" customHeight="1" spans="1:15">
      <c r="A75" s="35"/>
      <c r="B75" s="71">
        <f t="shared" si="3"/>
        <v>0</v>
      </c>
      <c r="C75" s="36"/>
      <c r="D75" s="37"/>
      <c r="E75" s="39"/>
      <c r="F75" s="71">
        <f t="shared" si="5"/>
        <v>0</v>
      </c>
      <c r="G75" s="68"/>
      <c r="H75" s="81">
        <v>44047</v>
      </c>
      <c r="I75" s="71">
        <v>-500000</v>
      </c>
      <c r="J75" s="57" t="s">
        <v>38</v>
      </c>
      <c r="K75" s="76" t="s">
        <v>78</v>
      </c>
      <c r="L75" s="93"/>
      <c r="M75" s="101"/>
      <c r="N75" s="57"/>
      <c r="O75" s="56"/>
    </row>
    <row r="76" s="1" customFormat="1" ht="18" customHeight="1" spans="1:15">
      <c r="A76" s="35"/>
      <c r="B76" s="71">
        <f t="shared" si="3"/>
        <v>0</v>
      </c>
      <c r="C76" s="36"/>
      <c r="D76" s="37"/>
      <c r="E76" s="39"/>
      <c r="F76" s="71">
        <f t="shared" si="5"/>
        <v>0</v>
      </c>
      <c r="G76" s="68"/>
      <c r="H76" s="81">
        <v>44048</v>
      </c>
      <c r="I76" s="71">
        <v>500000</v>
      </c>
      <c r="J76" s="57" t="s">
        <v>21</v>
      </c>
      <c r="K76" s="76" t="s">
        <v>75</v>
      </c>
      <c r="L76" s="56" t="s">
        <v>88</v>
      </c>
      <c r="M76" s="101"/>
      <c r="N76" s="57"/>
      <c r="O76" s="56"/>
    </row>
    <row r="77" s="1" customFormat="1" ht="18" customHeight="1" spans="1:15">
      <c r="A77" s="35">
        <v>44044</v>
      </c>
      <c r="B77" s="71">
        <f t="shared" si="3"/>
        <v>2752293.58</v>
      </c>
      <c r="C77" s="36"/>
      <c r="D77" s="37" t="s">
        <v>94</v>
      </c>
      <c r="E77" s="39">
        <v>0.09</v>
      </c>
      <c r="F77" s="71">
        <f t="shared" si="5"/>
        <v>247706.42</v>
      </c>
      <c r="G77" s="68">
        <v>3000000</v>
      </c>
      <c r="H77" s="81"/>
      <c r="I77" s="71"/>
      <c r="J77" s="57"/>
      <c r="K77" s="76" t="s">
        <v>75</v>
      </c>
      <c r="L77" s="56" t="s">
        <v>95</v>
      </c>
      <c r="M77" s="101"/>
      <c r="N77" s="57"/>
      <c r="O77" s="56"/>
    </row>
    <row r="78" s="1" customFormat="1" ht="18" customHeight="1" spans="1:15">
      <c r="A78" s="35"/>
      <c r="B78" s="71">
        <f t="shared" ref="B78:B107" si="6">ROUND(G78/(1+E78),2)</f>
        <v>0</v>
      </c>
      <c r="C78" s="36"/>
      <c r="D78" s="37"/>
      <c r="E78" s="39"/>
      <c r="F78" s="71">
        <f t="shared" ref="F78:F97" si="7">ROUND(G78/(1+E78)*E78,2)</f>
        <v>0</v>
      </c>
      <c r="G78" s="68"/>
      <c r="H78" s="81">
        <v>44056</v>
      </c>
      <c r="I78" s="71">
        <v>-100000</v>
      </c>
      <c r="J78" s="57" t="s">
        <v>38</v>
      </c>
      <c r="K78" s="76" t="s">
        <v>96</v>
      </c>
      <c r="L78" s="56"/>
      <c r="M78" s="101"/>
      <c r="N78" s="57"/>
      <c r="O78" s="56"/>
    </row>
    <row r="79" s="1" customFormat="1" ht="18" customHeight="1" spans="1:15">
      <c r="A79" s="35"/>
      <c r="B79" s="71">
        <f t="shared" si="6"/>
        <v>0</v>
      </c>
      <c r="C79" s="36"/>
      <c r="D79" s="37"/>
      <c r="E79" s="39"/>
      <c r="F79" s="71">
        <f t="shared" si="7"/>
        <v>0</v>
      </c>
      <c r="G79" s="68"/>
      <c r="H79" s="81">
        <v>44057</v>
      </c>
      <c r="I79" s="71">
        <v>100000</v>
      </c>
      <c r="J79" s="57" t="s">
        <v>21</v>
      </c>
      <c r="K79" s="76" t="s">
        <v>97</v>
      </c>
      <c r="L79" s="56"/>
      <c r="M79" s="101"/>
      <c r="N79" s="57"/>
      <c r="O79" s="56"/>
    </row>
    <row r="80" s="1" customFormat="1" ht="18" customHeight="1" spans="1:15">
      <c r="A80" s="35"/>
      <c r="B80" s="71">
        <f t="shared" si="6"/>
        <v>0</v>
      </c>
      <c r="C80" s="36"/>
      <c r="D80" s="37"/>
      <c r="E80" s="39"/>
      <c r="F80" s="71">
        <f t="shared" si="7"/>
        <v>0</v>
      </c>
      <c r="G80" s="68"/>
      <c r="H80" s="81">
        <v>44062</v>
      </c>
      <c r="I80" s="12">
        <v>1000000</v>
      </c>
      <c r="J80" s="53"/>
      <c r="K80" s="77" t="s">
        <v>75</v>
      </c>
      <c r="L80" s="33" t="s">
        <v>88</v>
      </c>
      <c r="M80" s="101"/>
      <c r="N80" s="57"/>
      <c r="O80" s="56"/>
    </row>
    <row r="81" s="1" customFormat="1" ht="18" customHeight="1" spans="1:15">
      <c r="A81" s="35"/>
      <c r="B81" s="71">
        <f t="shared" si="6"/>
        <v>0</v>
      </c>
      <c r="C81" s="36"/>
      <c r="D81" s="37"/>
      <c r="E81" s="39"/>
      <c r="F81" s="71">
        <f t="shared" si="7"/>
        <v>0</v>
      </c>
      <c r="G81" s="68"/>
      <c r="H81" s="81">
        <v>44061</v>
      </c>
      <c r="I81" s="71">
        <v>1000000</v>
      </c>
      <c r="J81" s="57"/>
      <c r="K81" s="76" t="s">
        <v>75</v>
      </c>
      <c r="L81" s="56" t="s">
        <v>88</v>
      </c>
      <c r="M81" s="101"/>
      <c r="N81" s="57"/>
      <c r="O81" s="56"/>
    </row>
    <row r="82" s="1" customFormat="1" ht="18" customHeight="1" spans="1:15">
      <c r="A82" s="35"/>
      <c r="B82" s="71">
        <f t="shared" si="6"/>
        <v>0</v>
      </c>
      <c r="C82" s="36"/>
      <c r="D82" s="37"/>
      <c r="E82" s="39"/>
      <c r="F82" s="71">
        <f t="shared" si="7"/>
        <v>0</v>
      </c>
      <c r="G82" s="68"/>
      <c r="H82" s="81">
        <v>44061</v>
      </c>
      <c r="I82" s="71">
        <v>100000</v>
      </c>
      <c r="J82" s="57"/>
      <c r="K82" s="76" t="s">
        <v>92</v>
      </c>
      <c r="L82" s="56" t="s">
        <v>98</v>
      </c>
      <c r="M82" s="101"/>
      <c r="N82" s="57"/>
      <c r="O82" s="56"/>
    </row>
    <row r="83" s="1" customFormat="1" ht="18" customHeight="1" spans="1:15">
      <c r="A83" s="35"/>
      <c r="B83" s="71">
        <f t="shared" si="6"/>
        <v>0</v>
      </c>
      <c r="C83" s="36"/>
      <c r="D83" s="37"/>
      <c r="E83" s="39"/>
      <c r="F83" s="71">
        <f t="shared" si="7"/>
        <v>0</v>
      </c>
      <c r="G83" s="68"/>
      <c r="H83" s="81">
        <v>44061</v>
      </c>
      <c r="I83" s="71">
        <v>800000</v>
      </c>
      <c r="J83" s="57"/>
      <c r="K83" s="76" t="s">
        <v>81</v>
      </c>
      <c r="L83" s="56" t="s">
        <v>76</v>
      </c>
      <c r="M83" s="101"/>
      <c r="N83" s="57"/>
      <c r="O83" s="56"/>
    </row>
    <row r="84" s="1" customFormat="1" ht="18" customHeight="1" spans="1:15">
      <c r="A84" s="35"/>
      <c r="B84" s="71">
        <f t="shared" si="6"/>
        <v>0</v>
      </c>
      <c r="C84" s="36"/>
      <c r="D84" s="37"/>
      <c r="E84" s="39"/>
      <c r="F84" s="71">
        <f t="shared" si="7"/>
        <v>0</v>
      </c>
      <c r="G84" s="68"/>
      <c r="H84" s="81">
        <v>44061</v>
      </c>
      <c r="I84" s="71">
        <v>329200</v>
      </c>
      <c r="J84" s="57"/>
      <c r="K84" s="76" t="s">
        <v>39</v>
      </c>
      <c r="L84" s="56" t="s">
        <v>99</v>
      </c>
      <c r="M84" s="101"/>
      <c r="N84" s="57"/>
      <c r="O84" s="56"/>
    </row>
    <row r="85" s="1" customFormat="1" ht="18" customHeight="1" spans="1:15">
      <c r="A85" s="35"/>
      <c r="B85" s="71">
        <f t="shared" si="6"/>
        <v>0</v>
      </c>
      <c r="C85" s="36"/>
      <c r="D85" s="37"/>
      <c r="E85" s="39"/>
      <c r="F85" s="71">
        <f t="shared" si="7"/>
        <v>0</v>
      </c>
      <c r="G85" s="68"/>
      <c r="H85" s="81">
        <v>44061</v>
      </c>
      <c r="I85" s="71">
        <v>-220000</v>
      </c>
      <c r="J85" s="57" t="s">
        <v>38</v>
      </c>
      <c r="K85" s="76" t="s">
        <v>96</v>
      </c>
      <c r="L85" s="56"/>
      <c r="M85" s="101"/>
      <c r="N85" s="57"/>
      <c r="O85" s="56"/>
    </row>
    <row r="86" s="1" customFormat="1" ht="18" customHeight="1" spans="1:15">
      <c r="A86" s="35"/>
      <c r="B86" s="71">
        <f t="shared" si="6"/>
        <v>0</v>
      </c>
      <c r="C86" s="36"/>
      <c r="D86" s="37"/>
      <c r="E86" s="39"/>
      <c r="F86" s="71">
        <f t="shared" si="7"/>
        <v>0</v>
      </c>
      <c r="G86" s="68"/>
      <c r="H86" s="23">
        <v>44062</v>
      </c>
      <c r="I86" s="12">
        <v>220000</v>
      </c>
      <c r="J86" s="53" t="s">
        <v>21</v>
      </c>
      <c r="K86" s="77" t="s">
        <v>97</v>
      </c>
      <c r="L86" s="56"/>
      <c r="M86" s="101"/>
      <c r="N86" s="57"/>
      <c r="O86" s="56"/>
    </row>
    <row r="87" s="1" customFormat="1" ht="18" customHeight="1" spans="1:15">
      <c r="A87" s="35">
        <v>44044</v>
      </c>
      <c r="B87" s="71">
        <f t="shared" si="6"/>
        <v>6603.77</v>
      </c>
      <c r="C87" s="36" t="s">
        <v>100</v>
      </c>
      <c r="D87" s="37" t="s">
        <v>47</v>
      </c>
      <c r="E87" s="39">
        <v>0.06</v>
      </c>
      <c r="F87" s="71">
        <f t="shared" si="7"/>
        <v>396.23</v>
      </c>
      <c r="G87" s="68">
        <v>7000</v>
      </c>
      <c r="H87" s="23"/>
      <c r="I87" s="12"/>
      <c r="J87" s="53"/>
      <c r="K87" s="77" t="s">
        <v>57</v>
      </c>
      <c r="L87" s="102" t="s">
        <v>58</v>
      </c>
      <c r="M87" s="101"/>
      <c r="N87" s="57"/>
      <c r="O87" s="56"/>
    </row>
    <row r="88" s="1" customFormat="1" ht="18" customHeight="1" spans="1:15">
      <c r="A88" s="35">
        <v>44044</v>
      </c>
      <c r="B88" s="71">
        <f t="shared" si="6"/>
        <v>5990</v>
      </c>
      <c r="C88" s="36"/>
      <c r="D88" s="37" t="s">
        <v>61</v>
      </c>
      <c r="E88" s="39"/>
      <c r="F88" s="71">
        <f t="shared" si="7"/>
        <v>0</v>
      </c>
      <c r="G88" s="68">
        <v>5990</v>
      </c>
      <c r="H88" s="23"/>
      <c r="I88" s="12"/>
      <c r="J88" s="53"/>
      <c r="K88" s="77" t="s">
        <v>101</v>
      </c>
      <c r="L88" s="102" t="s">
        <v>102</v>
      </c>
      <c r="M88" s="101"/>
      <c r="N88" s="57"/>
      <c r="O88" s="56"/>
    </row>
    <row r="89" s="1" customFormat="1" ht="18" customHeight="1" spans="1:15">
      <c r="A89" s="35">
        <v>44044</v>
      </c>
      <c r="B89" s="71">
        <f t="shared" si="6"/>
        <v>800000</v>
      </c>
      <c r="C89" s="36" t="s">
        <v>103</v>
      </c>
      <c r="D89" s="37" t="s">
        <v>61</v>
      </c>
      <c r="E89" s="39"/>
      <c r="F89" s="71">
        <f t="shared" si="7"/>
        <v>0</v>
      </c>
      <c r="G89" s="68">
        <v>800000</v>
      </c>
      <c r="H89" s="23"/>
      <c r="I89" s="12"/>
      <c r="J89" s="53"/>
      <c r="K89" s="76" t="s">
        <v>81</v>
      </c>
      <c r="L89" s="102" t="s">
        <v>76</v>
      </c>
      <c r="M89" s="101"/>
      <c r="N89" s="57"/>
      <c r="O89" s="56"/>
    </row>
    <row r="90" s="1" customFormat="1" ht="18" customHeight="1" spans="1:15">
      <c r="A90" s="35">
        <v>44075</v>
      </c>
      <c r="B90" s="71">
        <f t="shared" si="6"/>
        <v>68775</v>
      </c>
      <c r="C90" s="36" t="s">
        <v>100</v>
      </c>
      <c r="D90" s="37" t="s">
        <v>85</v>
      </c>
      <c r="E90" s="39"/>
      <c r="F90" s="71">
        <f t="shared" si="7"/>
        <v>0</v>
      </c>
      <c r="G90" s="68">
        <v>68775</v>
      </c>
      <c r="H90" s="23"/>
      <c r="I90" s="12"/>
      <c r="J90" s="53"/>
      <c r="K90" s="77" t="s">
        <v>104</v>
      </c>
      <c r="L90" s="102" t="s">
        <v>105</v>
      </c>
      <c r="M90" s="101" t="s">
        <v>106</v>
      </c>
      <c r="N90" s="57" t="s">
        <v>50</v>
      </c>
      <c r="O90" s="56"/>
    </row>
    <row r="91" s="1" customFormat="1" ht="18" customHeight="1" spans="1:15">
      <c r="A91" s="35"/>
      <c r="B91" s="71">
        <f t="shared" si="6"/>
        <v>0</v>
      </c>
      <c r="C91" s="36"/>
      <c r="D91" s="37"/>
      <c r="E91" s="39"/>
      <c r="F91" s="71">
        <f t="shared" ref="F91:F105" si="8">ROUND(G91/(1+E91)*E91,2)</f>
        <v>0</v>
      </c>
      <c r="G91" s="68"/>
      <c r="H91" s="23">
        <v>44082</v>
      </c>
      <c r="I91" s="12">
        <v>-68775</v>
      </c>
      <c r="J91" s="53" t="s">
        <v>38</v>
      </c>
      <c r="K91" s="77" t="s">
        <v>39</v>
      </c>
      <c r="L91" s="102"/>
      <c r="M91" s="101"/>
      <c r="N91" s="57"/>
      <c r="O91" s="56"/>
    </row>
    <row r="92" s="1" customFormat="1" ht="18" customHeight="1" spans="1:15">
      <c r="A92" s="35"/>
      <c r="B92" s="71">
        <f t="shared" si="6"/>
        <v>0</v>
      </c>
      <c r="C92" s="36"/>
      <c r="D92" s="37"/>
      <c r="E92" s="39"/>
      <c r="F92" s="71">
        <f t="shared" si="8"/>
        <v>0</v>
      </c>
      <c r="G92" s="68"/>
      <c r="H92" s="23">
        <v>44083</v>
      </c>
      <c r="I92" s="12">
        <v>68775</v>
      </c>
      <c r="J92" s="53" t="s">
        <v>21</v>
      </c>
      <c r="K92" s="77" t="s">
        <v>104</v>
      </c>
      <c r="L92" s="103" t="s">
        <v>107</v>
      </c>
      <c r="M92" s="101"/>
      <c r="N92" s="57"/>
      <c r="O92" s="56"/>
    </row>
    <row r="93" s="1" customFormat="1" ht="18" customHeight="1" spans="1:15">
      <c r="A93" s="35">
        <v>44075</v>
      </c>
      <c r="B93" s="71">
        <f t="shared" si="6"/>
        <v>94354.87</v>
      </c>
      <c r="C93" s="36" t="s">
        <v>100</v>
      </c>
      <c r="D93" s="37" t="s">
        <v>47</v>
      </c>
      <c r="E93" s="39">
        <v>0.13</v>
      </c>
      <c r="F93" s="71">
        <f t="shared" si="8"/>
        <v>12266.13</v>
      </c>
      <c r="G93" s="68">
        <v>106621</v>
      </c>
      <c r="H93" s="23"/>
      <c r="I93" s="12"/>
      <c r="J93" s="53"/>
      <c r="K93" s="77" t="s">
        <v>97</v>
      </c>
      <c r="L93" s="102" t="s">
        <v>108</v>
      </c>
      <c r="M93" s="101" t="s">
        <v>109</v>
      </c>
      <c r="N93" s="57"/>
      <c r="O93" s="56"/>
    </row>
    <row r="94" s="1" customFormat="1" ht="18" customHeight="1" spans="1:15">
      <c r="A94" s="35"/>
      <c r="B94" s="71">
        <f t="shared" si="6"/>
        <v>0</v>
      </c>
      <c r="C94" s="36"/>
      <c r="D94" s="37"/>
      <c r="E94" s="39"/>
      <c r="F94" s="71">
        <f t="shared" si="8"/>
        <v>0</v>
      </c>
      <c r="G94" s="68"/>
      <c r="H94" s="81">
        <v>44089</v>
      </c>
      <c r="I94" s="71">
        <v>500000</v>
      </c>
      <c r="J94" s="57"/>
      <c r="K94" s="76" t="s">
        <v>75</v>
      </c>
      <c r="L94" s="102" t="s">
        <v>88</v>
      </c>
      <c r="M94" s="101"/>
      <c r="N94" s="57"/>
      <c r="O94" s="56"/>
    </row>
    <row r="95" s="1" customFormat="1" ht="18" customHeight="1" spans="1:15">
      <c r="A95" s="35"/>
      <c r="B95" s="71">
        <f t="shared" si="6"/>
        <v>0</v>
      </c>
      <c r="C95" s="36"/>
      <c r="D95" s="37"/>
      <c r="E95" s="39"/>
      <c r="F95" s="71">
        <f t="shared" si="8"/>
        <v>0</v>
      </c>
      <c r="G95" s="68"/>
      <c r="H95" s="81">
        <v>44089</v>
      </c>
      <c r="I95" s="71">
        <v>474482</v>
      </c>
      <c r="J95" s="57"/>
      <c r="K95" s="76" t="s">
        <v>39</v>
      </c>
      <c r="L95" s="102" t="s">
        <v>89</v>
      </c>
      <c r="M95" s="101"/>
      <c r="N95" s="57"/>
      <c r="O95" s="56"/>
    </row>
    <row r="96" s="1" customFormat="1" ht="18" customHeight="1" spans="1:15">
      <c r="A96" s="35"/>
      <c r="B96" s="71">
        <f t="shared" si="6"/>
        <v>0</v>
      </c>
      <c r="C96" s="36"/>
      <c r="D96" s="37"/>
      <c r="E96" s="39"/>
      <c r="F96" s="71">
        <f t="shared" si="8"/>
        <v>0</v>
      </c>
      <c r="G96" s="68"/>
      <c r="H96" s="23">
        <v>44116</v>
      </c>
      <c r="I96" s="12">
        <v>-16344</v>
      </c>
      <c r="J96" s="53" t="s">
        <v>38</v>
      </c>
      <c r="K96" s="76" t="s">
        <v>39</v>
      </c>
      <c r="L96" s="102"/>
      <c r="M96" s="101"/>
      <c r="N96" s="57"/>
      <c r="O96" s="56"/>
    </row>
    <row r="97" s="1" customFormat="1" ht="18" customHeight="1" spans="1:15">
      <c r="A97" s="35"/>
      <c r="B97" s="71">
        <f t="shared" si="6"/>
        <v>0</v>
      </c>
      <c r="C97" s="36"/>
      <c r="D97" s="37"/>
      <c r="E97" s="39"/>
      <c r="F97" s="71">
        <f t="shared" si="8"/>
        <v>0</v>
      </c>
      <c r="G97" s="68"/>
      <c r="H97" s="81">
        <v>44118</v>
      </c>
      <c r="I97" s="71">
        <v>16344</v>
      </c>
      <c r="J97" s="57" t="s">
        <v>21</v>
      </c>
      <c r="K97" s="76" t="s">
        <v>97</v>
      </c>
      <c r="L97" s="102"/>
      <c r="M97" s="101"/>
      <c r="N97" s="57"/>
      <c r="O97" s="56"/>
    </row>
    <row r="98" s="1" customFormat="1" ht="20" customHeight="1" spans="1:15">
      <c r="A98" s="35">
        <v>44105</v>
      </c>
      <c r="B98" s="71">
        <f t="shared" si="6"/>
        <v>62190</v>
      </c>
      <c r="C98" s="36" t="s">
        <v>110</v>
      </c>
      <c r="D98" s="37" t="s">
        <v>61</v>
      </c>
      <c r="E98" s="39"/>
      <c r="F98" s="71">
        <f t="shared" si="8"/>
        <v>0</v>
      </c>
      <c r="G98" s="68">
        <v>62190</v>
      </c>
      <c r="H98" s="23"/>
      <c r="I98" s="12"/>
      <c r="J98" s="53"/>
      <c r="K98" s="76" t="s">
        <v>66</v>
      </c>
      <c r="L98" s="102" t="s">
        <v>111</v>
      </c>
      <c r="M98" s="101" t="s">
        <v>112</v>
      </c>
      <c r="N98" s="57" t="s">
        <v>50</v>
      </c>
      <c r="O98" s="56"/>
    </row>
    <row r="99" s="1" customFormat="1" ht="20" customHeight="1" spans="1:15">
      <c r="A99" s="35">
        <v>44105</v>
      </c>
      <c r="B99" s="71">
        <f t="shared" si="6"/>
        <v>203294.69</v>
      </c>
      <c r="C99" s="36"/>
      <c r="D99" s="37" t="s">
        <v>47</v>
      </c>
      <c r="E99" s="39">
        <v>0.13</v>
      </c>
      <c r="F99" s="71">
        <f t="shared" si="8"/>
        <v>26428.31</v>
      </c>
      <c r="G99" s="68">
        <v>229723</v>
      </c>
      <c r="H99" s="23"/>
      <c r="I99" s="12"/>
      <c r="J99" s="53"/>
      <c r="K99" s="76" t="s">
        <v>97</v>
      </c>
      <c r="L99" s="102" t="s">
        <v>113</v>
      </c>
      <c r="M99" s="101" t="s">
        <v>109</v>
      </c>
      <c r="N99" s="57" t="s">
        <v>50</v>
      </c>
      <c r="O99" s="56"/>
    </row>
    <row r="100" s="1" customFormat="1" ht="20" customHeight="1" spans="1:16">
      <c r="A100" s="35">
        <v>44105</v>
      </c>
      <c r="B100" s="71">
        <f t="shared" si="6"/>
        <v>96990.29</v>
      </c>
      <c r="C100" s="36"/>
      <c r="D100" s="37" t="s">
        <v>47</v>
      </c>
      <c r="E100" s="39">
        <v>0.03</v>
      </c>
      <c r="F100" s="71">
        <f t="shared" si="8"/>
        <v>2909.71</v>
      </c>
      <c r="G100" s="68">
        <v>99900</v>
      </c>
      <c r="H100" s="23"/>
      <c r="I100" s="12"/>
      <c r="J100" s="53"/>
      <c r="K100" s="76" t="s">
        <v>114</v>
      </c>
      <c r="L100" s="102" t="s">
        <v>115</v>
      </c>
      <c r="M100" s="101" t="s">
        <v>116</v>
      </c>
      <c r="N100" s="57"/>
      <c r="O100" s="56"/>
      <c r="P100" s="104"/>
    </row>
    <row r="101" s="1" customFormat="1" ht="20" customHeight="1" spans="1:15">
      <c r="A101" s="35">
        <v>44105</v>
      </c>
      <c r="B101" s="71">
        <f t="shared" si="6"/>
        <v>1504279.36</v>
      </c>
      <c r="C101" s="36"/>
      <c r="D101" s="37" t="s">
        <v>47</v>
      </c>
      <c r="E101" s="39">
        <v>0.09</v>
      </c>
      <c r="F101" s="71">
        <f t="shared" si="8"/>
        <v>135385.14</v>
      </c>
      <c r="G101" s="68">
        <v>1639664.5</v>
      </c>
      <c r="H101" s="23"/>
      <c r="I101" s="12"/>
      <c r="J101" s="53"/>
      <c r="K101" s="76" t="s">
        <v>75</v>
      </c>
      <c r="L101" s="102" t="s">
        <v>88</v>
      </c>
      <c r="M101" s="101"/>
      <c r="N101" s="57"/>
      <c r="O101" s="56"/>
    </row>
    <row r="102" s="1" customFormat="1" ht="18" customHeight="1" spans="1:15">
      <c r="A102" s="35"/>
      <c r="B102" s="71">
        <f t="shared" si="6"/>
        <v>0</v>
      </c>
      <c r="C102" s="36"/>
      <c r="D102" s="37"/>
      <c r="E102" s="39"/>
      <c r="F102" s="71">
        <f t="shared" si="8"/>
        <v>0</v>
      </c>
      <c r="G102" s="68"/>
      <c r="H102" s="23">
        <v>44137</v>
      </c>
      <c r="I102" s="105">
        <v>1639664.5</v>
      </c>
      <c r="J102" s="53" t="s">
        <v>21</v>
      </c>
      <c r="K102" s="77" t="s">
        <v>75</v>
      </c>
      <c r="L102" s="103" t="s">
        <v>88</v>
      </c>
      <c r="M102" s="101"/>
      <c r="N102" s="57"/>
      <c r="O102" s="56"/>
    </row>
    <row r="103" s="1" customFormat="1" ht="18" customHeight="1" spans="1:15">
      <c r="A103" s="35"/>
      <c r="B103" s="71">
        <f t="shared" si="6"/>
        <v>0</v>
      </c>
      <c r="C103" s="36"/>
      <c r="D103" s="37"/>
      <c r="E103" s="39"/>
      <c r="F103" s="71">
        <f t="shared" si="8"/>
        <v>0</v>
      </c>
      <c r="G103" s="68"/>
      <c r="H103" s="23">
        <v>44137</v>
      </c>
      <c r="I103" s="105">
        <v>62190</v>
      </c>
      <c r="J103" s="53" t="s">
        <v>21</v>
      </c>
      <c r="K103" s="77" t="s">
        <v>66</v>
      </c>
      <c r="L103" s="103" t="s">
        <v>117</v>
      </c>
      <c r="M103" s="101"/>
      <c r="N103" s="57"/>
      <c r="O103" s="56"/>
    </row>
    <row r="104" s="1" customFormat="1" ht="18" customHeight="1" spans="1:15">
      <c r="A104" s="35"/>
      <c r="B104" s="71">
        <f t="shared" si="6"/>
        <v>0</v>
      </c>
      <c r="C104" s="36"/>
      <c r="D104" s="37"/>
      <c r="E104" s="39"/>
      <c r="F104" s="71">
        <f t="shared" si="8"/>
        <v>0</v>
      </c>
      <c r="G104" s="68"/>
      <c r="H104" s="23">
        <v>44137</v>
      </c>
      <c r="I104" s="105">
        <v>99900</v>
      </c>
      <c r="J104" s="53" t="s">
        <v>21</v>
      </c>
      <c r="K104" s="77" t="s">
        <v>114</v>
      </c>
      <c r="L104" s="103" t="s">
        <v>118</v>
      </c>
      <c r="M104" s="101"/>
      <c r="N104" s="57"/>
      <c r="O104" s="56"/>
    </row>
    <row r="105" s="1" customFormat="1" ht="18" customHeight="1" spans="1:15">
      <c r="A105" s="35"/>
      <c r="B105" s="71">
        <f t="shared" si="6"/>
        <v>0</v>
      </c>
      <c r="C105" s="36"/>
      <c r="D105" s="37"/>
      <c r="E105" s="39"/>
      <c r="F105" s="71">
        <f t="shared" si="8"/>
        <v>0</v>
      </c>
      <c r="G105" s="68"/>
      <c r="H105" s="23">
        <v>44137</v>
      </c>
      <c r="I105" s="105">
        <v>848039</v>
      </c>
      <c r="J105" s="53" t="s">
        <v>38</v>
      </c>
      <c r="K105" s="77" t="s">
        <v>39</v>
      </c>
      <c r="L105" s="103" t="s">
        <v>89</v>
      </c>
      <c r="M105" s="101"/>
      <c r="N105" s="57"/>
      <c r="O105" s="56"/>
    </row>
    <row r="106" s="1" customFormat="1" ht="18" customHeight="1" spans="1:15">
      <c r="A106" s="35">
        <v>44166</v>
      </c>
      <c r="B106" s="71">
        <f t="shared" ref="B106:B116" si="9">ROUND(G106/(1+E106),2)</f>
        <v>200000</v>
      </c>
      <c r="C106" s="36" t="s">
        <v>100</v>
      </c>
      <c r="D106" s="37" t="s">
        <v>119</v>
      </c>
      <c r="E106" s="39"/>
      <c r="F106" s="71">
        <f t="shared" ref="F106:F114" si="10">ROUND(G106/(1+E106)*E106,2)</f>
        <v>0</v>
      </c>
      <c r="G106" s="68">
        <v>200000</v>
      </c>
      <c r="H106" s="23"/>
      <c r="I106" s="105"/>
      <c r="J106" s="53"/>
      <c r="K106" s="77" t="s">
        <v>120</v>
      </c>
      <c r="L106" s="103" t="s">
        <v>121</v>
      </c>
      <c r="M106" s="101" t="s">
        <v>50</v>
      </c>
      <c r="N106" s="57"/>
      <c r="O106" s="56"/>
    </row>
    <row r="107" s="1" customFormat="1" ht="18" customHeight="1" spans="1:15">
      <c r="A107" s="35">
        <v>44166</v>
      </c>
      <c r="B107" s="71">
        <f t="shared" si="9"/>
        <v>530973.45</v>
      </c>
      <c r="C107" s="36" t="s">
        <v>122</v>
      </c>
      <c r="D107" s="37" t="s">
        <v>47</v>
      </c>
      <c r="E107" s="39">
        <v>0.13</v>
      </c>
      <c r="F107" s="71">
        <f t="shared" si="10"/>
        <v>69026.55</v>
      </c>
      <c r="G107" s="68">
        <v>600000</v>
      </c>
      <c r="H107" s="23"/>
      <c r="I107" s="105"/>
      <c r="J107" s="53"/>
      <c r="K107" s="77" t="s">
        <v>123</v>
      </c>
      <c r="L107" s="103" t="s">
        <v>124</v>
      </c>
      <c r="M107" s="101" t="s">
        <v>50</v>
      </c>
      <c r="N107" s="57"/>
      <c r="O107" s="56"/>
    </row>
    <row r="108" s="1" customFormat="1" ht="18" customHeight="1" spans="1:15">
      <c r="A108" s="35">
        <v>44166</v>
      </c>
      <c r="B108" s="71">
        <f t="shared" si="9"/>
        <v>176991.15</v>
      </c>
      <c r="C108" s="36" t="s">
        <v>125</v>
      </c>
      <c r="D108" s="37" t="s">
        <v>47</v>
      </c>
      <c r="E108" s="39">
        <v>0.13</v>
      </c>
      <c r="F108" s="71">
        <f t="shared" si="10"/>
        <v>23008.85</v>
      </c>
      <c r="G108" s="68">
        <v>200000</v>
      </c>
      <c r="H108" s="23"/>
      <c r="I108" s="105"/>
      <c r="J108" s="53"/>
      <c r="K108" s="77" t="s">
        <v>126</v>
      </c>
      <c r="L108" s="103" t="s">
        <v>127</v>
      </c>
      <c r="M108" s="101" t="s">
        <v>50</v>
      </c>
      <c r="N108" s="57"/>
      <c r="O108" s="56"/>
    </row>
    <row r="109" s="1" customFormat="1" ht="18" customHeight="1" spans="1:15">
      <c r="A109" s="35">
        <v>44166</v>
      </c>
      <c r="B109" s="71">
        <f t="shared" si="9"/>
        <v>176991.15</v>
      </c>
      <c r="C109" s="36" t="s">
        <v>125</v>
      </c>
      <c r="D109" s="37" t="s">
        <v>47</v>
      </c>
      <c r="E109" s="39">
        <v>0.13</v>
      </c>
      <c r="F109" s="71">
        <f t="shared" si="10"/>
        <v>23008.85</v>
      </c>
      <c r="G109" s="68">
        <v>200000</v>
      </c>
      <c r="H109" s="23"/>
      <c r="I109" s="105"/>
      <c r="J109" s="53"/>
      <c r="K109" s="77" t="s">
        <v>126</v>
      </c>
      <c r="L109" s="103" t="s">
        <v>128</v>
      </c>
      <c r="M109" s="101" t="s">
        <v>50</v>
      </c>
      <c r="N109" s="57"/>
      <c r="O109" s="56"/>
    </row>
    <row r="110" s="1" customFormat="1" ht="18" customHeight="1" spans="1:15">
      <c r="A110" s="35">
        <v>44166</v>
      </c>
      <c r="B110" s="71">
        <f t="shared" si="9"/>
        <v>265486.73</v>
      </c>
      <c r="C110" s="36" t="s">
        <v>129</v>
      </c>
      <c r="D110" s="37" t="s">
        <v>47</v>
      </c>
      <c r="E110" s="39">
        <v>0.13</v>
      </c>
      <c r="F110" s="71">
        <f t="shared" si="10"/>
        <v>34513.27</v>
      </c>
      <c r="G110" s="68">
        <v>300000</v>
      </c>
      <c r="H110" s="23"/>
      <c r="I110" s="86"/>
      <c r="J110" s="53"/>
      <c r="K110" s="76" t="s">
        <v>130</v>
      </c>
      <c r="L110" s="102" t="s">
        <v>131</v>
      </c>
      <c r="M110" s="101" t="s">
        <v>50</v>
      </c>
      <c r="N110" s="57"/>
      <c r="O110" s="56"/>
    </row>
    <row r="111" s="1" customFormat="1" ht="18" customHeight="1" spans="1:15">
      <c r="A111" s="35">
        <v>44166</v>
      </c>
      <c r="B111" s="71">
        <f t="shared" si="9"/>
        <v>29297.17</v>
      </c>
      <c r="C111" s="36" t="s">
        <v>100</v>
      </c>
      <c r="D111" s="37" t="s">
        <v>47</v>
      </c>
      <c r="E111" s="39">
        <v>0.06</v>
      </c>
      <c r="F111" s="71">
        <f t="shared" si="10"/>
        <v>1757.83</v>
      </c>
      <c r="G111" s="68">
        <v>31055</v>
      </c>
      <c r="H111" s="23"/>
      <c r="I111" s="86"/>
      <c r="J111" s="53"/>
      <c r="K111" s="76" t="s">
        <v>92</v>
      </c>
      <c r="L111" s="102" t="s">
        <v>58</v>
      </c>
      <c r="M111" s="101" t="s">
        <v>50</v>
      </c>
      <c r="N111" s="57"/>
      <c r="O111" s="56"/>
    </row>
    <row r="112" s="1" customFormat="1" ht="18" customHeight="1" spans="1:15">
      <c r="A112" s="35"/>
      <c r="B112" s="71">
        <f t="shared" ref="B112:B130" si="11">ROUND(G112/(1+E112),2)</f>
        <v>0</v>
      </c>
      <c r="C112" s="36"/>
      <c r="D112" s="37"/>
      <c r="E112" s="39"/>
      <c r="F112" s="71">
        <f t="shared" ref="F112:F128" si="12">ROUND(G112/(1+E112)*E112,2)</f>
        <v>0</v>
      </c>
      <c r="G112" s="68"/>
      <c r="H112" s="23">
        <v>44183</v>
      </c>
      <c r="I112" s="105">
        <v>600000</v>
      </c>
      <c r="J112" s="53" t="s">
        <v>21</v>
      </c>
      <c r="K112" s="77" t="s">
        <v>123</v>
      </c>
      <c r="L112" s="103" t="s">
        <v>132</v>
      </c>
      <c r="M112" s="101"/>
      <c r="N112" s="57"/>
      <c r="O112" s="56"/>
    </row>
    <row r="113" s="1" customFormat="1" ht="18" customHeight="1" spans="1:15">
      <c r="A113" s="35"/>
      <c r="B113" s="71">
        <f t="shared" si="11"/>
        <v>0</v>
      </c>
      <c r="C113" s="36"/>
      <c r="D113" s="37"/>
      <c r="E113" s="39"/>
      <c r="F113" s="71">
        <f t="shared" si="12"/>
        <v>0</v>
      </c>
      <c r="G113" s="68"/>
      <c r="H113" s="23">
        <v>44183</v>
      </c>
      <c r="I113" s="105">
        <v>200000</v>
      </c>
      <c r="J113" s="53" t="s">
        <v>21</v>
      </c>
      <c r="K113" s="77" t="s">
        <v>126</v>
      </c>
      <c r="L113" s="103" t="s">
        <v>133</v>
      </c>
      <c r="M113" s="101"/>
      <c r="N113" s="57"/>
      <c r="O113" s="56"/>
    </row>
    <row r="114" s="1" customFormat="1" ht="18" customHeight="1" spans="1:15">
      <c r="A114" s="35"/>
      <c r="B114" s="71">
        <f t="shared" si="11"/>
        <v>0</v>
      </c>
      <c r="C114" s="36"/>
      <c r="D114" s="37"/>
      <c r="E114" s="39"/>
      <c r="F114" s="71">
        <f t="shared" si="12"/>
        <v>0</v>
      </c>
      <c r="G114" s="68"/>
      <c r="H114" s="23">
        <v>44183</v>
      </c>
      <c r="I114" s="105">
        <v>200000</v>
      </c>
      <c r="J114" s="53" t="s">
        <v>21</v>
      </c>
      <c r="K114" s="77" t="s">
        <v>126</v>
      </c>
      <c r="L114" s="103" t="s">
        <v>134</v>
      </c>
      <c r="M114" s="101"/>
      <c r="N114" s="57"/>
      <c r="O114" s="56"/>
    </row>
    <row r="115" s="1" customFormat="1" ht="18" customHeight="1" spans="1:15">
      <c r="A115" s="35"/>
      <c r="B115" s="71">
        <f t="shared" si="11"/>
        <v>0</v>
      </c>
      <c r="C115" s="36"/>
      <c r="D115" s="37"/>
      <c r="E115" s="39"/>
      <c r="F115" s="71">
        <f t="shared" si="12"/>
        <v>0</v>
      </c>
      <c r="G115" s="68"/>
      <c r="H115" s="23">
        <v>44183</v>
      </c>
      <c r="I115" s="105">
        <v>300000</v>
      </c>
      <c r="J115" s="53" t="s">
        <v>21</v>
      </c>
      <c r="K115" s="77" t="s">
        <v>130</v>
      </c>
      <c r="L115" s="103" t="s">
        <v>135</v>
      </c>
      <c r="M115" s="101"/>
      <c r="N115" s="57"/>
      <c r="O115" s="56"/>
    </row>
    <row r="116" s="1" customFormat="1" ht="18" customHeight="1" spans="1:15">
      <c r="A116" s="35"/>
      <c r="B116" s="71">
        <f t="shared" si="11"/>
        <v>0</v>
      </c>
      <c r="C116" s="36"/>
      <c r="D116" s="37"/>
      <c r="E116" s="39"/>
      <c r="F116" s="71">
        <f t="shared" si="12"/>
        <v>0</v>
      </c>
      <c r="G116" s="68"/>
      <c r="H116" s="23">
        <v>44183</v>
      </c>
      <c r="I116" s="105">
        <v>200000</v>
      </c>
      <c r="J116" s="53" t="s">
        <v>38</v>
      </c>
      <c r="K116" s="77" t="s">
        <v>120</v>
      </c>
      <c r="L116" s="103" t="s">
        <v>136</v>
      </c>
      <c r="M116" s="101"/>
      <c r="N116" s="57"/>
      <c r="O116" s="56"/>
    </row>
    <row r="117" s="1" customFormat="1" ht="18" customHeight="1" spans="1:15">
      <c r="A117" s="35"/>
      <c r="B117" s="71">
        <f t="shared" si="11"/>
        <v>0</v>
      </c>
      <c r="C117" s="36"/>
      <c r="D117" s="37"/>
      <c r="E117" s="39"/>
      <c r="F117" s="71">
        <f t="shared" si="12"/>
        <v>0</v>
      </c>
      <c r="G117" s="68"/>
      <c r="H117" s="23">
        <v>44183</v>
      </c>
      <c r="I117" s="105">
        <v>31055</v>
      </c>
      <c r="J117" s="53" t="s">
        <v>21</v>
      </c>
      <c r="K117" s="77" t="s">
        <v>92</v>
      </c>
      <c r="L117" s="103" t="s">
        <v>58</v>
      </c>
      <c r="M117" s="101"/>
      <c r="N117" s="57"/>
      <c r="O117" s="56"/>
    </row>
    <row r="118" s="1" customFormat="1" ht="18" customHeight="1" spans="1:15">
      <c r="A118" s="35"/>
      <c r="B118" s="71">
        <f t="shared" si="11"/>
        <v>0</v>
      </c>
      <c r="C118" s="36"/>
      <c r="D118" s="37"/>
      <c r="E118" s="39"/>
      <c r="F118" s="71">
        <f t="shared" si="12"/>
        <v>0</v>
      </c>
      <c r="G118" s="68"/>
      <c r="H118" s="23">
        <v>44183</v>
      </c>
      <c r="I118" s="105">
        <v>461249</v>
      </c>
      <c r="J118" s="53" t="s">
        <v>38</v>
      </c>
      <c r="K118" s="77" t="s">
        <v>39</v>
      </c>
      <c r="L118" s="103" t="s">
        <v>99</v>
      </c>
      <c r="M118" s="101"/>
      <c r="N118" s="57"/>
      <c r="O118" s="56"/>
    </row>
    <row r="119" s="1" customFormat="1" ht="18" customHeight="1" spans="1:15">
      <c r="A119" s="35">
        <v>44166</v>
      </c>
      <c r="B119" s="71">
        <f t="shared" si="11"/>
        <v>407766.99</v>
      </c>
      <c r="C119" s="36" t="s">
        <v>137</v>
      </c>
      <c r="D119" s="37" t="s">
        <v>47</v>
      </c>
      <c r="E119" s="39">
        <v>0.03</v>
      </c>
      <c r="F119" s="71">
        <f t="shared" si="12"/>
        <v>12233.01</v>
      </c>
      <c r="G119" s="68">
        <v>420000</v>
      </c>
      <c r="H119" s="23"/>
      <c r="I119" s="105"/>
      <c r="J119" s="53"/>
      <c r="K119" s="77" t="s">
        <v>138</v>
      </c>
      <c r="L119" s="103" t="s">
        <v>139</v>
      </c>
      <c r="M119" s="101" t="s">
        <v>50</v>
      </c>
      <c r="N119" s="57"/>
      <c r="O119" s="56" t="s">
        <v>140</v>
      </c>
    </row>
    <row r="120" s="1" customFormat="1" ht="21" customHeight="1" spans="1:15">
      <c r="A120" s="35">
        <v>44166</v>
      </c>
      <c r="B120" s="71">
        <f t="shared" si="11"/>
        <v>594059.41</v>
      </c>
      <c r="C120" s="36" t="s">
        <v>122</v>
      </c>
      <c r="D120" s="37" t="s">
        <v>85</v>
      </c>
      <c r="E120" s="39">
        <v>0.01</v>
      </c>
      <c r="F120" s="71">
        <f t="shared" si="12"/>
        <v>5940.59</v>
      </c>
      <c r="G120" s="68">
        <v>600000</v>
      </c>
      <c r="H120" s="23"/>
      <c r="I120" s="105"/>
      <c r="J120" s="53"/>
      <c r="K120" s="77" t="s">
        <v>141</v>
      </c>
      <c r="L120" s="103" t="s">
        <v>142</v>
      </c>
      <c r="M120" s="101" t="s">
        <v>50</v>
      </c>
      <c r="N120" s="57"/>
      <c r="O120" s="56" t="s">
        <v>143</v>
      </c>
    </row>
    <row r="121" s="1" customFormat="1" ht="18" customHeight="1" spans="1:15">
      <c r="A121" s="35"/>
      <c r="B121" s="71">
        <f t="shared" si="11"/>
        <v>0</v>
      </c>
      <c r="C121" s="36"/>
      <c r="D121" s="37"/>
      <c r="E121" s="39"/>
      <c r="F121" s="71">
        <f t="shared" si="12"/>
        <v>0</v>
      </c>
      <c r="G121" s="68"/>
      <c r="H121" s="23">
        <v>44188</v>
      </c>
      <c r="I121" s="105">
        <v>600000</v>
      </c>
      <c r="J121" s="53" t="s">
        <v>21</v>
      </c>
      <c r="K121" s="77" t="s">
        <v>144</v>
      </c>
      <c r="L121" s="103" t="s">
        <v>145</v>
      </c>
      <c r="M121" s="101"/>
      <c r="N121" s="57"/>
      <c r="O121" s="56"/>
    </row>
    <row r="122" s="1" customFormat="1" ht="18" customHeight="1" spans="1:15">
      <c r="A122" s="35"/>
      <c r="B122" s="71">
        <f t="shared" si="11"/>
        <v>0</v>
      </c>
      <c r="C122" s="36"/>
      <c r="D122" s="37"/>
      <c r="E122" s="39"/>
      <c r="F122" s="71">
        <f t="shared" si="12"/>
        <v>0</v>
      </c>
      <c r="G122" s="68"/>
      <c r="H122" s="23">
        <v>44188</v>
      </c>
      <c r="I122" s="105">
        <v>420000</v>
      </c>
      <c r="J122" s="53" t="s">
        <v>21</v>
      </c>
      <c r="K122" s="77" t="s">
        <v>138</v>
      </c>
      <c r="L122" s="103" t="s">
        <v>76</v>
      </c>
      <c r="M122" s="101"/>
      <c r="N122" s="57"/>
      <c r="O122" s="56"/>
    </row>
    <row r="123" s="1" customFormat="1" ht="18" customHeight="1" spans="1:15">
      <c r="A123" s="35"/>
      <c r="B123" s="71"/>
      <c r="C123" s="36"/>
      <c r="D123" s="37"/>
      <c r="E123" s="39"/>
      <c r="F123" s="71"/>
      <c r="G123" s="68"/>
      <c r="H123" s="23">
        <v>44188</v>
      </c>
      <c r="I123" s="105">
        <v>-210403.23</v>
      </c>
      <c r="J123" s="53" t="s">
        <v>38</v>
      </c>
      <c r="K123" s="77" t="s">
        <v>39</v>
      </c>
      <c r="L123" s="103"/>
      <c r="M123" s="101"/>
      <c r="N123" s="57"/>
      <c r="O123" s="56"/>
    </row>
    <row r="124" s="1" customFormat="1" ht="18" customHeight="1" spans="1:15">
      <c r="A124" s="35"/>
      <c r="B124" s="71"/>
      <c r="C124" s="36"/>
      <c r="D124" s="37"/>
      <c r="E124" s="39"/>
      <c r="F124" s="71"/>
      <c r="G124" s="68"/>
      <c r="H124" s="23"/>
      <c r="I124" s="106"/>
      <c r="J124" s="91"/>
      <c r="K124" s="92"/>
      <c r="L124" s="103"/>
      <c r="M124" s="101"/>
      <c r="N124" s="57"/>
      <c r="O124" s="56"/>
    </row>
    <row r="125" s="1" customFormat="1" ht="18" customHeight="1" spans="1:15">
      <c r="A125" s="35"/>
      <c r="B125" s="71"/>
      <c r="C125" s="36"/>
      <c r="D125" s="37"/>
      <c r="E125" s="39"/>
      <c r="F125" s="71"/>
      <c r="G125" s="68"/>
      <c r="H125" s="23"/>
      <c r="I125" s="106"/>
      <c r="J125" s="91"/>
      <c r="K125" s="92"/>
      <c r="L125" s="103"/>
      <c r="M125" s="101"/>
      <c r="N125" s="57"/>
      <c r="O125" s="56"/>
    </row>
    <row r="126" s="1" customFormat="1" ht="18" customHeight="1" spans="1:15">
      <c r="A126" s="35"/>
      <c r="B126" s="71">
        <f t="shared" ref="B126:B133" si="13">ROUND(G126/(1+E126),2)</f>
        <v>0</v>
      </c>
      <c r="C126" s="36"/>
      <c r="D126" s="37"/>
      <c r="E126" s="39"/>
      <c r="F126" s="71">
        <f t="shared" ref="F126:F131" si="14">ROUND(G126/(1+E126)*E126,2)</f>
        <v>0</v>
      </c>
      <c r="G126" s="68"/>
      <c r="H126" s="83"/>
      <c r="I126" s="106"/>
      <c r="J126" s="91"/>
      <c r="K126" s="92"/>
      <c r="L126" s="103"/>
      <c r="M126" s="101"/>
      <c r="N126" s="57"/>
      <c r="O126" s="56"/>
    </row>
    <row r="127" s="1" customFormat="1" ht="18" customHeight="1" spans="1:15">
      <c r="A127" s="35"/>
      <c r="B127" s="71">
        <f t="shared" si="13"/>
        <v>0</v>
      </c>
      <c r="C127" s="36"/>
      <c r="D127" s="37"/>
      <c r="E127" s="39"/>
      <c r="F127" s="71">
        <f t="shared" si="14"/>
        <v>0</v>
      </c>
      <c r="G127" s="68"/>
      <c r="H127" s="83"/>
      <c r="I127" s="106"/>
      <c r="J127" s="91"/>
      <c r="K127" s="92"/>
      <c r="L127" s="103"/>
      <c r="M127" s="101"/>
      <c r="N127" s="57"/>
      <c r="O127" s="56"/>
    </row>
    <row r="128" s="1" customFormat="1" ht="18" customHeight="1" spans="1:15">
      <c r="A128" s="35"/>
      <c r="B128" s="71">
        <f t="shared" si="13"/>
        <v>0</v>
      </c>
      <c r="C128" s="36"/>
      <c r="D128" s="37"/>
      <c r="E128" s="39"/>
      <c r="F128" s="71">
        <f t="shared" si="14"/>
        <v>0</v>
      </c>
      <c r="G128" s="68"/>
      <c r="H128" s="23" t="s">
        <v>146</v>
      </c>
      <c r="I128" s="86">
        <v>200</v>
      </c>
      <c r="J128" s="53" t="s">
        <v>147</v>
      </c>
      <c r="K128" s="76" t="s">
        <v>148</v>
      </c>
      <c r="L128" s="102"/>
      <c r="M128" s="101"/>
      <c r="N128" s="57"/>
      <c r="O128" s="56"/>
    </row>
    <row r="129" s="1" customFormat="1" ht="18" customHeight="1" spans="1:15">
      <c r="A129" s="35"/>
      <c r="B129" s="71">
        <f t="shared" si="13"/>
        <v>0</v>
      </c>
      <c r="C129" s="36"/>
      <c r="D129" s="37"/>
      <c r="E129" s="39"/>
      <c r="F129" s="71">
        <f t="shared" si="14"/>
        <v>0</v>
      </c>
      <c r="G129" s="68"/>
      <c r="H129" s="23" t="s">
        <v>149</v>
      </c>
      <c r="I129" s="86">
        <v>700</v>
      </c>
      <c r="J129" s="53" t="s">
        <v>147</v>
      </c>
      <c r="K129" s="76" t="s">
        <v>148</v>
      </c>
      <c r="L129" s="102"/>
      <c r="M129" s="101"/>
      <c r="N129" s="57"/>
      <c r="O129" s="56"/>
    </row>
    <row r="130" s="1" customFormat="1" ht="18" customHeight="1" spans="1:15">
      <c r="A130" s="35"/>
      <c r="B130" s="71">
        <f t="shared" si="13"/>
        <v>0</v>
      </c>
      <c r="C130" s="36"/>
      <c r="D130" s="37"/>
      <c r="E130" s="39"/>
      <c r="F130" s="71">
        <f t="shared" si="14"/>
        <v>0</v>
      </c>
      <c r="G130" s="68"/>
      <c r="H130" s="23" t="s">
        <v>149</v>
      </c>
      <c r="I130" s="12">
        <v>27200</v>
      </c>
      <c r="J130" s="53" t="s">
        <v>147</v>
      </c>
      <c r="K130" s="76" t="s">
        <v>150</v>
      </c>
      <c r="L130" s="56"/>
      <c r="M130" s="101"/>
      <c r="N130" s="57"/>
      <c r="O130" s="56"/>
    </row>
    <row r="131" s="1" customFormat="1" ht="18" customHeight="1" spans="1:15">
      <c r="A131" s="35"/>
      <c r="B131" s="71">
        <f t="shared" si="13"/>
        <v>0</v>
      </c>
      <c r="C131" s="36"/>
      <c r="D131" s="37"/>
      <c r="E131" s="39"/>
      <c r="F131" s="71">
        <f t="shared" si="14"/>
        <v>0</v>
      </c>
      <c r="G131" s="68"/>
      <c r="H131" s="23" t="s">
        <v>151</v>
      </c>
      <c r="I131" s="12">
        <v>400</v>
      </c>
      <c r="J131" s="53" t="s">
        <v>147</v>
      </c>
      <c r="K131" s="76" t="s">
        <v>148</v>
      </c>
      <c r="L131" s="56"/>
      <c r="M131" s="101"/>
      <c r="N131" s="57"/>
      <c r="O131" s="56"/>
    </row>
    <row r="132" s="1" customFormat="1" ht="18" customHeight="1" spans="1:15">
      <c r="A132" s="35"/>
      <c r="B132" s="71">
        <f t="shared" si="13"/>
        <v>0</v>
      </c>
      <c r="C132" s="36"/>
      <c r="D132" s="37"/>
      <c r="E132" s="39"/>
      <c r="F132" s="71">
        <f t="shared" ref="F130:F135" si="15">ROUND(G132/(1+E132)*E132,2)</f>
        <v>0</v>
      </c>
      <c r="G132" s="68"/>
      <c r="H132" s="23" t="s">
        <v>151</v>
      </c>
      <c r="I132" s="12">
        <v>28000</v>
      </c>
      <c r="J132" s="57" t="s">
        <v>147</v>
      </c>
      <c r="K132" s="76" t="s">
        <v>150</v>
      </c>
      <c r="L132" s="56"/>
      <c r="M132" s="101"/>
      <c r="N132" s="57"/>
      <c r="O132" s="56"/>
    </row>
    <row r="133" s="1" customFormat="1" ht="18" customHeight="1" spans="1:15">
      <c r="A133" s="35"/>
      <c r="B133" s="71">
        <f t="shared" si="13"/>
        <v>0</v>
      </c>
      <c r="C133" s="36"/>
      <c r="D133" s="37"/>
      <c r="E133" s="39"/>
      <c r="F133" s="71">
        <f t="shared" si="15"/>
        <v>0</v>
      </c>
      <c r="G133" s="68"/>
      <c r="H133" s="23" t="s">
        <v>151</v>
      </c>
      <c r="I133" s="12">
        <v>11806.35</v>
      </c>
      <c r="J133" s="53" t="s">
        <v>147</v>
      </c>
      <c r="K133" s="77" t="s">
        <v>152</v>
      </c>
      <c r="L133" s="56"/>
      <c r="M133" s="101"/>
      <c r="N133" s="57"/>
      <c r="O133" s="56"/>
    </row>
    <row r="134" s="1" customFormat="1" ht="18" customHeight="1" spans="1:15">
      <c r="A134" s="35"/>
      <c r="B134" s="71">
        <f t="shared" ref="B130:B137" si="16">ROUND(G134/(1+E134),2)</f>
        <v>0</v>
      </c>
      <c r="C134" s="36"/>
      <c r="D134" s="37"/>
      <c r="E134" s="39"/>
      <c r="F134" s="71">
        <f t="shared" si="15"/>
        <v>0</v>
      </c>
      <c r="G134" s="68"/>
      <c r="H134" s="81" t="s">
        <v>153</v>
      </c>
      <c r="I134" s="71">
        <v>200</v>
      </c>
      <c r="J134" s="57" t="s">
        <v>147</v>
      </c>
      <c r="K134" s="76" t="s">
        <v>148</v>
      </c>
      <c r="L134" s="56"/>
      <c r="M134" s="101"/>
      <c r="N134" s="57"/>
      <c r="O134" s="56"/>
    </row>
    <row r="135" s="1" customFormat="1" ht="18" customHeight="1" spans="1:15">
      <c r="A135" s="35"/>
      <c r="B135" s="71">
        <f t="shared" si="16"/>
        <v>0</v>
      </c>
      <c r="C135" s="36"/>
      <c r="D135" s="37"/>
      <c r="E135" s="39"/>
      <c r="F135" s="71">
        <f t="shared" si="15"/>
        <v>0</v>
      </c>
      <c r="G135" s="68"/>
      <c r="H135" s="81" t="s">
        <v>153</v>
      </c>
      <c r="I135" s="71">
        <v>150</v>
      </c>
      <c r="J135" s="57" t="s">
        <v>147</v>
      </c>
      <c r="K135" s="76" t="s">
        <v>154</v>
      </c>
      <c r="L135" s="56"/>
      <c r="M135" s="101"/>
      <c r="N135" s="57"/>
      <c r="O135" s="56"/>
    </row>
    <row r="136" s="1" customFormat="1" ht="18" customHeight="1" spans="1:15">
      <c r="A136" s="35"/>
      <c r="B136" s="71">
        <f t="shared" si="16"/>
        <v>0</v>
      </c>
      <c r="C136" s="36"/>
      <c r="D136" s="37"/>
      <c r="E136" s="39"/>
      <c r="F136" s="71">
        <f t="shared" ref="F134:F140" si="17">ROUND(G136/(1+E136)*E136,2)</f>
        <v>0</v>
      </c>
      <c r="G136" s="68"/>
      <c r="H136" s="81" t="s">
        <v>153</v>
      </c>
      <c r="I136" s="71">
        <v>11500</v>
      </c>
      <c r="J136" s="57" t="s">
        <v>147</v>
      </c>
      <c r="K136" s="76" t="s">
        <v>150</v>
      </c>
      <c r="L136" s="56"/>
      <c r="M136" s="101"/>
      <c r="N136" s="57"/>
      <c r="O136" s="56"/>
    </row>
    <row r="137" s="1" customFormat="1" ht="18" customHeight="1" spans="1:15">
      <c r="A137" s="35"/>
      <c r="B137" s="71">
        <f t="shared" si="16"/>
        <v>163667.38</v>
      </c>
      <c r="C137" s="36"/>
      <c r="D137" s="37"/>
      <c r="E137" s="39"/>
      <c r="F137" s="71">
        <f t="shared" si="17"/>
        <v>0</v>
      </c>
      <c r="G137" s="68">
        <v>163667.38</v>
      </c>
      <c r="H137" s="81" t="s">
        <v>153</v>
      </c>
      <c r="I137" s="71">
        <v>163667.38</v>
      </c>
      <c r="J137" s="57" t="s">
        <v>147</v>
      </c>
      <c r="K137" s="76" t="s">
        <v>155</v>
      </c>
      <c r="L137" s="56"/>
      <c r="M137" s="101"/>
      <c r="N137" s="57"/>
      <c r="O137" s="56"/>
    </row>
    <row r="138" s="1" customFormat="1" ht="18" customHeight="1" spans="1:15">
      <c r="A138" s="35"/>
      <c r="B138" s="71">
        <f t="shared" ref="B134:B142" si="18">ROUND(G138/(1+E138),2)</f>
        <v>0</v>
      </c>
      <c r="C138" s="36"/>
      <c r="D138" s="37"/>
      <c r="E138" s="39"/>
      <c r="F138" s="71">
        <f t="shared" si="17"/>
        <v>0</v>
      </c>
      <c r="G138" s="68"/>
      <c r="H138" s="81" t="s">
        <v>156</v>
      </c>
      <c r="I138" s="71">
        <v>500</v>
      </c>
      <c r="J138" s="57" t="s">
        <v>147</v>
      </c>
      <c r="K138" s="76" t="s">
        <v>148</v>
      </c>
      <c r="L138" s="56"/>
      <c r="M138" s="101"/>
      <c r="N138" s="57"/>
      <c r="O138" s="56"/>
    </row>
    <row r="139" s="1" customFormat="1" ht="18" customHeight="1" spans="1:15">
      <c r="A139" s="35"/>
      <c r="B139" s="71">
        <f t="shared" si="18"/>
        <v>0</v>
      </c>
      <c r="C139" s="36"/>
      <c r="D139" s="37"/>
      <c r="E139" s="39"/>
      <c r="F139" s="71">
        <f t="shared" si="17"/>
        <v>0</v>
      </c>
      <c r="G139" s="68"/>
      <c r="H139" s="81" t="s">
        <v>156</v>
      </c>
      <c r="I139" s="71">
        <v>400</v>
      </c>
      <c r="J139" s="57" t="s">
        <v>157</v>
      </c>
      <c r="K139" s="76" t="s">
        <v>158</v>
      </c>
      <c r="L139" s="93"/>
      <c r="M139" s="101"/>
      <c r="N139" s="57"/>
      <c r="O139" s="56"/>
    </row>
    <row r="140" s="1" customFormat="1" ht="18" customHeight="1" spans="1:15">
      <c r="A140" s="35"/>
      <c r="B140" s="71">
        <f t="shared" si="18"/>
        <v>66600</v>
      </c>
      <c r="C140" s="36"/>
      <c r="D140" s="37"/>
      <c r="E140" s="39"/>
      <c r="F140" s="71">
        <f t="shared" si="17"/>
        <v>0</v>
      </c>
      <c r="G140" s="68">
        <v>66600</v>
      </c>
      <c r="H140" s="81" t="s">
        <v>156</v>
      </c>
      <c r="I140" s="71">
        <v>66600</v>
      </c>
      <c r="J140" s="57" t="s">
        <v>147</v>
      </c>
      <c r="K140" s="76" t="s">
        <v>159</v>
      </c>
      <c r="L140" s="56"/>
      <c r="M140" s="101"/>
      <c r="N140" s="57"/>
      <c r="O140" s="56"/>
    </row>
    <row r="141" s="1" customFormat="1" ht="18" customHeight="1" spans="1:15">
      <c r="A141" s="35"/>
      <c r="B141" s="71">
        <f t="shared" si="18"/>
        <v>0</v>
      </c>
      <c r="C141" s="36"/>
      <c r="D141" s="37"/>
      <c r="E141" s="39"/>
      <c r="F141" s="71">
        <f t="shared" ref="F137:F145" si="19">ROUND(G141/(1+E141)*E141,2)</f>
        <v>0</v>
      </c>
      <c r="G141" s="68"/>
      <c r="H141" s="81" t="s">
        <v>156</v>
      </c>
      <c r="I141" s="71">
        <v>33300</v>
      </c>
      <c r="J141" s="57" t="s">
        <v>147</v>
      </c>
      <c r="K141" s="76" t="s">
        <v>150</v>
      </c>
      <c r="L141" s="56"/>
      <c r="M141" s="101"/>
      <c r="N141" s="57"/>
      <c r="O141" s="56"/>
    </row>
    <row r="142" s="1" customFormat="1" ht="18" customHeight="1" spans="1:15">
      <c r="A142" s="35"/>
      <c r="B142" s="71">
        <f t="shared" si="18"/>
        <v>0</v>
      </c>
      <c r="C142" s="36"/>
      <c r="D142" s="37"/>
      <c r="E142" s="39"/>
      <c r="F142" s="71">
        <f t="shared" si="19"/>
        <v>0</v>
      </c>
      <c r="G142" s="68"/>
      <c r="H142" s="81" t="s">
        <v>160</v>
      </c>
      <c r="I142" s="71">
        <v>350</v>
      </c>
      <c r="J142" s="57" t="s">
        <v>147</v>
      </c>
      <c r="K142" s="76" t="s">
        <v>148</v>
      </c>
      <c r="L142" s="56"/>
      <c r="M142" s="101"/>
      <c r="N142" s="57"/>
      <c r="O142" s="56"/>
    </row>
    <row r="143" s="1" customFormat="1" ht="18" customHeight="1" spans="1:15">
      <c r="A143" s="35"/>
      <c r="B143" s="71">
        <f t="shared" ref="B139:B147" si="20">ROUND(G143/(1+E143),2)</f>
        <v>0</v>
      </c>
      <c r="C143" s="36"/>
      <c r="D143" s="37"/>
      <c r="E143" s="39"/>
      <c r="F143" s="71">
        <f t="shared" si="19"/>
        <v>0</v>
      </c>
      <c r="G143" s="68"/>
      <c r="H143" s="81" t="s">
        <v>160</v>
      </c>
      <c r="I143" s="71">
        <v>60800</v>
      </c>
      <c r="J143" s="57" t="s">
        <v>147</v>
      </c>
      <c r="K143" s="76" t="s">
        <v>159</v>
      </c>
      <c r="L143" s="56"/>
      <c r="M143" s="101"/>
      <c r="N143" s="57"/>
      <c r="O143" s="56"/>
    </row>
    <row r="144" s="1" customFormat="1" ht="18" customHeight="1" spans="1:15">
      <c r="A144" s="35"/>
      <c r="B144" s="71">
        <f t="shared" si="20"/>
        <v>0</v>
      </c>
      <c r="C144" s="36"/>
      <c r="D144" s="37"/>
      <c r="E144" s="38"/>
      <c r="F144" s="71">
        <f t="shared" si="19"/>
        <v>0</v>
      </c>
      <c r="G144" s="68"/>
      <c r="H144" s="81" t="s">
        <v>160</v>
      </c>
      <c r="I144" s="71">
        <v>30400</v>
      </c>
      <c r="J144" s="57" t="s">
        <v>147</v>
      </c>
      <c r="K144" s="76" t="s">
        <v>150</v>
      </c>
      <c r="L144" s="56"/>
      <c r="M144" s="85"/>
      <c r="N144" s="57"/>
      <c r="O144" s="56"/>
    </row>
    <row r="145" s="1" customFormat="1" ht="18" customHeight="1" spans="1:15">
      <c r="A145" s="35"/>
      <c r="B145" s="71">
        <f t="shared" si="20"/>
        <v>0</v>
      </c>
      <c r="C145" s="36"/>
      <c r="D145" s="37"/>
      <c r="E145" s="38"/>
      <c r="F145" s="71">
        <f t="shared" si="19"/>
        <v>0</v>
      </c>
      <c r="G145" s="68"/>
      <c r="H145" s="81" t="s">
        <v>161</v>
      </c>
      <c r="I145" s="71">
        <v>400</v>
      </c>
      <c r="J145" s="57" t="s">
        <v>147</v>
      </c>
      <c r="K145" s="76" t="s">
        <v>148</v>
      </c>
      <c r="L145" s="56"/>
      <c r="M145" s="85"/>
      <c r="N145" s="57"/>
      <c r="O145" s="56"/>
    </row>
    <row r="146" s="1" customFormat="1" ht="18" customHeight="1" spans="1:15">
      <c r="A146" s="35"/>
      <c r="B146" s="71">
        <f t="shared" si="20"/>
        <v>44600</v>
      </c>
      <c r="C146" s="36"/>
      <c r="D146" s="37"/>
      <c r="E146" s="38"/>
      <c r="F146" s="71">
        <f t="shared" ref="F144:F159" si="21">ROUND(G146/(1+E146)*E146,2)</f>
        <v>0</v>
      </c>
      <c r="G146" s="68">
        <v>44600</v>
      </c>
      <c r="H146" s="81" t="s">
        <v>161</v>
      </c>
      <c r="I146" s="71">
        <v>44600</v>
      </c>
      <c r="J146" s="57" t="s">
        <v>147</v>
      </c>
      <c r="K146" s="76" t="s">
        <v>159</v>
      </c>
      <c r="L146" s="56"/>
      <c r="M146" s="85"/>
      <c r="N146" s="57"/>
      <c r="O146" s="56"/>
    </row>
    <row r="147" s="1" customFormat="1" ht="18" customHeight="1" spans="1:15">
      <c r="A147" s="35"/>
      <c r="B147" s="71">
        <f t="shared" si="20"/>
        <v>0</v>
      </c>
      <c r="C147" s="36"/>
      <c r="D147" s="37"/>
      <c r="E147" s="38"/>
      <c r="F147" s="71">
        <f t="shared" si="21"/>
        <v>0</v>
      </c>
      <c r="G147" s="68"/>
      <c r="H147" s="81" t="s">
        <v>161</v>
      </c>
      <c r="I147" s="71">
        <v>22300</v>
      </c>
      <c r="J147" s="57" t="s">
        <v>147</v>
      </c>
      <c r="K147" s="76" t="s">
        <v>150</v>
      </c>
      <c r="L147" s="56"/>
      <c r="M147" s="85"/>
      <c r="N147" s="57"/>
      <c r="O147" s="56"/>
    </row>
    <row r="148" s="1" customFormat="1" ht="18" customHeight="1" spans="1:15">
      <c r="A148" s="35"/>
      <c r="B148" s="71">
        <f t="shared" ref="B144:B159" si="22">ROUND(G148/(1+E148),2)</f>
        <v>0</v>
      </c>
      <c r="C148" s="36"/>
      <c r="D148" s="37"/>
      <c r="E148" s="38"/>
      <c r="F148" s="71">
        <f t="shared" si="21"/>
        <v>0</v>
      </c>
      <c r="G148" s="68"/>
      <c r="H148" s="81" t="s">
        <v>162</v>
      </c>
      <c r="I148" s="71">
        <v>100</v>
      </c>
      <c r="J148" s="57" t="s">
        <v>147</v>
      </c>
      <c r="K148" s="76" t="s">
        <v>148</v>
      </c>
      <c r="L148" s="56"/>
      <c r="M148" s="85"/>
      <c r="N148" s="57"/>
      <c r="O148" s="56"/>
    </row>
    <row r="149" s="1" customFormat="1" ht="18" customHeight="1" spans="1:15">
      <c r="A149" s="35"/>
      <c r="B149" s="71">
        <f t="shared" si="22"/>
        <v>0</v>
      </c>
      <c r="C149" s="36"/>
      <c r="D149" s="37"/>
      <c r="E149" s="38"/>
      <c r="F149" s="71">
        <f t="shared" si="21"/>
        <v>0</v>
      </c>
      <c r="G149" s="68"/>
      <c r="H149" s="81" t="s">
        <v>162</v>
      </c>
      <c r="I149" s="71">
        <v>-31863</v>
      </c>
      <c r="J149" s="57" t="s">
        <v>163</v>
      </c>
      <c r="K149" s="76" t="s">
        <v>164</v>
      </c>
      <c r="L149" s="56"/>
      <c r="M149" s="85"/>
      <c r="N149" s="57"/>
      <c r="O149" s="56"/>
    </row>
    <row r="150" s="1" customFormat="1" ht="18" customHeight="1" spans="1:15">
      <c r="A150" s="35"/>
      <c r="B150" s="71">
        <f t="shared" si="22"/>
        <v>0</v>
      </c>
      <c r="C150" s="36"/>
      <c r="D150" s="37"/>
      <c r="E150" s="38"/>
      <c r="F150" s="71">
        <f t="shared" si="21"/>
        <v>0</v>
      </c>
      <c r="G150" s="68"/>
      <c r="H150" s="23" t="s">
        <v>162</v>
      </c>
      <c r="I150" s="12">
        <v>-0.4</v>
      </c>
      <c r="J150" s="53" t="s">
        <v>165</v>
      </c>
      <c r="K150" s="77" t="s">
        <v>166</v>
      </c>
      <c r="L150" s="56"/>
      <c r="M150" s="85"/>
      <c r="N150" s="57"/>
      <c r="O150" s="56"/>
    </row>
    <row r="151" s="1" customFormat="1" ht="18" customHeight="1" spans="1:15">
      <c r="A151" s="35"/>
      <c r="B151" s="71">
        <f t="shared" si="22"/>
        <v>0</v>
      </c>
      <c r="C151" s="36"/>
      <c r="D151" s="37"/>
      <c r="E151" s="38"/>
      <c r="F151" s="71">
        <f t="shared" si="21"/>
        <v>0</v>
      </c>
      <c r="G151" s="68"/>
      <c r="H151" s="23" t="s">
        <v>162</v>
      </c>
      <c r="I151" s="12">
        <v>5000</v>
      </c>
      <c r="J151" s="53" t="s">
        <v>147</v>
      </c>
      <c r="K151" s="77" t="s">
        <v>167</v>
      </c>
      <c r="L151" s="56"/>
      <c r="M151" s="85"/>
      <c r="N151" s="57"/>
      <c r="O151" s="56"/>
    </row>
    <row r="152" s="1" customFormat="1" ht="18" customHeight="1" spans="1:15">
      <c r="A152" s="35"/>
      <c r="B152" s="71">
        <f t="shared" si="22"/>
        <v>0</v>
      </c>
      <c r="C152" s="36"/>
      <c r="D152" s="37"/>
      <c r="E152" s="38"/>
      <c r="F152" s="71">
        <f t="shared" si="21"/>
        <v>0</v>
      </c>
      <c r="G152" s="68"/>
      <c r="H152" s="23" t="s">
        <v>162</v>
      </c>
      <c r="I152" s="12">
        <v>1200</v>
      </c>
      <c r="J152" s="53" t="s">
        <v>147</v>
      </c>
      <c r="K152" s="77" t="s">
        <v>148</v>
      </c>
      <c r="L152" s="56"/>
      <c r="M152" s="85"/>
      <c r="N152" s="57"/>
      <c r="O152" s="56"/>
    </row>
    <row r="153" s="1" customFormat="1" ht="18" customHeight="1" spans="1:15">
      <c r="A153" s="35"/>
      <c r="B153" s="71">
        <f t="shared" si="22"/>
        <v>0</v>
      </c>
      <c r="C153" s="36"/>
      <c r="D153" s="37"/>
      <c r="E153" s="38"/>
      <c r="F153" s="71">
        <f t="shared" si="21"/>
        <v>0</v>
      </c>
      <c r="G153" s="68"/>
      <c r="H153" s="23" t="s">
        <v>162</v>
      </c>
      <c r="I153" s="12">
        <v>28400</v>
      </c>
      <c r="J153" s="53" t="s">
        <v>147</v>
      </c>
      <c r="K153" s="77" t="s">
        <v>159</v>
      </c>
      <c r="L153" s="56"/>
      <c r="M153" s="85"/>
      <c r="N153" s="57"/>
      <c r="O153" s="56"/>
    </row>
    <row r="154" s="1" customFormat="1" ht="18" customHeight="1" spans="1:15">
      <c r="A154" s="35"/>
      <c r="B154" s="71">
        <f t="shared" si="22"/>
        <v>0</v>
      </c>
      <c r="C154" s="36"/>
      <c r="D154" s="37"/>
      <c r="E154" s="38"/>
      <c r="F154" s="71">
        <f t="shared" si="21"/>
        <v>0</v>
      </c>
      <c r="G154" s="68"/>
      <c r="H154" s="23" t="s">
        <v>162</v>
      </c>
      <c r="I154" s="12">
        <v>14139.49</v>
      </c>
      <c r="J154" s="53" t="s">
        <v>147</v>
      </c>
      <c r="K154" s="77" t="s">
        <v>150</v>
      </c>
      <c r="L154" s="56"/>
      <c r="M154" s="85"/>
      <c r="N154" s="57"/>
      <c r="O154" s="56"/>
    </row>
    <row r="155" s="1" customFormat="1" ht="18" customHeight="1" spans="1:15">
      <c r="A155" s="35"/>
      <c r="B155" s="71">
        <f t="shared" si="22"/>
        <v>0</v>
      </c>
      <c r="C155" s="36"/>
      <c r="D155" s="37"/>
      <c r="E155" s="38"/>
      <c r="F155" s="71">
        <f t="shared" si="21"/>
        <v>0</v>
      </c>
      <c r="G155" s="68"/>
      <c r="H155" s="23" t="s">
        <v>168</v>
      </c>
      <c r="I155" s="12">
        <v>200</v>
      </c>
      <c r="J155" s="53" t="s">
        <v>147</v>
      </c>
      <c r="K155" s="76" t="s">
        <v>148</v>
      </c>
      <c r="L155" s="56"/>
      <c r="M155" s="85"/>
      <c r="N155" s="57"/>
      <c r="O155" s="56"/>
    </row>
    <row r="156" s="1" customFormat="1" ht="18" customHeight="1" spans="1:15">
      <c r="A156" s="35"/>
      <c r="B156" s="71">
        <f t="shared" si="22"/>
        <v>0</v>
      </c>
      <c r="C156" s="36"/>
      <c r="D156" s="37"/>
      <c r="E156" s="38"/>
      <c r="F156" s="71">
        <f t="shared" si="21"/>
        <v>0</v>
      </c>
      <c r="G156" s="68"/>
      <c r="H156" s="23" t="s">
        <v>168</v>
      </c>
      <c r="I156" s="12">
        <v>17000</v>
      </c>
      <c r="J156" s="53" t="s">
        <v>147</v>
      </c>
      <c r="K156" s="76" t="s">
        <v>169</v>
      </c>
      <c r="L156" s="56"/>
      <c r="M156" s="85"/>
      <c r="N156" s="57"/>
      <c r="O156" s="56"/>
    </row>
    <row r="157" s="1" customFormat="1" ht="18" customHeight="1" spans="1:15">
      <c r="A157" s="35"/>
      <c r="B157" s="71">
        <f t="shared" si="22"/>
        <v>0</v>
      </c>
      <c r="C157" s="36"/>
      <c r="D157" s="37"/>
      <c r="E157" s="38"/>
      <c r="F157" s="71">
        <f t="shared" si="21"/>
        <v>0</v>
      </c>
      <c r="G157" s="68"/>
      <c r="H157" s="23" t="s">
        <v>168</v>
      </c>
      <c r="I157" s="12">
        <v>31863</v>
      </c>
      <c r="J157" s="53" t="s">
        <v>170</v>
      </c>
      <c r="K157" s="76" t="s">
        <v>164</v>
      </c>
      <c r="L157" s="56"/>
      <c r="M157" s="85"/>
      <c r="N157" s="57"/>
      <c r="O157" s="56"/>
    </row>
    <row r="158" s="1" customFormat="1" ht="18" customHeight="1" spans="1:15">
      <c r="A158" s="35"/>
      <c r="B158" s="71">
        <f t="shared" si="22"/>
        <v>0</v>
      </c>
      <c r="C158" s="36"/>
      <c r="D158" s="37"/>
      <c r="E158" s="38"/>
      <c r="F158" s="71">
        <f t="shared" si="21"/>
        <v>0</v>
      </c>
      <c r="G158" s="68"/>
      <c r="H158" s="23" t="s">
        <v>168</v>
      </c>
      <c r="I158" s="12">
        <v>13542</v>
      </c>
      <c r="J158" s="53" t="s">
        <v>147</v>
      </c>
      <c r="K158" s="76" t="s">
        <v>150</v>
      </c>
      <c r="L158" s="56"/>
      <c r="M158" s="85"/>
      <c r="N158" s="57"/>
      <c r="O158" s="56"/>
    </row>
    <row r="159" s="1" customFormat="1" ht="18" customHeight="1" spans="1:15">
      <c r="A159" s="35"/>
      <c r="B159" s="71">
        <f t="shared" si="22"/>
        <v>29400</v>
      </c>
      <c r="C159" s="36"/>
      <c r="D159" s="37"/>
      <c r="E159" s="38"/>
      <c r="F159" s="71">
        <f t="shared" si="21"/>
        <v>0</v>
      </c>
      <c r="G159" s="68">
        <v>29400</v>
      </c>
      <c r="H159" s="23" t="s">
        <v>168</v>
      </c>
      <c r="I159" s="12">
        <v>29400</v>
      </c>
      <c r="J159" s="53" t="s">
        <v>147</v>
      </c>
      <c r="K159" s="76" t="s">
        <v>171</v>
      </c>
      <c r="L159" s="56"/>
      <c r="M159" s="85"/>
      <c r="N159" s="57"/>
      <c r="O159" s="56"/>
    </row>
    <row r="160" ht="18" customHeight="1" spans="1:15">
      <c r="A160" s="30" t="s">
        <v>23</v>
      </c>
      <c r="B160" s="69">
        <f>SUM(B19:B159)</f>
        <v>16923884.19</v>
      </c>
      <c r="C160" s="30"/>
      <c r="D160" s="40"/>
      <c r="E160" s="40"/>
      <c r="F160" s="70">
        <f>SUM(F19:F159)</f>
        <v>1150507.2</v>
      </c>
      <c r="G160" s="72">
        <f>SUM(G19:G159)</f>
        <v>18074391.39</v>
      </c>
      <c r="H160" s="42"/>
      <c r="I160" s="30">
        <f>SUM(I19:I159)</f>
        <v>18160000</v>
      </c>
      <c r="J160" s="59"/>
      <c r="K160" s="78"/>
      <c r="L160" s="33"/>
      <c r="M160" s="95"/>
      <c r="N160" s="53"/>
      <c r="O160" s="33"/>
    </row>
    <row r="161" ht="18" customHeight="1" spans="1:14">
      <c r="A161" s="43" t="s">
        <v>172</v>
      </c>
      <c r="B161" s="43">
        <f>B16*0.96</f>
        <v>15994128.440367</v>
      </c>
      <c r="C161" s="43"/>
      <c r="D161" s="45"/>
      <c r="E161" s="45"/>
      <c r="F161" s="44"/>
      <c r="G161" s="43">
        <f>G16-G160</f>
        <v>85608.6100000031</v>
      </c>
      <c r="H161" s="22" t="s">
        <v>173</v>
      </c>
      <c r="I161" s="30">
        <f>I16-I160</f>
        <v>0</v>
      </c>
      <c r="J161" s="6"/>
      <c r="K161" s="79"/>
      <c r="M161" s="96"/>
      <c r="N161" s="61"/>
    </row>
    <row r="162" ht="18" customHeight="1" spans="1:14">
      <c r="A162" s="43" t="s">
        <v>174</v>
      </c>
      <c r="B162" s="43">
        <f>B161-B160</f>
        <v>-929755.749632997</v>
      </c>
      <c r="C162" s="43"/>
      <c r="D162" s="45"/>
      <c r="E162" s="45"/>
      <c r="F162" s="44"/>
      <c r="G162" s="44">
        <f>G160-18074391.39</f>
        <v>0</v>
      </c>
      <c r="H162" s="46"/>
      <c r="I162" s="44"/>
      <c r="J162" s="6"/>
      <c r="K162" s="79"/>
      <c r="M162" s="96"/>
      <c r="N162" s="61"/>
    </row>
    <row r="163" ht="18" customHeight="1" spans="1:7">
      <c r="A163" s="2" t="s">
        <v>175</v>
      </c>
      <c r="C163" s="2"/>
      <c r="G163" s="3">
        <f>F160-1150507.2</f>
        <v>0</v>
      </c>
    </row>
    <row r="164" ht="18" customHeight="1" spans="1:17">
      <c r="A164" s="22" t="s">
        <v>176</v>
      </c>
      <c r="B164" s="21" t="s">
        <v>177</v>
      </c>
      <c r="C164" s="33"/>
      <c r="D164" s="22" t="s">
        <v>176</v>
      </c>
      <c r="E164" s="20" t="s">
        <v>16</v>
      </c>
      <c r="F164" s="21" t="s">
        <v>177</v>
      </c>
      <c r="G164" s="24" t="s">
        <v>178</v>
      </c>
      <c r="I164" s="24" t="s">
        <v>179</v>
      </c>
      <c r="K164" s="103" t="s">
        <v>180</v>
      </c>
      <c r="L164" s="33" t="s">
        <v>181</v>
      </c>
      <c r="M164" s="103" t="s">
        <v>182</v>
      </c>
      <c r="O164" s="33" t="s">
        <v>183</v>
      </c>
      <c r="P164" s="33" t="s">
        <v>184</v>
      </c>
      <c r="Q164" s="12" t="s">
        <v>185</v>
      </c>
    </row>
    <row r="165" ht="18" customHeight="1" spans="1:17">
      <c r="A165" s="33" t="s">
        <v>186</v>
      </c>
      <c r="B165" s="18">
        <f>(B161-B160)*0.25</f>
        <v>-232438.937408249</v>
      </c>
      <c r="C165" s="33"/>
      <c r="D165" s="28" t="s">
        <v>187</v>
      </c>
      <c r="E165" s="22" t="s">
        <v>188</v>
      </c>
      <c r="F165" s="70">
        <f>F16-F160</f>
        <v>15731.3321100895</v>
      </c>
      <c r="G165" s="70">
        <v>0</v>
      </c>
      <c r="I165" s="70">
        <v>0</v>
      </c>
      <c r="K165" s="107">
        <v>0</v>
      </c>
      <c r="L165" s="70">
        <f>0</f>
        <v>0</v>
      </c>
      <c r="M165" s="107">
        <v>0</v>
      </c>
      <c r="O165" s="70">
        <v>0</v>
      </c>
      <c r="P165" s="70">
        <f>F16-F160</f>
        <v>15731.3321100895</v>
      </c>
      <c r="Q165" s="70">
        <f>F16-F160</f>
        <v>15731.3321100895</v>
      </c>
    </row>
    <row r="166" ht="18" customHeight="1" spans="1:17">
      <c r="A166" s="33" t="s">
        <v>189</v>
      </c>
      <c r="B166" s="47">
        <f>G16*0.0003</f>
        <v>5448</v>
      </c>
      <c r="C166" s="80" t="s">
        <v>190</v>
      </c>
      <c r="D166" s="48" t="s">
        <v>191</v>
      </c>
      <c r="E166" s="14">
        <v>0.07</v>
      </c>
      <c r="F166" s="12">
        <f>F165*E166</f>
        <v>1101.19324770626</v>
      </c>
      <c r="G166" s="12">
        <f>G165*E166</f>
        <v>0</v>
      </c>
      <c r="I166" s="12">
        <f>I165*E166</f>
        <v>0</v>
      </c>
      <c r="K166" s="108">
        <f>K165*E166</f>
        <v>0</v>
      </c>
      <c r="L166" s="12">
        <f>L165*E166</f>
        <v>0</v>
      </c>
      <c r="M166" s="108">
        <f>M165*0.07</f>
        <v>0</v>
      </c>
      <c r="O166" s="12">
        <f>O165*0.07</f>
        <v>0</v>
      </c>
      <c r="P166" s="12">
        <f>P165*E166</f>
        <v>1101.19324770626</v>
      </c>
      <c r="Q166" s="12">
        <f>Q165*E166</f>
        <v>1101.19324770626</v>
      </c>
    </row>
    <row r="167" ht="18" customHeight="1" spans="1:17">
      <c r="A167" s="33" t="s">
        <v>192</v>
      </c>
      <c r="B167" s="47">
        <f>B16*0.0006</f>
        <v>9996.33027522935</v>
      </c>
      <c r="C167" s="80" t="s">
        <v>190</v>
      </c>
      <c r="D167" s="48" t="s">
        <v>193</v>
      </c>
      <c r="E167" s="14">
        <v>0.03</v>
      </c>
      <c r="F167" s="12">
        <f>F165*E167</f>
        <v>471.939963302684</v>
      </c>
      <c r="G167" s="12">
        <f>G165*E167</f>
        <v>0</v>
      </c>
      <c r="I167" s="12">
        <f>I165*E167</f>
        <v>0</v>
      </c>
      <c r="K167" s="108">
        <f>K165*E167</f>
        <v>0</v>
      </c>
      <c r="L167" s="12">
        <f>L165*E167</f>
        <v>0</v>
      </c>
      <c r="M167" s="108">
        <f>M165*E167</f>
        <v>0</v>
      </c>
      <c r="O167" s="12">
        <f>O165*E167</f>
        <v>0</v>
      </c>
      <c r="P167" s="12">
        <f>P165*E167</f>
        <v>471.939963302684</v>
      </c>
      <c r="Q167" s="12">
        <f>Q165*E167</f>
        <v>471.939963302684</v>
      </c>
    </row>
    <row r="168" ht="18" customHeight="1" spans="1:17">
      <c r="A168" s="33"/>
      <c r="B168" s="24"/>
      <c r="C168" s="33"/>
      <c r="D168" s="48" t="s">
        <v>194</v>
      </c>
      <c r="E168" s="14">
        <v>0.02</v>
      </c>
      <c r="F168" s="12">
        <f>F165*E168</f>
        <v>314.62664220179</v>
      </c>
      <c r="G168" s="12">
        <f>G165*E168</f>
        <v>0</v>
      </c>
      <c r="I168" s="12">
        <f>I165*E168</f>
        <v>0</v>
      </c>
      <c r="K168" s="108">
        <f>K165*E168</f>
        <v>0</v>
      </c>
      <c r="L168" s="12">
        <f>L165*E168</f>
        <v>0</v>
      </c>
      <c r="M168" s="108">
        <f>M165*E168</f>
        <v>0</v>
      </c>
      <c r="O168" s="12">
        <f>O165*E168</f>
        <v>0</v>
      </c>
      <c r="P168" s="12">
        <f>P165*E168</f>
        <v>314.62664220179</v>
      </c>
      <c r="Q168" s="12">
        <f>Q165*E168</f>
        <v>314.62664220179</v>
      </c>
    </row>
    <row r="169" ht="18" customHeight="1" spans="1:17">
      <c r="A169" s="28" t="s">
        <v>195</v>
      </c>
      <c r="B169" s="29">
        <f t="shared" ref="B169:G169" si="23">SUM(B165:B168)</f>
        <v>-216994.60713302</v>
      </c>
      <c r="C169" s="33"/>
      <c r="D169" s="34" t="s">
        <v>195</v>
      </c>
      <c r="E169" s="28"/>
      <c r="F169" s="70">
        <f t="shared" si="23"/>
        <v>17619.0919633002</v>
      </c>
      <c r="G169" s="70">
        <f t="shared" si="23"/>
        <v>0</v>
      </c>
      <c r="I169" s="70">
        <f>SUM(I165:I168)</f>
        <v>0</v>
      </c>
      <c r="K169" s="107">
        <f>SUM(K165:K168)</f>
        <v>0</v>
      </c>
      <c r="L169" s="70">
        <f>SUM(L165:L168)</f>
        <v>0</v>
      </c>
      <c r="M169" s="107">
        <f>SUM(M165:M168)</f>
        <v>0</v>
      </c>
      <c r="O169" s="70">
        <f>SUM(O165:O168)</f>
        <v>0</v>
      </c>
      <c r="P169" s="70">
        <f>SUM(P165:P168)</f>
        <v>17619.0919633002</v>
      </c>
      <c r="Q169" s="70">
        <f>SUM(Q165:Q168)</f>
        <v>17619.0919633002</v>
      </c>
    </row>
    <row r="170" ht="18" customHeight="1" spans="3:17">
      <c r="C170" s="2"/>
      <c r="D170" s="12" t="s">
        <v>189</v>
      </c>
      <c r="E170" s="49">
        <v>0.0003</v>
      </c>
      <c r="F170" s="12">
        <f>G16*E170</f>
        <v>5448</v>
      </c>
      <c r="G170" s="12">
        <v>0</v>
      </c>
      <c r="I170" s="12">
        <v>0</v>
      </c>
      <c r="K170" s="108">
        <v>0</v>
      </c>
      <c r="L170" s="12">
        <v>0</v>
      </c>
      <c r="M170" s="108">
        <v>0</v>
      </c>
      <c r="O170" s="12">
        <v>0</v>
      </c>
      <c r="P170" s="12">
        <v>0</v>
      </c>
      <c r="Q170" s="12">
        <v>0</v>
      </c>
    </row>
    <row r="171" ht="18" customHeight="1" spans="3:17">
      <c r="C171" s="2"/>
      <c r="D171" s="12" t="s">
        <v>192</v>
      </c>
      <c r="E171" s="49">
        <v>0.0006</v>
      </c>
      <c r="F171" s="12">
        <f>B16*E171</f>
        <v>9996.33027522935</v>
      </c>
      <c r="G171" s="12">
        <v>0</v>
      </c>
      <c r="I171" s="12">
        <v>0</v>
      </c>
      <c r="K171" s="108">
        <v>0</v>
      </c>
      <c r="L171" s="12">
        <v>0</v>
      </c>
      <c r="M171" s="108">
        <v>0</v>
      </c>
      <c r="O171" s="12">
        <v>0</v>
      </c>
      <c r="P171" s="12">
        <v>0</v>
      </c>
      <c r="Q171" s="12">
        <v>0</v>
      </c>
    </row>
    <row r="172" ht="18" customHeight="1" spans="3:17">
      <c r="C172" s="2"/>
      <c r="D172" s="20" t="s">
        <v>195</v>
      </c>
      <c r="E172" s="40"/>
      <c r="F172" s="30">
        <f>F171+F170</f>
        <v>15444.3302752293</v>
      </c>
      <c r="G172" s="30">
        <f>SUM(G170:G171)</f>
        <v>0</v>
      </c>
      <c r="I172" s="30">
        <f>SUM(I170:I171)</f>
        <v>0</v>
      </c>
      <c r="K172" s="109">
        <v>0</v>
      </c>
      <c r="L172" s="30">
        <f>SUM(L170:L171)</f>
        <v>0</v>
      </c>
      <c r="M172" s="109">
        <f>SUM(M170:M171)</f>
        <v>0</v>
      </c>
      <c r="O172" s="30">
        <f>SUM(O170:O171)</f>
        <v>0</v>
      </c>
      <c r="P172" s="30">
        <f>P170+P171</f>
        <v>0</v>
      </c>
      <c r="Q172" s="30">
        <f>SUM(Q170:Q171)</f>
        <v>0</v>
      </c>
    </row>
    <row r="173" ht="18" customHeight="1" spans="3:17">
      <c r="C173" s="2"/>
      <c r="D173" s="20" t="s">
        <v>23</v>
      </c>
      <c r="E173" s="30"/>
      <c r="F173" s="30">
        <f t="shared" ref="F173:I173" si="24">F169+F172</f>
        <v>33063.4222385295</v>
      </c>
      <c r="G173" s="30">
        <f t="shared" si="24"/>
        <v>0</v>
      </c>
      <c r="I173" s="30">
        <f t="shared" si="24"/>
        <v>0</v>
      </c>
      <c r="K173" s="109">
        <f>K169+K172</f>
        <v>0</v>
      </c>
      <c r="L173" s="30">
        <f>L169+L172</f>
        <v>0</v>
      </c>
      <c r="M173" s="109">
        <f>M169+M172</f>
        <v>0</v>
      </c>
      <c r="O173" s="30">
        <f>O169+O172</f>
        <v>0</v>
      </c>
      <c r="P173" s="30">
        <f>P169+P172</f>
        <v>17619.0919633002</v>
      </c>
      <c r="Q173" s="30">
        <f>Q169+Q172</f>
        <v>17619.0919633002</v>
      </c>
    </row>
    <row r="174" ht="18" customHeight="1" spans="3:17">
      <c r="C174" s="2"/>
      <c r="D174" s="30" t="s">
        <v>186</v>
      </c>
      <c r="E174" s="40">
        <v>0.01</v>
      </c>
      <c r="F174" s="70">
        <f>G16*E174</f>
        <v>181600</v>
      </c>
      <c r="G174" s="70">
        <f>B7*0.01</f>
        <v>13541.752293578</v>
      </c>
      <c r="I174" s="70">
        <f>G8*0.01</f>
        <v>14139.49</v>
      </c>
      <c r="K174" s="107">
        <f>G9*0.01</f>
        <v>22300</v>
      </c>
      <c r="L174" s="70">
        <f>G10*E174</f>
        <v>30400</v>
      </c>
      <c r="M174" s="107">
        <f>G11*E174</f>
        <v>33300</v>
      </c>
      <c r="O174" s="70">
        <f>G12*E174</f>
        <v>11500</v>
      </c>
      <c r="P174" s="70">
        <f>G13*E174</f>
        <v>28000</v>
      </c>
      <c r="Q174" s="70">
        <f>G14*E174</f>
        <v>27200</v>
      </c>
    </row>
    <row r="175" ht="22" customHeight="1" spans="3:17">
      <c r="C175" s="2"/>
      <c r="P175" s="74" t="s">
        <v>196</v>
      </c>
      <c r="Q175" s="74">
        <f>Q169-I133</f>
        <v>5812.7419633002</v>
      </c>
    </row>
    <row r="176" ht="18" customHeight="1" spans="3:3">
      <c r="C176" s="2"/>
    </row>
    <row r="177" ht="18" customHeight="1" spans="3:3">
      <c r="C177" s="2"/>
    </row>
    <row r="178" spans="3:3">
      <c r="C178" s="2"/>
    </row>
    <row r="179" spans="3:3">
      <c r="C179" s="2"/>
    </row>
    <row r="180" spans="3:3">
      <c r="C180" s="2"/>
    </row>
    <row r="181" spans="3:3">
      <c r="C181" s="2"/>
    </row>
    <row r="182" spans="3:3">
      <c r="C182" s="2"/>
    </row>
    <row r="183" spans="3:3">
      <c r="C183" s="2"/>
    </row>
    <row r="184" spans="3:3">
      <c r="C184" s="2"/>
    </row>
    <row r="185" spans="3:3">
      <c r="C185" s="2"/>
    </row>
    <row r="186" spans="3:3">
      <c r="C186" s="2"/>
    </row>
    <row r="187" spans="3:3">
      <c r="C187" s="2"/>
    </row>
    <row r="188" spans="3:3">
      <c r="C188" s="2"/>
    </row>
    <row r="189" spans="3:3">
      <c r="C189" s="2"/>
    </row>
    <row r="190" spans="3:3">
      <c r="C190" s="2"/>
    </row>
    <row r="191" spans="3:3">
      <c r="C191" s="2"/>
    </row>
    <row r="192" spans="3:3">
      <c r="C192" s="2"/>
    </row>
    <row r="193" spans="3:3">
      <c r="C193" s="2"/>
    </row>
  </sheetData>
  <protectedRanges>
    <protectedRange sqref="K38:L38" name="区域1"/>
  </protectedRanges>
  <autoFilter ref="A18:O1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1"/>
  <sheetViews>
    <sheetView topLeftCell="A40" workbookViewId="0">
      <selection activeCell="J63" sqref="J63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2" customWidth="1"/>
    <col min="12" max="12" width="12.75" style="6" customWidth="1"/>
    <col min="13" max="13" width="13.5" style="62" customWidth="1"/>
    <col min="14" max="14" width="5.625" style="6" customWidth="1"/>
    <col min="15" max="15" width="12" style="6" customWidth="1"/>
    <col min="16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73"/>
      <c r="L1" s="19"/>
    </row>
    <row r="2" ht="18" customHeight="1" spans="1:12">
      <c r="A2" s="10" t="s">
        <v>1</v>
      </c>
      <c r="B2" s="11">
        <v>43647</v>
      </c>
      <c r="C2" s="12" t="s">
        <v>2</v>
      </c>
      <c r="D2" s="63">
        <v>19673369</v>
      </c>
      <c r="E2" s="14" t="s">
        <v>3</v>
      </c>
      <c r="F2" s="64" t="s">
        <v>4</v>
      </c>
      <c r="G2" s="16" t="s">
        <v>5</v>
      </c>
      <c r="H2" s="17" t="s">
        <v>6</v>
      </c>
      <c r="I2" s="50"/>
      <c r="J2" s="51"/>
      <c r="K2" s="73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73"/>
      <c r="L3" s="19"/>
    </row>
    <row r="4" ht="18" customHeight="1" spans="1:12">
      <c r="A4" s="2" t="s">
        <v>9</v>
      </c>
      <c r="H4" s="19"/>
      <c r="I4" s="52"/>
      <c r="J4" s="19"/>
      <c r="K4" s="73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65">
        <v>43805</v>
      </c>
      <c r="B7" s="12">
        <f t="shared" ref="B7:B11" si="0">G7/(1+C7+E7)</f>
        <v>1354175.2293578</v>
      </c>
      <c r="C7" s="66">
        <v>0.02</v>
      </c>
      <c r="D7" s="67">
        <f t="shared" ref="D7:D11" si="1">G7/(1+E7+C7)*C7</f>
        <v>27083.504587156</v>
      </c>
      <c r="E7" s="66">
        <v>0.07</v>
      </c>
      <c r="F7" s="12">
        <f t="shared" ref="F7:F11" si="2">G7/(1+C7+E7)*E7</f>
        <v>94792.2660550459</v>
      </c>
      <c r="G7" s="68">
        <v>1476051</v>
      </c>
      <c r="H7" s="23">
        <v>43812</v>
      </c>
      <c r="I7" s="12">
        <v>1470000</v>
      </c>
      <c r="J7" s="22" t="s">
        <v>21</v>
      </c>
    </row>
    <row r="8" ht="18" customHeight="1" spans="1:10">
      <c r="A8" s="23">
        <v>43963</v>
      </c>
      <c r="B8" s="12">
        <f t="shared" si="0"/>
        <v>1297200.91743119</v>
      </c>
      <c r="C8" s="25">
        <v>0.02</v>
      </c>
      <c r="D8" s="67">
        <f t="shared" si="1"/>
        <v>25944.0183486238</v>
      </c>
      <c r="E8" s="66">
        <v>0.07</v>
      </c>
      <c r="F8" s="12">
        <f t="shared" si="2"/>
        <v>90804.0642201835</v>
      </c>
      <c r="G8" s="68">
        <v>1413949</v>
      </c>
      <c r="H8" s="23">
        <v>43973</v>
      </c>
      <c r="I8" s="12">
        <v>1420000</v>
      </c>
      <c r="J8" s="53" t="s">
        <v>21</v>
      </c>
    </row>
    <row r="9" ht="18" customHeight="1" spans="1:10">
      <c r="A9" s="23">
        <v>43987</v>
      </c>
      <c r="B9" s="12">
        <f t="shared" si="0"/>
        <v>2045871.55963303</v>
      </c>
      <c r="C9" s="25">
        <v>0.02</v>
      </c>
      <c r="D9" s="67">
        <f t="shared" si="1"/>
        <v>40917.4311926605</v>
      </c>
      <c r="E9" s="66">
        <v>0.07</v>
      </c>
      <c r="F9" s="12">
        <f t="shared" si="2"/>
        <v>143211.009174312</v>
      </c>
      <c r="G9" s="68">
        <v>2230000</v>
      </c>
      <c r="H9" s="23">
        <v>43994</v>
      </c>
      <c r="I9" s="12">
        <v>2230000</v>
      </c>
      <c r="J9" s="53" t="s">
        <v>22</v>
      </c>
    </row>
    <row r="10" ht="18" customHeight="1" spans="1:10">
      <c r="A10" s="23"/>
      <c r="B10" s="12">
        <f t="shared" si="0"/>
        <v>0</v>
      </c>
      <c r="C10" s="25">
        <v>0.02</v>
      </c>
      <c r="D10" s="67">
        <f t="shared" si="1"/>
        <v>0</v>
      </c>
      <c r="E10" s="66">
        <v>0.08</v>
      </c>
      <c r="F10" s="12">
        <f t="shared" si="2"/>
        <v>0</v>
      </c>
      <c r="G10" s="68"/>
      <c r="H10" s="23"/>
      <c r="I10" s="12"/>
      <c r="J10" s="53"/>
    </row>
    <row r="11" ht="18" customHeight="1" spans="1:10">
      <c r="A11" s="23"/>
      <c r="B11" s="12">
        <f t="shared" si="0"/>
        <v>0</v>
      </c>
      <c r="C11" s="25">
        <v>0.02</v>
      </c>
      <c r="D11" s="67">
        <f t="shared" si="1"/>
        <v>0</v>
      </c>
      <c r="E11" s="25">
        <v>0.08</v>
      </c>
      <c r="F11" s="12">
        <f t="shared" si="2"/>
        <v>0</v>
      </c>
      <c r="G11" s="68"/>
      <c r="H11" s="23"/>
      <c r="I11" s="12"/>
      <c r="J11" s="53"/>
    </row>
    <row r="12" ht="18" customHeight="1" spans="1:10">
      <c r="A12" s="28" t="s">
        <v>23</v>
      </c>
      <c r="B12" s="69">
        <f t="shared" ref="B12:G12" si="3">SUM(B7:B11)</f>
        <v>4697247.70642202</v>
      </c>
      <c r="C12" s="30"/>
      <c r="D12" s="30">
        <f t="shared" si="3"/>
        <v>93944.9541284404</v>
      </c>
      <c r="E12" s="30"/>
      <c r="F12" s="70">
        <f t="shared" si="3"/>
        <v>328807.339449541</v>
      </c>
      <c r="G12" s="30">
        <f t="shared" si="3"/>
        <v>5120000</v>
      </c>
      <c r="H12" s="33"/>
      <c r="I12" s="30">
        <f>SUM(I7:I11)</f>
        <v>5120000</v>
      </c>
      <c r="J12" s="33"/>
    </row>
    <row r="13" ht="18" customHeight="1" spans="1:12">
      <c r="A13" s="2" t="s">
        <v>24</v>
      </c>
      <c r="J13" s="4"/>
      <c r="K13" s="74"/>
      <c r="L13" s="5"/>
    </row>
    <row r="14" ht="18" customHeight="1" spans="1:15">
      <c r="A14" s="34" t="s">
        <v>25</v>
      </c>
      <c r="B14" s="21" t="s">
        <v>26</v>
      </c>
      <c r="C14" s="20" t="s">
        <v>27</v>
      </c>
      <c r="D14" s="20" t="s">
        <v>28</v>
      </c>
      <c r="E14" s="20" t="s">
        <v>16</v>
      </c>
      <c r="F14" s="21" t="s">
        <v>29</v>
      </c>
      <c r="G14" s="21" t="s">
        <v>14</v>
      </c>
      <c r="H14" s="20" t="s">
        <v>30</v>
      </c>
      <c r="I14" s="21" t="s">
        <v>31</v>
      </c>
      <c r="J14" s="20" t="s">
        <v>20</v>
      </c>
      <c r="K14" s="75" t="s">
        <v>32</v>
      </c>
      <c r="L14" s="22" t="s">
        <v>33</v>
      </c>
      <c r="M14" s="84" t="s">
        <v>34</v>
      </c>
      <c r="N14" s="22" t="s">
        <v>35</v>
      </c>
      <c r="O14" s="22" t="s">
        <v>36</v>
      </c>
    </row>
    <row r="15" s="1" customFormat="1" ht="18" customHeight="1" spans="1:15">
      <c r="A15" s="35"/>
      <c r="B15" s="71">
        <f t="shared" ref="B15:B53" si="4">ROUND(G15/(1+E15),2)</f>
        <v>0</v>
      </c>
      <c r="C15" s="36"/>
      <c r="D15" s="37"/>
      <c r="E15" s="38"/>
      <c r="F15" s="71">
        <f t="shared" ref="F15:F53" si="5">ROUND(G15/(1+E15)*E15,2)</f>
        <v>0</v>
      </c>
      <c r="G15" s="68"/>
      <c r="H15" s="23" t="s">
        <v>37</v>
      </c>
      <c r="I15" s="12">
        <v>-196733.6</v>
      </c>
      <c r="J15" s="53" t="s">
        <v>38</v>
      </c>
      <c r="K15" s="76" t="s">
        <v>39</v>
      </c>
      <c r="L15" s="56" t="s">
        <v>40</v>
      </c>
      <c r="M15" s="85"/>
      <c r="N15" s="57"/>
      <c r="O15" s="56"/>
    </row>
    <row r="16" s="1" customFormat="1" ht="18" customHeight="1" spans="1:15">
      <c r="A16" s="35"/>
      <c r="B16" s="71"/>
      <c r="C16" s="36"/>
      <c r="D16" s="37"/>
      <c r="E16" s="38"/>
      <c r="F16" s="71"/>
      <c r="G16" s="68"/>
      <c r="H16" s="23" t="s">
        <v>37</v>
      </c>
      <c r="I16" s="12">
        <v>196734</v>
      </c>
      <c r="J16" s="53" t="s">
        <v>21</v>
      </c>
      <c r="K16" s="76" t="s">
        <v>41</v>
      </c>
      <c r="L16" s="56" t="s">
        <v>42</v>
      </c>
      <c r="M16" s="85"/>
      <c r="N16" s="57"/>
      <c r="O16" s="56"/>
    </row>
    <row r="17" s="1" customFormat="1" ht="18" customHeight="1" spans="1:15">
      <c r="A17" s="35"/>
      <c r="B17" s="71"/>
      <c r="C17" s="36"/>
      <c r="D17" s="37"/>
      <c r="E17" s="38"/>
      <c r="F17" s="71"/>
      <c r="G17" s="68"/>
      <c r="H17" s="23" t="s">
        <v>43</v>
      </c>
      <c r="I17" s="12">
        <v>-157986</v>
      </c>
      <c r="J17" s="53" t="s">
        <v>38</v>
      </c>
      <c r="K17" s="76" t="s">
        <v>39</v>
      </c>
      <c r="L17" s="56"/>
      <c r="M17" s="85"/>
      <c r="N17" s="57"/>
      <c r="O17" s="56"/>
    </row>
    <row r="18" s="1" customFormat="1" ht="18" customHeight="1" spans="1:15">
      <c r="A18" s="35"/>
      <c r="B18" s="71">
        <f t="shared" si="4"/>
        <v>0</v>
      </c>
      <c r="C18" s="36"/>
      <c r="D18" s="37"/>
      <c r="E18" s="38"/>
      <c r="F18" s="71">
        <f t="shared" si="5"/>
        <v>0</v>
      </c>
      <c r="G18" s="68"/>
      <c r="H18" s="23" t="s">
        <v>43</v>
      </c>
      <c r="I18" s="12">
        <v>157986</v>
      </c>
      <c r="J18" s="53" t="s">
        <v>21</v>
      </c>
      <c r="K18" s="76" t="s">
        <v>44</v>
      </c>
      <c r="L18" s="56"/>
      <c r="M18" s="85"/>
      <c r="N18" s="57"/>
      <c r="O18" s="56"/>
    </row>
    <row r="19" s="1" customFormat="1" ht="18" customHeight="1" spans="1:15">
      <c r="A19" s="35"/>
      <c r="B19" s="71">
        <f t="shared" si="4"/>
        <v>0</v>
      </c>
      <c r="C19" s="36"/>
      <c r="D19" s="37"/>
      <c r="E19" s="38"/>
      <c r="F19" s="71">
        <f t="shared" si="5"/>
        <v>0</v>
      </c>
      <c r="G19" s="68"/>
      <c r="H19" s="23" t="s">
        <v>43</v>
      </c>
      <c r="I19" s="12">
        <v>-200000</v>
      </c>
      <c r="J19" s="53" t="s">
        <v>38</v>
      </c>
      <c r="K19" s="76" t="s">
        <v>39</v>
      </c>
      <c r="L19" s="56"/>
      <c r="M19" s="85"/>
      <c r="N19" s="57"/>
      <c r="O19" s="56"/>
    </row>
    <row r="20" s="1" customFormat="1" ht="18" customHeight="1" spans="1:15">
      <c r="A20" s="35"/>
      <c r="B20" s="71">
        <f t="shared" si="4"/>
        <v>0</v>
      </c>
      <c r="C20" s="36"/>
      <c r="D20" s="37"/>
      <c r="E20" s="38"/>
      <c r="F20" s="71">
        <f t="shared" si="5"/>
        <v>0</v>
      </c>
      <c r="G20" s="68"/>
      <c r="H20" s="23" t="s">
        <v>43</v>
      </c>
      <c r="I20" s="12">
        <v>200000</v>
      </c>
      <c r="J20" s="53" t="s">
        <v>21</v>
      </c>
      <c r="K20" s="76" t="s">
        <v>45</v>
      </c>
      <c r="L20" s="56"/>
      <c r="M20" s="85"/>
      <c r="N20" s="57"/>
      <c r="O20" s="56"/>
    </row>
    <row r="21" s="1" customFormat="1" ht="18" customHeight="1" spans="1:15">
      <c r="A21" s="35"/>
      <c r="B21" s="71">
        <f t="shared" si="4"/>
        <v>0</v>
      </c>
      <c r="C21" s="36"/>
      <c r="D21" s="37"/>
      <c r="E21" s="38"/>
      <c r="F21" s="71">
        <f t="shared" si="5"/>
        <v>0</v>
      </c>
      <c r="G21" s="68"/>
      <c r="H21" s="23" t="s">
        <v>46</v>
      </c>
      <c r="I21" s="12">
        <v>-200000</v>
      </c>
      <c r="J21" s="53" t="s">
        <v>38</v>
      </c>
      <c r="K21" s="76" t="s">
        <v>39</v>
      </c>
      <c r="L21" s="56"/>
      <c r="M21" s="85"/>
      <c r="N21" s="57"/>
      <c r="O21" s="56"/>
    </row>
    <row r="22" s="1" customFormat="1" ht="18" customHeight="1" spans="1:15">
      <c r="A22" s="35"/>
      <c r="B22" s="71">
        <f t="shared" si="4"/>
        <v>0</v>
      </c>
      <c r="C22" s="36"/>
      <c r="D22" s="37"/>
      <c r="E22" s="38"/>
      <c r="F22" s="71">
        <f t="shared" si="5"/>
        <v>0</v>
      </c>
      <c r="G22" s="68"/>
      <c r="H22" s="23" t="s">
        <v>46</v>
      </c>
      <c r="I22" s="12">
        <v>200000</v>
      </c>
      <c r="J22" s="53" t="s">
        <v>21</v>
      </c>
      <c r="K22" s="76" t="s">
        <v>45</v>
      </c>
      <c r="L22" s="56"/>
      <c r="M22" s="85"/>
      <c r="N22" s="57"/>
      <c r="O22" s="56"/>
    </row>
    <row r="23" s="1" customFormat="1" ht="18" customHeight="1" spans="1:15">
      <c r="A23" s="35">
        <v>43739</v>
      </c>
      <c r="B23" s="71">
        <f t="shared" si="4"/>
        <v>196527.43</v>
      </c>
      <c r="C23" s="36"/>
      <c r="D23" s="37" t="s">
        <v>47</v>
      </c>
      <c r="E23" s="39">
        <v>0.13</v>
      </c>
      <c r="F23" s="71">
        <f t="shared" si="5"/>
        <v>25548.57</v>
      </c>
      <c r="G23" s="68">
        <v>222076</v>
      </c>
      <c r="H23" s="23"/>
      <c r="I23" s="12"/>
      <c r="J23" s="53"/>
      <c r="K23" s="76" t="s">
        <v>48</v>
      </c>
      <c r="L23" s="56" t="s">
        <v>49</v>
      </c>
      <c r="M23" s="85" t="s">
        <v>50</v>
      </c>
      <c r="N23" s="57" t="s">
        <v>50</v>
      </c>
      <c r="O23" s="56"/>
    </row>
    <row r="24" s="1" customFormat="1" ht="18" customHeight="1" spans="1:15">
      <c r="A24" s="35"/>
      <c r="B24" s="71">
        <f t="shared" si="4"/>
        <v>0</v>
      </c>
      <c r="C24" s="36"/>
      <c r="D24" s="37"/>
      <c r="E24" s="38"/>
      <c r="F24" s="71">
        <f t="shared" si="5"/>
        <v>0</v>
      </c>
      <c r="G24" s="68"/>
      <c r="H24" s="23" t="s">
        <v>46</v>
      </c>
      <c r="I24" s="12">
        <v>-200000</v>
      </c>
      <c r="J24" s="53" t="s">
        <v>38</v>
      </c>
      <c r="K24" s="76" t="s">
        <v>39</v>
      </c>
      <c r="L24" s="55" t="s">
        <v>51</v>
      </c>
      <c r="M24" s="85"/>
      <c r="N24" s="57"/>
      <c r="O24" s="56"/>
    </row>
    <row r="25" s="1" customFormat="1" ht="18" customHeight="1" spans="1:15">
      <c r="A25" s="35"/>
      <c r="B25" s="71">
        <f t="shared" si="4"/>
        <v>0</v>
      </c>
      <c r="C25" s="36"/>
      <c r="D25" s="37"/>
      <c r="E25" s="38"/>
      <c r="F25" s="71">
        <f t="shared" si="5"/>
        <v>0</v>
      </c>
      <c r="G25" s="68"/>
      <c r="H25" s="23" t="s">
        <v>46</v>
      </c>
      <c r="I25" s="12">
        <v>200000</v>
      </c>
      <c r="J25" s="53" t="s">
        <v>21</v>
      </c>
      <c r="K25" s="76" t="s">
        <v>45</v>
      </c>
      <c r="L25" s="56"/>
      <c r="M25" s="85"/>
      <c r="N25" s="57"/>
      <c r="O25" s="56"/>
    </row>
    <row r="26" s="1" customFormat="1" ht="18" customHeight="1" spans="1:15">
      <c r="A26" s="35"/>
      <c r="B26" s="71">
        <f t="shared" si="4"/>
        <v>0</v>
      </c>
      <c r="C26" s="36"/>
      <c r="D26" s="37"/>
      <c r="E26" s="38"/>
      <c r="F26" s="71">
        <f t="shared" si="5"/>
        <v>0</v>
      </c>
      <c r="G26" s="68"/>
      <c r="H26" s="23" t="s">
        <v>46</v>
      </c>
      <c r="I26" s="12">
        <v>-115600</v>
      </c>
      <c r="J26" s="53" t="s">
        <v>38</v>
      </c>
      <c r="K26" s="76" t="s">
        <v>39</v>
      </c>
      <c r="L26" s="55" t="s">
        <v>51</v>
      </c>
      <c r="M26" s="85"/>
      <c r="N26" s="57"/>
      <c r="O26" s="56"/>
    </row>
    <row r="27" s="1" customFormat="1" ht="18" customHeight="1" spans="1:15">
      <c r="A27" s="35">
        <v>43739</v>
      </c>
      <c r="B27" s="71">
        <f t="shared" si="4"/>
        <v>102300.88</v>
      </c>
      <c r="C27" s="36"/>
      <c r="D27" s="37" t="s">
        <v>47</v>
      </c>
      <c r="E27" s="39">
        <v>0.13</v>
      </c>
      <c r="F27" s="71">
        <f t="shared" si="5"/>
        <v>13299.12</v>
      </c>
      <c r="G27" s="68">
        <v>115600</v>
      </c>
      <c r="H27" s="23" t="s">
        <v>46</v>
      </c>
      <c r="I27" s="12">
        <v>115600</v>
      </c>
      <c r="J27" s="53" t="s">
        <v>21</v>
      </c>
      <c r="K27" s="76" t="s">
        <v>52</v>
      </c>
      <c r="L27" s="56" t="s">
        <v>53</v>
      </c>
      <c r="M27" s="85" t="s">
        <v>50</v>
      </c>
      <c r="N27" s="57" t="s">
        <v>50</v>
      </c>
      <c r="O27" s="56"/>
    </row>
    <row r="28" s="1" customFormat="1" ht="18" customHeight="1" spans="1:15">
      <c r="A28" s="35"/>
      <c r="B28" s="71">
        <f t="shared" si="4"/>
        <v>0</v>
      </c>
      <c r="C28" s="36"/>
      <c r="D28" s="37"/>
      <c r="E28" s="38"/>
      <c r="F28" s="71">
        <f t="shared" si="5"/>
        <v>0</v>
      </c>
      <c r="G28" s="68"/>
      <c r="H28" s="23">
        <v>43775</v>
      </c>
      <c r="I28" s="12">
        <v>-200000</v>
      </c>
      <c r="J28" s="53" t="s">
        <v>38</v>
      </c>
      <c r="K28" s="76" t="s">
        <v>39</v>
      </c>
      <c r="L28" s="55" t="s">
        <v>51</v>
      </c>
      <c r="M28" s="85"/>
      <c r="N28" s="57"/>
      <c r="O28" s="56"/>
    </row>
    <row r="29" s="1" customFormat="1" ht="18" customHeight="1" spans="1:15">
      <c r="A29" s="35"/>
      <c r="B29" s="71">
        <f t="shared" si="4"/>
        <v>0</v>
      </c>
      <c r="C29" s="36"/>
      <c r="D29" s="37"/>
      <c r="E29" s="38"/>
      <c r="F29" s="71">
        <f t="shared" si="5"/>
        <v>0</v>
      </c>
      <c r="G29" s="68"/>
      <c r="H29" s="23">
        <v>43775</v>
      </c>
      <c r="I29" s="12">
        <v>200000</v>
      </c>
      <c r="J29" s="53" t="s">
        <v>21</v>
      </c>
      <c r="K29" s="76" t="s">
        <v>45</v>
      </c>
      <c r="L29" s="56"/>
      <c r="M29" s="85"/>
      <c r="N29" s="57"/>
      <c r="O29" s="56"/>
    </row>
    <row r="30" s="1" customFormat="1" ht="18" customHeight="1" spans="1:15">
      <c r="A30" s="35"/>
      <c r="B30" s="71">
        <f t="shared" si="4"/>
        <v>0</v>
      </c>
      <c r="C30" s="36"/>
      <c r="D30" s="37"/>
      <c r="E30" s="38"/>
      <c r="F30" s="71">
        <f t="shared" si="5"/>
        <v>0</v>
      </c>
      <c r="G30" s="68"/>
      <c r="H30" s="23">
        <v>43789</v>
      </c>
      <c r="I30" s="12">
        <v>-200000</v>
      </c>
      <c r="J30" s="53" t="s">
        <v>38</v>
      </c>
      <c r="K30" s="76" t="s">
        <v>39</v>
      </c>
      <c r="L30" s="55" t="s">
        <v>51</v>
      </c>
      <c r="M30" s="85"/>
      <c r="N30" s="57"/>
      <c r="O30" s="56"/>
    </row>
    <row r="31" s="1" customFormat="1" ht="18" customHeight="1" spans="1:15">
      <c r="A31" s="35">
        <v>43770</v>
      </c>
      <c r="B31" s="71">
        <f t="shared" si="4"/>
        <v>884955.75</v>
      </c>
      <c r="C31" s="36"/>
      <c r="D31" s="37" t="s">
        <v>47</v>
      </c>
      <c r="E31" s="39">
        <v>0.13</v>
      </c>
      <c r="F31" s="71">
        <f t="shared" si="5"/>
        <v>115044.25</v>
      </c>
      <c r="G31" s="68">
        <v>1000000</v>
      </c>
      <c r="H31" s="23">
        <v>43789</v>
      </c>
      <c r="I31" s="12">
        <v>200000</v>
      </c>
      <c r="J31" s="53" t="s">
        <v>21</v>
      </c>
      <c r="K31" s="76" t="s">
        <v>45</v>
      </c>
      <c r="L31" s="56" t="s">
        <v>54</v>
      </c>
      <c r="M31" s="85" t="s">
        <v>50</v>
      </c>
      <c r="N31" s="57" t="s">
        <v>50</v>
      </c>
      <c r="O31" s="56"/>
    </row>
    <row r="32" s="1" customFormat="1" ht="18" customHeight="1" spans="1:15">
      <c r="A32" s="35"/>
      <c r="B32" s="71">
        <f t="shared" si="4"/>
        <v>0</v>
      </c>
      <c r="C32" s="36"/>
      <c r="D32" s="37"/>
      <c r="E32" s="38"/>
      <c r="F32" s="71">
        <f t="shared" si="5"/>
        <v>0</v>
      </c>
      <c r="G32" s="68"/>
      <c r="H32" s="23">
        <v>43791</v>
      </c>
      <c r="I32" s="12">
        <v>16000</v>
      </c>
      <c r="J32" s="53" t="s">
        <v>38</v>
      </c>
      <c r="K32" s="76" t="s">
        <v>39</v>
      </c>
      <c r="L32" s="56"/>
      <c r="M32" s="85"/>
      <c r="N32" s="57"/>
      <c r="O32" s="56"/>
    </row>
    <row r="33" s="1" customFormat="1" ht="18" customHeight="1" spans="1:15">
      <c r="A33" s="35"/>
      <c r="B33" s="71">
        <f t="shared" si="4"/>
        <v>0</v>
      </c>
      <c r="C33" s="36"/>
      <c r="D33" s="37"/>
      <c r="E33" s="38"/>
      <c r="F33" s="71">
        <f t="shared" si="5"/>
        <v>0</v>
      </c>
      <c r="G33" s="68"/>
      <c r="H33" s="23">
        <v>43791</v>
      </c>
      <c r="I33" s="12">
        <v>-16000</v>
      </c>
      <c r="J33" s="53" t="s">
        <v>21</v>
      </c>
      <c r="K33" s="76" t="s">
        <v>55</v>
      </c>
      <c r="L33" s="56" t="s">
        <v>56</v>
      </c>
      <c r="M33" s="85"/>
      <c r="N33" s="57"/>
      <c r="O33" s="56"/>
    </row>
    <row r="34" s="1" customFormat="1" ht="18" customHeight="1" spans="1:15">
      <c r="A34" s="35"/>
      <c r="B34" s="71">
        <f t="shared" si="4"/>
        <v>0</v>
      </c>
      <c r="C34" s="36"/>
      <c r="D34" s="37"/>
      <c r="E34" s="38"/>
      <c r="F34" s="71">
        <f t="shared" si="5"/>
        <v>0</v>
      </c>
      <c r="G34" s="68"/>
      <c r="H34" s="23">
        <v>43798</v>
      </c>
      <c r="I34" s="12">
        <v>7000</v>
      </c>
      <c r="J34" s="53" t="s">
        <v>21</v>
      </c>
      <c r="K34" s="58" t="s">
        <v>57</v>
      </c>
      <c r="L34" s="58" t="s">
        <v>58</v>
      </c>
      <c r="M34" s="85"/>
      <c r="N34" s="57"/>
      <c r="O34" s="56"/>
    </row>
    <row r="35" s="1" customFormat="1" ht="18" customHeight="1" spans="1:15">
      <c r="A35" s="35"/>
      <c r="B35" s="71">
        <f t="shared" si="4"/>
        <v>0</v>
      </c>
      <c r="C35" s="36"/>
      <c r="D35" s="37"/>
      <c r="E35" s="38"/>
      <c r="F35" s="71">
        <f t="shared" si="5"/>
        <v>0</v>
      </c>
      <c r="G35" s="68"/>
      <c r="H35" s="23">
        <v>43798</v>
      </c>
      <c r="I35" s="12">
        <v>-7000</v>
      </c>
      <c r="J35" s="53" t="s">
        <v>38</v>
      </c>
      <c r="K35" s="76" t="s">
        <v>39</v>
      </c>
      <c r="L35" s="56"/>
      <c r="M35" s="85"/>
      <c r="N35" s="57"/>
      <c r="O35" s="56"/>
    </row>
    <row r="36" s="1" customFormat="1" ht="18" customHeight="1" spans="1:15">
      <c r="A36" s="35">
        <v>43922</v>
      </c>
      <c r="B36" s="71">
        <f t="shared" si="4"/>
        <v>325805.31</v>
      </c>
      <c r="C36" s="36"/>
      <c r="D36" s="37"/>
      <c r="E36" s="39">
        <v>0.13</v>
      </c>
      <c r="F36" s="71">
        <f t="shared" si="5"/>
        <v>42354.69</v>
      </c>
      <c r="G36" s="68">
        <v>368160</v>
      </c>
      <c r="H36" s="23"/>
      <c r="I36" s="12"/>
      <c r="J36" s="53"/>
      <c r="K36" s="76" t="s">
        <v>45</v>
      </c>
      <c r="L36" s="56" t="s">
        <v>59</v>
      </c>
      <c r="M36" s="85" t="s">
        <v>50</v>
      </c>
      <c r="N36" s="57" t="s">
        <v>50</v>
      </c>
      <c r="O36" s="1" t="s">
        <v>60</v>
      </c>
    </row>
    <row r="37" s="1" customFormat="1" ht="18" customHeight="1" spans="1:15">
      <c r="A37" s="35">
        <v>43952</v>
      </c>
      <c r="B37" s="71">
        <f t="shared" si="4"/>
        <v>1800</v>
      </c>
      <c r="C37" s="36"/>
      <c r="D37" s="37" t="s">
        <v>61</v>
      </c>
      <c r="E37" s="39"/>
      <c r="F37" s="71">
        <f t="shared" si="5"/>
        <v>0</v>
      </c>
      <c r="G37" s="68">
        <v>1800</v>
      </c>
      <c r="H37" s="23"/>
      <c r="I37" s="12"/>
      <c r="J37" s="53"/>
      <c r="K37" s="76" t="s">
        <v>62</v>
      </c>
      <c r="L37" s="56" t="s">
        <v>63</v>
      </c>
      <c r="M37" s="85"/>
      <c r="N37" s="57"/>
      <c r="O37" s="56"/>
    </row>
    <row r="38" s="1" customFormat="1" ht="25" customHeight="1" spans="1:15">
      <c r="A38" s="35">
        <v>43952</v>
      </c>
      <c r="B38" s="71">
        <f t="shared" si="4"/>
        <v>11550</v>
      </c>
      <c r="C38" s="36"/>
      <c r="D38" s="37" t="s">
        <v>61</v>
      </c>
      <c r="E38" s="39"/>
      <c r="F38" s="71">
        <f t="shared" si="5"/>
        <v>0</v>
      </c>
      <c r="G38" s="68">
        <v>11550</v>
      </c>
      <c r="H38" s="23"/>
      <c r="I38" s="12"/>
      <c r="J38" s="53"/>
      <c r="K38" s="76" t="s">
        <v>64</v>
      </c>
      <c r="L38" s="56" t="s">
        <v>65</v>
      </c>
      <c r="M38" s="85"/>
      <c r="N38" s="57"/>
      <c r="O38" s="56"/>
    </row>
    <row r="39" s="1" customFormat="1" ht="18" customHeight="1" spans="1:15">
      <c r="A39" s="35">
        <v>43952</v>
      </c>
      <c r="B39" s="71">
        <f t="shared" si="4"/>
        <v>1200</v>
      </c>
      <c r="C39" s="36"/>
      <c r="D39" s="37" t="s">
        <v>61</v>
      </c>
      <c r="E39" s="39"/>
      <c r="F39" s="71">
        <f t="shared" si="5"/>
        <v>0</v>
      </c>
      <c r="G39" s="68">
        <v>1200</v>
      </c>
      <c r="H39" s="23"/>
      <c r="I39" s="12"/>
      <c r="J39" s="53"/>
      <c r="K39" s="76" t="s">
        <v>66</v>
      </c>
      <c r="L39" s="56" t="s">
        <v>67</v>
      </c>
      <c r="M39" s="85"/>
      <c r="N39" s="57"/>
      <c r="O39" s="56"/>
    </row>
    <row r="40" s="1" customFormat="1" ht="18" customHeight="1" spans="1:15">
      <c r="A40" s="35">
        <v>43952</v>
      </c>
      <c r="B40" s="71">
        <f t="shared" si="4"/>
        <v>500</v>
      </c>
      <c r="C40" s="36"/>
      <c r="D40" s="37" t="s">
        <v>61</v>
      </c>
      <c r="E40" s="39"/>
      <c r="F40" s="71">
        <f t="shared" si="5"/>
        <v>0</v>
      </c>
      <c r="G40" s="68">
        <v>500</v>
      </c>
      <c r="H40" s="23"/>
      <c r="I40" s="12"/>
      <c r="J40" s="53"/>
      <c r="K40" s="76" t="s">
        <v>68</v>
      </c>
      <c r="L40" s="56" t="s">
        <v>69</v>
      </c>
      <c r="M40" s="85"/>
      <c r="N40" s="57"/>
      <c r="O40" s="56"/>
    </row>
    <row r="41" s="1" customFormat="1" ht="18" customHeight="1" spans="1:15">
      <c r="A41" s="35">
        <v>43952</v>
      </c>
      <c r="B41" s="71">
        <f t="shared" si="4"/>
        <v>2470</v>
      </c>
      <c r="C41" s="36"/>
      <c r="D41" s="37" t="s">
        <v>61</v>
      </c>
      <c r="E41" s="39"/>
      <c r="F41" s="71">
        <f t="shared" si="5"/>
        <v>0</v>
      </c>
      <c r="G41" s="68">
        <v>2470</v>
      </c>
      <c r="H41" s="23"/>
      <c r="I41" s="12"/>
      <c r="J41" s="53"/>
      <c r="K41" s="76" t="s">
        <v>70</v>
      </c>
      <c r="L41" s="56" t="s">
        <v>71</v>
      </c>
      <c r="M41" s="85"/>
      <c r="N41" s="57"/>
      <c r="O41" s="56"/>
    </row>
    <row r="42" s="1" customFormat="1" ht="18" customHeight="1" spans="1:15">
      <c r="A42" s="35">
        <v>43952</v>
      </c>
      <c r="B42" s="71">
        <f t="shared" si="4"/>
        <v>2666</v>
      </c>
      <c r="C42" s="36"/>
      <c r="D42" s="37" t="s">
        <v>61</v>
      </c>
      <c r="E42" s="39"/>
      <c r="F42" s="71">
        <f t="shared" si="5"/>
        <v>0</v>
      </c>
      <c r="G42" s="68">
        <v>2666</v>
      </c>
      <c r="H42" s="23"/>
      <c r="I42" s="12"/>
      <c r="J42" s="53"/>
      <c r="K42" s="76" t="s">
        <v>72</v>
      </c>
      <c r="L42" s="56" t="s">
        <v>73</v>
      </c>
      <c r="M42" s="85"/>
      <c r="N42" s="57"/>
      <c r="O42" s="56"/>
    </row>
    <row r="43" s="1" customFormat="1" ht="18" customHeight="1" spans="1:15">
      <c r="A43" s="35">
        <v>43952</v>
      </c>
      <c r="B43" s="71">
        <f t="shared" si="4"/>
        <v>2000</v>
      </c>
      <c r="C43" s="36"/>
      <c r="D43" s="37" t="s">
        <v>61</v>
      </c>
      <c r="E43" s="38"/>
      <c r="F43" s="71">
        <f t="shared" si="5"/>
        <v>0</v>
      </c>
      <c r="G43" s="68">
        <v>2000</v>
      </c>
      <c r="H43" s="23"/>
      <c r="I43" s="12"/>
      <c r="J43" s="53"/>
      <c r="K43" s="76" t="s">
        <v>66</v>
      </c>
      <c r="L43" s="56" t="s">
        <v>74</v>
      </c>
      <c r="M43" s="85"/>
      <c r="N43" s="57"/>
      <c r="O43" s="56"/>
    </row>
    <row r="44" s="1" customFormat="1" ht="18" customHeight="1" spans="1:15">
      <c r="A44" s="35">
        <v>43952</v>
      </c>
      <c r="B44" s="71">
        <f t="shared" si="4"/>
        <v>1100917.43</v>
      </c>
      <c r="C44" s="36"/>
      <c r="D44" s="37" t="s">
        <v>47</v>
      </c>
      <c r="E44" s="39">
        <v>0.09</v>
      </c>
      <c r="F44" s="71">
        <f t="shared" si="5"/>
        <v>99082.57</v>
      </c>
      <c r="G44" s="68">
        <v>1200000</v>
      </c>
      <c r="H44" s="23"/>
      <c r="I44" s="12"/>
      <c r="J44" s="53"/>
      <c r="K44" s="76" t="s">
        <v>75</v>
      </c>
      <c r="L44" s="56" t="s">
        <v>76</v>
      </c>
      <c r="M44" s="85" t="s">
        <v>50</v>
      </c>
      <c r="N44" s="57"/>
      <c r="O44" s="1" t="s">
        <v>77</v>
      </c>
    </row>
    <row r="45" s="1" customFormat="1" ht="18" customHeight="1" spans="1:15">
      <c r="A45" s="35"/>
      <c r="B45" s="71">
        <f t="shared" si="4"/>
        <v>0</v>
      </c>
      <c r="C45" s="36"/>
      <c r="D45" s="37"/>
      <c r="E45" s="39"/>
      <c r="F45" s="71">
        <f t="shared" si="5"/>
        <v>0</v>
      </c>
      <c r="G45" s="68"/>
      <c r="H45" s="23">
        <v>43804</v>
      </c>
      <c r="I45" s="12">
        <v>-200000</v>
      </c>
      <c r="J45" s="53" t="s">
        <v>38</v>
      </c>
      <c r="K45" s="76" t="s">
        <v>39</v>
      </c>
      <c r="L45" s="56"/>
      <c r="M45" s="85"/>
      <c r="N45" s="57"/>
      <c r="O45" s="56"/>
    </row>
    <row r="46" s="1" customFormat="1" ht="18" customHeight="1" spans="1:15">
      <c r="A46" s="35"/>
      <c r="B46" s="71">
        <f t="shared" si="4"/>
        <v>0</v>
      </c>
      <c r="C46" s="36"/>
      <c r="D46" s="37"/>
      <c r="E46" s="39"/>
      <c r="F46" s="71">
        <f t="shared" si="5"/>
        <v>0</v>
      </c>
      <c r="G46" s="68"/>
      <c r="H46" s="23">
        <v>43804</v>
      </c>
      <c r="I46" s="12">
        <v>200000</v>
      </c>
      <c r="J46" s="53" t="s">
        <v>21</v>
      </c>
      <c r="K46" s="76" t="s">
        <v>45</v>
      </c>
      <c r="L46" s="56"/>
      <c r="M46" s="85"/>
      <c r="N46" s="57"/>
      <c r="O46" s="56"/>
    </row>
    <row r="47" s="1" customFormat="1" ht="18" customHeight="1" spans="1:15">
      <c r="A47" s="35"/>
      <c r="B47" s="71">
        <f t="shared" si="4"/>
        <v>0</v>
      </c>
      <c r="C47" s="36"/>
      <c r="D47" s="37"/>
      <c r="E47" s="38"/>
      <c r="F47" s="71">
        <f t="shared" si="5"/>
        <v>0</v>
      </c>
      <c r="G47" s="68"/>
      <c r="H47" s="23">
        <v>43819</v>
      </c>
      <c r="I47" s="12">
        <v>1377995</v>
      </c>
      <c r="J47" s="53"/>
      <c r="K47" s="76" t="s">
        <v>78</v>
      </c>
      <c r="L47" s="56"/>
      <c r="M47" s="85"/>
      <c r="N47" s="57"/>
      <c r="O47" s="56"/>
    </row>
    <row r="48" s="1" customFormat="1" ht="18" customHeight="1" spans="1:15">
      <c r="A48" s="35"/>
      <c r="B48" s="71">
        <f t="shared" si="4"/>
        <v>0</v>
      </c>
      <c r="C48" s="36"/>
      <c r="D48" s="37"/>
      <c r="E48" s="38"/>
      <c r="F48" s="71">
        <f t="shared" si="5"/>
        <v>0</v>
      </c>
      <c r="G48" s="68"/>
      <c r="H48" s="23">
        <v>43965</v>
      </c>
      <c r="I48" s="12">
        <v>-400000</v>
      </c>
      <c r="J48" s="53" t="s">
        <v>38</v>
      </c>
      <c r="K48" s="77" t="s">
        <v>79</v>
      </c>
      <c r="L48" s="56"/>
      <c r="M48" s="85"/>
      <c r="N48" s="57"/>
      <c r="O48" s="56"/>
    </row>
    <row r="49" s="1" customFormat="1" ht="18" customHeight="1" spans="1:15">
      <c r="A49" s="35"/>
      <c r="B49" s="71">
        <f t="shared" si="4"/>
        <v>0</v>
      </c>
      <c r="C49" s="36"/>
      <c r="D49" s="37"/>
      <c r="E49" s="38"/>
      <c r="F49" s="71">
        <f t="shared" si="5"/>
        <v>0</v>
      </c>
      <c r="G49" s="68"/>
      <c r="H49" s="23">
        <v>43966</v>
      </c>
      <c r="I49" s="12">
        <v>400000</v>
      </c>
      <c r="J49" s="53" t="s">
        <v>21</v>
      </c>
      <c r="K49" s="77" t="s">
        <v>75</v>
      </c>
      <c r="L49" s="56"/>
      <c r="M49" s="85"/>
      <c r="N49" s="57"/>
      <c r="O49" s="56"/>
    </row>
    <row r="50" s="1" customFormat="1" ht="18" customHeight="1" spans="1:15">
      <c r="A50" s="35"/>
      <c r="B50" s="71">
        <f t="shared" si="4"/>
        <v>0</v>
      </c>
      <c r="C50" s="36"/>
      <c r="D50" s="37"/>
      <c r="E50" s="38"/>
      <c r="F50" s="71">
        <f t="shared" si="5"/>
        <v>0</v>
      </c>
      <c r="G50" s="68"/>
      <c r="H50" s="23">
        <v>43977</v>
      </c>
      <c r="I50" s="12">
        <v>168160</v>
      </c>
      <c r="J50" s="53"/>
      <c r="K50" s="77" t="s">
        <v>45</v>
      </c>
      <c r="L50" s="33" t="s">
        <v>80</v>
      </c>
      <c r="M50" s="85"/>
      <c r="N50" s="57"/>
      <c r="O50" s="56"/>
    </row>
    <row r="51" s="1" customFormat="1" ht="18" customHeight="1" spans="1:15">
      <c r="A51" s="35"/>
      <c r="B51" s="71">
        <f t="shared" si="4"/>
        <v>0</v>
      </c>
      <c r="C51" s="36"/>
      <c r="D51" s="37"/>
      <c r="E51" s="38"/>
      <c r="F51" s="71">
        <f t="shared" si="5"/>
        <v>0</v>
      </c>
      <c r="G51" s="68"/>
      <c r="H51" s="23">
        <v>43977</v>
      </c>
      <c r="I51" s="12">
        <v>800000</v>
      </c>
      <c r="J51" s="53"/>
      <c r="K51" s="77" t="s">
        <v>75</v>
      </c>
      <c r="L51" s="33" t="s">
        <v>76</v>
      </c>
      <c r="M51" s="85"/>
      <c r="N51" s="57"/>
      <c r="O51" s="56"/>
    </row>
    <row r="52" s="1" customFormat="1" ht="18" customHeight="1" spans="1:15">
      <c r="A52" s="35"/>
      <c r="B52" s="71">
        <f t="shared" si="4"/>
        <v>0</v>
      </c>
      <c r="C52" s="36"/>
      <c r="D52" s="37"/>
      <c r="E52" s="38"/>
      <c r="F52" s="71">
        <f t="shared" si="5"/>
        <v>0</v>
      </c>
      <c r="G52" s="68"/>
      <c r="H52" s="81">
        <v>43978</v>
      </c>
      <c r="I52" s="71">
        <v>434863.51</v>
      </c>
      <c r="J52" s="57"/>
      <c r="K52" s="76" t="s">
        <v>81</v>
      </c>
      <c r="L52" s="33" t="s">
        <v>76</v>
      </c>
      <c r="M52" s="85"/>
      <c r="N52" s="57"/>
      <c r="O52" s="56"/>
    </row>
    <row r="53" s="1" customFormat="1" ht="18" customHeight="1" spans="1:15">
      <c r="A53" s="35">
        <v>43952</v>
      </c>
      <c r="B53" s="71">
        <f t="shared" si="4"/>
        <v>434863.51</v>
      </c>
      <c r="C53" s="36"/>
      <c r="D53" s="37" t="s">
        <v>61</v>
      </c>
      <c r="E53" s="38"/>
      <c r="F53" s="71">
        <f t="shared" si="5"/>
        <v>0</v>
      </c>
      <c r="G53" s="68">
        <v>434863.51</v>
      </c>
      <c r="H53" s="81"/>
      <c r="I53" s="71"/>
      <c r="J53" s="57"/>
      <c r="K53" s="76" t="s">
        <v>81</v>
      </c>
      <c r="L53" s="33" t="s">
        <v>76</v>
      </c>
      <c r="M53" s="85" t="s">
        <v>50</v>
      </c>
      <c r="N53" s="57"/>
      <c r="O53" s="56"/>
    </row>
    <row r="54" s="1" customFormat="1" ht="18" customHeight="1" spans="1:15">
      <c r="A54" s="35"/>
      <c r="B54" s="71">
        <f t="shared" ref="B54:B62" si="6">ROUND(G54/(1+E54),2)</f>
        <v>0</v>
      </c>
      <c r="C54" s="36"/>
      <c r="D54" s="37"/>
      <c r="E54" s="38"/>
      <c r="F54" s="71">
        <f t="shared" ref="F54:F62" si="7">ROUND(G54/(1+E54)*E54,2)</f>
        <v>0</v>
      </c>
      <c r="G54" s="68"/>
      <c r="H54" s="82">
        <v>43990</v>
      </c>
      <c r="I54" s="86">
        <v>-500000</v>
      </c>
      <c r="J54" s="87" t="s">
        <v>38</v>
      </c>
      <c r="K54" s="88" t="s">
        <v>39</v>
      </c>
      <c r="L54" s="89"/>
      <c r="M54" s="85"/>
      <c r="N54" s="57"/>
      <c r="O54" s="56"/>
    </row>
    <row r="55" s="1" customFormat="1" ht="18" customHeight="1" spans="1:15">
      <c r="A55" s="35"/>
      <c r="B55" s="71">
        <f t="shared" si="6"/>
        <v>0</v>
      </c>
      <c r="C55" s="36"/>
      <c r="D55" s="37"/>
      <c r="E55" s="38"/>
      <c r="F55" s="71">
        <f t="shared" si="7"/>
        <v>0</v>
      </c>
      <c r="G55" s="68"/>
      <c r="H55" s="82">
        <v>43991</v>
      </c>
      <c r="I55" s="86">
        <v>500000</v>
      </c>
      <c r="J55" s="87" t="s">
        <v>21</v>
      </c>
      <c r="K55" s="88" t="s">
        <v>83</v>
      </c>
      <c r="L55" s="89" t="s">
        <v>84</v>
      </c>
      <c r="M55" s="85"/>
      <c r="N55" s="57"/>
      <c r="O55" s="56"/>
    </row>
    <row r="56" s="1" customFormat="1" ht="18" customHeight="1" spans="1:15">
      <c r="A56" s="35">
        <v>43983</v>
      </c>
      <c r="B56" s="71">
        <f t="shared" si="6"/>
        <v>1289069.31</v>
      </c>
      <c r="C56" s="36"/>
      <c r="D56" s="37" t="s">
        <v>85</v>
      </c>
      <c r="E56" s="39">
        <v>0.01</v>
      </c>
      <c r="F56" s="71">
        <f t="shared" si="7"/>
        <v>12890.69</v>
      </c>
      <c r="G56" s="68">
        <v>1301960</v>
      </c>
      <c r="H56" s="81"/>
      <c r="I56" s="71"/>
      <c r="J56" s="57"/>
      <c r="K56" s="88" t="s">
        <v>83</v>
      </c>
      <c r="L56" s="89" t="s">
        <v>84</v>
      </c>
      <c r="M56" s="85" t="s">
        <v>86</v>
      </c>
      <c r="N56" s="57" t="s">
        <v>50</v>
      </c>
      <c r="O56" s="56"/>
    </row>
    <row r="57" s="1" customFormat="1" ht="18" customHeight="1" spans="1:15">
      <c r="A57" s="35"/>
      <c r="B57" s="71">
        <f t="shared" si="6"/>
        <v>0</v>
      </c>
      <c r="C57" s="36"/>
      <c r="D57" s="37"/>
      <c r="E57" s="38"/>
      <c r="F57" s="71">
        <f t="shared" si="7"/>
        <v>0</v>
      </c>
      <c r="G57" s="68"/>
      <c r="H57" s="81">
        <v>43992</v>
      </c>
      <c r="I57" s="71">
        <v>-700000</v>
      </c>
      <c r="J57" s="87" t="s">
        <v>38</v>
      </c>
      <c r="K57" s="88" t="s">
        <v>39</v>
      </c>
      <c r="L57" s="56"/>
      <c r="M57" s="85"/>
      <c r="N57" s="57"/>
      <c r="O57" s="56"/>
    </row>
    <row r="58" s="1" customFormat="1" ht="18" customHeight="1" spans="1:15">
      <c r="A58" s="35"/>
      <c r="B58" s="71">
        <f t="shared" si="6"/>
        <v>0</v>
      </c>
      <c r="C58" s="36"/>
      <c r="D58" s="37"/>
      <c r="E58" s="38"/>
      <c r="F58" s="71">
        <f t="shared" si="7"/>
        <v>0</v>
      </c>
      <c r="G58" s="68"/>
      <c r="H58" s="81">
        <v>43993</v>
      </c>
      <c r="I58" s="71">
        <v>700000</v>
      </c>
      <c r="J58" s="87" t="s">
        <v>21</v>
      </c>
      <c r="K58" s="88" t="s">
        <v>83</v>
      </c>
      <c r="L58" s="89" t="s">
        <v>84</v>
      </c>
      <c r="M58" s="85"/>
      <c r="N58" s="57"/>
      <c r="O58" s="56"/>
    </row>
    <row r="59" s="1" customFormat="1" ht="18" customHeight="1" spans="1:15">
      <c r="A59" s="35"/>
      <c r="B59" s="71">
        <f t="shared" si="6"/>
        <v>0</v>
      </c>
      <c r="C59" s="36"/>
      <c r="D59" s="37"/>
      <c r="E59" s="38"/>
      <c r="F59" s="71">
        <f t="shared" si="7"/>
        <v>0</v>
      </c>
      <c r="G59" s="68"/>
      <c r="H59" s="81"/>
      <c r="I59" s="71"/>
      <c r="J59" s="57"/>
      <c r="K59" s="76"/>
      <c r="L59" s="33"/>
      <c r="M59" s="85"/>
      <c r="N59" s="57"/>
      <c r="O59" s="56"/>
    </row>
    <row r="60" s="1" customFormat="1" ht="18" customHeight="1" spans="1:15">
      <c r="A60" s="35"/>
      <c r="B60" s="71">
        <f t="shared" si="6"/>
        <v>0</v>
      </c>
      <c r="C60" s="36"/>
      <c r="D60" s="37"/>
      <c r="E60" s="38"/>
      <c r="F60" s="71">
        <f t="shared" si="7"/>
        <v>0</v>
      </c>
      <c r="G60" s="68"/>
      <c r="H60" s="81"/>
      <c r="I60" s="71"/>
      <c r="J60" s="57"/>
      <c r="K60" s="76"/>
      <c r="L60" s="56"/>
      <c r="M60" s="85"/>
      <c r="N60" s="57"/>
      <c r="O60" s="56"/>
    </row>
    <row r="61" s="1" customFormat="1" ht="18" customHeight="1" spans="1:15">
      <c r="A61" s="35"/>
      <c r="B61" s="71">
        <f t="shared" ref="B61:B71" si="8">ROUND(G61/(1+E61),2)</f>
        <v>0</v>
      </c>
      <c r="C61" s="36"/>
      <c r="D61" s="37"/>
      <c r="E61" s="38"/>
      <c r="F61" s="71">
        <f t="shared" ref="F61:F70" si="9">ROUND(G61/(1+E61)*E61,2)</f>
        <v>0</v>
      </c>
      <c r="G61" s="68"/>
      <c r="H61" s="81"/>
      <c r="I61" s="71"/>
      <c r="J61" s="57"/>
      <c r="K61" s="76"/>
      <c r="L61" s="56"/>
      <c r="M61" s="85"/>
      <c r="N61" s="57"/>
      <c r="O61" s="56"/>
    </row>
    <row r="62" s="1" customFormat="1" ht="18" customHeight="1" spans="1:15">
      <c r="A62" s="35"/>
      <c r="B62" s="71">
        <f t="shared" si="8"/>
        <v>0</v>
      </c>
      <c r="C62" s="36"/>
      <c r="D62" s="37"/>
      <c r="E62" s="38"/>
      <c r="F62" s="71">
        <f t="shared" si="9"/>
        <v>0</v>
      </c>
      <c r="G62" s="68"/>
      <c r="H62" s="83"/>
      <c r="I62" s="90"/>
      <c r="J62" s="91"/>
      <c r="K62" s="92"/>
      <c r="L62" s="56"/>
      <c r="M62" s="85"/>
      <c r="N62" s="57"/>
      <c r="O62" s="56"/>
    </row>
    <row r="63" s="1" customFormat="1" ht="18" customHeight="1" spans="1:15">
      <c r="A63" s="35"/>
      <c r="B63" s="71">
        <f t="shared" si="8"/>
        <v>0</v>
      </c>
      <c r="C63" s="36"/>
      <c r="D63" s="37"/>
      <c r="E63" s="38"/>
      <c r="F63" s="71">
        <f t="shared" si="9"/>
        <v>0</v>
      </c>
      <c r="G63" s="68"/>
      <c r="H63" s="83"/>
      <c r="I63" s="90"/>
      <c r="J63" s="91"/>
      <c r="K63" s="92"/>
      <c r="L63" s="93"/>
      <c r="M63" s="85"/>
      <c r="N63" s="57"/>
      <c r="O63" s="56"/>
    </row>
    <row r="64" s="1" customFormat="1" ht="18" customHeight="1" spans="1:15">
      <c r="A64" s="35"/>
      <c r="B64" s="71">
        <f t="shared" si="8"/>
        <v>0</v>
      </c>
      <c r="C64" s="36"/>
      <c r="D64" s="37"/>
      <c r="E64" s="38"/>
      <c r="F64" s="71">
        <f t="shared" si="9"/>
        <v>0</v>
      </c>
      <c r="G64" s="68"/>
      <c r="H64" s="83"/>
      <c r="I64" s="90"/>
      <c r="J64" s="91"/>
      <c r="K64" s="92"/>
      <c r="L64" s="93"/>
      <c r="M64" s="85"/>
      <c r="N64" s="57"/>
      <c r="O64" s="56"/>
    </row>
    <row r="65" s="1" customFormat="1" ht="18" customHeight="1" spans="1:15">
      <c r="A65" s="35"/>
      <c r="B65" s="71">
        <f t="shared" si="8"/>
        <v>0</v>
      </c>
      <c r="C65" s="36"/>
      <c r="D65" s="37"/>
      <c r="E65" s="38"/>
      <c r="F65" s="71">
        <f t="shared" si="9"/>
        <v>0</v>
      </c>
      <c r="G65" s="68"/>
      <c r="H65" s="83"/>
      <c r="I65" s="90"/>
      <c r="J65" s="91"/>
      <c r="K65" s="92"/>
      <c r="L65" s="94"/>
      <c r="M65" s="85"/>
      <c r="N65" s="57"/>
      <c r="O65" s="56"/>
    </row>
    <row r="66" s="1" customFormat="1" ht="18" customHeight="1" spans="1:15">
      <c r="A66" s="35"/>
      <c r="B66" s="71">
        <f t="shared" si="8"/>
        <v>0</v>
      </c>
      <c r="C66" s="36"/>
      <c r="D66" s="37"/>
      <c r="E66" s="38"/>
      <c r="F66" s="71">
        <f t="shared" si="9"/>
        <v>0</v>
      </c>
      <c r="G66" s="68"/>
      <c r="H66" s="81" t="s">
        <v>162</v>
      </c>
      <c r="I66" s="71">
        <v>100</v>
      </c>
      <c r="J66" s="57" t="s">
        <v>147</v>
      </c>
      <c r="K66" s="76" t="s">
        <v>148</v>
      </c>
      <c r="L66" s="56"/>
      <c r="M66" s="85"/>
      <c r="N66" s="57"/>
      <c r="O66" s="56"/>
    </row>
    <row r="67" s="1" customFormat="1" ht="18" customHeight="1" spans="1:15">
      <c r="A67" s="35"/>
      <c r="B67" s="71">
        <f t="shared" si="8"/>
        <v>0</v>
      </c>
      <c r="C67" s="36"/>
      <c r="D67" s="37"/>
      <c r="E67" s="38"/>
      <c r="F67" s="71">
        <f t="shared" si="9"/>
        <v>0</v>
      </c>
      <c r="G67" s="68"/>
      <c r="H67" s="81" t="s">
        <v>162</v>
      </c>
      <c r="I67" s="71">
        <v>-31863</v>
      </c>
      <c r="J67" s="57" t="s">
        <v>163</v>
      </c>
      <c r="K67" s="76" t="s">
        <v>164</v>
      </c>
      <c r="L67" s="56"/>
      <c r="M67" s="85"/>
      <c r="N67" s="57"/>
      <c r="O67" s="56"/>
    </row>
    <row r="68" s="1" customFormat="1" ht="18" customHeight="1" spans="1:15">
      <c r="A68" s="35"/>
      <c r="B68" s="71">
        <f t="shared" si="8"/>
        <v>0</v>
      </c>
      <c r="C68" s="36"/>
      <c r="D68" s="37"/>
      <c r="E68" s="38"/>
      <c r="F68" s="71">
        <f t="shared" si="9"/>
        <v>0</v>
      </c>
      <c r="G68" s="68"/>
      <c r="H68" s="23" t="s">
        <v>162</v>
      </c>
      <c r="I68" s="12">
        <v>-0.4</v>
      </c>
      <c r="J68" s="53" t="s">
        <v>165</v>
      </c>
      <c r="K68" s="77" t="s">
        <v>166</v>
      </c>
      <c r="L68" s="56"/>
      <c r="M68" s="85"/>
      <c r="N68" s="57"/>
      <c r="O68" s="56"/>
    </row>
    <row r="69" s="1" customFormat="1" ht="18" customHeight="1" spans="1:15">
      <c r="A69" s="35"/>
      <c r="B69" s="71">
        <f t="shared" si="8"/>
        <v>0</v>
      </c>
      <c r="C69" s="36"/>
      <c r="D69" s="37"/>
      <c r="E69" s="38"/>
      <c r="F69" s="71">
        <f t="shared" si="9"/>
        <v>0</v>
      </c>
      <c r="G69" s="68"/>
      <c r="H69" s="23" t="s">
        <v>162</v>
      </c>
      <c r="I69" s="12">
        <v>5000</v>
      </c>
      <c r="J69" s="53" t="s">
        <v>147</v>
      </c>
      <c r="K69" s="77" t="s">
        <v>167</v>
      </c>
      <c r="L69" s="56"/>
      <c r="M69" s="85"/>
      <c r="N69" s="57"/>
      <c r="O69" s="56"/>
    </row>
    <row r="70" s="1" customFormat="1" ht="18" customHeight="1" spans="1:15">
      <c r="A70" s="35"/>
      <c r="B70" s="71">
        <f t="shared" si="8"/>
        <v>0</v>
      </c>
      <c r="C70" s="36"/>
      <c r="D70" s="37"/>
      <c r="E70" s="38"/>
      <c r="F70" s="71">
        <f t="shared" si="9"/>
        <v>0</v>
      </c>
      <c r="G70" s="68"/>
      <c r="H70" s="23" t="s">
        <v>162</v>
      </c>
      <c r="I70" s="12">
        <v>1200</v>
      </c>
      <c r="J70" s="53" t="s">
        <v>147</v>
      </c>
      <c r="K70" s="77" t="s">
        <v>148</v>
      </c>
      <c r="L70" s="56"/>
      <c r="M70" s="85"/>
      <c r="N70" s="57"/>
      <c r="O70" s="56"/>
    </row>
    <row r="71" s="1" customFormat="1" ht="18" customHeight="1" spans="1:15">
      <c r="A71" s="35"/>
      <c r="B71" s="71">
        <f t="shared" si="8"/>
        <v>0</v>
      </c>
      <c r="C71" s="36"/>
      <c r="D71" s="37"/>
      <c r="E71" s="38"/>
      <c r="F71" s="71">
        <f t="shared" ref="F65:F77" si="10">ROUND(G71/(1+E71)*E71,2)</f>
        <v>0</v>
      </c>
      <c r="G71" s="68"/>
      <c r="H71" s="23" t="s">
        <v>162</v>
      </c>
      <c r="I71" s="12">
        <v>28400</v>
      </c>
      <c r="J71" s="53" t="s">
        <v>147</v>
      </c>
      <c r="K71" s="77" t="s">
        <v>159</v>
      </c>
      <c r="L71" s="56"/>
      <c r="M71" s="85"/>
      <c r="N71" s="57"/>
      <c r="O71" s="56"/>
    </row>
    <row r="72" s="1" customFormat="1" ht="18" customHeight="1" spans="1:15">
      <c r="A72" s="35"/>
      <c r="B72" s="71">
        <f t="shared" ref="B65:B77" si="11">ROUND(G72/(1+E72),2)</f>
        <v>0</v>
      </c>
      <c r="C72" s="36"/>
      <c r="D72" s="37"/>
      <c r="E72" s="38"/>
      <c r="F72" s="71">
        <f t="shared" si="10"/>
        <v>0</v>
      </c>
      <c r="G72" s="68"/>
      <c r="H72" s="23" t="s">
        <v>162</v>
      </c>
      <c r="I72" s="12">
        <v>14139.49</v>
      </c>
      <c r="J72" s="53" t="s">
        <v>147</v>
      </c>
      <c r="K72" s="77" t="s">
        <v>150</v>
      </c>
      <c r="L72" s="56"/>
      <c r="M72" s="85"/>
      <c r="N72" s="57"/>
      <c r="O72" s="56"/>
    </row>
    <row r="73" s="1" customFormat="1" ht="18" customHeight="1" spans="1:15">
      <c r="A73" s="35"/>
      <c r="B73" s="71">
        <f t="shared" si="11"/>
        <v>0</v>
      </c>
      <c r="C73" s="36"/>
      <c r="D73" s="37"/>
      <c r="E73" s="38"/>
      <c r="F73" s="71">
        <f t="shared" si="10"/>
        <v>0</v>
      </c>
      <c r="G73" s="68"/>
      <c r="H73" s="23" t="s">
        <v>168</v>
      </c>
      <c r="I73" s="12">
        <v>200</v>
      </c>
      <c r="J73" s="53" t="s">
        <v>147</v>
      </c>
      <c r="K73" s="76" t="s">
        <v>148</v>
      </c>
      <c r="L73" s="56"/>
      <c r="M73" s="85"/>
      <c r="N73" s="57"/>
      <c r="O73" s="56"/>
    </row>
    <row r="74" s="1" customFormat="1" ht="18" customHeight="1" spans="1:15">
      <c r="A74" s="35"/>
      <c r="B74" s="71">
        <f t="shared" si="11"/>
        <v>0</v>
      </c>
      <c r="C74" s="36"/>
      <c r="D74" s="37"/>
      <c r="E74" s="38"/>
      <c r="F74" s="71">
        <f t="shared" si="10"/>
        <v>0</v>
      </c>
      <c r="G74" s="68"/>
      <c r="H74" s="23" t="s">
        <v>168</v>
      </c>
      <c r="I74" s="12">
        <v>17000</v>
      </c>
      <c r="J74" s="53" t="s">
        <v>147</v>
      </c>
      <c r="K74" s="76" t="s">
        <v>169</v>
      </c>
      <c r="L74" s="56"/>
      <c r="M74" s="85"/>
      <c r="N74" s="57"/>
      <c r="O74" s="56"/>
    </row>
    <row r="75" s="1" customFormat="1" ht="18" customHeight="1" spans="1:15">
      <c r="A75" s="35"/>
      <c r="B75" s="71">
        <f t="shared" si="11"/>
        <v>0</v>
      </c>
      <c r="C75" s="36"/>
      <c r="D75" s="37"/>
      <c r="E75" s="38"/>
      <c r="F75" s="71">
        <f t="shared" si="10"/>
        <v>0</v>
      </c>
      <c r="G75" s="68"/>
      <c r="H75" s="23" t="s">
        <v>168</v>
      </c>
      <c r="I75" s="12">
        <v>31863</v>
      </c>
      <c r="J75" s="53" t="s">
        <v>170</v>
      </c>
      <c r="K75" s="76" t="s">
        <v>164</v>
      </c>
      <c r="L75" s="56"/>
      <c r="M75" s="85"/>
      <c r="N75" s="57"/>
      <c r="O75" s="56"/>
    </row>
    <row r="76" s="1" customFormat="1" ht="18" customHeight="1" spans="1:15">
      <c r="A76" s="35"/>
      <c r="B76" s="71">
        <f t="shared" si="11"/>
        <v>0</v>
      </c>
      <c r="C76" s="36"/>
      <c r="D76" s="37"/>
      <c r="E76" s="38"/>
      <c r="F76" s="71">
        <f t="shared" si="10"/>
        <v>0</v>
      </c>
      <c r="G76" s="68"/>
      <c r="H76" s="23" t="s">
        <v>168</v>
      </c>
      <c r="I76" s="12">
        <v>13542</v>
      </c>
      <c r="J76" s="53" t="s">
        <v>147</v>
      </c>
      <c r="K76" s="76" t="s">
        <v>150</v>
      </c>
      <c r="L76" s="56"/>
      <c r="M76" s="85"/>
      <c r="N76" s="57"/>
      <c r="O76" s="56"/>
    </row>
    <row r="77" s="1" customFormat="1" ht="18" customHeight="1" spans="1:15">
      <c r="A77" s="35"/>
      <c r="B77" s="71">
        <f t="shared" si="11"/>
        <v>29400</v>
      </c>
      <c r="C77" s="36"/>
      <c r="D77" s="37"/>
      <c r="E77" s="38"/>
      <c r="F77" s="71">
        <f t="shared" si="10"/>
        <v>0</v>
      </c>
      <c r="G77" s="68">
        <v>29400</v>
      </c>
      <c r="H77" s="23" t="s">
        <v>168</v>
      </c>
      <c r="I77" s="12">
        <v>29400</v>
      </c>
      <c r="J77" s="53" t="s">
        <v>147</v>
      </c>
      <c r="K77" s="76" t="s">
        <v>171</v>
      </c>
      <c r="L77" s="56"/>
      <c r="M77" s="85"/>
      <c r="N77" s="57"/>
      <c r="O77" s="56"/>
    </row>
    <row r="78" ht="18" customHeight="1" spans="1:15">
      <c r="A78" s="30" t="s">
        <v>23</v>
      </c>
      <c r="B78" s="69">
        <f>SUM(B15:B77)</f>
        <v>4386025.62</v>
      </c>
      <c r="C78" s="30"/>
      <c r="D78" s="40"/>
      <c r="E78" s="40"/>
      <c r="F78" s="70">
        <f>SUM(F15:F77)</f>
        <v>308219.89</v>
      </c>
      <c r="G78" s="72">
        <f>SUM(G15:G77)</f>
        <v>4694245.51</v>
      </c>
      <c r="H78" s="42"/>
      <c r="I78" s="30">
        <f>SUM(I15:I77)</f>
        <v>2890000</v>
      </c>
      <c r="J78" s="59"/>
      <c r="K78" s="78"/>
      <c r="L78" s="33"/>
      <c r="M78" s="95"/>
      <c r="N78" s="53"/>
      <c r="O78" s="33"/>
    </row>
    <row r="79" ht="18" customHeight="1" spans="1:14">
      <c r="A79" s="43" t="s">
        <v>172</v>
      </c>
      <c r="B79" s="43">
        <f>B12*0.96</f>
        <v>4509357.79816514</v>
      </c>
      <c r="C79" s="43"/>
      <c r="D79" s="45"/>
      <c r="E79" s="45"/>
      <c r="F79" s="44"/>
      <c r="G79" s="43">
        <f>G12-G78</f>
        <v>425754.49</v>
      </c>
      <c r="H79" s="22" t="s">
        <v>173</v>
      </c>
      <c r="I79" s="30">
        <f>I12-I78</f>
        <v>2230000</v>
      </c>
      <c r="J79" s="6"/>
      <c r="K79" s="79"/>
      <c r="M79" s="96"/>
      <c r="N79" s="61"/>
    </row>
    <row r="80" ht="18" customHeight="1" spans="1:14">
      <c r="A80" s="43" t="s">
        <v>174</v>
      </c>
      <c r="B80" s="43">
        <f>B79-B78</f>
        <v>123332.178165141</v>
      </c>
      <c r="C80" s="43"/>
      <c r="D80" s="45"/>
      <c r="E80" s="45"/>
      <c r="F80" s="44"/>
      <c r="G80" s="44"/>
      <c r="H80" s="46"/>
      <c r="I80" s="44"/>
      <c r="J80" s="6"/>
      <c r="K80" s="79"/>
      <c r="M80" s="96"/>
      <c r="N80" s="61"/>
    </row>
    <row r="81" ht="18" customHeight="1" spans="1:3">
      <c r="A81" s="2" t="s">
        <v>175</v>
      </c>
      <c r="C81" s="2"/>
    </row>
    <row r="82" ht="18" customHeight="1" spans="1:9">
      <c r="A82" s="22" t="s">
        <v>176</v>
      </c>
      <c r="B82" s="21" t="s">
        <v>177</v>
      </c>
      <c r="C82" s="33"/>
      <c r="D82" s="22" t="s">
        <v>176</v>
      </c>
      <c r="E82" s="20" t="s">
        <v>16</v>
      </c>
      <c r="F82" s="21" t="s">
        <v>177</v>
      </c>
      <c r="G82" s="24" t="s">
        <v>178</v>
      </c>
      <c r="I82" s="24" t="s">
        <v>179</v>
      </c>
    </row>
    <row r="83" ht="18" customHeight="1" spans="1:11">
      <c r="A83" s="33" t="s">
        <v>186</v>
      </c>
      <c r="B83" s="18">
        <f>(B79-B78)*0.25</f>
        <v>30833.0445412851</v>
      </c>
      <c r="C83" s="33"/>
      <c r="D83" s="28" t="s">
        <v>187</v>
      </c>
      <c r="E83" s="22" t="s">
        <v>188</v>
      </c>
      <c r="F83" s="70">
        <f>F12-F78</f>
        <v>20587.449449541</v>
      </c>
      <c r="G83" s="70">
        <v>0</v>
      </c>
      <c r="I83" s="70">
        <v>0</v>
      </c>
      <c r="K83" s="97"/>
    </row>
    <row r="84" ht="18" customHeight="1" spans="1:11">
      <c r="A84" s="33" t="s">
        <v>189</v>
      </c>
      <c r="B84" s="47">
        <f>G12*0.0003</f>
        <v>1536</v>
      </c>
      <c r="C84" s="80" t="s">
        <v>190</v>
      </c>
      <c r="D84" s="48" t="s">
        <v>191</v>
      </c>
      <c r="E84" s="14">
        <v>0.05</v>
      </c>
      <c r="F84" s="12">
        <f>F83*E84</f>
        <v>1029.37247247705</v>
      </c>
      <c r="G84" s="12">
        <f>G83*E84</f>
        <v>0</v>
      </c>
      <c r="I84" s="12">
        <f>I83*E84</f>
        <v>0</v>
      </c>
      <c r="K84" s="98"/>
    </row>
    <row r="85" ht="18" customHeight="1" spans="1:11">
      <c r="A85" s="33" t="s">
        <v>192</v>
      </c>
      <c r="B85" s="47">
        <f>B12*0.0006</f>
        <v>2818.34862385321</v>
      </c>
      <c r="C85" s="80" t="s">
        <v>190</v>
      </c>
      <c r="D85" s="48" t="s">
        <v>193</v>
      </c>
      <c r="E85" s="14">
        <v>0.03</v>
      </c>
      <c r="F85" s="12">
        <f>F83*E85</f>
        <v>617.62348348623</v>
      </c>
      <c r="G85" s="12">
        <f>G83*E85</f>
        <v>0</v>
      </c>
      <c r="I85" s="12">
        <f>I83*E85</f>
        <v>0</v>
      </c>
      <c r="K85" s="98"/>
    </row>
    <row r="86" ht="18" customHeight="1" spans="1:11">
      <c r="A86" s="33"/>
      <c r="B86" s="24"/>
      <c r="C86" s="33"/>
      <c r="D86" s="48" t="s">
        <v>194</v>
      </c>
      <c r="E86" s="14">
        <v>0.02</v>
      </c>
      <c r="F86" s="12">
        <f>F83*E86</f>
        <v>411.74898899082</v>
      </c>
      <c r="G86" s="12">
        <f>G83*E86</f>
        <v>0</v>
      </c>
      <c r="I86" s="12">
        <f>I83*E86</f>
        <v>0</v>
      </c>
      <c r="K86" s="98"/>
    </row>
    <row r="87" ht="18" customHeight="1" spans="1:11">
      <c r="A87" s="28" t="s">
        <v>195</v>
      </c>
      <c r="B87" s="29">
        <f t="shared" ref="B87:G87" si="12">SUM(B83:B86)</f>
        <v>35187.3931651384</v>
      </c>
      <c r="C87" s="33"/>
      <c r="D87" s="34" t="s">
        <v>195</v>
      </c>
      <c r="E87" s="28"/>
      <c r="F87" s="70">
        <f t="shared" si="12"/>
        <v>22646.1943944951</v>
      </c>
      <c r="G87" s="70">
        <f t="shared" si="12"/>
        <v>0</v>
      </c>
      <c r="I87" s="70">
        <f>SUM(I83:I86)</f>
        <v>0</v>
      </c>
      <c r="K87" s="97"/>
    </row>
    <row r="88" ht="18" customHeight="1" spans="3:11">
      <c r="C88" s="2"/>
      <c r="D88" s="12" t="s">
        <v>189</v>
      </c>
      <c r="E88" s="49">
        <v>0.0003</v>
      </c>
      <c r="F88" s="12">
        <f>G12*E88</f>
        <v>1536</v>
      </c>
      <c r="G88" s="12">
        <v>0</v>
      </c>
      <c r="I88" s="12">
        <v>0</v>
      </c>
      <c r="K88" s="74"/>
    </row>
    <row r="89" ht="18" customHeight="1" spans="3:11">
      <c r="C89" s="2"/>
      <c r="D89" s="12" t="s">
        <v>192</v>
      </c>
      <c r="E89" s="49">
        <v>0.0006</v>
      </c>
      <c r="F89" s="12">
        <f>B83</f>
        <v>30833.0445412851</v>
      </c>
      <c r="G89" s="12">
        <v>0</v>
      </c>
      <c r="I89" s="12">
        <v>0</v>
      </c>
      <c r="K89" s="74"/>
    </row>
    <row r="90" ht="18" customHeight="1" spans="3:11">
      <c r="C90" s="2"/>
      <c r="D90" s="20" t="s">
        <v>195</v>
      </c>
      <c r="E90" s="40"/>
      <c r="F90" s="30">
        <f>F89+F88</f>
        <v>32369.0445412851</v>
      </c>
      <c r="G90" s="30">
        <f>SUM(G88:G89)</f>
        <v>0</v>
      </c>
      <c r="I90" s="30">
        <f>SUM(I88:I89)</f>
        <v>0</v>
      </c>
      <c r="K90" s="99"/>
    </row>
    <row r="91" ht="18" customHeight="1" spans="3:11">
      <c r="C91" s="2"/>
      <c r="D91" s="20" t="s">
        <v>23</v>
      </c>
      <c r="E91" s="30"/>
      <c r="F91" s="30">
        <f>F87+F90</f>
        <v>55015.2389357802</v>
      </c>
      <c r="G91" s="30">
        <f>G87+G90</f>
        <v>0</v>
      </c>
      <c r="I91" s="30">
        <f>I87+I90</f>
        <v>0</v>
      </c>
      <c r="K91" s="99"/>
    </row>
    <row r="92" ht="18" customHeight="1" spans="3:11">
      <c r="C92" s="2"/>
      <c r="D92" s="30" t="s">
        <v>186</v>
      </c>
      <c r="E92" s="40">
        <v>0.01</v>
      </c>
      <c r="F92" s="30">
        <f>B12*0.01</f>
        <v>46972.4770642202</v>
      </c>
      <c r="G92" s="30">
        <f>B7*0.01</f>
        <v>13541.752293578</v>
      </c>
      <c r="I92" s="30">
        <f>G8*0.01</f>
        <v>14139.49</v>
      </c>
      <c r="K92" s="99"/>
    </row>
    <row r="93" ht="18" customHeight="1" spans="3:3">
      <c r="C93" s="2"/>
    </row>
    <row r="94" ht="18" customHeight="1" spans="3:3">
      <c r="C94" s="2"/>
    </row>
    <row r="95" ht="18" customHeight="1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</sheetData>
  <protectedRanges>
    <protectedRange sqref="K34:L34" name="区域1"/>
  </protectedRanges>
  <autoFilter ref="A14:O9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opLeftCell="A31" workbookViewId="0">
      <selection activeCell="I8" sqref="I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2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73"/>
      <c r="L1" s="19"/>
    </row>
    <row r="2" ht="18" customHeight="1" spans="1:12">
      <c r="A2" s="10" t="s">
        <v>1</v>
      </c>
      <c r="B2" s="11">
        <v>43647</v>
      </c>
      <c r="C2" s="12" t="s">
        <v>2</v>
      </c>
      <c r="D2" s="63">
        <v>19673369</v>
      </c>
      <c r="E2" s="14" t="s">
        <v>3</v>
      </c>
      <c r="F2" s="64" t="s">
        <v>4</v>
      </c>
      <c r="G2" s="16" t="s">
        <v>5</v>
      </c>
      <c r="H2" s="17" t="s">
        <v>6</v>
      </c>
      <c r="I2" s="50"/>
      <c r="J2" s="51"/>
      <c r="K2" s="73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73"/>
      <c r="L3" s="19"/>
    </row>
    <row r="4" ht="18" customHeight="1" spans="1:12">
      <c r="A4" s="2" t="s">
        <v>9</v>
      </c>
      <c r="H4" s="19"/>
      <c r="I4" s="52"/>
      <c r="J4" s="19"/>
      <c r="K4" s="73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65">
        <v>43805</v>
      </c>
      <c r="B7" s="12">
        <f t="shared" ref="B7:B9" si="0">G7/(1+C7+E7)</f>
        <v>1354175.2293578</v>
      </c>
      <c r="C7" s="66">
        <v>0.02</v>
      </c>
      <c r="D7" s="67">
        <f t="shared" ref="D7:D9" si="1">G7/(1+E7+C7)*C7</f>
        <v>27083.504587156</v>
      </c>
      <c r="E7" s="66">
        <v>0.07</v>
      </c>
      <c r="F7" s="12">
        <f t="shared" ref="F7:F11" si="2">G7/(1+C7+E7)*E7</f>
        <v>94792.2660550459</v>
      </c>
      <c r="G7" s="68">
        <v>1476051</v>
      </c>
      <c r="H7" s="23">
        <v>43812</v>
      </c>
      <c r="I7" s="12">
        <v>1470000</v>
      </c>
      <c r="J7" s="22" t="s">
        <v>21</v>
      </c>
    </row>
    <row r="8" ht="18" customHeight="1" spans="1:10">
      <c r="A8" s="23">
        <v>43963</v>
      </c>
      <c r="B8" s="12">
        <f t="shared" si="0"/>
        <v>1297200.91743119</v>
      </c>
      <c r="C8" s="25">
        <v>0.02</v>
      </c>
      <c r="D8" s="67">
        <f t="shared" si="1"/>
        <v>25944.0183486238</v>
      </c>
      <c r="E8" s="66">
        <v>0.07</v>
      </c>
      <c r="F8" s="12">
        <f t="shared" si="2"/>
        <v>90804.0642201835</v>
      </c>
      <c r="G8" s="68">
        <v>1413949</v>
      </c>
      <c r="H8" s="23">
        <v>43973</v>
      </c>
      <c r="I8" s="12">
        <v>1420000</v>
      </c>
      <c r="J8" s="53" t="s">
        <v>21</v>
      </c>
    </row>
    <row r="9" ht="18" customHeight="1" spans="1:10">
      <c r="A9" s="23"/>
      <c r="B9" s="12">
        <f t="shared" si="0"/>
        <v>0</v>
      </c>
      <c r="C9" s="25">
        <v>0.02</v>
      </c>
      <c r="D9" s="67">
        <f t="shared" si="1"/>
        <v>0</v>
      </c>
      <c r="E9" s="66">
        <v>0.08</v>
      </c>
      <c r="F9" s="12">
        <f t="shared" si="2"/>
        <v>0</v>
      </c>
      <c r="G9" s="68"/>
      <c r="H9" s="23"/>
      <c r="I9" s="12"/>
      <c r="J9" s="53"/>
    </row>
    <row r="10" ht="18" customHeight="1" spans="1:10">
      <c r="A10" s="23"/>
      <c r="B10" s="12">
        <f t="shared" ref="B8:B11" si="3">G10/(1+C10+E10)</f>
        <v>0</v>
      </c>
      <c r="C10" s="25">
        <v>0.02</v>
      </c>
      <c r="D10" s="67">
        <f t="shared" ref="D8:D11" si="4">G10/(1+E10+C10)*C10</f>
        <v>0</v>
      </c>
      <c r="E10" s="66">
        <v>0.08</v>
      </c>
      <c r="F10" s="12">
        <f t="shared" si="2"/>
        <v>0</v>
      </c>
      <c r="G10" s="68"/>
      <c r="H10" s="23"/>
      <c r="I10" s="12"/>
      <c r="J10" s="53"/>
    </row>
    <row r="11" ht="18" customHeight="1" spans="1:10">
      <c r="A11" s="23"/>
      <c r="B11" s="12">
        <f t="shared" si="3"/>
        <v>0</v>
      </c>
      <c r="C11" s="25">
        <v>0.02</v>
      </c>
      <c r="D11" s="67">
        <f t="shared" si="4"/>
        <v>0</v>
      </c>
      <c r="E11" s="25">
        <v>0.08</v>
      </c>
      <c r="F11" s="12">
        <f t="shared" si="2"/>
        <v>0</v>
      </c>
      <c r="G11" s="68"/>
      <c r="H11" s="23"/>
      <c r="I11" s="12"/>
      <c r="J11" s="53"/>
    </row>
    <row r="12" ht="18" customHeight="1" spans="1:10">
      <c r="A12" s="28" t="s">
        <v>23</v>
      </c>
      <c r="B12" s="69">
        <f>SUM(B7:B11)</f>
        <v>2651376.14678899</v>
      </c>
      <c r="C12" s="30"/>
      <c r="D12" s="30">
        <f>SUM(D7:D11)</f>
        <v>53027.5229357798</v>
      </c>
      <c r="E12" s="30"/>
      <c r="F12" s="70">
        <f>SUM(F7:F11)</f>
        <v>185596.330275229</v>
      </c>
      <c r="G12" s="30">
        <f>SUM(G7:G11)</f>
        <v>2890000</v>
      </c>
      <c r="H12" s="33"/>
      <c r="I12" s="30">
        <f>SUM(I7:I11)</f>
        <v>2890000</v>
      </c>
      <c r="J12" s="33"/>
    </row>
    <row r="13" ht="18" customHeight="1" spans="1:12">
      <c r="A13" s="2" t="s">
        <v>24</v>
      </c>
      <c r="J13" s="4"/>
      <c r="K13" s="74"/>
      <c r="L13" s="5"/>
    </row>
    <row r="14" ht="18" customHeight="1" spans="1:15">
      <c r="A14" s="34" t="s">
        <v>25</v>
      </c>
      <c r="B14" s="21" t="s">
        <v>26</v>
      </c>
      <c r="C14" s="20" t="s">
        <v>27</v>
      </c>
      <c r="D14" s="20" t="s">
        <v>28</v>
      </c>
      <c r="E14" s="20" t="s">
        <v>16</v>
      </c>
      <c r="F14" s="21" t="s">
        <v>29</v>
      </c>
      <c r="G14" s="21" t="s">
        <v>14</v>
      </c>
      <c r="H14" s="20" t="s">
        <v>30</v>
      </c>
      <c r="I14" s="21" t="s">
        <v>31</v>
      </c>
      <c r="J14" s="20" t="s">
        <v>20</v>
      </c>
      <c r="K14" s="75" t="s">
        <v>32</v>
      </c>
      <c r="L14" s="22" t="s">
        <v>33</v>
      </c>
      <c r="M14" s="22" t="s">
        <v>34</v>
      </c>
      <c r="N14" s="22" t="s">
        <v>35</v>
      </c>
      <c r="O14" s="22" t="s">
        <v>36</v>
      </c>
    </row>
    <row r="15" s="1" customFormat="1" ht="18" customHeight="1" spans="1:15">
      <c r="A15" s="35"/>
      <c r="B15" s="71">
        <f t="shared" ref="B15:B39" si="5">ROUND(G15/(1+E15),2)</f>
        <v>0</v>
      </c>
      <c r="C15" s="36"/>
      <c r="D15" s="37"/>
      <c r="E15" s="38"/>
      <c r="F15" s="71">
        <f t="shared" ref="F15:F39" si="6">ROUND(G15/(1+E15)*E15,2)</f>
        <v>0</v>
      </c>
      <c r="G15" s="68"/>
      <c r="H15" s="23" t="s">
        <v>37</v>
      </c>
      <c r="I15" s="12">
        <v>-196733.6</v>
      </c>
      <c r="J15" s="53" t="s">
        <v>38</v>
      </c>
      <c r="K15" s="76" t="s">
        <v>39</v>
      </c>
      <c r="L15" s="56" t="s">
        <v>40</v>
      </c>
      <c r="M15" s="57"/>
      <c r="N15" s="57"/>
      <c r="O15" s="56"/>
    </row>
    <row r="16" s="1" customFormat="1" ht="18" customHeight="1" spans="1:15">
      <c r="A16" s="35"/>
      <c r="B16" s="71"/>
      <c r="C16" s="36"/>
      <c r="D16" s="37"/>
      <c r="E16" s="38"/>
      <c r="F16" s="71"/>
      <c r="G16" s="68"/>
      <c r="H16" s="23" t="s">
        <v>37</v>
      </c>
      <c r="I16" s="12">
        <v>196734</v>
      </c>
      <c r="J16" s="53" t="s">
        <v>21</v>
      </c>
      <c r="K16" s="76" t="s">
        <v>41</v>
      </c>
      <c r="L16" s="56" t="s">
        <v>42</v>
      </c>
      <c r="M16" s="57"/>
      <c r="N16" s="57"/>
      <c r="O16" s="56"/>
    </row>
    <row r="17" s="1" customFormat="1" ht="18" customHeight="1" spans="1:15">
      <c r="A17" s="35"/>
      <c r="B17" s="71"/>
      <c r="C17" s="36"/>
      <c r="D17" s="37"/>
      <c r="E17" s="38"/>
      <c r="F17" s="71"/>
      <c r="G17" s="68"/>
      <c r="H17" s="23" t="s">
        <v>43</v>
      </c>
      <c r="I17" s="12">
        <v>-157986</v>
      </c>
      <c r="J17" s="53" t="s">
        <v>38</v>
      </c>
      <c r="K17" s="76" t="s">
        <v>39</v>
      </c>
      <c r="L17" s="56"/>
      <c r="M17" s="57"/>
      <c r="N17" s="57"/>
      <c r="O17" s="56"/>
    </row>
    <row r="18" s="1" customFormat="1" ht="18" customHeight="1" spans="1:15">
      <c r="A18" s="35"/>
      <c r="B18" s="71">
        <f t="shared" si="5"/>
        <v>0</v>
      </c>
      <c r="C18" s="36"/>
      <c r="D18" s="37"/>
      <c r="E18" s="38"/>
      <c r="F18" s="71">
        <f t="shared" si="6"/>
        <v>0</v>
      </c>
      <c r="G18" s="68"/>
      <c r="H18" s="23" t="s">
        <v>43</v>
      </c>
      <c r="I18" s="12">
        <v>157986</v>
      </c>
      <c r="J18" s="53" t="s">
        <v>21</v>
      </c>
      <c r="K18" s="76" t="s">
        <v>44</v>
      </c>
      <c r="L18" s="56"/>
      <c r="M18" s="57"/>
      <c r="N18" s="57"/>
      <c r="O18" s="56"/>
    </row>
    <row r="19" s="1" customFormat="1" ht="18" customHeight="1" spans="1:15">
      <c r="A19" s="35"/>
      <c r="B19" s="71">
        <f t="shared" si="5"/>
        <v>0</v>
      </c>
      <c r="C19" s="36"/>
      <c r="D19" s="37"/>
      <c r="E19" s="38"/>
      <c r="F19" s="71">
        <f t="shared" si="6"/>
        <v>0</v>
      </c>
      <c r="G19" s="68"/>
      <c r="H19" s="23" t="s">
        <v>43</v>
      </c>
      <c r="I19" s="12">
        <v>-200000</v>
      </c>
      <c r="J19" s="53" t="s">
        <v>38</v>
      </c>
      <c r="K19" s="76" t="s">
        <v>39</v>
      </c>
      <c r="L19" s="56"/>
      <c r="M19" s="57"/>
      <c r="N19" s="57"/>
      <c r="O19" s="56"/>
    </row>
    <row r="20" s="1" customFormat="1" ht="18" customHeight="1" spans="1:15">
      <c r="A20" s="35"/>
      <c r="B20" s="71">
        <f t="shared" si="5"/>
        <v>0</v>
      </c>
      <c r="C20" s="36"/>
      <c r="D20" s="37"/>
      <c r="E20" s="38"/>
      <c r="F20" s="71">
        <f t="shared" si="6"/>
        <v>0</v>
      </c>
      <c r="G20" s="68"/>
      <c r="H20" s="23" t="s">
        <v>43</v>
      </c>
      <c r="I20" s="12">
        <v>200000</v>
      </c>
      <c r="J20" s="53" t="s">
        <v>21</v>
      </c>
      <c r="K20" s="76" t="s">
        <v>45</v>
      </c>
      <c r="L20" s="56"/>
      <c r="M20" s="57"/>
      <c r="N20" s="57"/>
      <c r="O20" s="56"/>
    </row>
    <row r="21" s="1" customFormat="1" ht="18" customHeight="1" spans="1:15">
      <c r="A21" s="35"/>
      <c r="B21" s="71">
        <f t="shared" si="5"/>
        <v>0</v>
      </c>
      <c r="C21" s="36"/>
      <c r="D21" s="37"/>
      <c r="E21" s="38"/>
      <c r="F21" s="71">
        <f t="shared" si="6"/>
        <v>0</v>
      </c>
      <c r="G21" s="68"/>
      <c r="H21" s="23" t="s">
        <v>46</v>
      </c>
      <c r="I21" s="12">
        <v>-200000</v>
      </c>
      <c r="J21" s="53" t="s">
        <v>38</v>
      </c>
      <c r="K21" s="76" t="s">
        <v>39</v>
      </c>
      <c r="L21" s="56"/>
      <c r="M21" s="57"/>
      <c r="N21" s="57"/>
      <c r="O21" s="56"/>
    </row>
    <row r="22" s="1" customFormat="1" ht="18" customHeight="1" spans="1:15">
      <c r="A22" s="35"/>
      <c r="B22" s="71">
        <f t="shared" si="5"/>
        <v>0</v>
      </c>
      <c r="C22" s="36"/>
      <c r="D22" s="37"/>
      <c r="E22" s="38"/>
      <c r="F22" s="71">
        <f t="shared" si="6"/>
        <v>0</v>
      </c>
      <c r="G22" s="68"/>
      <c r="H22" s="23" t="s">
        <v>46</v>
      </c>
      <c r="I22" s="12">
        <v>200000</v>
      </c>
      <c r="J22" s="53" t="s">
        <v>21</v>
      </c>
      <c r="K22" s="76" t="s">
        <v>45</v>
      </c>
      <c r="L22" s="56"/>
      <c r="M22" s="57"/>
      <c r="N22" s="57"/>
      <c r="O22" s="56"/>
    </row>
    <row r="23" s="1" customFormat="1" ht="18" customHeight="1" spans="1:15">
      <c r="A23" s="35">
        <v>43739</v>
      </c>
      <c r="B23" s="71">
        <f t="shared" si="5"/>
        <v>196527.43</v>
      </c>
      <c r="C23" s="36"/>
      <c r="D23" s="37" t="s">
        <v>47</v>
      </c>
      <c r="E23" s="39">
        <v>0.13</v>
      </c>
      <c r="F23" s="71">
        <f t="shared" si="6"/>
        <v>25548.57</v>
      </c>
      <c r="G23" s="68">
        <v>222076</v>
      </c>
      <c r="H23" s="23"/>
      <c r="I23" s="12"/>
      <c r="J23" s="53"/>
      <c r="K23" s="76" t="s">
        <v>48</v>
      </c>
      <c r="L23" s="56" t="s">
        <v>49</v>
      </c>
      <c r="M23" s="57" t="s">
        <v>50</v>
      </c>
      <c r="N23" s="57" t="s">
        <v>50</v>
      </c>
      <c r="O23" s="56"/>
    </row>
    <row r="24" s="1" customFormat="1" ht="18" customHeight="1" spans="1:15">
      <c r="A24" s="35"/>
      <c r="B24" s="71">
        <f t="shared" si="5"/>
        <v>0</v>
      </c>
      <c r="C24" s="36"/>
      <c r="D24" s="37"/>
      <c r="E24" s="38"/>
      <c r="F24" s="71">
        <f t="shared" si="6"/>
        <v>0</v>
      </c>
      <c r="G24" s="68"/>
      <c r="H24" s="23" t="s">
        <v>46</v>
      </c>
      <c r="I24" s="12">
        <v>-200000</v>
      </c>
      <c r="J24" s="53" t="s">
        <v>38</v>
      </c>
      <c r="K24" s="76" t="s">
        <v>39</v>
      </c>
      <c r="L24" s="55" t="s">
        <v>51</v>
      </c>
      <c r="M24" s="57"/>
      <c r="N24" s="57"/>
      <c r="O24" s="56"/>
    </row>
    <row r="25" s="1" customFormat="1" ht="18" customHeight="1" spans="1:15">
      <c r="A25" s="35"/>
      <c r="B25" s="71">
        <f t="shared" si="5"/>
        <v>0</v>
      </c>
      <c r="C25" s="36"/>
      <c r="D25" s="37"/>
      <c r="E25" s="38"/>
      <c r="F25" s="71">
        <f t="shared" si="6"/>
        <v>0</v>
      </c>
      <c r="G25" s="68"/>
      <c r="H25" s="23" t="s">
        <v>46</v>
      </c>
      <c r="I25" s="12">
        <v>200000</v>
      </c>
      <c r="J25" s="53" t="s">
        <v>21</v>
      </c>
      <c r="K25" s="76" t="s">
        <v>45</v>
      </c>
      <c r="L25" s="56"/>
      <c r="M25" s="57"/>
      <c r="N25" s="57"/>
      <c r="O25" s="56"/>
    </row>
    <row r="26" s="1" customFormat="1" ht="18" customHeight="1" spans="1:15">
      <c r="A26" s="35"/>
      <c r="B26" s="71">
        <f t="shared" si="5"/>
        <v>0</v>
      </c>
      <c r="C26" s="36"/>
      <c r="D26" s="37"/>
      <c r="E26" s="38"/>
      <c r="F26" s="71">
        <f t="shared" si="6"/>
        <v>0</v>
      </c>
      <c r="G26" s="68"/>
      <c r="H26" s="23" t="s">
        <v>46</v>
      </c>
      <c r="I26" s="12">
        <v>-115600</v>
      </c>
      <c r="J26" s="53" t="s">
        <v>38</v>
      </c>
      <c r="K26" s="76" t="s">
        <v>39</v>
      </c>
      <c r="L26" s="55" t="s">
        <v>51</v>
      </c>
      <c r="M26" s="57"/>
      <c r="N26" s="57"/>
      <c r="O26" s="56"/>
    </row>
    <row r="27" s="1" customFormat="1" ht="18" customHeight="1" spans="1:15">
      <c r="A27" s="35">
        <v>43739</v>
      </c>
      <c r="B27" s="71">
        <f t="shared" si="5"/>
        <v>102300.88</v>
      </c>
      <c r="C27" s="36"/>
      <c r="D27" s="37" t="s">
        <v>47</v>
      </c>
      <c r="E27" s="39">
        <v>0.13</v>
      </c>
      <c r="F27" s="71">
        <f t="shared" si="6"/>
        <v>13299.12</v>
      </c>
      <c r="G27" s="68">
        <v>115600</v>
      </c>
      <c r="H27" s="23" t="s">
        <v>46</v>
      </c>
      <c r="I27" s="12">
        <v>115600</v>
      </c>
      <c r="J27" s="53" t="s">
        <v>21</v>
      </c>
      <c r="K27" s="76" t="s">
        <v>52</v>
      </c>
      <c r="L27" s="56" t="s">
        <v>53</v>
      </c>
      <c r="M27" s="57" t="s">
        <v>50</v>
      </c>
      <c r="N27" s="57" t="s">
        <v>50</v>
      </c>
      <c r="O27" s="56"/>
    </row>
    <row r="28" s="1" customFormat="1" ht="18" customHeight="1" spans="1:15">
      <c r="A28" s="35"/>
      <c r="B28" s="71">
        <f t="shared" si="5"/>
        <v>0</v>
      </c>
      <c r="C28" s="36"/>
      <c r="D28" s="37"/>
      <c r="E28" s="38"/>
      <c r="F28" s="71">
        <f t="shared" si="6"/>
        <v>0</v>
      </c>
      <c r="G28" s="68"/>
      <c r="H28" s="23">
        <v>43775</v>
      </c>
      <c r="I28" s="12">
        <v>-200000</v>
      </c>
      <c r="J28" s="53" t="s">
        <v>38</v>
      </c>
      <c r="K28" s="76" t="s">
        <v>39</v>
      </c>
      <c r="L28" s="55" t="s">
        <v>51</v>
      </c>
      <c r="M28" s="57"/>
      <c r="N28" s="57"/>
      <c r="O28" s="56"/>
    </row>
    <row r="29" s="1" customFormat="1" ht="18" customHeight="1" spans="1:15">
      <c r="A29" s="35"/>
      <c r="B29" s="71">
        <f t="shared" si="5"/>
        <v>0</v>
      </c>
      <c r="C29" s="36"/>
      <c r="D29" s="37"/>
      <c r="E29" s="38"/>
      <c r="F29" s="71">
        <f t="shared" si="6"/>
        <v>0</v>
      </c>
      <c r="G29" s="68"/>
      <c r="H29" s="23">
        <v>43775</v>
      </c>
      <c r="I29" s="12">
        <v>200000</v>
      </c>
      <c r="J29" s="53" t="s">
        <v>21</v>
      </c>
      <c r="K29" s="76" t="s">
        <v>45</v>
      </c>
      <c r="L29" s="56"/>
      <c r="M29" s="57"/>
      <c r="N29" s="57"/>
      <c r="O29" s="56"/>
    </row>
    <row r="30" s="1" customFormat="1" ht="18" customHeight="1" spans="1:15">
      <c r="A30" s="35"/>
      <c r="B30" s="71">
        <f t="shared" si="5"/>
        <v>0</v>
      </c>
      <c r="C30" s="36"/>
      <c r="D30" s="37"/>
      <c r="E30" s="38"/>
      <c r="F30" s="71">
        <f t="shared" si="6"/>
        <v>0</v>
      </c>
      <c r="G30" s="68"/>
      <c r="H30" s="23">
        <v>43789</v>
      </c>
      <c r="I30" s="12">
        <v>-200000</v>
      </c>
      <c r="J30" s="53" t="s">
        <v>38</v>
      </c>
      <c r="K30" s="76" t="s">
        <v>39</v>
      </c>
      <c r="L30" s="55" t="s">
        <v>51</v>
      </c>
      <c r="M30" s="57"/>
      <c r="N30" s="57"/>
      <c r="O30" s="56"/>
    </row>
    <row r="31" s="1" customFormat="1" ht="18" customHeight="1" spans="1:15">
      <c r="A31" s="35">
        <v>43770</v>
      </c>
      <c r="B31" s="71">
        <f t="shared" si="5"/>
        <v>884955.75</v>
      </c>
      <c r="C31" s="36"/>
      <c r="D31" s="37" t="s">
        <v>47</v>
      </c>
      <c r="E31" s="39">
        <v>0.13</v>
      </c>
      <c r="F31" s="71">
        <f t="shared" si="6"/>
        <v>115044.25</v>
      </c>
      <c r="G31" s="68">
        <v>1000000</v>
      </c>
      <c r="H31" s="23">
        <v>43789</v>
      </c>
      <c r="I31" s="12">
        <v>200000</v>
      </c>
      <c r="J31" s="53" t="s">
        <v>21</v>
      </c>
      <c r="K31" s="76" t="s">
        <v>45</v>
      </c>
      <c r="L31" s="56" t="s">
        <v>54</v>
      </c>
      <c r="M31" s="57" t="s">
        <v>50</v>
      </c>
      <c r="N31" s="57" t="s">
        <v>50</v>
      </c>
      <c r="O31" s="56"/>
    </row>
    <row r="32" s="1" customFormat="1" ht="18" customHeight="1" spans="1:15">
      <c r="A32" s="35"/>
      <c r="B32" s="71">
        <f t="shared" si="5"/>
        <v>0</v>
      </c>
      <c r="C32" s="36"/>
      <c r="D32" s="37"/>
      <c r="E32" s="38"/>
      <c r="F32" s="71">
        <f t="shared" si="6"/>
        <v>0</v>
      </c>
      <c r="G32" s="68"/>
      <c r="H32" s="23">
        <v>43791</v>
      </c>
      <c r="I32" s="12">
        <v>16000</v>
      </c>
      <c r="J32" s="53" t="s">
        <v>38</v>
      </c>
      <c r="K32" s="76" t="s">
        <v>39</v>
      </c>
      <c r="L32" s="56"/>
      <c r="M32" s="57"/>
      <c r="N32" s="57"/>
      <c r="O32" s="56"/>
    </row>
    <row r="33" s="1" customFormat="1" ht="18" customHeight="1" spans="1:15">
      <c r="A33" s="35"/>
      <c r="B33" s="71">
        <f t="shared" si="5"/>
        <v>0</v>
      </c>
      <c r="C33" s="36"/>
      <c r="D33" s="37"/>
      <c r="E33" s="38"/>
      <c r="F33" s="71">
        <f t="shared" si="6"/>
        <v>0</v>
      </c>
      <c r="G33" s="68"/>
      <c r="H33" s="23">
        <v>43791</v>
      </c>
      <c r="I33" s="12">
        <v>-16000</v>
      </c>
      <c r="J33" s="53" t="s">
        <v>21</v>
      </c>
      <c r="K33" s="76" t="s">
        <v>55</v>
      </c>
      <c r="L33" s="56" t="s">
        <v>56</v>
      </c>
      <c r="M33" s="57"/>
      <c r="N33" s="57"/>
      <c r="O33" s="56"/>
    </row>
    <row r="34" s="1" customFormat="1" ht="18" customHeight="1" spans="1:15">
      <c r="A34" s="35"/>
      <c r="B34" s="71">
        <f t="shared" si="5"/>
        <v>0</v>
      </c>
      <c r="C34" s="36"/>
      <c r="D34" s="37"/>
      <c r="E34" s="38"/>
      <c r="F34" s="71">
        <f t="shared" si="6"/>
        <v>0</v>
      </c>
      <c r="G34" s="68"/>
      <c r="H34" s="23">
        <v>43798</v>
      </c>
      <c r="I34" s="12">
        <v>7000</v>
      </c>
      <c r="J34" s="53" t="s">
        <v>21</v>
      </c>
      <c r="K34" s="58" t="s">
        <v>57</v>
      </c>
      <c r="L34" s="58" t="s">
        <v>58</v>
      </c>
      <c r="M34" s="57"/>
      <c r="N34" s="57"/>
      <c r="O34" s="56"/>
    </row>
    <row r="35" s="1" customFormat="1" ht="18" customHeight="1" spans="1:15">
      <c r="A35" s="35"/>
      <c r="B35" s="71">
        <f t="shared" si="5"/>
        <v>0</v>
      </c>
      <c r="C35" s="36"/>
      <c r="D35" s="37"/>
      <c r="E35" s="38"/>
      <c r="F35" s="71">
        <f t="shared" si="6"/>
        <v>0</v>
      </c>
      <c r="G35" s="68"/>
      <c r="H35" s="23">
        <v>43798</v>
      </c>
      <c r="I35" s="12">
        <v>-7000</v>
      </c>
      <c r="J35" s="53" t="s">
        <v>38</v>
      </c>
      <c r="K35" s="76" t="s">
        <v>39</v>
      </c>
      <c r="L35" s="56"/>
      <c r="M35" s="57"/>
      <c r="N35" s="57"/>
      <c r="O35" s="56"/>
    </row>
    <row r="36" s="1" customFormat="1" ht="18" customHeight="1" spans="1:16">
      <c r="A36" s="35">
        <v>43922</v>
      </c>
      <c r="B36" s="71">
        <f t="shared" si="5"/>
        <v>325805.31</v>
      </c>
      <c r="C36" s="36"/>
      <c r="D36" s="37"/>
      <c r="E36" s="39">
        <v>0.13</v>
      </c>
      <c r="F36" s="71">
        <f t="shared" si="6"/>
        <v>42354.69</v>
      </c>
      <c r="G36" s="68">
        <v>368160</v>
      </c>
      <c r="H36" s="23"/>
      <c r="I36" s="12"/>
      <c r="J36" s="53"/>
      <c r="K36" s="76" t="s">
        <v>45</v>
      </c>
      <c r="L36" s="56" t="s">
        <v>59</v>
      </c>
      <c r="M36" s="57" t="s">
        <v>50</v>
      </c>
      <c r="N36" s="57" t="s">
        <v>50</v>
      </c>
      <c r="O36" s="56"/>
      <c r="P36" s="1" t="s">
        <v>60</v>
      </c>
    </row>
    <row r="37" s="1" customFormat="1" ht="18" customHeight="1" spans="1:15">
      <c r="A37" s="35">
        <v>43952</v>
      </c>
      <c r="B37" s="71">
        <f t="shared" ref="B37:B45" si="7">ROUND(G37/(1+E37),2)</f>
        <v>1800</v>
      </c>
      <c r="C37" s="36"/>
      <c r="D37" s="37" t="s">
        <v>61</v>
      </c>
      <c r="E37" s="39"/>
      <c r="F37" s="71">
        <f t="shared" ref="F37:F45" si="8">ROUND(G37/(1+E37)*E37,2)</f>
        <v>0</v>
      </c>
      <c r="G37" s="68">
        <v>1800</v>
      </c>
      <c r="H37" s="23"/>
      <c r="I37" s="12"/>
      <c r="J37" s="53"/>
      <c r="K37" s="76" t="s">
        <v>62</v>
      </c>
      <c r="L37" s="56" t="s">
        <v>63</v>
      </c>
      <c r="M37" s="57"/>
      <c r="N37" s="57"/>
      <c r="O37" s="56"/>
    </row>
    <row r="38" s="1" customFormat="1" ht="25" customHeight="1" spans="1:15">
      <c r="A38" s="35">
        <v>43952</v>
      </c>
      <c r="B38" s="71">
        <f t="shared" si="7"/>
        <v>11550</v>
      </c>
      <c r="C38" s="36"/>
      <c r="D38" s="37" t="s">
        <v>61</v>
      </c>
      <c r="E38" s="39"/>
      <c r="F38" s="71">
        <f t="shared" si="8"/>
        <v>0</v>
      </c>
      <c r="G38" s="68">
        <v>11550</v>
      </c>
      <c r="H38" s="23"/>
      <c r="I38" s="12"/>
      <c r="J38" s="53"/>
      <c r="K38" s="76" t="s">
        <v>64</v>
      </c>
      <c r="L38" s="56" t="s">
        <v>65</v>
      </c>
      <c r="M38" s="57"/>
      <c r="N38" s="57"/>
      <c r="O38" s="56"/>
    </row>
    <row r="39" s="1" customFormat="1" ht="18" customHeight="1" spans="1:15">
      <c r="A39" s="35">
        <v>43952</v>
      </c>
      <c r="B39" s="71">
        <f t="shared" si="7"/>
        <v>1200</v>
      </c>
      <c r="C39" s="36"/>
      <c r="D39" s="37" t="s">
        <v>61</v>
      </c>
      <c r="E39" s="39"/>
      <c r="F39" s="71">
        <f t="shared" si="8"/>
        <v>0</v>
      </c>
      <c r="G39" s="68">
        <v>1200</v>
      </c>
      <c r="H39" s="23"/>
      <c r="I39" s="12"/>
      <c r="J39" s="53"/>
      <c r="K39" s="76" t="s">
        <v>66</v>
      </c>
      <c r="L39" s="56" t="s">
        <v>67</v>
      </c>
      <c r="M39" s="57"/>
      <c r="N39" s="57"/>
      <c r="O39" s="56"/>
    </row>
    <row r="40" s="1" customFormat="1" ht="18" customHeight="1" spans="1:15">
      <c r="A40" s="35">
        <v>43952</v>
      </c>
      <c r="B40" s="71">
        <f t="shared" si="7"/>
        <v>500</v>
      </c>
      <c r="C40" s="36"/>
      <c r="D40" s="37" t="s">
        <v>61</v>
      </c>
      <c r="E40" s="39"/>
      <c r="F40" s="71">
        <f t="shared" si="8"/>
        <v>0</v>
      </c>
      <c r="G40" s="68">
        <v>500</v>
      </c>
      <c r="H40" s="23"/>
      <c r="I40" s="12"/>
      <c r="J40" s="53"/>
      <c r="K40" s="76" t="s">
        <v>68</v>
      </c>
      <c r="L40" s="56" t="s">
        <v>69</v>
      </c>
      <c r="M40" s="57"/>
      <c r="N40" s="57"/>
      <c r="O40" s="56"/>
    </row>
    <row r="41" s="1" customFormat="1" ht="18" customHeight="1" spans="1:15">
      <c r="A41" s="35">
        <v>43952</v>
      </c>
      <c r="B41" s="71">
        <f t="shared" si="7"/>
        <v>2470</v>
      </c>
      <c r="C41" s="36"/>
      <c r="D41" s="37" t="s">
        <v>61</v>
      </c>
      <c r="E41" s="39"/>
      <c r="F41" s="71">
        <f t="shared" si="8"/>
        <v>0</v>
      </c>
      <c r="G41" s="68">
        <v>2470</v>
      </c>
      <c r="H41" s="23"/>
      <c r="I41" s="12"/>
      <c r="J41" s="53"/>
      <c r="K41" s="76" t="s">
        <v>70</v>
      </c>
      <c r="L41" s="56" t="s">
        <v>71</v>
      </c>
      <c r="M41" s="57"/>
      <c r="N41" s="57"/>
      <c r="O41" s="56"/>
    </row>
    <row r="42" s="1" customFormat="1" ht="18" customHeight="1" spans="1:15">
      <c r="A42" s="35">
        <v>43952</v>
      </c>
      <c r="B42" s="71">
        <f t="shared" si="7"/>
        <v>2666</v>
      </c>
      <c r="C42" s="36"/>
      <c r="D42" s="37" t="s">
        <v>61</v>
      </c>
      <c r="E42" s="39"/>
      <c r="F42" s="71">
        <f t="shared" si="8"/>
        <v>0</v>
      </c>
      <c r="G42" s="68">
        <v>2666</v>
      </c>
      <c r="H42" s="23"/>
      <c r="I42" s="12"/>
      <c r="J42" s="53"/>
      <c r="K42" s="76" t="s">
        <v>72</v>
      </c>
      <c r="L42" s="56" t="s">
        <v>73</v>
      </c>
      <c r="M42" s="57"/>
      <c r="N42" s="57"/>
      <c r="O42" s="56"/>
    </row>
    <row r="43" s="1" customFormat="1" ht="18" customHeight="1" spans="1:15">
      <c r="A43" s="35">
        <v>43952</v>
      </c>
      <c r="B43" s="71">
        <f t="shared" si="7"/>
        <v>2000</v>
      </c>
      <c r="C43" s="36"/>
      <c r="D43" s="37" t="s">
        <v>61</v>
      </c>
      <c r="E43" s="38"/>
      <c r="F43" s="71">
        <f t="shared" si="8"/>
        <v>0</v>
      </c>
      <c r="G43" s="68">
        <v>2000</v>
      </c>
      <c r="H43" s="23"/>
      <c r="I43" s="12"/>
      <c r="J43" s="53"/>
      <c r="K43" s="76" t="s">
        <v>66</v>
      </c>
      <c r="L43" s="56" t="s">
        <v>74</v>
      </c>
      <c r="M43" s="57"/>
      <c r="N43" s="57"/>
      <c r="O43" s="56"/>
    </row>
    <row r="44" s="1" customFormat="1" ht="18" customHeight="1" spans="1:15">
      <c r="A44" s="35">
        <v>43952</v>
      </c>
      <c r="B44" s="71">
        <f t="shared" si="7"/>
        <v>1100917.43</v>
      </c>
      <c r="C44" s="36"/>
      <c r="D44" s="37" t="s">
        <v>47</v>
      </c>
      <c r="E44" s="39">
        <v>0.09</v>
      </c>
      <c r="F44" s="71">
        <f t="shared" si="8"/>
        <v>99082.57</v>
      </c>
      <c r="G44" s="68">
        <v>1200000</v>
      </c>
      <c r="H44" s="23"/>
      <c r="I44" s="12"/>
      <c r="J44" s="53"/>
      <c r="K44" s="76" t="s">
        <v>75</v>
      </c>
      <c r="L44" s="56" t="s">
        <v>76</v>
      </c>
      <c r="M44" s="57"/>
      <c r="N44" s="57"/>
      <c r="O44" s="56"/>
    </row>
    <row r="45" s="1" customFormat="1" ht="18" customHeight="1" spans="1:15">
      <c r="A45" s="35"/>
      <c r="B45" s="71"/>
      <c r="C45" s="36"/>
      <c r="D45" s="37"/>
      <c r="E45" s="39"/>
      <c r="F45" s="71"/>
      <c r="G45" s="68"/>
      <c r="H45" s="23">
        <v>43804</v>
      </c>
      <c r="I45" s="12">
        <v>-200000</v>
      </c>
      <c r="J45" s="53" t="s">
        <v>38</v>
      </c>
      <c r="K45" s="76" t="s">
        <v>39</v>
      </c>
      <c r="L45" s="56"/>
      <c r="M45" s="57"/>
      <c r="N45" s="57"/>
      <c r="O45" s="56"/>
    </row>
    <row r="46" s="1" customFormat="1" ht="18" customHeight="1" spans="1:15">
      <c r="A46" s="35"/>
      <c r="B46" s="71"/>
      <c r="C46" s="36"/>
      <c r="D46" s="37"/>
      <c r="E46" s="39"/>
      <c r="F46" s="71"/>
      <c r="G46" s="68"/>
      <c r="H46" s="23">
        <v>43804</v>
      </c>
      <c r="I46" s="12">
        <v>200000</v>
      </c>
      <c r="J46" s="53" t="s">
        <v>21</v>
      </c>
      <c r="K46" s="76" t="s">
        <v>45</v>
      </c>
      <c r="L46" s="56"/>
      <c r="M46" s="57"/>
      <c r="N46" s="57"/>
      <c r="O46" s="56"/>
    </row>
    <row r="47" s="1" customFormat="1" ht="18" customHeight="1" spans="1:15">
      <c r="A47" s="35"/>
      <c r="B47" s="71"/>
      <c r="C47" s="36"/>
      <c r="D47" s="37"/>
      <c r="E47" s="38"/>
      <c r="F47" s="71"/>
      <c r="G47" s="68"/>
      <c r="H47" s="23">
        <v>43819</v>
      </c>
      <c r="I47" s="12">
        <v>1377995</v>
      </c>
      <c r="J47" s="53"/>
      <c r="K47" s="76" t="s">
        <v>78</v>
      </c>
      <c r="L47" s="56"/>
      <c r="M47" s="57"/>
      <c r="N47" s="57"/>
      <c r="O47" s="56"/>
    </row>
    <row r="48" s="1" customFormat="1" ht="18" customHeight="1" spans="1:15">
      <c r="A48" s="35"/>
      <c r="B48" s="71"/>
      <c r="C48" s="36"/>
      <c r="D48" s="37"/>
      <c r="E48" s="38"/>
      <c r="F48" s="71"/>
      <c r="G48" s="68"/>
      <c r="H48" s="23">
        <v>43965</v>
      </c>
      <c r="I48" s="12">
        <v>-400000</v>
      </c>
      <c r="J48" s="53" t="s">
        <v>38</v>
      </c>
      <c r="K48" s="77" t="s">
        <v>79</v>
      </c>
      <c r="L48" s="56"/>
      <c r="M48" s="57"/>
      <c r="N48" s="57"/>
      <c r="O48" s="56"/>
    </row>
    <row r="49" s="1" customFormat="1" ht="18" customHeight="1" spans="1:15">
      <c r="A49" s="35"/>
      <c r="B49" s="71"/>
      <c r="C49" s="36"/>
      <c r="D49" s="37"/>
      <c r="E49" s="38"/>
      <c r="F49" s="71"/>
      <c r="G49" s="68"/>
      <c r="H49" s="23">
        <v>43966</v>
      </c>
      <c r="I49" s="12">
        <v>400000</v>
      </c>
      <c r="J49" s="53" t="s">
        <v>21</v>
      </c>
      <c r="K49" s="77" t="s">
        <v>75</v>
      </c>
      <c r="L49" s="56"/>
      <c r="M49" s="57"/>
      <c r="N49" s="57"/>
      <c r="O49" s="56"/>
    </row>
    <row r="50" s="1" customFormat="1" ht="18" customHeight="1" spans="1:15">
      <c r="A50" s="35"/>
      <c r="B50" s="71"/>
      <c r="C50" s="36"/>
      <c r="D50" s="37"/>
      <c r="E50" s="38"/>
      <c r="F50" s="71"/>
      <c r="G50" s="68"/>
      <c r="H50" s="23"/>
      <c r="I50" s="12"/>
      <c r="J50" s="53"/>
      <c r="K50" s="77"/>
      <c r="L50" s="56"/>
      <c r="M50" s="57"/>
      <c r="N50" s="57"/>
      <c r="O50" s="56"/>
    </row>
    <row r="51" s="1" customFormat="1" ht="18" customHeight="1" spans="1:15">
      <c r="A51" s="35"/>
      <c r="B51" s="71"/>
      <c r="C51" s="36"/>
      <c r="D51" s="37"/>
      <c r="E51" s="38"/>
      <c r="F51" s="71"/>
      <c r="G51" s="68"/>
      <c r="H51" s="23"/>
      <c r="I51" s="12"/>
      <c r="J51" s="53"/>
      <c r="K51" s="77"/>
      <c r="L51" s="56"/>
      <c r="M51" s="57"/>
      <c r="N51" s="57"/>
      <c r="O51" s="56"/>
    </row>
    <row r="52" s="1" customFormat="1" ht="18" customHeight="1" spans="1:15">
      <c r="A52" s="35"/>
      <c r="B52" s="71"/>
      <c r="C52" s="36"/>
      <c r="D52" s="37"/>
      <c r="E52" s="38"/>
      <c r="F52" s="71"/>
      <c r="G52" s="68"/>
      <c r="H52" s="23"/>
      <c r="I52" s="12"/>
      <c r="J52" s="53"/>
      <c r="K52" s="77"/>
      <c r="L52" s="56"/>
      <c r="M52" s="57"/>
      <c r="N52" s="57"/>
      <c r="O52" s="56"/>
    </row>
    <row r="53" s="1" customFormat="1" ht="18" customHeight="1" spans="1:15">
      <c r="A53" s="35"/>
      <c r="B53" s="71"/>
      <c r="C53" s="36"/>
      <c r="D53" s="37"/>
      <c r="E53" s="38"/>
      <c r="F53" s="71"/>
      <c r="G53" s="68"/>
      <c r="H53" s="23"/>
      <c r="I53" s="12"/>
      <c r="J53" s="53"/>
      <c r="K53" s="77"/>
      <c r="L53" s="56"/>
      <c r="M53" s="57"/>
      <c r="N53" s="57"/>
      <c r="O53" s="56"/>
    </row>
    <row r="54" s="1" customFormat="1" ht="18" customHeight="1" spans="1:15">
      <c r="A54" s="35"/>
      <c r="B54" s="71"/>
      <c r="C54" s="36"/>
      <c r="D54" s="37"/>
      <c r="E54" s="38"/>
      <c r="F54" s="71"/>
      <c r="G54" s="68"/>
      <c r="H54" s="23"/>
      <c r="I54" s="12"/>
      <c r="J54" s="53"/>
      <c r="K54" s="77"/>
      <c r="L54" s="56"/>
      <c r="M54" s="57"/>
      <c r="N54" s="57"/>
      <c r="O54" s="56"/>
    </row>
    <row r="55" s="1" customFormat="1" ht="18" customHeight="1" spans="1:15">
      <c r="A55" s="35"/>
      <c r="B55" s="71"/>
      <c r="C55" s="36"/>
      <c r="D55" s="37"/>
      <c r="E55" s="38"/>
      <c r="F55" s="71"/>
      <c r="G55" s="68"/>
      <c r="H55" s="23"/>
      <c r="I55" s="12"/>
      <c r="J55" s="53"/>
      <c r="K55" s="76"/>
      <c r="L55" s="56"/>
      <c r="M55" s="57"/>
      <c r="N55" s="57"/>
      <c r="O55" s="56"/>
    </row>
    <row r="56" s="1" customFormat="1" ht="18" customHeight="1" spans="1:15">
      <c r="A56" s="35"/>
      <c r="B56" s="71"/>
      <c r="C56" s="36"/>
      <c r="D56" s="37"/>
      <c r="E56" s="38"/>
      <c r="F56" s="71"/>
      <c r="G56" s="68"/>
      <c r="H56" s="23" t="s">
        <v>168</v>
      </c>
      <c r="I56" s="12">
        <v>200</v>
      </c>
      <c r="J56" s="53" t="s">
        <v>147</v>
      </c>
      <c r="K56" s="76" t="s">
        <v>148</v>
      </c>
      <c r="L56" s="56"/>
      <c r="M56" s="57"/>
      <c r="N56" s="57"/>
      <c r="O56" s="56"/>
    </row>
    <row r="57" s="1" customFormat="1" ht="18" customHeight="1" spans="1:15">
      <c r="A57" s="35"/>
      <c r="B57" s="71"/>
      <c r="C57" s="36"/>
      <c r="D57" s="37"/>
      <c r="E57" s="38"/>
      <c r="F57" s="71"/>
      <c r="G57" s="68"/>
      <c r="H57" s="23" t="s">
        <v>168</v>
      </c>
      <c r="I57" s="12">
        <v>17000</v>
      </c>
      <c r="J57" s="53" t="s">
        <v>147</v>
      </c>
      <c r="K57" s="76" t="s">
        <v>169</v>
      </c>
      <c r="L57" s="56"/>
      <c r="M57" s="57"/>
      <c r="N57" s="57"/>
      <c r="O57" s="56"/>
    </row>
    <row r="58" s="1" customFormat="1" ht="18" customHeight="1" spans="1:15">
      <c r="A58" s="35"/>
      <c r="B58" s="71"/>
      <c r="C58" s="36"/>
      <c r="D58" s="37"/>
      <c r="E58" s="38"/>
      <c r="F58" s="71"/>
      <c r="G58" s="68"/>
      <c r="H58" s="23" t="s">
        <v>168</v>
      </c>
      <c r="I58" s="12">
        <v>31863</v>
      </c>
      <c r="J58" s="53" t="s">
        <v>147</v>
      </c>
      <c r="K58" s="76" t="s">
        <v>164</v>
      </c>
      <c r="L58" s="56"/>
      <c r="M58" s="57"/>
      <c r="N58" s="57"/>
      <c r="O58" s="56"/>
    </row>
    <row r="59" s="1" customFormat="1" ht="18" customHeight="1" spans="1:15">
      <c r="A59" s="35"/>
      <c r="B59" s="71"/>
      <c r="C59" s="36"/>
      <c r="D59" s="37"/>
      <c r="E59" s="38"/>
      <c r="F59" s="71"/>
      <c r="G59" s="68"/>
      <c r="H59" s="23" t="s">
        <v>168</v>
      </c>
      <c r="I59" s="12">
        <v>13542</v>
      </c>
      <c r="J59" s="53" t="s">
        <v>147</v>
      </c>
      <c r="K59" s="76" t="s">
        <v>150</v>
      </c>
      <c r="L59" s="56"/>
      <c r="M59" s="57"/>
      <c r="N59" s="57"/>
      <c r="O59" s="56"/>
    </row>
    <row r="60" s="1" customFormat="1" ht="18" customHeight="1" spans="1:15">
      <c r="A60" s="35"/>
      <c r="B60" s="71">
        <f>ROUND(G60/(1+E60),2)</f>
        <v>29400</v>
      </c>
      <c r="C60" s="36"/>
      <c r="D60" s="37"/>
      <c r="E60" s="38"/>
      <c r="F60" s="71">
        <f>ROUND(G60/(1+E60)*E60,2)</f>
        <v>0</v>
      </c>
      <c r="G60" s="68">
        <v>29400</v>
      </c>
      <c r="H60" s="23" t="s">
        <v>168</v>
      </c>
      <c r="I60" s="12">
        <v>29400</v>
      </c>
      <c r="J60" s="53" t="s">
        <v>147</v>
      </c>
      <c r="K60" s="76" t="s">
        <v>171</v>
      </c>
      <c r="L60" s="56"/>
      <c r="M60" s="57"/>
      <c r="N60" s="57"/>
      <c r="O60" s="56"/>
    </row>
    <row r="61" ht="18" customHeight="1" spans="1:15">
      <c r="A61" s="30" t="s">
        <v>23</v>
      </c>
      <c r="B61" s="69">
        <f>SUM(B15:B60)</f>
        <v>2662092.8</v>
      </c>
      <c r="C61" s="30"/>
      <c r="D61" s="40"/>
      <c r="E61" s="40"/>
      <c r="F61" s="70">
        <f>SUM(F15:F60)</f>
        <v>295329.2</v>
      </c>
      <c r="G61" s="72">
        <f>SUM(G15:G60)</f>
        <v>2957422</v>
      </c>
      <c r="H61" s="42"/>
      <c r="I61" s="30">
        <f>SUM(I15:I60)</f>
        <v>1470000.4</v>
      </c>
      <c r="J61" s="59"/>
      <c r="K61" s="78"/>
      <c r="L61" s="33"/>
      <c r="M61" s="53"/>
      <c r="N61" s="53"/>
      <c r="O61" s="33"/>
    </row>
    <row r="62" ht="18" customHeight="1" spans="1:14">
      <c r="A62" s="43" t="s">
        <v>172</v>
      </c>
      <c r="B62" s="43">
        <f>B12*0.96</f>
        <v>2545321.10091743</v>
      </c>
      <c r="C62" s="43"/>
      <c r="D62" s="45"/>
      <c r="E62" s="45"/>
      <c r="F62" s="44"/>
      <c r="G62" s="43">
        <f>G12-G61</f>
        <v>-67422</v>
      </c>
      <c r="H62" s="22" t="s">
        <v>173</v>
      </c>
      <c r="I62" s="30">
        <f>I12-I61</f>
        <v>1419999.6</v>
      </c>
      <c r="J62" s="6"/>
      <c r="K62" s="79"/>
      <c r="M62" s="61"/>
      <c r="N62" s="61"/>
    </row>
    <row r="63" ht="18" customHeight="1" spans="1:14">
      <c r="A63" s="43" t="s">
        <v>174</v>
      </c>
      <c r="B63" s="43">
        <f>B62-B61</f>
        <v>-116771.699082569</v>
      </c>
      <c r="C63" s="43"/>
      <c r="D63" s="45"/>
      <c r="E63" s="45"/>
      <c r="F63" s="44"/>
      <c r="G63" s="44"/>
      <c r="H63" s="46"/>
      <c r="I63" s="44"/>
      <c r="J63" s="6"/>
      <c r="K63" s="79"/>
      <c r="M63" s="61"/>
      <c r="N63" s="61"/>
    </row>
    <row r="64" ht="18" customHeight="1" spans="1:3">
      <c r="A64" s="2" t="s">
        <v>175</v>
      </c>
      <c r="C64" s="2"/>
    </row>
    <row r="65" ht="18" customHeight="1" spans="1:7">
      <c r="A65" s="22" t="s">
        <v>176</v>
      </c>
      <c r="B65" s="21" t="s">
        <v>177</v>
      </c>
      <c r="C65" s="33"/>
      <c r="D65" s="22" t="s">
        <v>176</v>
      </c>
      <c r="E65" s="20" t="s">
        <v>16</v>
      </c>
      <c r="F65" s="21" t="s">
        <v>177</v>
      </c>
      <c r="G65" s="24" t="s">
        <v>197</v>
      </c>
    </row>
    <row r="66" ht="18" customHeight="1" spans="1:7">
      <c r="A66" s="33" t="s">
        <v>186</v>
      </c>
      <c r="B66" s="18">
        <f>(B62-B61)*0.25</f>
        <v>-29192.9247706423</v>
      </c>
      <c r="C66" s="33"/>
      <c r="D66" s="28" t="s">
        <v>187</v>
      </c>
      <c r="E66" s="22" t="s">
        <v>188</v>
      </c>
      <c r="F66" s="70">
        <f>F12-F61</f>
        <v>-109732.869724771</v>
      </c>
      <c r="G66" s="70">
        <f>F8</f>
        <v>90804.0642201835</v>
      </c>
    </row>
    <row r="67" ht="18" customHeight="1" spans="1:7">
      <c r="A67" s="33" t="s">
        <v>189</v>
      </c>
      <c r="B67" s="47">
        <f>G12*0.0003</f>
        <v>867</v>
      </c>
      <c r="C67" s="80" t="s">
        <v>190</v>
      </c>
      <c r="D67" s="48" t="s">
        <v>191</v>
      </c>
      <c r="E67" s="14">
        <v>0.05</v>
      </c>
      <c r="F67" s="12">
        <f>F66*E67</f>
        <v>-5486.64348623855</v>
      </c>
      <c r="G67" s="12">
        <f>G66*E67</f>
        <v>4540.20321100917</v>
      </c>
    </row>
    <row r="68" ht="18" customHeight="1" spans="1:7">
      <c r="A68" s="33" t="s">
        <v>192</v>
      </c>
      <c r="B68" s="47">
        <f>B12*0.0006</f>
        <v>1590.82568807339</v>
      </c>
      <c r="C68" s="80" t="s">
        <v>190</v>
      </c>
      <c r="D68" s="48" t="s">
        <v>193</v>
      </c>
      <c r="E68" s="14">
        <v>0.03</v>
      </c>
      <c r="F68" s="12">
        <f>F66*E68</f>
        <v>-3291.98609174313</v>
      </c>
      <c r="G68" s="12">
        <f>G66*E68</f>
        <v>2724.1219266055</v>
      </c>
    </row>
    <row r="69" ht="18" customHeight="1" spans="1:7">
      <c r="A69" s="33"/>
      <c r="B69" s="24"/>
      <c r="C69" s="33"/>
      <c r="D69" s="48" t="s">
        <v>194</v>
      </c>
      <c r="E69" s="14">
        <v>0.02</v>
      </c>
      <c r="F69" s="12">
        <f>F66*E69</f>
        <v>-2194.65739449542</v>
      </c>
      <c r="G69" s="12">
        <f>G66*E69</f>
        <v>1816.08128440367</v>
      </c>
    </row>
    <row r="70" ht="18" customHeight="1" spans="1:7">
      <c r="A70" s="28" t="s">
        <v>195</v>
      </c>
      <c r="B70" s="29">
        <f>SUM(B66:B69)</f>
        <v>-26735.0990825689</v>
      </c>
      <c r="C70" s="33"/>
      <c r="D70" s="34" t="s">
        <v>195</v>
      </c>
      <c r="E70" s="28"/>
      <c r="F70" s="70">
        <f>SUM(F66:F69)</f>
        <v>-120706.156697248</v>
      </c>
      <c r="G70" s="70">
        <f>SUM(G66:G69)</f>
        <v>99884.4706422018</v>
      </c>
    </row>
    <row r="71" ht="18" customHeight="1" spans="3:7">
      <c r="C71" s="2"/>
      <c r="D71" s="12" t="s">
        <v>189</v>
      </c>
      <c r="E71" s="49">
        <v>0.0003</v>
      </c>
      <c r="F71" s="12">
        <f>G12*E71</f>
        <v>867</v>
      </c>
      <c r="G71" s="12">
        <f>G8*0.0003</f>
        <v>424.1847</v>
      </c>
    </row>
    <row r="72" ht="18" customHeight="1" spans="3:7">
      <c r="C72" s="2"/>
      <c r="D72" s="12" t="s">
        <v>192</v>
      </c>
      <c r="E72" s="49">
        <v>0.0006</v>
      </c>
      <c r="F72" s="12">
        <f>B66</f>
        <v>-29192.9247706423</v>
      </c>
      <c r="G72" s="12">
        <f>B8*0.0006</f>
        <v>778.320550458714</v>
      </c>
    </row>
    <row r="73" ht="18" customHeight="1" spans="3:7">
      <c r="C73" s="2"/>
      <c r="D73" s="20" t="s">
        <v>195</v>
      </c>
      <c r="E73" s="40"/>
      <c r="F73" s="30">
        <f>F72+F71</f>
        <v>-28325.9247706423</v>
      </c>
      <c r="G73" s="30">
        <f>SUM(G71:G72)</f>
        <v>1202.50525045871</v>
      </c>
    </row>
    <row r="74" ht="18" customHeight="1" spans="3:7">
      <c r="C74" s="2"/>
      <c r="D74" s="20" t="s">
        <v>23</v>
      </c>
      <c r="E74" s="30"/>
      <c r="F74" s="30">
        <f>F70+F73</f>
        <v>-149032.08146789</v>
      </c>
      <c r="G74" s="30">
        <f>G70+G73</f>
        <v>101086.975892661</v>
      </c>
    </row>
    <row r="75" ht="18" customHeight="1" spans="3:7">
      <c r="C75" s="2"/>
      <c r="D75" s="30" t="s">
        <v>186</v>
      </c>
      <c r="E75" s="40">
        <v>0.01</v>
      </c>
      <c r="F75" s="30">
        <f>B12*0.1</f>
        <v>265137.614678899</v>
      </c>
      <c r="G75" s="30">
        <f>G8*0.01</f>
        <v>14139.49</v>
      </c>
    </row>
    <row r="76" ht="18" customHeight="1" spans="3:3">
      <c r="C76" s="2"/>
    </row>
    <row r="77" ht="18" customHeight="1" spans="3:3">
      <c r="C77" s="2"/>
    </row>
    <row r="78" ht="18" customHeight="1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</sheetData>
  <protectedRanges>
    <protectedRange sqref="K34:L34" name="区域1"/>
  </protectedRanges>
  <autoFilter ref="A14:O7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opLeftCell="A34" workbookViewId="0">
      <selection activeCell="K45" sqref="K4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198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/>
      <c r="C2" s="12" t="s">
        <v>2</v>
      </c>
      <c r="D2" s="13"/>
      <c r="E2" s="14" t="s">
        <v>3</v>
      </c>
      <c r="F2" s="15"/>
      <c r="G2" s="16" t="s">
        <v>5</v>
      </c>
      <c r="H2" s="17"/>
      <c r="I2" s="50"/>
      <c r="J2" s="51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2"/>
      <c r="J3" s="19"/>
      <c r="K3" s="19"/>
      <c r="L3" s="19"/>
    </row>
    <row r="4" ht="18" customHeight="1" spans="1:12">
      <c r="A4" s="2" t="s">
        <v>9</v>
      </c>
      <c r="H4" s="19"/>
      <c r="I4" s="52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/>
      <c r="B7" s="24">
        <f t="shared" ref="B7:B8" si="0">G7/(1+C7+E7)</f>
        <v>0</v>
      </c>
      <c r="C7" s="25">
        <v>0.02</v>
      </c>
      <c r="D7" s="26">
        <f t="shared" ref="D7:D8" si="1">G7/(1+E7+C7)*C7</f>
        <v>0</v>
      </c>
      <c r="E7" s="25">
        <v>0.08</v>
      </c>
      <c r="F7" s="24">
        <f t="shared" ref="F7:F8" si="2">G7/(1+C7+E7)*E7</f>
        <v>0</v>
      </c>
      <c r="G7" s="27"/>
      <c r="H7" s="23"/>
      <c r="I7" s="24"/>
      <c r="J7" s="53"/>
    </row>
    <row r="8" ht="18" customHeight="1" spans="1:10">
      <c r="A8" s="23"/>
      <c r="B8" s="24">
        <f t="shared" si="0"/>
        <v>0</v>
      </c>
      <c r="C8" s="25">
        <v>0.02</v>
      </c>
      <c r="D8" s="26">
        <f t="shared" si="1"/>
        <v>0</v>
      </c>
      <c r="E8" s="25">
        <v>0.08</v>
      </c>
      <c r="F8" s="24">
        <f t="shared" si="2"/>
        <v>0</v>
      </c>
      <c r="G8" s="27"/>
      <c r="H8" s="23"/>
      <c r="I8" s="24"/>
      <c r="J8" s="53"/>
    </row>
    <row r="9" ht="18" customHeight="1" spans="1:10">
      <c r="A9" s="23"/>
      <c r="B9" s="24">
        <f t="shared" ref="B8:B10" si="3">G9/(1+C9+E9)</f>
        <v>0</v>
      </c>
      <c r="C9" s="25">
        <v>0.02</v>
      </c>
      <c r="D9" s="26">
        <f t="shared" ref="D8:D10" si="4">G9/(1+E9+C9)*C9</f>
        <v>0</v>
      </c>
      <c r="E9" s="25">
        <v>0.08</v>
      </c>
      <c r="F9" s="24">
        <f t="shared" ref="F8:F10" si="5">G9/(1+C9+E9)*E9</f>
        <v>0</v>
      </c>
      <c r="G9" s="27"/>
      <c r="H9" s="23"/>
      <c r="I9" s="24"/>
      <c r="J9" s="53"/>
    </row>
    <row r="10" ht="18" customHeight="1" spans="1:10">
      <c r="A10" s="23"/>
      <c r="B10" s="24">
        <f t="shared" si="3"/>
        <v>0</v>
      </c>
      <c r="C10" s="25">
        <v>0.02</v>
      </c>
      <c r="D10" s="26">
        <f t="shared" si="4"/>
        <v>0</v>
      </c>
      <c r="E10" s="25">
        <v>0.08</v>
      </c>
      <c r="F10" s="24">
        <f t="shared" si="5"/>
        <v>0</v>
      </c>
      <c r="G10" s="27"/>
      <c r="H10" s="23"/>
      <c r="I10" s="24"/>
      <c r="J10" s="53"/>
    </row>
    <row r="11" ht="18" customHeight="1" spans="1:10">
      <c r="A11" s="28" t="s">
        <v>23</v>
      </c>
      <c r="B11" s="29">
        <f>SUM(B7:B10)</f>
        <v>0</v>
      </c>
      <c r="C11" s="30"/>
      <c r="D11" s="31">
        <f t="shared" ref="D11:G11" si="6">SUM(D7:D10)</f>
        <v>0</v>
      </c>
      <c r="E11" s="30"/>
      <c r="F11" s="32">
        <f t="shared" si="6"/>
        <v>0</v>
      </c>
      <c r="G11" s="31">
        <f t="shared" si="6"/>
        <v>0</v>
      </c>
      <c r="H11" s="33"/>
      <c r="I11" s="31">
        <f>SUM(I7:I10)</f>
        <v>0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1" t="s">
        <v>26</v>
      </c>
      <c r="C13" s="20" t="s">
        <v>27</v>
      </c>
      <c r="D13" s="20" t="s">
        <v>28</v>
      </c>
      <c r="E13" s="20" t="s">
        <v>16</v>
      </c>
      <c r="F13" s="21" t="s">
        <v>29</v>
      </c>
      <c r="G13" s="21" t="s">
        <v>14</v>
      </c>
      <c r="H13" s="20" t="s">
        <v>30</v>
      </c>
      <c r="I13" s="21" t="s">
        <v>31</v>
      </c>
      <c r="J13" s="20" t="s">
        <v>20</v>
      </c>
      <c r="K13" s="54" t="s">
        <v>32</v>
      </c>
      <c r="L13" s="22" t="s">
        <v>33</v>
      </c>
      <c r="M13" s="22" t="s">
        <v>34</v>
      </c>
      <c r="N13" s="22" t="s">
        <v>35</v>
      </c>
      <c r="O13" s="22" t="s">
        <v>36</v>
      </c>
    </row>
    <row r="14" s="1" customFormat="1" ht="18" customHeight="1" spans="1:15">
      <c r="A14" s="35"/>
      <c r="B14" s="18">
        <f>ROUND(G14/(1+E14),2)</f>
        <v>0</v>
      </c>
      <c r="C14" s="36"/>
      <c r="D14" s="37"/>
      <c r="E14" s="38"/>
      <c r="F14" s="18">
        <f>ROUND(G14/(1+E14)*E14,2)</f>
        <v>0</v>
      </c>
      <c r="G14" s="27"/>
      <c r="H14" s="23"/>
      <c r="I14" s="24"/>
      <c r="J14" s="53"/>
      <c r="K14" s="55"/>
      <c r="L14" s="56"/>
      <c r="M14" s="57"/>
      <c r="N14" s="57"/>
      <c r="O14" s="56"/>
    </row>
    <row r="15" s="1" customFormat="1" ht="18" customHeight="1" spans="1:15">
      <c r="A15" s="35"/>
      <c r="B15" s="18">
        <f>ROUND(G15/(1+E15),2)</f>
        <v>0</v>
      </c>
      <c r="C15" s="36"/>
      <c r="D15" s="37"/>
      <c r="E15" s="38"/>
      <c r="F15" s="18">
        <f>ROUND(G15/(1+E15)*E15,2)</f>
        <v>0</v>
      </c>
      <c r="G15" s="27"/>
      <c r="H15" s="23" t="s">
        <v>37</v>
      </c>
      <c r="I15" s="24">
        <v>-196733.6</v>
      </c>
      <c r="J15" s="53" t="s">
        <v>38</v>
      </c>
      <c r="K15" s="55" t="s">
        <v>39</v>
      </c>
      <c r="L15" s="56" t="s">
        <v>40</v>
      </c>
      <c r="M15" s="57"/>
      <c r="N15" s="57"/>
      <c r="O15" s="56"/>
    </row>
    <row r="16" s="1" customFormat="1" ht="18" customHeight="1" spans="1:15">
      <c r="A16" s="35"/>
      <c r="B16" s="18"/>
      <c r="C16" s="36"/>
      <c r="D16" s="37"/>
      <c r="E16" s="38"/>
      <c r="F16" s="18"/>
      <c r="G16" s="27"/>
      <c r="H16" s="23" t="s">
        <v>37</v>
      </c>
      <c r="I16" s="24">
        <v>196734</v>
      </c>
      <c r="J16" s="53" t="s">
        <v>21</v>
      </c>
      <c r="K16" s="55" t="s">
        <v>41</v>
      </c>
      <c r="L16" s="56" t="s">
        <v>42</v>
      </c>
      <c r="M16" s="57"/>
      <c r="N16" s="57"/>
      <c r="O16" s="56"/>
    </row>
    <row r="17" s="1" customFormat="1" ht="18" customHeight="1" spans="1:15">
      <c r="A17" s="35"/>
      <c r="B17" s="18"/>
      <c r="C17" s="36"/>
      <c r="D17" s="37"/>
      <c r="E17" s="38"/>
      <c r="F17" s="18"/>
      <c r="G17" s="27"/>
      <c r="H17" s="23" t="s">
        <v>43</v>
      </c>
      <c r="I17" s="24">
        <v>-157986</v>
      </c>
      <c r="J17" s="53" t="s">
        <v>38</v>
      </c>
      <c r="K17" s="55" t="s">
        <v>39</v>
      </c>
      <c r="L17" s="56"/>
      <c r="M17" s="57"/>
      <c r="N17" s="57"/>
      <c r="O17" s="56"/>
    </row>
    <row r="18" s="1" customFormat="1" ht="18" customHeight="1" spans="1:15">
      <c r="A18" s="35"/>
      <c r="B18" s="18">
        <f t="shared" ref="B18:B31" si="7">ROUND(G18/(1+E18),2)</f>
        <v>0</v>
      </c>
      <c r="C18" s="36"/>
      <c r="D18" s="37"/>
      <c r="E18" s="38"/>
      <c r="F18" s="18">
        <f t="shared" ref="F18:F31" si="8">ROUND(G18/(1+E18)*E18,2)</f>
        <v>0</v>
      </c>
      <c r="G18" s="27"/>
      <c r="H18" s="23" t="s">
        <v>43</v>
      </c>
      <c r="I18" s="24">
        <v>157986</v>
      </c>
      <c r="J18" s="53" t="s">
        <v>21</v>
      </c>
      <c r="K18" s="55" t="s">
        <v>44</v>
      </c>
      <c r="L18" s="56"/>
      <c r="M18" s="57"/>
      <c r="N18" s="57"/>
      <c r="O18" s="56"/>
    </row>
    <row r="19" s="1" customFormat="1" ht="18" customHeight="1" spans="1:15">
      <c r="A19" s="35"/>
      <c r="B19" s="18">
        <f t="shared" si="7"/>
        <v>0</v>
      </c>
      <c r="C19" s="36"/>
      <c r="D19" s="37"/>
      <c r="E19" s="38"/>
      <c r="F19" s="18">
        <f t="shared" si="8"/>
        <v>0</v>
      </c>
      <c r="G19" s="27"/>
      <c r="H19" s="23" t="s">
        <v>43</v>
      </c>
      <c r="I19" s="24">
        <v>-200000</v>
      </c>
      <c r="J19" s="53" t="s">
        <v>38</v>
      </c>
      <c r="K19" s="55" t="s">
        <v>39</v>
      </c>
      <c r="L19" s="56"/>
      <c r="M19" s="57"/>
      <c r="N19" s="57"/>
      <c r="O19" s="56"/>
    </row>
    <row r="20" s="1" customFormat="1" ht="18" customHeight="1" spans="1:15">
      <c r="A20" s="35"/>
      <c r="B20" s="18">
        <f t="shared" si="7"/>
        <v>0</v>
      </c>
      <c r="C20" s="36"/>
      <c r="D20" s="37"/>
      <c r="E20" s="38"/>
      <c r="F20" s="18">
        <f t="shared" si="8"/>
        <v>0</v>
      </c>
      <c r="G20" s="27"/>
      <c r="H20" s="23" t="s">
        <v>43</v>
      </c>
      <c r="I20" s="24">
        <v>200000</v>
      </c>
      <c r="J20" s="53" t="s">
        <v>21</v>
      </c>
      <c r="K20" s="55" t="s">
        <v>45</v>
      </c>
      <c r="L20" s="56"/>
      <c r="M20" s="57"/>
      <c r="N20" s="57"/>
      <c r="O20" s="56"/>
    </row>
    <row r="21" s="1" customFormat="1" ht="18" customHeight="1" spans="1:15">
      <c r="A21" s="35"/>
      <c r="B21" s="18">
        <f t="shared" si="7"/>
        <v>0</v>
      </c>
      <c r="C21" s="36"/>
      <c r="D21" s="37"/>
      <c r="E21" s="38"/>
      <c r="F21" s="18">
        <f t="shared" si="8"/>
        <v>0</v>
      </c>
      <c r="G21" s="27"/>
      <c r="H21" s="23" t="s">
        <v>46</v>
      </c>
      <c r="I21" s="24">
        <v>-200000</v>
      </c>
      <c r="J21" s="53" t="s">
        <v>38</v>
      </c>
      <c r="K21" s="55" t="s">
        <v>39</v>
      </c>
      <c r="L21" s="56"/>
      <c r="M21" s="57"/>
      <c r="N21" s="57"/>
      <c r="O21" s="56"/>
    </row>
    <row r="22" s="1" customFormat="1" ht="18" customHeight="1" spans="1:15">
      <c r="A22" s="35"/>
      <c r="B22" s="18">
        <f t="shared" si="7"/>
        <v>0</v>
      </c>
      <c r="C22" s="36"/>
      <c r="D22" s="37"/>
      <c r="E22" s="38"/>
      <c r="F22" s="18">
        <f t="shared" si="8"/>
        <v>0</v>
      </c>
      <c r="G22" s="27"/>
      <c r="H22" s="23" t="s">
        <v>46</v>
      </c>
      <c r="I22" s="24">
        <v>200000</v>
      </c>
      <c r="J22" s="53" t="s">
        <v>21</v>
      </c>
      <c r="K22" s="55" t="s">
        <v>45</v>
      </c>
      <c r="L22" s="56"/>
      <c r="M22" s="57"/>
      <c r="N22" s="57"/>
      <c r="O22" s="56"/>
    </row>
    <row r="23" s="1" customFormat="1" ht="18" customHeight="1" spans="1:15">
      <c r="A23" s="35">
        <v>43739</v>
      </c>
      <c r="B23" s="18">
        <f t="shared" si="7"/>
        <v>196527.43</v>
      </c>
      <c r="C23" s="36"/>
      <c r="D23" s="37" t="s">
        <v>47</v>
      </c>
      <c r="E23" s="39">
        <v>0.13</v>
      </c>
      <c r="F23" s="18">
        <f t="shared" si="8"/>
        <v>25548.57</v>
      </c>
      <c r="G23" s="27">
        <v>222076</v>
      </c>
      <c r="H23" s="23"/>
      <c r="I23" s="24"/>
      <c r="J23" s="53"/>
      <c r="K23" s="55" t="s">
        <v>48</v>
      </c>
      <c r="L23" s="56" t="s">
        <v>49</v>
      </c>
      <c r="M23" s="57" t="s">
        <v>50</v>
      </c>
      <c r="N23" s="57" t="s">
        <v>50</v>
      </c>
      <c r="O23" s="56"/>
    </row>
    <row r="24" s="1" customFormat="1" ht="18" customHeight="1" spans="1:15">
      <c r="A24" s="35"/>
      <c r="B24" s="18">
        <f t="shared" si="7"/>
        <v>0</v>
      </c>
      <c r="C24" s="36"/>
      <c r="D24" s="37"/>
      <c r="E24" s="38"/>
      <c r="F24" s="18">
        <f t="shared" si="8"/>
        <v>0</v>
      </c>
      <c r="G24" s="27"/>
      <c r="H24" s="23" t="s">
        <v>46</v>
      </c>
      <c r="I24" s="24">
        <v>-200000</v>
      </c>
      <c r="J24" s="53" t="s">
        <v>38</v>
      </c>
      <c r="K24" s="55" t="s">
        <v>39</v>
      </c>
      <c r="L24" s="55" t="s">
        <v>51</v>
      </c>
      <c r="M24" s="57"/>
      <c r="N24" s="57"/>
      <c r="O24" s="56"/>
    </row>
    <row r="25" s="1" customFormat="1" ht="18" customHeight="1" spans="1:15">
      <c r="A25" s="35"/>
      <c r="B25" s="18">
        <f t="shared" si="7"/>
        <v>0</v>
      </c>
      <c r="C25" s="36"/>
      <c r="D25" s="37"/>
      <c r="E25" s="38"/>
      <c r="F25" s="18">
        <f t="shared" si="8"/>
        <v>0</v>
      </c>
      <c r="G25" s="27"/>
      <c r="H25" s="23" t="s">
        <v>46</v>
      </c>
      <c r="I25" s="24">
        <v>200000</v>
      </c>
      <c r="J25" s="53" t="s">
        <v>21</v>
      </c>
      <c r="K25" s="55" t="s">
        <v>45</v>
      </c>
      <c r="L25" s="56"/>
      <c r="M25" s="57"/>
      <c r="N25" s="57"/>
      <c r="O25" s="56"/>
    </row>
    <row r="26" s="1" customFormat="1" ht="18" customHeight="1" spans="1:15">
      <c r="A26" s="35"/>
      <c r="B26" s="18">
        <f t="shared" si="7"/>
        <v>0</v>
      </c>
      <c r="C26" s="36"/>
      <c r="D26" s="37"/>
      <c r="E26" s="38"/>
      <c r="F26" s="18">
        <f t="shared" si="8"/>
        <v>0</v>
      </c>
      <c r="G26" s="27"/>
      <c r="H26" s="23" t="s">
        <v>46</v>
      </c>
      <c r="I26" s="24">
        <v>-115600</v>
      </c>
      <c r="J26" s="53" t="s">
        <v>38</v>
      </c>
      <c r="K26" s="55" t="s">
        <v>39</v>
      </c>
      <c r="L26" s="55" t="s">
        <v>51</v>
      </c>
      <c r="M26" s="57"/>
      <c r="N26" s="57"/>
      <c r="O26" s="56"/>
    </row>
    <row r="27" s="1" customFormat="1" ht="18" customHeight="1" spans="1:15">
      <c r="A27" s="35">
        <v>43739</v>
      </c>
      <c r="B27" s="18">
        <f t="shared" si="7"/>
        <v>102300.88</v>
      </c>
      <c r="C27" s="36"/>
      <c r="D27" s="37" t="s">
        <v>47</v>
      </c>
      <c r="E27" s="39">
        <v>0.13</v>
      </c>
      <c r="F27" s="18">
        <f t="shared" si="8"/>
        <v>13299.12</v>
      </c>
      <c r="G27" s="27">
        <v>115600</v>
      </c>
      <c r="H27" s="23" t="s">
        <v>46</v>
      </c>
      <c r="I27" s="24">
        <v>115600</v>
      </c>
      <c r="J27" s="53" t="s">
        <v>21</v>
      </c>
      <c r="K27" s="55" t="s">
        <v>52</v>
      </c>
      <c r="L27" s="56" t="s">
        <v>53</v>
      </c>
      <c r="M27" s="57" t="s">
        <v>50</v>
      </c>
      <c r="N27" s="57" t="s">
        <v>50</v>
      </c>
      <c r="O27" s="56"/>
    </row>
    <row r="28" s="1" customFormat="1" ht="18" customHeight="1" spans="1:15">
      <c r="A28" s="35"/>
      <c r="B28" s="18">
        <f t="shared" si="7"/>
        <v>0</v>
      </c>
      <c r="C28" s="36"/>
      <c r="D28" s="37"/>
      <c r="E28" s="38"/>
      <c r="F28" s="18">
        <f t="shared" si="8"/>
        <v>0</v>
      </c>
      <c r="G28" s="27"/>
      <c r="H28" s="23">
        <v>43775</v>
      </c>
      <c r="I28" s="24">
        <v>-200000</v>
      </c>
      <c r="J28" s="53" t="s">
        <v>38</v>
      </c>
      <c r="K28" s="55" t="s">
        <v>39</v>
      </c>
      <c r="L28" s="55" t="s">
        <v>51</v>
      </c>
      <c r="M28" s="57"/>
      <c r="N28" s="57"/>
      <c r="O28" s="56"/>
    </row>
    <row r="29" s="1" customFormat="1" ht="18" customHeight="1" spans="1:15">
      <c r="A29" s="35"/>
      <c r="B29" s="18">
        <f t="shared" si="7"/>
        <v>0</v>
      </c>
      <c r="C29" s="36"/>
      <c r="D29" s="37"/>
      <c r="E29" s="38"/>
      <c r="F29" s="18">
        <f t="shared" si="8"/>
        <v>0</v>
      </c>
      <c r="G29" s="27"/>
      <c r="H29" s="23">
        <v>43775</v>
      </c>
      <c r="I29" s="24">
        <v>200000</v>
      </c>
      <c r="J29" s="53" t="s">
        <v>21</v>
      </c>
      <c r="K29" s="55" t="s">
        <v>45</v>
      </c>
      <c r="L29" s="56"/>
      <c r="M29" s="57"/>
      <c r="N29" s="57"/>
      <c r="O29" s="56"/>
    </row>
    <row r="30" s="1" customFormat="1" ht="18" customHeight="1" spans="1:15">
      <c r="A30" s="35"/>
      <c r="B30" s="18">
        <f t="shared" si="7"/>
        <v>0</v>
      </c>
      <c r="C30" s="36"/>
      <c r="D30" s="37"/>
      <c r="E30" s="38"/>
      <c r="F30" s="18">
        <f t="shared" si="8"/>
        <v>0</v>
      </c>
      <c r="G30" s="27"/>
      <c r="H30" s="23">
        <v>43789</v>
      </c>
      <c r="I30" s="24">
        <v>-200000</v>
      </c>
      <c r="J30" s="53" t="s">
        <v>38</v>
      </c>
      <c r="K30" s="55" t="s">
        <v>39</v>
      </c>
      <c r="L30" s="55" t="s">
        <v>51</v>
      </c>
      <c r="M30" s="57"/>
      <c r="N30" s="57"/>
      <c r="O30" s="56"/>
    </row>
    <row r="31" s="1" customFormat="1" ht="18" customHeight="1" spans="1:15">
      <c r="A31" s="35">
        <v>43770</v>
      </c>
      <c r="B31" s="18">
        <f t="shared" si="7"/>
        <v>884955.75</v>
      </c>
      <c r="C31" s="36"/>
      <c r="D31" s="37" t="s">
        <v>47</v>
      </c>
      <c r="E31" s="39">
        <v>0.13</v>
      </c>
      <c r="F31" s="18">
        <f t="shared" si="8"/>
        <v>115044.25</v>
      </c>
      <c r="G31" s="27">
        <v>1000000</v>
      </c>
      <c r="H31" s="23">
        <v>43789</v>
      </c>
      <c r="I31" s="24">
        <v>200000</v>
      </c>
      <c r="J31" s="53" t="s">
        <v>21</v>
      </c>
      <c r="K31" s="55" t="s">
        <v>45</v>
      </c>
      <c r="L31" s="56" t="s">
        <v>54</v>
      </c>
      <c r="M31" s="57" t="s">
        <v>50</v>
      </c>
      <c r="N31" s="57" t="s">
        <v>50</v>
      </c>
      <c r="O31" s="56"/>
    </row>
    <row r="32" s="1" customFormat="1" ht="18" customHeight="1" spans="1:15">
      <c r="A32" s="35"/>
      <c r="B32" s="18">
        <f t="shared" ref="B32:B39" si="9">ROUND(G32/(1+E32),2)</f>
        <v>0</v>
      </c>
      <c r="C32" s="36"/>
      <c r="D32" s="37"/>
      <c r="E32" s="38"/>
      <c r="F32" s="18">
        <f t="shared" ref="F32:F39" si="10">ROUND(G32/(1+E32)*E32,2)</f>
        <v>0</v>
      </c>
      <c r="G32" s="27"/>
      <c r="H32" s="23">
        <v>43791</v>
      </c>
      <c r="I32" s="24">
        <v>16000</v>
      </c>
      <c r="J32" s="53" t="s">
        <v>38</v>
      </c>
      <c r="K32" s="55" t="s">
        <v>39</v>
      </c>
      <c r="L32" s="56"/>
      <c r="M32" s="57"/>
      <c r="N32" s="57"/>
      <c r="O32" s="56"/>
    </row>
    <row r="33" s="1" customFormat="1" ht="18" customHeight="1" spans="1:15">
      <c r="A33" s="35"/>
      <c r="B33" s="18">
        <f t="shared" si="9"/>
        <v>0</v>
      </c>
      <c r="C33" s="36"/>
      <c r="D33" s="37"/>
      <c r="E33" s="38"/>
      <c r="F33" s="18">
        <f t="shared" si="10"/>
        <v>0</v>
      </c>
      <c r="G33" s="27"/>
      <c r="H33" s="23">
        <v>43791</v>
      </c>
      <c r="I33" s="24">
        <v>-16000</v>
      </c>
      <c r="J33" s="53" t="s">
        <v>21</v>
      </c>
      <c r="K33" s="55" t="s">
        <v>55</v>
      </c>
      <c r="L33" s="56" t="s">
        <v>56</v>
      </c>
      <c r="M33" s="57"/>
      <c r="N33" s="57"/>
      <c r="O33" s="56"/>
    </row>
    <row r="34" s="1" customFormat="1" ht="18" customHeight="1" spans="1:15">
      <c r="A34" s="35"/>
      <c r="B34" s="18">
        <f t="shared" si="9"/>
        <v>0</v>
      </c>
      <c r="C34" s="36"/>
      <c r="D34" s="37"/>
      <c r="E34" s="38"/>
      <c r="F34" s="18">
        <f t="shared" si="10"/>
        <v>0</v>
      </c>
      <c r="G34" s="27"/>
      <c r="H34" s="23">
        <v>43798</v>
      </c>
      <c r="I34" s="24">
        <v>7000</v>
      </c>
      <c r="J34" s="53" t="s">
        <v>21</v>
      </c>
      <c r="K34" s="58" t="s">
        <v>57</v>
      </c>
      <c r="L34" s="58" t="s">
        <v>58</v>
      </c>
      <c r="M34" s="57"/>
      <c r="N34" s="57"/>
      <c r="O34" s="56"/>
    </row>
    <row r="35" s="1" customFormat="1" ht="18" customHeight="1" spans="1:15">
      <c r="A35" s="35"/>
      <c r="B35" s="18">
        <f t="shared" si="9"/>
        <v>0</v>
      </c>
      <c r="C35" s="36"/>
      <c r="D35" s="37"/>
      <c r="E35" s="38"/>
      <c r="F35" s="18">
        <f t="shared" si="10"/>
        <v>0</v>
      </c>
      <c r="G35" s="27"/>
      <c r="H35" s="23">
        <v>43798</v>
      </c>
      <c r="I35" s="24">
        <v>-7000</v>
      </c>
      <c r="J35" s="53" t="s">
        <v>38</v>
      </c>
      <c r="K35" s="55" t="s">
        <v>39</v>
      </c>
      <c r="L35" s="56"/>
      <c r="M35" s="57"/>
      <c r="N35" s="57"/>
      <c r="O35" s="56"/>
    </row>
    <row r="36" s="1" customFormat="1" ht="18" customHeight="1" spans="1:15">
      <c r="A36" s="35"/>
      <c r="B36" s="18">
        <f t="shared" si="9"/>
        <v>0</v>
      </c>
      <c r="C36" s="36"/>
      <c r="D36" s="37"/>
      <c r="E36" s="38"/>
      <c r="F36" s="18">
        <f t="shared" si="10"/>
        <v>0</v>
      </c>
      <c r="G36" s="27"/>
      <c r="H36" s="23"/>
      <c r="I36" s="24"/>
      <c r="J36" s="53"/>
      <c r="K36" s="55"/>
      <c r="L36" s="56"/>
      <c r="M36" s="57"/>
      <c r="N36" s="57"/>
      <c r="O36" s="56"/>
    </row>
    <row r="37" s="1" customFormat="1" ht="18" customHeight="1" spans="1:15">
      <c r="A37" s="35"/>
      <c r="B37" s="18">
        <f t="shared" si="9"/>
        <v>0</v>
      </c>
      <c r="C37" s="36"/>
      <c r="D37" s="37"/>
      <c r="E37" s="38"/>
      <c r="F37" s="18">
        <f t="shared" si="10"/>
        <v>0</v>
      </c>
      <c r="G37" s="27"/>
      <c r="H37" s="23"/>
      <c r="I37" s="24"/>
      <c r="J37" s="53"/>
      <c r="K37" s="55"/>
      <c r="L37" s="56"/>
      <c r="M37" s="57"/>
      <c r="N37" s="57"/>
      <c r="O37" s="56"/>
    </row>
    <row r="38" s="1" customFormat="1" ht="18" customHeight="1" spans="1:15">
      <c r="A38" s="35"/>
      <c r="B38" s="18">
        <f t="shared" si="9"/>
        <v>0</v>
      </c>
      <c r="C38" s="36"/>
      <c r="D38" s="37"/>
      <c r="E38" s="38"/>
      <c r="F38" s="18">
        <f t="shared" si="10"/>
        <v>0</v>
      </c>
      <c r="G38" s="27"/>
      <c r="H38" s="23"/>
      <c r="I38" s="24"/>
      <c r="J38" s="53"/>
      <c r="K38" s="55"/>
      <c r="L38" s="56"/>
      <c r="M38" s="57"/>
      <c r="N38" s="57"/>
      <c r="O38" s="56"/>
    </row>
    <row r="39" s="1" customFormat="1" ht="18" customHeight="1" spans="1:15">
      <c r="A39" s="35"/>
      <c r="B39" s="18">
        <f t="shared" si="9"/>
        <v>0</v>
      </c>
      <c r="C39" s="36"/>
      <c r="D39" s="37"/>
      <c r="E39" s="38"/>
      <c r="F39" s="18">
        <f t="shared" si="10"/>
        <v>0</v>
      </c>
      <c r="G39" s="27"/>
      <c r="H39" s="23"/>
      <c r="I39" s="24"/>
      <c r="J39" s="53"/>
      <c r="K39" s="55"/>
      <c r="L39" s="56"/>
      <c r="M39" s="57"/>
      <c r="N39" s="57"/>
      <c r="O39" s="56"/>
    </row>
    <row r="40" ht="18" customHeight="1" spans="1:15">
      <c r="A40" s="30" t="s">
        <v>23</v>
      </c>
      <c r="B40" s="29">
        <f>SUM(B14:B39)</f>
        <v>1183784.06</v>
      </c>
      <c r="C40" s="30"/>
      <c r="D40" s="40"/>
      <c r="E40" s="40"/>
      <c r="F40" s="32">
        <f>SUM(F14:F39)</f>
        <v>153891.94</v>
      </c>
      <c r="G40" s="41">
        <f>SUM(G14:G39)</f>
        <v>1337676</v>
      </c>
      <c r="H40" s="42"/>
      <c r="I40" s="31">
        <f>SUM(I14:I39)</f>
        <v>0.399999999994179</v>
      </c>
      <c r="J40" s="59"/>
      <c r="K40" s="40"/>
      <c r="L40" s="33"/>
      <c r="M40" s="53"/>
      <c r="N40" s="53"/>
      <c r="O40" s="33"/>
    </row>
    <row r="41" ht="18" customHeight="1" spans="1:14">
      <c r="A41" s="43" t="s">
        <v>172</v>
      </c>
      <c r="B41" s="44">
        <f>B11*0.936</f>
        <v>0</v>
      </c>
      <c r="C41" s="43"/>
      <c r="D41" s="45"/>
      <c r="E41" s="45"/>
      <c r="F41" s="44"/>
      <c r="G41" s="44">
        <f>G11-G40</f>
        <v>-1337676</v>
      </c>
      <c r="H41" s="22" t="s">
        <v>173</v>
      </c>
      <c r="I41" s="31">
        <f>I11-I40</f>
        <v>-0.399999999994179</v>
      </c>
      <c r="J41" s="6"/>
      <c r="K41" s="60"/>
      <c r="M41" s="61"/>
      <c r="N41" s="61"/>
    </row>
    <row r="42" ht="18" customHeight="1" spans="1:14">
      <c r="A42" s="43" t="s">
        <v>174</v>
      </c>
      <c r="B42" s="44">
        <f>B41-B40</f>
        <v>-1183784.06</v>
      </c>
      <c r="C42" s="43"/>
      <c r="D42" s="45"/>
      <c r="E42" s="45"/>
      <c r="F42" s="44"/>
      <c r="G42" s="44"/>
      <c r="H42" s="46"/>
      <c r="I42" s="44"/>
      <c r="J42" s="6"/>
      <c r="K42" s="60"/>
      <c r="M42" s="61"/>
      <c r="N42" s="61"/>
    </row>
    <row r="43" ht="18" customHeight="1" spans="1:3">
      <c r="A43" s="2" t="s">
        <v>175</v>
      </c>
      <c r="C43" s="2"/>
    </row>
    <row r="44" ht="18" customHeight="1" spans="1:6">
      <c r="A44" s="22" t="s">
        <v>176</v>
      </c>
      <c r="B44" s="21" t="s">
        <v>177</v>
      </c>
      <c r="C44" s="33"/>
      <c r="D44" s="22" t="s">
        <v>176</v>
      </c>
      <c r="E44" s="20" t="s">
        <v>16</v>
      </c>
      <c r="F44" s="21" t="s">
        <v>177</v>
      </c>
    </row>
    <row r="45" ht="18" customHeight="1" spans="1:6">
      <c r="A45" s="33" t="s">
        <v>186</v>
      </c>
      <c r="B45" s="18">
        <f>(B41-B40)*0.25</f>
        <v>-295946.015</v>
      </c>
      <c r="C45" s="33"/>
      <c r="D45" s="28" t="s">
        <v>187</v>
      </c>
      <c r="E45" s="22" t="s">
        <v>188</v>
      </c>
      <c r="F45" s="32">
        <f>F11-F40</f>
        <v>-153891.94</v>
      </c>
    </row>
    <row r="46" ht="18" customHeight="1" spans="1:6">
      <c r="A46" s="33" t="s">
        <v>189</v>
      </c>
      <c r="B46" s="47"/>
      <c r="C46" s="33"/>
      <c r="D46" s="48" t="s">
        <v>191</v>
      </c>
      <c r="E46" s="14">
        <v>0.05</v>
      </c>
      <c r="F46" s="24">
        <f>F45*E46</f>
        <v>-7694.597</v>
      </c>
    </row>
    <row r="47" ht="18" customHeight="1" spans="1:6">
      <c r="A47" s="33" t="s">
        <v>192</v>
      </c>
      <c r="B47" s="47"/>
      <c r="C47" s="33"/>
      <c r="D47" s="48" t="s">
        <v>193</v>
      </c>
      <c r="E47" s="14">
        <v>0.03</v>
      </c>
      <c r="F47" s="24">
        <f>F45*E47</f>
        <v>-4616.7582</v>
      </c>
    </row>
    <row r="48" ht="18" customHeight="1" spans="1:6">
      <c r="A48" s="33"/>
      <c r="B48" s="24"/>
      <c r="C48" s="33"/>
      <c r="D48" s="48" t="s">
        <v>194</v>
      </c>
      <c r="E48" s="14">
        <v>0.02</v>
      </c>
      <c r="F48" s="24">
        <f>F45*E48</f>
        <v>-3077.8388</v>
      </c>
    </row>
    <row r="49" ht="18" customHeight="1" spans="1:6">
      <c r="A49" s="28" t="s">
        <v>195</v>
      </c>
      <c r="B49" s="29">
        <f>SUM(B45:B48)</f>
        <v>-295946.015</v>
      </c>
      <c r="C49" s="33"/>
      <c r="D49" s="34" t="s">
        <v>195</v>
      </c>
      <c r="E49" s="28"/>
      <c r="F49" s="32">
        <f>SUM(F45:F48)</f>
        <v>-169281.134</v>
      </c>
    </row>
    <row r="50" ht="18" customHeight="1" spans="3:6">
      <c r="C50" s="2"/>
      <c r="D50" s="12" t="s">
        <v>189</v>
      </c>
      <c r="E50" s="49">
        <v>0.0003</v>
      </c>
      <c r="F50" s="24">
        <f>G11*E50</f>
        <v>0</v>
      </c>
    </row>
    <row r="51" ht="18" customHeight="1" spans="3:6">
      <c r="C51" s="2"/>
      <c r="D51" s="12" t="s">
        <v>192</v>
      </c>
      <c r="E51" s="49">
        <v>0.0006</v>
      </c>
      <c r="F51" s="24">
        <f>B45</f>
        <v>-295946.015</v>
      </c>
    </row>
    <row r="52" ht="18" customHeight="1" spans="3:6">
      <c r="C52" s="2"/>
      <c r="D52" s="20" t="s">
        <v>195</v>
      </c>
      <c r="E52" s="40"/>
      <c r="F52" s="31">
        <f>F51+F50</f>
        <v>-295946.015</v>
      </c>
    </row>
    <row r="53" ht="18" customHeight="1" spans="3:6">
      <c r="C53" s="2"/>
      <c r="D53" s="20" t="s">
        <v>23</v>
      </c>
      <c r="E53" s="30"/>
      <c r="F53" s="31">
        <f>F49+F52</f>
        <v>-465227.149</v>
      </c>
    </row>
    <row r="54" ht="18" customHeight="1" spans="3:6">
      <c r="C54" s="2"/>
      <c r="D54" s="30" t="s">
        <v>186</v>
      </c>
      <c r="E54" s="40">
        <v>0.016</v>
      </c>
      <c r="F54" s="31">
        <f>B11*E54</f>
        <v>0</v>
      </c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</sheetData>
  <protectedRanges>
    <protectedRange sqref="K34:L34" name="区域1"/>
  </protectedRanges>
  <autoFilter ref="A13:O5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第三次</vt:lpstr>
      <vt:lpstr>第二次</vt:lpstr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2021-11-09T06:35:52Z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536AEF801E574C048917512A0C32FF33</vt:lpwstr>
  </property>
</Properties>
</file>