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activeTab="4"/>
  </bookViews>
  <sheets>
    <sheet name="第1次" sheetId="1" r:id="rId1"/>
    <sheet name="第6次" sheetId="2" r:id="rId2"/>
    <sheet name="第6次 (2)" sheetId="3" r:id="rId3"/>
    <sheet name="第7次" sheetId="4" r:id="rId4"/>
    <sheet name="第9次" sheetId="5" r:id="rId5"/>
  </sheets>
  <definedNames>
    <definedName name="_xlnm._FilterDatabase" localSheetId="1" hidden="1">第6次!$A$12:$P$82</definedName>
    <definedName name="_xlnm._FilterDatabase" localSheetId="2" hidden="1">'第6次 (2)'!$A$12:$P$90</definedName>
    <definedName name="_xlnm._FilterDatabase" localSheetId="3" hidden="1">第7次!$A$12:$P$96</definedName>
    <definedName name="_xlnm._FilterDatabase" localSheetId="4" hidden="1">第9次!$A$16:$P$115</definedName>
  </definedNames>
  <calcPr calcId="144525" concurrentCalc="0"/>
</workbook>
</file>

<file path=xl/comments1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46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60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6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75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3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6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82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4.xml><?xml version="1.0" encoding="utf-8"?>
<comments xmlns="http://schemas.openxmlformats.org/spreadsheetml/2006/main">
  <authors>
    <author>cw015</author>
    <author>cw05</author>
  </authors>
  <commentList>
    <comment ref="G38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I74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88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</commentList>
</comments>
</file>

<file path=xl/comments5.xml><?xml version="1.0" encoding="utf-8"?>
<comments xmlns="http://schemas.openxmlformats.org/spreadsheetml/2006/main">
  <authors>
    <author>cw015</author>
    <author>cw05</author>
  </authors>
  <commentList>
    <comment ref="G4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14796388号  没签字退回</t>
        </r>
      </text>
    </comment>
    <comment ref="G59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缺货单及报销封面</t>
        </r>
      </text>
    </comment>
    <comment ref="I89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支付表是2000</t>
        </r>
      </text>
    </comment>
    <comment ref="A104" authorId="1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G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20.9.29已扣</t>
        </r>
      </text>
    </comment>
    <comment ref="H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20.12.9已扣</t>
        </r>
      </text>
    </comment>
    <comment ref="I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20.12.30已扣</t>
        </r>
      </text>
    </comment>
    <comment ref="K110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21.2.22已扣</t>
        </r>
      </text>
    </comment>
    <comment ref="G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20.9.29已扣</t>
        </r>
      </text>
    </comment>
    <comment ref="H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20.12.9已扣</t>
        </r>
      </text>
    </comment>
    <comment ref="I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20.12.30已扣</t>
        </r>
      </text>
    </comment>
    <comment ref="K111" authorId="0">
      <text>
        <r>
          <rPr>
            <b/>
            <sz val="9"/>
            <rFont val="宋体"/>
            <charset val="134"/>
          </rPr>
          <t>cw015:</t>
        </r>
        <r>
          <rPr>
            <sz val="9"/>
            <rFont val="宋体"/>
            <charset val="134"/>
          </rPr>
          <t xml:space="preserve">
21.2.22已扣</t>
        </r>
      </text>
    </comment>
  </commentList>
</comments>
</file>

<file path=xl/sharedStrings.xml><?xml version="1.0" encoding="utf-8"?>
<sst xmlns="http://schemas.openxmlformats.org/spreadsheetml/2006/main" count="1281" uniqueCount="150">
  <si>
    <t>省道S281线电白长格至羊角段（电白段）路面改造工程</t>
  </si>
  <si>
    <t>中标日期</t>
  </si>
  <si>
    <t>中标价</t>
  </si>
  <si>
    <t>负责人</t>
  </si>
  <si>
    <t>杨学良</t>
  </si>
  <si>
    <t>建设单位</t>
  </si>
  <si>
    <t>茂名市地方公路管理总站电白公路站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</si>
  <si>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</si>
  <si>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</si>
  <si>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</si>
  <si>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</si>
  <si>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</si>
  <si>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</si>
  <si>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</si>
  <si>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</si>
  <si>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</si>
  <si>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</si>
  <si>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</si>
  <si>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</si>
  <si>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</si>
  <si>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</si>
  <si>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2020.9.25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</si>
  <si>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</si>
  <si>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</si>
  <si>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</si>
  <si>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</si>
  <si>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</si>
  <si>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</si>
  <si>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</si>
  <si>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</si>
  <si>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</si>
  <si>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</si>
  <si>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</si>
  <si>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</si>
  <si>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</si>
  <si>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</si>
  <si>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</si>
  <si>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2019.7.15</t>
  </si>
  <si>
    <t>徽行</t>
  </si>
  <si>
    <t>杨柏恩</t>
  </si>
  <si>
    <t>2019.7.22</t>
  </si>
  <si>
    <t>深圳市合银非融资性担保有限公司</t>
  </si>
  <si>
    <t>2019.08.29</t>
  </si>
  <si>
    <t>专</t>
  </si>
  <si>
    <t xml:space="preserve"> 广东建银工程咨询有限公司</t>
  </si>
  <si>
    <t>2020.5.27</t>
  </si>
  <si>
    <t>茂名市电白区森宇建材有限公司</t>
  </si>
  <si>
    <t>2020.5.25</t>
  </si>
  <si>
    <t>白光昌</t>
  </si>
  <si>
    <t>广东翠源供应链管理有限公司</t>
  </si>
  <si>
    <t>2020.9.27</t>
  </si>
  <si>
    <t>普</t>
  </si>
  <si>
    <t>茂名滨海新区三鲜大排档</t>
  </si>
  <si>
    <t>餐费</t>
  </si>
  <si>
    <t>茂名市城区众惠劳保用品经营部</t>
  </si>
  <si>
    <t>反光背心、安全帽</t>
  </si>
  <si>
    <t>无</t>
  </si>
  <si>
    <t>灭火器</t>
  </si>
  <si>
    <t>铁马</t>
  </si>
  <si>
    <t>标识、防护手套、反光椎</t>
  </si>
  <si>
    <t>标志、信号灯</t>
  </si>
  <si>
    <t>机械租赁</t>
  </si>
  <si>
    <t>9.27开票 票号15204358</t>
  </si>
  <si>
    <t>电普</t>
  </si>
  <si>
    <t>中国石化天燃气股份有限公司</t>
  </si>
  <si>
    <t>汽油</t>
  </si>
  <si>
    <t>广东旭城建筑劳务有限公司</t>
  </si>
  <si>
    <t>劳务</t>
  </si>
  <si>
    <t>茂名市电白区税务局</t>
  </si>
  <si>
    <t>社会保险基金</t>
  </si>
  <si>
    <t>复印件</t>
  </si>
  <si>
    <t>2020.10.19</t>
  </si>
  <si>
    <t>中国人民财产保险股份有限公司茂名分公司</t>
  </si>
  <si>
    <t>农民工薪履约保险</t>
  </si>
  <si>
    <t>抵扣联复印件</t>
  </si>
  <si>
    <t>6.5开票 票号15180336</t>
  </si>
  <si>
    <t>水泥</t>
  </si>
  <si>
    <t>中国人民财产保险股份有限公司茂名市分公司</t>
  </si>
  <si>
    <t>第三者责任险</t>
  </si>
  <si>
    <t>扣</t>
  </si>
  <si>
    <t>何总差旅费是2085  王文伍差旅费是2042，出场费共计3000元。</t>
  </si>
  <si>
    <t>手续费</t>
  </si>
  <si>
    <t>管理费</t>
  </si>
  <si>
    <t>2020.9.29</t>
  </si>
  <si>
    <t>6.9-6.13项目巡查费用</t>
  </si>
  <si>
    <t>暂扣</t>
  </si>
  <si>
    <t>成本不够暂扣企税</t>
  </si>
  <si>
    <t>增值税及附加（工程款到了扣）</t>
  </si>
  <si>
    <t>企税</t>
  </si>
  <si>
    <t>手续费（周转金里）</t>
  </si>
  <si>
    <t>应提供成本</t>
  </si>
  <si>
    <t>可支付金额</t>
  </si>
  <si>
    <t>尚需提供成本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</si>
  <si>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</si>
  <si>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</si>
  <si>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</si>
  <si>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</si>
  <si>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</si>
  <si>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</si>
  <si>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</si>
  <si>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异地按合同已预缴</t>
  </si>
  <si>
    <t>城市维护建设税</t>
  </si>
  <si>
    <t>水利基金</t>
  </si>
  <si>
    <t>教育费附加</t>
  </si>
  <si>
    <t>地方教育费附加</t>
  </si>
  <si>
    <t>小计</t>
  </si>
  <si>
    <t>成本票不够暂扣企税</t>
  </si>
  <si>
    <t>2020.12.09</t>
  </si>
  <si>
    <t>2020.11.02</t>
  </si>
  <si>
    <t>2020.12.3</t>
  </si>
  <si>
    <t>水利基金                   5月、12月开票</t>
  </si>
  <si>
    <t>企税                     12月开票</t>
  </si>
  <si>
    <t>退</t>
  </si>
  <si>
    <t>9.29暂扣企税</t>
  </si>
  <si>
    <t>20.5开票扣税</t>
  </si>
  <si>
    <t>11.02退企税</t>
  </si>
  <si>
    <t>11.25开票扣税</t>
  </si>
  <si>
    <t>应扣</t>
  </si>
  <si>
    <t>已扣</t>
  </si>
  <si>
    <t>退暂扣</t>
  </si>
  <si>
    <t>（水泥）</t>
  </si>
  <si>
    <t>2020.12.16</t>
  </si>
  <si>
    <t>深圳市创途交通设施工程有限公司</t>
  </si>
  <si>
    <t>（劳保用品）</t>
  </si>
  <si>
    <t>12月11日出差：何昌宝差旅2388元，王文伍差旅费2786元。出场费共计3000元</t>
  </si>
  <si>
    <t>12.18开票税金</t>
  </si>
  <si>
    <t>(机械)</t>
  </si>
  <si>
    <t>企税 0.02                    12月开票</t>
  </si>
  <si>
    <t>增值税及附加          20.12月开票</t>
  </si>
  <si>
    <t>2020.12.30</t>
  </si>
  <si>
    <t>管理费           20.12月开票</t>
  </si>
  <si>
    <t>出</t>
  </si>
  <si>
    <t>手续</t>
  </si>
  <si>
    <t>20.12.9</t>
  </si>
  <si>
    <t>管</t>
  </si>
  <si>
    <t>增</t>
  </si>
  <si>
    <t>2020.12.21</t>
  </si>
  <si>
    <t>清远市清城区源潭镇尚丰建筑材料经营部</t>
  </si>
  <si>
    <t>(砂石)</t>
  </si>
  <si>
    <t>借款</t>
  </si>
  <si>
    <t>茂名茂筑沥青混凝土有限公司</t>
  </si>
  <si>
    <t>代普</t>
  </si>
  <si>
    <t>邓永洪(砂石)</t>
  </si>
  <si>
    <t>管理费           21.2.2月开票</t>
  </si>
  <si>
    <t>企税 0.02           21.2.2月开票</t>
  </si>
  <si>
    <t>增值税及附加          21.2.2月开票</t>
  </si>
  <si>
    <t>补扣城建税（税率0.07-0.05）差额</t>
  </si>
  <si>
    <t>20.12.18开票税金</t>
  </si>
  <si>
    <t>21.2.2开票税金</t>
  </si>
  <si>
    <t>前期已扣税款99779.32 已在ERP录入中税款调整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</si>
</sst>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0.00_ "/>
    <numFmt numFmtId="178" formatCode="yyyy&quot;年&quot;m&quot;月&quot;d&quot;日&quot;;@"/>
    <numFmt numFmtId="179" formatCode="yy/m/d;@"/>
    <numFmt numFmtId="180" formatCode="#,##0_ "/>
    <numFmt numFmtId="181" formatCode="0_ "/>
  </numFmts>
  <fonts count="37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4" fillId="1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4" borderId="10" applyNumberFormat="0" applyFont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5" fillId="13" borderId="8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27" fillId="29" borderId="11" applyNumberForma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0" fillId="0" borderId="0">
      <protection locked="0"/>
    </xf>
  </cellStyleXfs>
  <cellXfs count="164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horizontal="center" vertical="center"/>
    </xf>
    <xf numFmtId="10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8" fontId="4" fillId="0" borderId="1" xfId="0" applyNumberFormat="1" applyFont="1" applyBorder="1" applyAlignment="1">
      <alignment horizontal="center" vertical="center"/>
    </xf>
    <xf numFmtId="179" fontId="4" fillId="0" borderId="1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8" fontId="3" fillId="0" borderId="2" xfId="0" applyNumberFormat="1" applyFont="1" applyBorder="1" applyAlignment="1">
      <alignment vertical="center"/>
    </xf>
    <xf numFmtId="14" fontId="3" fillId="0" borderId="2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5" fillId="0" borderId="0" xfId="0" applyFont="1"/>
    <xf numFmtId="176" fontId="3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177" fontId="3" fillId="0" borderId="2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vertical="center"/>
    </xf>
    <xf numFmtId="179" fontId="4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8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vertical="center"/>
    </xf>
    <xf numFmtId="9" fontId="3" fillId="0" borderId="2" xfId="11" applyFont="1" applyBorder="1" applyAlignment="1">
      <alignment horizontal="center" vertical="center"/>
    </xf>
    <xf numFmtId="177" fontId="3" fillId="0" borderId="2" xfId="0" applyNumberFormat="1" applyFont="1" applyFill="1" applyBorder="1" applyAlignment="1">
      <alignment vertical="center"/>
    </xf>
    <xf numFmtId="9" fontId="3" fillId="0" borderId="2" xfId="11" applyNumberFormat="1" applyFont="1" applyBorder="1" applyAlignment="1">
      <alignment horizontal="center" vertical="center"/>
    </xf>
    <xf numFmtId="177" fontId="1" fillId="2" borderId="2" xfId="0" applyNumberFormat="1" applyFont="1" applyFill="1" applyBorder="1" applyAlignment="1">
      <alignment vertical="center"/>
    </xf>
    <xf numFmtId="179" fontId="3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9" fontId="1" fillId="0" borderId="2" xfId="11" applyFont="1" applyBorder="1" applyAlignment="1">
      <alignment horizontal="center" vertical="center"/>
    </xf>
    <xf numFmtId="177" fontId="1" fillId="0" borderId="2" xfId="0" applyNumberFormat="1" applyFont="1" applyFill="1" applyBorder="1" applyAlignment="1">
      <alignment vertical="center"/>
    </xf>
    <xf numFmtId="178" fontId="8" fillId="3" borderId="4" xfId="49" applyNumberFormat="1" applyFont="1" applyFill="1" applyBorder="1" applyAlignment="1" applyProtection="1">
      <alignment horizontal="center" vertical="center" shrinkToFit="1"/>
    </xf>
    <xf numFmtId="178" fontId="7" fillId="0" borderId="2" xfId="0" applyNumberFormat="1" applyFont="1" applyBorder="1" applyAlignment="1">
      <alignment vertical="center"/>
    </xf>
    <xf numFmtId="177" fontId="7" fillId="4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7" fontId="7" fillId="0" borderId="2" xfId="0" applyNumberFormat="1" applyFont="1" applyBorder="1" applyAlignment="1">
      <alignment vertical="center"/>
    </xf>
    <xf numFmtId="177" fontId="7" fillId="5" borderId="2" xfId="0" applyNumberFormat="1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6" borderId="2" xfId="11" applyFont="1" applyFill="1" applyBorder="1" applyAlignment="1">
      <alignment horizontal="center" vertical="center"/>
    </xf>
    <xf numFmtId="9" fontId="1" fillId="6" borderId="2" xfId="11" applyNumberFormat="1" applyFont="1" applyFill="1" applyBorder="1" applyAlignment="1">
      <alignment horizontal="center" vertical="center"/>
    </xf>
    <xf numFmtId="179" fontId="1" fillId="0" borderId="2" xfId="0" applyNumberFormat="1" applyFont="1" applyBorder="1" applyAlignment="1">
      <alignment horizontal="center" vertical="center"/>
    </xf>
    <xf numFmtId="177" fontId="2" fillId="2" borderId="2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center" vertical="center"/>
    </xf>
    <xf numFmtId="180" fontId="2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9" fontId="2" fillId="6" borderId="2" xfId="11" applyFont="1" applyFill="1" applyBorder="1" applyAlignment="1">
      <alignment horizontal="center" vertical="center"/>
    </xf>
    <xf numFmtId="179" fontId="2" fillId="0" borderId="2" xfId="0" applyNumberFormat="1" applyFont="1" applyBorder="1" applyAlignment="1">
      <alignment horizontal="center" vertical="center"/>
    </xf>
    <xf numFmtId="179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14" fontId="1" fillId="0" borderId="2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77" fontId="3" fillId="0" borderId="5" xfId="0" applyNumberFormat="1" applyFont="1" applyBorder="1" applyAlignment="1">
      <alignment horizontal="center" vertical="center"/>
    </xf>
    <xf numFmtId="179" fontId="3" fillId="0" borderId="6" xfId="0" applyNumberFormat="1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43" fontId="8" fillId="0" borderId="2" xfId="8" applyFont="1" applyFill="1" applyBorder="1" applyAlignment="1" applyProtection="1">
      <alignment horizontal="center" vertical="center"/>
      <protection locked="0"/>
    </xf>
    <xf numFmtId="10" fontId="3" fillId="0" borderId="0" xfId="0" applyNumberFormat="1" applyFont="1" applyBorder="1" applyAlignment="1">
      <alignment vertical="center"/>
    </xf>
    <xf numFmtId="10" fontId="7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43" fontId="9" fillId="0" borderId="2" xfId="8" applyFont="1" applyFill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>
      <alignment horizontal="center" vertical="center"/>
    </xf>
    <xf numFmtId="176" fontId="9" fillId="0" borderId="2" xfId="49" applyNumberFormat="1" applyFont="1" applyFill="1" applyBorder="1" applyAlignment="1" applyProtection="1">
      <alignment horizontal="center" vertical="center" wrapText="1"/>
    </xf>
    <xf numFmtId="176" fontId="11" fillId="3" borderId="4" xfId="49" applyNumberFormat="1" applyFont="1" applyFill="1" applyBorder="1" applyAlignment="1" applyProtection="1">
      <alignment horizontal="center" vertical="center" wrapText="1"/>
    </xf>
    <xf numFmtId="176" fontId="11" fillId="3" borderId="2" xfId="49" applyNumberFormat="1" applyFont="1" applyFill="1" applyBorder="1" applyAlignment="1" applyProtection="1">
      <alignment horizontal="left" vertical="center" wrapText="1"/>
    </xf>
    <xf numFmtId="10" fontId="9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77" fontId="8" fillId="0" borderId="6" xfId="0" applyNumberFormat="1" applyFont="1" applyFill="1" applyBorder="1" applyAlignment="1">
      <alignment horizontal="center" vertical="center"/>
    </xf>
    <xf numFmtId="10" fontId="8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9" fontId="10" fillId="0" borderId="2" xfId="0" applyNumberFormat="1" applyFont="1" applyFill="1" applyBorder="1" applyAlignment="1">
      <alignment horizontal="center" vertical="center"/>
    </xf>
    <xf numFmtId="177" fontId="7" fillId="0" borderId="3" xfId="0" applyNumberFormat="1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177" fontId="7" fillId="0" borderId="3" xfId="0" applyNumberFormat="1" applyFont="1" applyBorder="1" applyAlignment="1">
      <alignment horizontal="center" vertical="center"/>
    </xf>
    <xf numFmtId="181" fontId="7" fillId="0" borderId="2" xfId="0" applyNumberFormat="1" applyFont="1" applyBorder="1" applyAlignment="1">
      <alignment horizontal="center" vertical="center"/>
    </xf>
    <xf numFmtId="179" fontId="7" fillId="0" borderId="2" xfId="0" applyNumberFormat="1" applyFont="1" applyBorder="1" applyAlignment="1">
      <alignment vertical="center"/>
    </xf>
    <xf numFmtId="177" fontId="7" fillId="0" borderId="2" xfId="0" applyNumberFormat="1" applyFont="1" applyFill="1" applyBorder="1" applyAlignment="1">
      <alignment vertical="center"/>
    </xf>
    <xf numFmtId="181" fontId="3" fillId="0" borderId="2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right" vertical="center"/>
    </xf>
    <xf numFmtId="179" fontId="3" fillId="0" borderId="2" xfId="0" applyNumberFormat="1" applyFont="1" applyBorder="1" applyAlignment="1">
      <alignment horizontal="right" vertical="center"/>
    </xf>
    <xf numFmtId="179" fontId="7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7" fillId="0" borderId="2" xfId="0" applyNumberFormat="1" applyFont="1" applyBorder="1" applyAlignment="1">
      <alignment vertical="center"/>
    </xf>
    <xf numFmtId="176" fontId="7" fillId="5" borderId="2" xfId="0" applyNumberFormat="1" applyFont="1" applyFill="1" applyBorder="1" applyAlignment="1">
      <alignment horizontal="center" vertical="center"/>
    </xf>
    <xf numFmtId="176" fontId="7" fillId="5" borderId="2" xfId="0" applyNumberFormat="1" applyFont="1" applyFill="1" applyBorder="1" applyAlignment="1">
      <alignment vertical="center"/>
    </xf>
    <xf numFmtId="0" fontId="7" fillId="5" borderId="2" xfId="0" applyNumberFormat="1" applyFont="1" applyFill="1" applyBorder="1" applyAlignment="1">
      <alignment vertical="center"/>
    </xf>
    <xf numFmtId="177" fontId="7" fillId="5" borderId="2" xfId="0" applyNumberFormat="1" applyFont="1" applyFill="1" applyBorder="1" applyAlignment="1">
      <alignment horizontal="center" vertical="center"/>
    </xf>
    <xf numFmtId="181" fontId="3" fillId="5" borderId="2" xfId="0" applyNumberFormat="1" applyFont="1" applyFill="1" applyBorder="1" applyAlignment="1">
      <alignment horizontal="center" vertical="center"/>
    </xf>
    <xf numFmtId="176" fontId="9" fillId="0" borderId="2" xfId="49" applyNumberFormat="1" applyFont="1" applyFill="1" applyBorder="1" applyAlignment="1" applyProtection="1">
      <alignment horizontal="center" vertical="center" shrinkToFit="1"/>
    </xf>
    <xf numFmtId="0" fontId="10" fillId="0" borderId="2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2" fillId="0" borderId="2" xfId="49" applyNumberFormat="1" applyFont="1" applyFill="1" applyBorder="1" applyAlignment="1" applyProtection="1">
      <alignment horizontal="center" vertical="center" shrinkToFit="1"/>
    </xf>
    <xf numFmtId="0" fontId="1" fillId="0" borderId="2" xfId="0" applyNumberFormat="1" applyFont="1" applyFill="1" applyBorder="1" applyAlignment="1">
      <alignment horizontal="center" vertical="center"/>
    </xf>
    <xf numFmtId="176" fontId="8" fillId="0" borderId="2" xfId="49" applyNumberFormat="1" applyFont="1" applyFill="1" applyBorder="1" applyAlignment="1" applyProtection="1">
      <alignment horizontal="center" vertical="center" shrinkToFit="1"/>
    </xf>
    <xf numFmtId="177" fontId="8" fillId="0" borderId="2" xfId="49" applyNumberFormat="1" applyFont="1" applyFill="1" applyBorder="1" applyAlignment="1" applyProtection="1">
      <alignment horizontal="center" vertical="center" shrinkToFit="1"/>
    </xf>
    <xf numFmtId="0" fontId="8" fillId="0" borderId="2" xfId="0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2" xfId="0" applyNumberFormat="1" applyFont="1" applyBorder="1" applyAlignment="1">
      <alignment horizontal="center" vertical="center"/>
    </xf>
    <xf numFmtId="10" fontId="7" fillId="0" borderId="0" xfId="0" applyNumberFormat="1" applyFont="1" applyBorder="1" applyAlignment="1">
      <alignment horizontal="center" vertical="center"/>
    </xf>
    <xf numFmtId="177" fontId="7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77" fontId="7" fillId="0" borderId="6" xfId="0" applyNumberFormat="1" applyFont="1" applyBorder="1" applyAlignment="1">
      <alignment horizontal="center" vertical="center"/>
    </xf>
    <xf numFmtId="177" fontId="7" fillId="5" borderId="3" xfId="0" applyNumberFormat="1" applyFont="1" applyFill="1" applyBorder="1" applyAlignment="1">
      <alignment horizontal="center" vertical="center"/>
    </xf>
    <xf numFmtId="177" fontId="7" fillId="5" borderId="6" xfId="0" applyNumberFormat="1" applyFont="1" applyFill="1" applyBorder="1" applyAlignment="1">
      <alignment horizontal="center" vertical="center"/>
    </xf>
    <xf numFmtId="179" fontId="3" fillId="0" borderId="3" xfId="0" applyNumberFormat="1" applyFont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vertical="center"/>
    </xf>
    <xf numFmtId="177" fontId="1" fillId="4" borderId="2" xfId="0" applyNumberFormat="1" applyFont="1" applyFill="1" applyBorder="1" applyAlignment="1">
      <alignment vertical="center"/>
    </xf>
    <xf numFmtId="14" fontId="1" fillId="4" borderId="2" xfId="0" applyNumberFormat="1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vertical="center"/>
    </xf>
    <xf numFmtId="176" fontId="9" fillId="4" borderId="2" xfId="49" applyNumberFormat="1" applyFont="1" applyFill="1" applyBorder="1" applyAlignment="1" applyProtection="1">
      <alignment horizontal="center" vertical="center" shrinkToFit="1"/>
    </xf>
    <xf numFmtId="0" fontId="10" fillId="4" borderId="2" xfId="0" applyNumberFormat="1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176" fontId="9" fillId="4" borderId="2" xfId="49" applyNumberFormat="1" applyFont="1" applyFill="1" applyBorder="1" applyAlignment="1" applyProtection="1">
      <alignment horizontal="center" vertical="center" wrapText="1"/>
    </xf>
    <xf numFmtId="0" fontId="7" fillId="0" borderId="2" xfId="0" applyFont="1" applyBorder="1" applyAlignment="1">
      <alignment vertical="center"/>
    </xf>
    <xf numFmtId="176" fontId="3" fillId="0" borderId="6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5" borderId="0" xfId="0" applyNumberFormat="1" applyFont="1" applyFill="1" applyBorder="1" applyAlignment="1">
      <alignment vertical="center"/>
    </xf>
    <xf numFmtId="177" fontId="3" fillId="5" borderId="0" xfId="0" applyNumberFormat="1" applyFont="1" applyFill="1" applyBorder="1" applyAlignment="1">
      <alignment horizontal="center" vertical="center"/>
    </xf>
    <xf numFmtId="10" fontId="3" fillId="5" borderId="0" xfId="0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 applyProtection="1">
      <alignment horizontal="center" vertical="center" shrinkToFit="1"/>
    </xf>
    <xf numFmtId="10" fontId="9" fillId="4" borderId="2" xfId="0" applyNumberFormat="1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horizontal="center" vertical="center"/>
    </xf>
    <xf numFmtId="179" fontId="3" fillId="4" borderId="2" xfId="0" applyNumberFormat="1" applyFont="1" applyFill="1" applyBorder="1" applyAlignment="1">
      <alignment horizontal="center" vertical="center"/>
    </xf>
    <xf numFmtId="179" fontId="10" fillId="4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43" fontId="9" fillId="4" borderId="2" xfId="8" applyFont="1" applyFill="1" applyBorder="1" applyAlignment="1" applyProtection="1">
      <alignment horizontal="center" vertical="center"/>
      <protection locked="0"/>
    </xf>
    <xf numFmtId="0" fontId="10" fillId="4" borderId="2" xfId="0" applyFont="1" applyFill="1" applyBorder="1" applyAlignment="1">
      <alignment horizontal="center" vertical="center"/>
    </xf>
    <xf numFmtId="176" fontId="9" fillId="4" borderId="2" xfId="49" applyNumberFormat="1" applyFont="1" applyFill="1" applyBorder="1" applyAlignment="1" applyProtection="1">
      <alignment horizontal="left" vertical="center" wrapText="1"/>
    </xf>
    <xf numFmtId="10" fontId="9" fillId="4" borderId="2" xfId="0" applyNumberFormat="1" applyFont="1" applyFill="1" applyBorder="1" applyAlignment="1">
      <alignment vertical="center"/>
    </xf>
    <xf numFmtId="177" fontId="8" fillId="4" borderId="2" xfId="49" applyNumberFormat="1" applyFont="1" applyFill="1" applyBorder="1" applyAlignment="1" applyProtection="1">
      <alignment horizontal="center" vertical="center" shrinkToFit="1"/>
    </xf>
    <xf numFmtId="0" fontId="8" fillId="4" borderId="2" xfId="0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vertical="center"/>
    </xf>
    <xf numFmtId="177" fontId="2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" fillId="4" borderId="2" xfId="0" applyNumberFormat="1" applyFont="1" applyFill="1" applyBorder="1" applyAlignment="1">
      <alignment vertical="center"/>
    </xf>
    <xf numFmtId="177" fontId="3" fillId="4" borderId="2" xfId="0" applyNumberFormat="1" applyFont="1" applyFill="1" applyBorder="1" applyAlignment="1">
      <alignment horizontal="center" vertical="center"/>
    </xf>
    <xf numFmtId="10" fontId="7" fillId="0" borderId="0" xfId="0" applyNumberFormat="1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6"/>
  <sheetViews>
    <sheetView topLeftCell="A41" workbookViewId="0">
      <selection activeCell="K52" sqref="K52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9.63333333333333" style="5" customWidth="1"/>
    <col min="9" max="9" width="13.8833333333333" style="7" customWidth="1"/>
    <col min="10" max="10" width="6.13333333333333" style="8" customWidth="1"/>
    <col min="11" max="11" width="31.5" style="10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9" t="s">
        <v>6</v>
      </c>
      <c r="I2" s="61"/>
      <c r="J2" s="62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3"/>
      <c r="J3" s="23"/>
      <c r="K3" s="23"/>
      <c r="L3" s="23"/>
    </row>
    <row r="4" ht="18" customHeight="1" spans="1:12">
      <c r="A4" s="3" t="s">
        <v>9</v>
      </c>
      <c r="H4" s="23"/>
      <c r="I4" s="63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8" si="0">G7/(1+C7+E7)</f>
        <v>809788.990825688</v>
      </c>
      <c r="C7" s="30">
        <v>0.02</v>
      </c>
      <c r="D7" s="31">
        <f t="shared" ref="D7:D8" si="1">G7/(1+E7+C7)*C7</f>
        <v>16195.7798165138</v>
      </c>
      <c r="E7" s="32">
        <v>0.07</v>
      </c>
      <c r="F7" s="29">
        <f t="shared" ref="F7:F8" si="2">G7/(1+C7+E7)*E7</f>
        <v>56685.2293577982</v>
      </c>
      <c r="G7" s="33">
        <v>882670</v>
      </c>
      <c r="H7" s="34" t="s">
        <v>21</v>
      </c>
      <c r="I7" s="20">
        <v>882670</v>
      </c>
      <c r="J7" s="44" t="s">
        <v>22</v>
      </c>
    </row>
    <row r="8" ht="18" customHeight="1" spans="1:10">
      <c r="A8" s="28"/>
      <c r="B8" s="29">
        <f t="shared" si="0"/>
        <v>0</v>
      </c>
      <c r="C8" s="30">
        <v>0.02</v>
      </c>
      <c r="D8" s="31">
        <f t="shared" si="1"/>
        <v>0</v>
      </c>
      <c r="E8" s="30">
        <v>0.08</v>
      </c>
      <c r="F8" s="29">
        <f t="shared" si="2"/>
        <v>0</v>
      </c>
      <c r="G8" s="33"/>
      <c r="H8" s="34"/>
      <c r="I8" s="20"/>
      <c r="J8" s="44"/>
    </row>
    <row r="9" ht="18" customHeight="1" spans="1:10">
      <c r="A9" s="28"/>
      <c r="B9" s="29">
        <f t="shared" ref="B8:B10" si="3">G9/(1+C9+E9)</f>
        <v>0</v>
      </c>
      <c r="C9" s="30">
        <v>0.02</v>
      </c>
      <c r="D9" s="31">
        <f t="shared" ref="D8:D10" si="4">G9/(1+E9+C9)*C9</f>
        <v>0</v>
      </c>
      <c r="E9" s="30">
        <v>0.08</v>
      </c>
      <c r="F9" s="29">
        <f t="shared" ref="F8:F10" si="5">G9/(1+C9+E9)*E9</f>
        <v>0</v>
      </c>
      <c r="G9" s="33"/>
      <c r="H9" s="34"/>
      <c r="I9" s="20"/>
      <c r="J9" s="44"/>
    </row>
    <row r="10" ht="18" customHeight="1" spans="1:10">
      <c r="A10" s="28"/>
      <c r="B10" s="29">
        <f t="shared" si="3"/>
        <v>0</v>
      </c>
      <c r="C10" s="30">
        <v>0.02</v>
      </c>
      <c r="D10" s="31">
        <f t="shared" si="4"/>
        <v>0</v>
      </c>
      <c r="E10" s="30">
        <v>0.08</v>
      </c>
      <c r="F10" s="29">
        <f t="shared" si="5"/>
        <v>0</v>
      </c>
      <c r="G10" s="33"/>
      <c r="H10" s="34"/>
      <c r="I10" s="20"/>
      <c r="J10" s="44"/>
    </row>
    <row r="11" ht="18" customHeight="1" spans="1:10">
      <c r="A11" s="39" t="s">
        <v>23</v>
      </c>
      <c r="B11" s="40">
        <f>SUM(B7:B10)</f>
        <v>809788.990825688</v>
      </c>
      <c r="C11" s="41"/>
      <c r="D11" s="42">
        <f t="shared" ref="D11:G11" si="6">SUM(D7:D10)</f>
        <v>16195.7798165138</v>
      </c>
      <c r="E11" s="41"/>
      <c r="F11" s="43">
        <f t="shared" si="6"/>
        <v>56685.2293577982</v>
      </c>
      <c r="G11" s="42">
        <f t="shared" si="6"/>
        <v>882670</v>
      </c>
      <c r="H11" s="93"/>
      <c r="I11" s="25">
        <f>SUM(I7:I10)</f>
        <v>882670</v>
      </c>
      <c r="J11" s="44"/>
    </row>
    <row r="12" ht="18" customHeight="1" spans="1:12">
      <c r="A12" s="3" t="s">
        <v>24</v>
      </c>
      <c r="J12" s="6"/>
      <c r="K12" s="5"/>
      <c r="L12" s="65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6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hidden="1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7" t="s">
        <v>38</v>
      </c>
      <c r="K14" s="29" t="s">
        <v>39</v>
      </c>
      <c r="L14" s="27"/>
      <c r="M14" s="27"/>
      <c r="N14" s="27"/>
      <c r="O14" s="27"/>
    </row>
    <row r="15" s="1" customFormat="1" ht="18" hidden="1" customHeight="1" spans="1:15">
      <c r="A15" s="35"/>
      <c r="B15" s="22">
        <f>ROUND(G15/(1+E15),2)</f>
        <v>0</v>
      </c>
      <c r="C15" s="46"/>
      <c r="D15" s="47"/>
      <c r="E15" s="48"/>
      <c r="F15" s="22">
        <f t="shared" ref="F15:F22" si="7">ROUND(G15/(1+E15)*E15,2)</f>
        <v>0</v>
      </c>
      <c r="G15" s="33"/>
      <c r="H15" s="34" t="s">
        <v>40</v>
      </c>
      <c r="I15" s="20">
        <v>5000</v>
      </c>
      <c r="J15" s="44" t="s">
        <v>22</v>
      </c>
      <c r="K15" s="151" t="s">
        <v>41</v>
      </c>
      <c r="L15" s="58"/>
      <c r="M15" s="67"/>
      <c r="N15" s="67"/>
      <c r="O15" s="58"/>
    </row>
    <row r="16" s="1" customFormat="1" ht="18" hidden="1" customHeight="1" spans="1:15">
      <c r="A16" s="35" t="s">
        <v>42</v>
      </c>
      <c r="B16" s="22">
        <f>ROUND(G16/(1+E16),2)</f>
        <v>52264.15</v>
      </c>
      <c r="C16" s="46">
        <v>1</v>
      </c>
      <c r="D16" s="47" t="s">
        <v>43</v>
      </c>
      <c r="E16" s="49">
        <v>0.06</v>
      </c>
      <c r="F16" s="22">
        <f t="shared" si="7"/>
        <v>3135.85</v>
      </c>
      <c r="G16" s="33">
        <v>55400</v>
      </c>
      <c r="H16" s="34"/>
      <c r="I16" s="20"/>
      <c r="J16" s="44" t="s">
        <v>22</v>
      </c>
      <c r="K16" s="151" t="s">
        <v>44</v>
      </c>
      <c r="L16" s="58"/>
      <c r="M16" s="67"/>
      <c r="N16" s="67"/>
      <c r="O16" s="58"/>
    </row>
    <row r="17" s="1" customFormat="1" ht="18" hidden="1" customHeight="1" spans="1:15">
      <c r="A17" s="35"/>
      <c r="B17" s="22">
        <f>ROUND(G17/(1+E17),2)</f>
        <v>0</v>
      </c>
      <c r="C17" s="46"/>
      <c r="D17" s="47"/>
      <c r="E17" s="48"/>
      <c r="F17" s="22">
        <f t="shared" si="7"/>
        <v>0</v>
      </c>
      <c r="G17" s="33"/>
      <c r="H17" s="34" t="s">
        <v>45</v>
      </c>
      <c r="I17" s="20">
        <v>22950</v>
      </c>
      <c r="J17" s="44" t="s">
        <v>22</v>
      </c>
      <c r="K17" s="151" t="s">
        <v>46</v>
      </c>
      <c r="L17" s="58"/>
      <c r="M17" s="67"/>
      <c r="N17" s="67"/>
      <c r="O17" s="58"/>
    </row>
    <row r="18" s="1" customFormat="1" ht="18" hidden="1" customHeight="1" spans="1:15">
      <c r="A18" s="35"/>
      <c r="B18" s="22">
        <f t="shared" ref="B18:B24" si="8">ROUND(G18/(1+E18),2)</f>
        <v>0</v>
      </c>
      <c r="C18" s="46"/>
      <c r="D18" s="47"/>
      <c r="E18" s="48"/>
      <c r="F18" s="22">
        <f t="shared" si="7"/>
        <v>0</v>
      </c>
      <c r="G18" s="33"/>
      <c r="H18" s="34" t="s">
        <v>47</v>
      </c>
      <c r="I18" s="20">
        <v>-23000</v>
      </c>
      <c r="J18" s="44" t="s">
        <v>38</v>
      </c>
      <c r="K18" s="151" t="s">
        <v>48</v>
      </c>
      <c r="L18" s="58"/>
      <c r="M18" s="67"/>
      <c r="N18" s="67"/>
      <c r="O18" s="58"/>
    </row>
    <row r="19" s="1" customFormat="1" ht="18" hidden="1" customHeight="1" spans="1:15">
      <c r="A19" s="35"/>
      <c r="B19" s="22">
        <f t="shared" si="8"/>
        <v>0</v>
      </c>
      <c r="C19" s="46"/>
      <c r="D19" s="47"/>
      <c r="E19" s="48"/>
      <c r="F19" s="22">
        <f t="shared" si="7"/>
        <v>0</v>
      </c>
      <c r="G19" s="33"/>
      <c r="H19" s="34">
        <v>43984</v>
      </c>
      <c r="I19" s="20">
        <v>64950</v>
      </c>
      <c r="J19" s="44" t="s">
        <v>22</v>
      </c>
      <c r="K19" s="151" t="s">
        <v>49</v>
      </c>
      <c r="L19" s="58"/>
      <c r="M19" s="67"/>
      <c r="N19" s="67"/>
      <c r="O19" s="58"/>
    </row>
    <row r="20" s="1" customFormat="1" ht="18" hidden="1" customHeight="1" spans="1:15">
      <c r="A20" s="35"/>
      <c r="B20" s="22">
        <f t="shared" si="8"/>
        <v>0</v>
      </c>
      <c r="C20" s="46"/>
      <c r="D20" s="47"/>
      <c r="E20" s="48"/>
      <c r="F20" s="22">
        <f t="shared" si="7"/>
        <v>0</v>
      </c>
      <c r="G20" s="33"/>
      <c r="H20" s="34">
        <v>43984</v>
      </c>
      <c r="I20" s="20">
        <v>-65000</v>
      </c>
      <c r="J20" s="44" t="s">
        <v>38</v>
      </c>
      <c r="K20" s="151" t="s">
        <v>48</v>
      </c>
      <c r="L20" s="58"/>
      <c r="M20" s="67"/>
      <c r="N20" s="67"/>
      <c r="O20" s="58"/>
    </row>
    <row r="21" s="1" customFormat="1" ht="18" hidden="1" customHeight="1" spans="1:15">
      <c r="A21" s="35"/>
      <c r="B21" s="22">
        <f t="shared" si="8"/>
        <v>0</v>
      </c>
      <c r="C21" s="46"/>
      <c r="D21" s="47"/>
      <c r="E21" s="48"/>
      <c r="F21" s="22">
        <f t="shared" si="7"/>
        <v>0</v>
      </c>
      <c r="G21" s="33"/>
      <c r="H21" s="34">
        <v>43985</v>
      </c>
      <c r="I21" s="20">
        <v>47550</v>
      </c>
      <c r="J21" s="44" t="s">
        <v>22</v>
      </c>
      <c r="K21" s="151" t="s">
        <v>49</v>
      </c>
      <c r="L21" s="58"/>
      <c r="M21" s="67"/>
      <c r="N21" s="67"/>
      <c r="O21" s="58"/>
    </row>
    <row r="22" s="1" customFormat="1" ht="18" hidden="1" customHeight="1" spans="1:15">
      <c r="A22" s="35"/>
      <c r="B22" s="22">
        <f t="shared" si="8"/>
        <v>0</v>
      </c>
      <c r="C22" s="46"/>
      <c r="D22" s="47"/>
      <c r="E22" s="48"/>
      <c r="F22" s="22">
        <f t="shared" si="7"/>
        <v>0</v>
      </c>
      <c r="G22" s="33"/>
      <c r="H22" s="34">
        <v>43985</v>
      </c>
      <c r="I22" s="20">
        <v>-47600</v>
      </c>
      <c r="J22" s="44" t="s">
        <v>38</v>
      </c>
      <c r="K22" s="151" t="s">
        <v>48</v>
      </c>
      <c r="L22" s="58"/>
      <c r="M22" s="67"/>
      <c r="N22" s="67"/>
      <c r="O22" s="58"/>
    </row>
    <row r="23" s="1" customFormat="1" ht="18" customHeight="1" spans="1:15">
      <c r="A23" s="35" t="s">
        <v>50</v>
      </c>
      <c r="B23" s="22">
        <f t="shared" si="8"/>
        <v>195</v>
      </c>
      <c r="C23" s="46">
        <v>1</v>
      </c>
      <c r="D23" s="47" t="s">
        <v>51</v>
      </c>
      <c r="E23" s="48"/>
      <c r="F23" s="22"/>
      <c r="G23" s="33">
        <v>195</v>
      </c>
      <c r="H23" s="50"/>
      <c r="I23" s="68"/>
      <c r="J23" s="67"/>
      <c r="K23" s="151" t="s">
        <v>52</v>
      </c>
      <c r="L23" s="58" t="s">
        <v>53</v>
      </c>
      <c r="M23" s="67"/>
      <c r="N23" s="67"/>
      <c r="O23" s="58"/>
    </row>
    <row r="24" s="1" customFormat="1" ht="18" customHeight="1" spans="1:15">
      <c r="A24" s="35" t="s">
        <v>50</v>
      </c>
      <c r="B24" s="22">
        <v>0</v>
      </c>
      <c r="C24" s="46">
        <v>1</v>
      </c>
      <c r="D24" s="47" t="s">
        <v>51</v>
      </c>
      <c r="E24" s="48"/>
      <c r="F24" s="22">
        <f t="shared" ref="F24:F41" si="9">ROUND(G24/(1+E24)*E24,2)</f>
        <v>0</v>
      </c>
      <c r="G24" s="33">
        <v>9140</v>
      </c>
      <c r="H24" s="50"/>
      <c r="I24" s="68"/>
      <c r="J24" s="67"/>
      <c r="K24" s="151" t="s">
        <v>54</v>
      </c>
      <c r="L24" s="58" t="s">
        <v>55</v>
      </c>
      <c r="M24" s="67"/>
      <c r="N24" s="133" t="s">
        <v>56</v>
      </c>
      <c r="O24" s="58"/>
    </row>
    <row r="25" s="1" customFormat="1" ht="18" customHeight="1" spans="1:15">
      <c r="A25" s="35" t="s">
        <v>50</v>
      </c>
      <c r="B25" s="22">
        <v>0</v>
      </c>
      <c r="C25" s="46">
        <v>1</v>
      </c>
      <c r="D25" s="47" t="s">
        <v>51</v>
      </c>
      <c r="E25" s="48"/>
      <c r="F25" s="22">
        <f t="shared" si="9"/>
        <v>0</v>
      </c>
      <c r="G25" s="33">
        <v>9000</v>
      </c>
      <c r="H25" s="50"/>
      <c r="I25" s="68"/>
      <c r="J25" s="67"/>
      <c r="K25" s="151" t="s">
        <v>54</v>
      </c>
      <c r="L25" s="58" t="s">
        <v>57</v>
      </c>
      <c r="M25" s="67"/>
      <c r="N25" s="133" t="s">
        <v>56</v>
      </c>
      <c r="O25" s="58"/>
    </row>
    <row r="26" s="1" customFormat="1" ht="18" customHeight="1" spans="1:15">
      <c r="A26" s="35" t="s">
        <v>50</v>
      </c>
      <c r="B26" s="22">
        <v>0</v>
      </c>
      <c r="C26" s="46">
        <v>1</v>
      </c>
      <c r="D26" s="47" t="s">
        <v>51</v>
      </c>
      <c r="E26" s="48"/>
      <c r="F26" s="22">
        <f t="shared" si="9"/>
        <v>0</v>
      </c>
      <c r="G26" s="33">
        <v>2000</v>
      </c>
      <c r="H26" s="50"/>
      <c r="I26" s="68"/>
      <c r="J26" s="67"/>
      <c r="K26" s="151" t="s">
        <v>54</v>
      </c>
      <c r="L26" s="58" t="s">
        <v>58</v>
      </c>
      <c r="M26" s="67"/>
      <c r="N26" s="133" t="s">
        <v>56</v>
      </c>
      <c r="O26" s="58"/>
    </row>
    <row r="27" s="1" customFormat="1" ht="18" customHeight="1" spans="1:15">
      <c r="A27" s="35" t="s">
        <v>50</v>
      </c>
      <c r="B27" s="22">
        <v>0</v>
      </c>
      <c r="C27" s="46">
        <v>1</v>
      </c>
      <c r="D27" s="47" t="s">
        <v>51</v>
      </c>
      <c r="E27" s="48"/>
      <c r="F27" s="22">
        <f t="shared" si="9"/>
        <v>0</v>
      </c>
      <c r="G27" s="33">
        <v>8870</v>
      </c>
      <c r="H27" s="50"/>
      <c r="I27" s="68"/>
      <c r="J27" s="67"/>
      <c r="K27" s="151" t="s">
        <v>54</v>
      </c>
      <c r="L27" s="1" t="s">
        <v>59</v>
      </c>
      <c r="N27" s="133" t="s">
        <v>56</v>
      </c>
      <c r="O27" s="58"/>
    </row>
    <row r="28" s="1" customFormat="1" ht="18" customHeight="1" spans="1:15">
      <c r="A28" s="35" t="s">
        <v>50</v>
      </c>
      <c r="B28" s="22">
        <v>0</v>
      </c>
      <c r="C28" s="46">
        <v>1</v>
      </c>
      <c r="D28" s="47" t="s">
        <v>51</v>
      </c>
      <c r="E28" s="48"/>
      <c r="F28" s="22">
        <f t="shared" si="9"/>
        <v>0</v>
      </c>
      <c r="G28" s="33">
        <v>9500</v>
      </c>
      <c r="H28" s="50"/>
      <c r="I28" s="68"/>
      <c r="J28" s="67"/>
      <c r="K28" s="151" t="s">
        <v>54</v>
      </c>
      <c r="L28" s="58" t="s">
        <v>58</v>
      </c>
      <c r="M28" s="67"/>
      <c r="N28" s="133" t="s">
        <v>56</v>
      </c>
      <c r="O28" s="58"/>
    </row>
    <row r="29" s="1" customFormat="1" ht="18" customHeight="1" spans="1:15">
      <c r="A29" s="35" t="s">
        <v>50</v>
      </c>
      <c r="B29" s="22">
        <v>0</v>
      </c>
      <c r="C29" s="46">
        <v>1</v>
      </c>
      <c r="D29" s="47" t="s">
        <v>51</v>
      </c>
      <c r="E29" s="48"/>
      <c r="F29" s="22">
        <f t="shared" si="9"/>
        <v>0</v>
      </c>
      <c r="G29" s="33">
        <v>8085</v>
      </c>
      <c r="H29" s="50"/>
      <c r="I29" s="68"/>
      <c r="J29" s="67"/>
      <c r="K29" s="151" t="s">
        <v>54</v>
      </c>
      <c r="L29" s="58" t="s">
        <v>60</v>
      </c>
      <c r="M29" s="67"/>
      <c r="N29" s="133" t="s">
        <v>56</v>
      </c>
      <c r="O29" s="58"/>
    </row>
    <row r="30" s="1" customFormat="1" ht="18" customHeight="1" spans="1:16">
      <c r="A30" s="35" t="s">
        <v>50</v>
      </c>
      <c r="B30" s="22">
        <f>ROUND(G30/(1+E30),2)</f>
        <v>99557.52</v>
      </c>
      <c r="C30" s="46">
        <v>1</v>
      </c>
      <c r="D30" s="47" t="s">
        <v>43</v>
      </c>
      <c r="E30" s="49">
        <v>0.13</v>
      </c>
      <c r="F30" s="22">
        <f t="shared" si="9"/>
        <v>12942.48</v>
      </c>
      <c r="G30" s="33">
        <v>112500</v>
      </c>
      <c r="H30" s="50"/>
      <c r="I30" s="68"/>
      <c r="J30" s="67"/>
      <c r="K30" s="151" t="s">
        <v>49</v>
      </c>
      <c r="L30" s="58" t="s">
        <v>61</v>
      </c>
      <c r="M30" s="67"/>
      <c r="N30" s="67"/>
      <c r="O30" s="58"/>
      <c r="P30" s="1" t="s">
        <v>62</v>
      </c>
    </row>
    <row r="31" s="1" customFormat="1" ht="18" customHeight="1" spans="1:15">
      <c r="A31" s="35" t="s">
        <v>50</v>
      </c>
      <c r="B31" s="22">
        <f>ROUND(G31/(1+E31),2)</f>
        <v>2965.5</v>
      </c>
      <c r="C31" s="46">
        <v>14</v>
      </c>
      <c r="D31" s="47" t="s">
        <v>63</v>
      </c>
      <c r="E31" s="49"/>
      <c r="F31" s="22">
        <f t="shared" si="9"/>
        <v>0</v>
      </c>
      <c r="G31" s="33">
        <v>2965.5</v>
      </c>
      <c r="H31" s="50"/>
      <c r="I31" s="68"/>
      <c r="J31" s="67"/>
      <c r="K31" s="151" t="s">
        <v>64</v>
      </c>
      <c r="L31" s="58" t="s">
        <v>65</v>
      </c>
      <c r="M31" s="67"/>
      <c r="N31" s="67"/>
      <c r="O31" s="58"/>
    </row>
    <row r="32" s="1" customFormat="1" ht="18" customHeight="1" spans="1:15">
      <c r="A32" s="35" t="s">
        <v>50</v>
      </c>
      <c r="B32" s="22">
        <f>ROUND(G32/(1+E32),2)</f>
        <v>388349.51</v>
      </c>
      <c r="C32" s="46">
        <v>4</v>
      </c>
      <c r="D32" s="47" t="s">
        <v>43</v>
      </c>
      <c r="E32" s="49">
        <v>0.03</v>
      </c>
      <c r="F32" s="22">
        <f t="shared" si="9"/>
        <v>11650.49</v>
      </c>
      <c r="G32" s="33">
        <v>400000</v>
      </c>
      <c r="H32" s="50"/>
      <c r="I32" s="68"/>
      <c r="J32" s="67"/>
      <c r="K32" s="151" t="s">
        <v>66</v>
      </c>
      <c r="L32" s="58" t="s">
        <v>67</v>
      </c>
      <c r="M32" s="67"/>
      <c r="N32" s="67"/>
      <c r="O32" s="58"/>
    </row>
    <row r="33" s="2" customFormat="1" ht="18" customHeight="1" spans="1:15">
      <c r="A33" s="52" t="s">
        <v>50</v>
      </c>
      <c r="B33" s="22"/>
      <c r="C33" s="53">
        <v>1</v>
      </c>
      <c r="D33" s="54" t="s">
        <v>51</v>
      </c>
      <c r="E33" s="55"/>
      <c r="F33" s="22">
        <f t="shared" si="9"/>
        <v>0</v>
      </c>
      <c r="G33" s="33">
        <v>1812.36</v>
      </c>
      <c r="H33" s="56"/>
      <c r="I33" s="70"/>
      <c r="J33" s="71"/>
      <c r="K33" s="151" t="s">
        <v>68</v>
      </c>
      <c r="L33" s="58" t="s">
        <v>69</v>
      </c>
      <c r="M33" s="22" t="s">
        <v>70</v>
      </c>
      <c r="N33" s="67"/>
      <c r="O33" s="72"/>
    </row>
    <row r="34" s="2" customFormat="1" ht="18" customHeight="1" spans="1:15">
      <c r="A34" s="35" t="s">
        <v>71</v>
      </c>
      <c r="B34" s="22">
        <f t="shared" ref="B34:B41" si="10">ROUND(G34/(1+E34),2)</f>
        <v>2997.83</v>
      </c>
      <c r="C34" s="46">
        <v>1</v>
      </c>
      <c r="D34" s="47" t="s">
        <v>43</v>
      </c>
      <c r="E34" s="49">
        <v>0.06</v>
      </c>
      <c r="F34" s="22">
        <f t="shared" si="9"/>
        <v>179.87</v>
      </c>
      <c r="G34" s="33">
        <v>3177.7</v>
      </c>
      <c r="H34" s="56"/>
      <c r="I34" s="70"/>
      <c r="J34" s="71"/>
      <c r="K34" s="151" t="s">
        <v>72</v>
      </c>
      <c r="L34" s="58" t="s">
        <v>73</v>
      </c>
      <c r="M34" s="67" t="s">
        <v>74</v>
      </c>
      <c r="N34" s="67"/>
      <c r="O34" s="72"/>
    </row>
    <row r="35" s="2" customFormat="1" ht="18" customHeight="1" spans="1:15">
      <c r="A35" s="35" t="s">
        <v>71</v>
      </c>
      <c r="B35" s="22">
        <f t="shared" si="10"/>
        <v>5995.67</v>
      </c>
      <c r="C35" s="46">
        <v>1</v>
      </c>
      <c r="D35" s="47" t="s">
        <v>43</v>
      </c>
      <c r="E35" s="49">
        <v>0.06</v>
      </c>
      <c r="F35" s="22">
        <f t="shared" si="9"/>
        <v>359.74</v>
      </c>
      <c r="G35" s="33">
        <v>6355.41</v>
      </c>
      <c r="H35" s="56"/>
      <c r="I35" s="70"/>
      <c r="J35" s="71"/>
      <c r="K35" s="151" t="s">
        <v>72</v>
      </c>
      <c r="L35" s="58" t="s">
        <v>73</v>
      </c>
      <c r="M35" s="67" t="s">
        <v>74</v>
      </c>
      <c r="N35" s="67"/>
      <c r="O35" s="72"/>
    </row>
    <row r="36" s="1" customFormat="1" ht="18" customHeight="1" spans="1:16">
      <c r="A36" s="35" t="s">
        <v>71</v>
      </c>
      <c r="B36" s="22">
        <f t="shared" si="10"/>
        <v>99557.52</v>
      </c>
      <c r="C36" s="46">
        <v>1</v>
      </c>
      <c r="D36" s="47" t="s">
        <v>43</v>
      </c>
      <c r="E36" s="49">
        <v>0.13</v>
      </c>
      <c r="F36" s="22">
        <f t="shared" si="9"/>
        <v>12942.48</v>
      </c>
      <c r="G36" s="33">
        <v>112500</v>
      </c>
      <c r="H36" s="56"/>
      <c r="I36" s="70"/>
      <c r="J36" s="71"/>
      <c r="K36" s="151" t="s">
        <v>49</v>
      </c>
      <c r="L36" s="58" t="s">
        <v>61</v>
      </c>
      <c r="M36" s="67" t="s">
        <v>74</v>
      </c>
      <c r="N36" s="67"/>
      <c r="O36" s="72"/>
      <c r="P36" s="1" t="s">
        <v>75</v>
      </c>
    </row>
    <row r="37" s="2" customFormat="1" ht="18" customHeight="1" spans="1:15">
      <c r="A37" s="35" t="s">
        <v>71</v>
      </c>
      <c r="B37" s="22">
        <f t="shared" si="10"/>
        <v>20309.73</v>
      </c>
      <c r="C37" s="46">
        <v>1</v>
      </c>
      <c r="D37" s="47" t="s">
        <v>43</v>
      </c>
      <c r="E37" s="49">
        <v>0.13</v>
      </c>
      <c r="F37" s="22">
        <f t="shared" si="9"/>
        <v>2640.27</v>
      </c>
      <c r="G37" s="33">
        <v>22950</v>
      </c>
      <c r="H37" s="56"/>
      <c r="I37" s="70"/>
      <c r="J37" s="71"/>
      <c r="K37" s="151" t="s">
        <v>46</v>
      </c>
      <c r="L37" s="58" t="s">
        <v>76</v>
      </c>
      <c r="M37" s="67" t="s">
        <v>74</v>
      </c>
      <c r="N37" s="67"/>
      <c r="O37" s="72"/>
    </row>
    <row r="38" s="1" customFormat="1" ht="18" customHeight="1" spans="1:15">
      <c r="A38" s="35" t="s">
        <v>71</v>
      </c>
      <c r="B38" s="22">
        <f t="shared" si="10"/>
        <v>44247.79</v>
      </c>
      <c r="C38" s="46">
        <v>1</v>
      </c>
      <c r="D38" s="47" t="s">
        <v>43</v>
      </c>
      <c r="E38" s="49">
        <v>0.13</v>
      </c>
      <c r="F38" s="22">
        <f t="shared" si="9"/>
        <v>5752.21</v>
      </c>
      <c r="G38" s="33">
        <v>50000</v>
      </c>
      <c r="H38" s="149">
        <v>44103</v>
      </c>
      <c r="I38" s="152">
        <v>50000</v>
      </c>
      <c r="J38" s="153"/>
      <c r="K38" s="154" t="s">
        <v>46</v>
      </c>
      <c r="L38" s="76"/>
      <c r="M38" s="77"/>
      <c r="O38" s="58"/>
    </row>
    <row r="39" s="1" customFormat="1" ht="18" customHeight="1" spans="1:15">
      <c r="A39" s="35"/>
      <c r="B39" s="22">
        <f t="shared" si="10"/>
        <v>0</v>
      </c>
      <c r="C39" s="46"/>
      <c r="D39" s="47"/>
      <c r="E39" s="49"/>
      <c r="F39" s="22">
        <f t="shared" si="9"/>
        <v>0</v>
      </c>
      <c r="G39" s="33"/>
      <c r="H39" s="149">
        <v>44103</v>
      </c>
      <c r="I39" s="152">
        <v>400000</v>
      </c>
      <c r="J39" s="153"/>
      <c r="K39" s="155" t="s">
        <v>66</v>
      </c>
      <c r="L39" s="76"/>
      <c r="M39" s="77"/>
      <c r="O39" s="58"/>
    </row>
    <row r="40" s="1" customFormat="1" ht="18" customHeight="1" spans="1:15">
      <c r="A40" s="35" t="s">
        <v>71</v>
      </c>
      <c r="B40" s="22">
        <f t="shared" si="10"/>
        <v>33185.84</v>
      </c>
      <c r="C40" s="46"/>
      <c r="D40" s="47"/>
      <c r="E40" s="49">
        <v>0.13</v>
      </c>
      <c r="F40" s="22">
        <f t="shared" si="9"/>
        <v>4314.16</v>
      </c>
      <c r="G40" s="33">
        <v>37500</v>
      </c>
      <c r="H40" s="149">
        <v>44103</v>
      </c>
      <c r="I40" s="152">
        <v>150000</v>
      </c>
      <c r="J40" s="153"/>
      <c r="K40" s="155" t="s">
        <v>49</v>
      </c>
      <c r="L40" s="76"/>
      <c r="M40" s="77"/>
      <c r="O40" s="58"/>
    </row>
    <row r="41" s="1" customFormat="1" ht="18" customHeight="1" spans="1:15">
      <c r="A41" s="58" t="s">
        <v>71</v>
      </c>
      <c r="B41" s="22">
        <f t="shared" si="10"/>
        <v>4245.28</v>
      </c>
      <c r="C41" s="58">
        <v>1</v>
      </c>
      <c r="D41" s="47" t="s">
        <v>43</v>
      </c>
      <c r="E41" s="49">
        <v>0.06</v>
      </c>
      <c r="F41" s="22">
        <f t="shared" si="9"/>
        <v>254.72</v>
      </c>
      <c r="G41" s="33">
        <v>4500</v>
      </c>
      <c r="H41" s="132">
        <v>44103</v>
      </c>
      <c r="I41" s="133">
        <v>4500</v>
      </c>
      <c r="J41" s="133" t="s">
        <v>22</v>
      </c>
      <c r="K41" s="134" t="s">
        <v>77</v>
      </c>
      <c r="L41" s="58" t="s">
        <v>78</v>
      </c>
      <c r="M41" s="67"/>
      <c r="N41" s="67"/>
      <c r="O41" s="58"/>
    </row>
    <row r="42" s="1" customFormat="1" ht="18" customHeight="1" spans="1:15">
      <c r="A42" s="58"/>
      <c r="B42" s="22"/>
      <c r="C42" s="58"/>
      <c r="D42" s="47"/>
      <c r="E42" s="49"/>
      <c r="F42" s="22"/>
      <c r="G42" s="33"/>
      <c r="H42" s="130"/>
      <c r="I42" s="79"/>
      <c r="J42" s="67"/>
      <c r="K42" s="58"/>
      <c r="L42" s="58"/>
      <c r="M42" s="67"/>
      <c r="N42" s="67"/>
      <c r="O42" s="58"/>
    </row>
    <row r="43" s="1" customFormat="1" ht="18" customHeight="1" spans="1:15">
      <c r="A43" s="58"/>
      <c r="B43" s="22">
        <f>ROUND(G43/(1+E43),2)</f>
        <v>0</v>
      </c>
      <c r="C43" s="58"/>
      <c r="D43" s="58"/>
      <c r="E43" s="49"/>
      <c r="F43" s="58"/>
      <c r="G43" s="33"/>
      <c r="H43" s="150">
        <v>44103</v>
      </c>
      <c r="I43" s="156">
        <v>7127</v>
      </c>
      <c r="J43" s="157" t="s">
        <v>79</v>
      </c>
      <c r="K43" s="134" t="s">
        <v>80</v>
      </c>
      <c r="L43" s="58"/>
      <c r="M43" s="67"/>
      <c r="N43" s="67"/>
      <c r="O43" s="58"/>
    </row>
    <row r="44" s="1" customFormat="1" ht="18" customHeight="1" spans="1:15">
      <c r="A44" s="35"/>
      <c r="B44" s="22">
        <f>ROUND(G44/(1+E44),2)</f>
        <v>0</v>
      </c>
      <c r="C44" s="46"/>
      <c r="D44" s="47"/>
      <c r="E44" s="49"/>
      <c r="F44" s="22"/>
      <c r="G44" s="33"/>
      <c r="H44" s="150">
        <v>44103</v>
      </c>
      <c r="I44" s="135">
        <v>250</v>
      </c>
      <c r="J44" s="135" t="s">
        <v>79</v>
      </c>
      <c r="K44" s="158" t="s">
        <v>81</v>
      </c>
      <c r="L44" s="58"/>
      <c r="M44" s="67"/>
      <c r="N44" s="67"/>
      <c r="O44" s="58"/>
    </row>
    <row r="45" s="1" customFormat="1" ht="18" customHeight="1" spans="1:15">
      <c r="A45" s="35" t="s">
        <v>50</v>
      </c>
      <c r="B45" s="22">
        <f>ROUND(G45/(1+E45),2)</f>
        <v>17653.4</v>
      </c>
      <c r="C45" s="46"/>
      <c r="D45" s="47"/>
      <c r="E45" s="49"/>
      <c r="F45" s="22"/>
      <c r="G45" s="33">
        <v>17653.4</v>
      </c>
      <c r="H45" s="149">
        <v>44103</v>
      </c>
      <c r="I45" s="135">
        <v>17653.4</v>
      </c>
      <c r="J45" s="137" t="s">
        <v>79</v>
      </c>
      <c r="K45" s="138" t="s">
        <v>82</v>
      </c>
      <c r="L45" s="58"/>
      <c r="M45" s="67"/>
      <c r="N45" s="67"/>
      <c r="O45" s="58"/>
    </row>
    <row r="46" s="1" customFormat="1" ht="18" customHeight="1" spans="1:15">
      <c r="A46" s="35" t="s">
        <v>83</v>
      </c>
      <c r="B46" s="22">
        <f>ROUND(G46/(1+E46),2)</f>
        <v>2000</v>
      </c>
      <c r="C46" s="46"/>
      <c r="D46" s="47"/>
      <c r="E46" s="49"/>
      <c r="F46" s="22"/>
      <c r="G46" s="33">
        <v>2000</v>
      </c>
      <c r="H46" s="149">
        <v>44103</v>
      </c>
      <c r="I46" s="159">
        <v>2000</v>
      </c>
      <c r="J46" s="160" t="s">
        <v>79</v>
      </c>
      <c r="K46" s="161" t="s">
        <v>84</v>
      </c>
      <c r="L46" s="76"/>
      <c r="M46" s="67"/>
      <c r="N46" s="67"/>
      <c r="O46" s="58"/>
    </row>
    <row r="47" s="1" customFormat="1" ht="18" customHeight="1" spans="1:15">
      <c r="A47" s="35"/>
      <c r="B47" s="22">
        <f t="shared" ref="B47:B52" si="11">ROUND(G47/(1+E47),2)</f>
        <v>0</v>
      </c>
      <c r="C47" s="46"/>
      <c r="D47" s="47"/>
      <c r="E47" s="49"/>
      <c r="F47" s="22">
        <f t="shared" ref="F47:F52" si="12">ROUND(G47/(1+E47)*E47,2)</f>
        <v>0</v>
      </c>
      <c r="G47" s="33"/>
      <c r="H47" s="149">
        <v>44103</v>
      </c>
      <c r="I47" s="162">
        <v>181283.32</v>
      </c>
      <c r="J47" s="160" t="s">
        <v>85</v>
      </c>
      <c r="K47" s="161" t="s">
        <v>86</v>
      </c>
      <c r="L47" s="58"/>
      <c r="M47" s="67"/>
      <c r="N47" s="67"/>
      <c r="O47" s="58"/>
    </row>
    <row r="48" s="1" customFormat="1" ht="18" customHeight="1" spans="1:15">
      <c r="A48" s="35"/>
      <c r="B48" s="22">
        <f t="shared" si="11"/>
        <v>0</v>
      </c>
      <c r="C48" s="46"/>
      <c r="D48" s="47"/>
      <c r="E48" s="48"/>
      <c r="F48" s="22">
        <f t="shared" si="12"/>
        <v>0</v>
      </c>
      <c r="G48" s="33"/>
      <c r="H48" s="149">
        <v>44103</v>
      </c>
      <c r="I48" s="162">
        <v>58904.32</v>
      </c>
      <c r="J48" s="160" t="s">
        <v>79</v>
      </c>
      <c r="K48" s="161" t="s">
        <v>87</v>
      </c>
      <c r="L48" s="58"/>
      <c r="M48" s="67"/>
      <c r="N48" s="67"/>
      <c r="O48" s="58"/>
    </row>
    <row r="49" s="1" customFormat="1" ht="18" customHeight="1" spans="1:15">
      <c r="A49" s="35"/>
      <c r="B49" s="22">
        <f t="shared" si="11"/>
        <v>0</v>
      </c>
      <c r="C49" s="46"/>
      <c r="D49" s="47"/>
      <c r="E49" s="48"/>
      <c r="F49" s="22">
        <f t="shared" si="12"/>
        <v>0</v>
      </c>
      <c r="G49" s="33"/>
      <c r="H49" s="149">
        <v>44103</v>
      </c>
      <c r="I49" s="162">
        <v>17653.4</v>
      </c>
      <c r="J49" s="160" t="s">
        <v>79</v>
      </c>
      <c r="K49" s="161" t="s">
        <v>88</v>
      </c>
      <c r="L49" s="58"/>
      <c r="M49" s="67"/>
      <c r="N49" s="67"/>
      <c r="O49" s="58"/>
    </row>
    <row r="50" s="1" customFormat="1" ht="18" customHeight="1" spans="1:15">
      <c r="A50" s="35"/>
      <c r="B50" s="22">
        <f t="shared" si="11"/>
        <v>0</v>
      </c>
      <c r="C50" s="46"/>
      <c r="D50" s="47"/>
      <c r="E50" s="48"/>
      <c r="F50" s="22">
        <f t="shared" si="12"/>
        <v>0</v>
      </c>
      <c r="G50" s="33"/>
      <c r="H50" s="34">
        <v>43986</v>
      </c>
      <c r="I50" s="20">
        <v>50</v>
      </c>
      <c r="J50" s="44" t="s">
        <v>79</v>
      </c>
      <c r="K50" s="151" t="s">
        <v>89</v>
      </c>
      <c r="L50" s="58"/>
      <c r="M50" s="67"/>
      <c r="N50" s="67"/>
      <c r="O50" s="58"/>
    </row>
    <row r="51" s="1" customFormat="1" ht="18" customHeight="1" spans="1:15">
      <c r="A51" s="35"/>
      <c r="B51" s="22">
        <f t="shared" si="11"/>
        <v>0</v>
      </c>
      <c r="C51" s="46"/>
      <c r="D51" s="47"/>
      <c r="E51" s="48"/>
      <c r="F51" s="22">
        <f t="shared" si="12"/>
        <v>0</v>
      </c>
      <c r="G51" s="33"/>
      <c r="H51" s="34">
        <v>43984</v>
      </c>
      <c r="I51" s="20">
        <v>50</v>
      </c>
      <c r="J51" s="44" t="s">
        <v>79</v>
      </c>
      <c r="K51" s="151" t="s">
        <v>89</v>
      </c>
      <c r="L51" s="58"/>
      <c r="M51" s="67"/>
      <c r="N51" s="67"/>
      <c r="O51" s="58"/>
    </row>
    <row r="52" s="1" customFormat="1" ht="18" customHeight="1" spans="1:15">
      <c r="A52" s="35"/>
      <c r="B52" s="22">
        <f t="shared" si="11"/>
        <v>0</v>
      </c>
      <c r="C52" s="46"/>
      <c r="D52" s="47"/>
      <c r="E52" s="48"/>
      <c r="F52" s="22">
        <f t="shared" si="12"/>
        <v>0</v>
      </c>
      <c r="G52" s="33"/>
      <c r="H52" s="34">
        <v>43978</v>
      </c>
      <c r="I52" s="20">
        <v>50</v>
      </c>
      <c r="J52" s="44" t="s">
        <v>79</v>
      </c>
      <c r="K52" s="151" t="s">
        <v>89</v>
      </c>
      <c r="L52" s="58"/>
      <c r="M52" s="67"/>
      <c r="N52" s="67"/>
      <c r="O52" s="58"/>
    </row>
    <row r="53" ht="18" customHeight="1" spans="1:15">
      <c r="A53" s="39" t="s">
        <v>23</v>
      </c>
      <c r="B53" s="40">
        <f>SUM(B23:B52)</f>
        <v>721260.59</v>
      </c>
      <c r="C53" s="41"/>
      <c r="D53" s="103"/>
      <c r="E53" s="103"/>
      <c r="F53" s="43">
        <f>F16</f>
        <v>3135.85</v>
      </c>
      <c r="G53" s="86">
        <f>SUM(G15:G52)</f>
        <v>876104.37</v>
      </c>
      <c r="H53" s="139"/>
      <c r="I53" s="25">
        <f>SUM(I14:I52)</f>
        <v>889371.44</v>
      </c>
      <c r="J53" s="120"/>
      <c r="K53" s="103"/>
      <c r="L53" s="93"/>
      <c r="M53" s="44"/>
      <c r="N53" s="44"/>
      <c r="O53" s="93"/>
    </row>
    <row r="54" ht="18" customHeight="1" spans="1:14">
      <c r="A54" s="87" t="s">
        <v>90</v>
      </c>
      <c r="B54" s="88">
        <f>B11*0.96</f>
        <v>777397.43119266</v>
      </c>
      <c r="C54" s="89"/>
      <c r="D54" s="90"/>
      <c r="E54" s="90"/>
      <c r="F54" s="88"/>
      <c r="G54" s="88">
        <f>G11-G53</f>
        <v>6565.63</v>
      </c>
      <c r="H54" s="27" t="s">
        <v>91</v>
      </c>
      <c r="I54" s="25">
        <f>I11-I53</f>
        <v>-6701.43999999994</v>
      </c>
      <c r="J54" s="9"/>
      <c r="K54" s="163"/>
      <c r="M54" s="9"/>
      <c r="N54" s="9"/>
    </row>
    <row r="55" ht="18" customHeight="1" spans="1:14">
      <c r="A55" s="87" t="s">
        <v>92</v>
      </c>
      <c r="B55" s="88">
        <f>B54-B53</f>
        <v>56136.8411926599</v>
      </c>
      <c r="C55" s="89"/>
      <c r="D55" s="90"/>
      <c r="E55" s="90"/>
      <c r="F55" s="88"/>
      <c r="G55" s="88"/>
      <c r="H55" s="91"/>
      <c r="I55" s="123"/>
      <c r="J55" s="9"/>
      <c r="K55" s="163"/>
      <c r="M55" s="9"/>
      <c r="N55" s="9"/>
    </row>
    <row r="56" ht="18" customHeight="1" spans="1:3">
      <c r="A56" s="3" t="s">
        <v>93</v>
      </c>
      <c r="C56" s="92"/>
    </row>
    <row r="57" ht="18" customHeight="1" spans="1:6">
      <c r="A57" s="24" t="s">
        <v>94</v>
      </c>
      <c r="B57" s="25" t="s">
        <v>95</v>
      </c>
      <c r="C57" s="93"/>
      <c r="D57" s="27" t="s">
        <v>94</v>
      </c>
      <c r="E57" s="26" t="s">
        <v>16</v>
      </c>
      <c r="F57" s="25" t="s">
        <v>95</v>
      </c>
    </row>
    <row r="58" ht="18" customHeight="1" spans="1:6">
      <c r="A58" s="14" t="s">
        <v>96</v>
      </c>
      <c r="B58" s="22">
        <f>(B54-B53)*0.25</f>
        <v>14034.210298165</v>
      </c>
      <c r="C58" s="93"/>
      <c r="D58" s="96" t="s">
        <v>97</v>
      </c>
      <c r="E58" s="27" t="s">
        <v>98</v>
      </c>
      <c r="F58" s="43">
        <f>F11-F53</f>
        <v>53549.3793577982</v>
      </c>
    </row>
    <row r="59" ht="18" customHeight="1" spans="1:6">
      <c r="A59" s="14" t="s">
        <v>99</v>
      </c>
      <c r="B59" s="99" t="s">
        <v>100</v>
      </c>
      <c r="C59" s="93"/>
      <c r="D59" s="100" t="s">
        <v>101</v>
      </c>
      <c r="E59" s="18">
        <v>0.05</v>
      </c>
      <c r="F59" s="29">
        <f>F58*E59</f>
        <v>2677.46896788991</v>
      </c>
    </row>
    <row r="60" ht="18" customHeight="1" spans="1:6">
      <c r="A60" s="14" t="s">
        <v>102</v>
      </c>
      <c r="B60" s="99">
        <f>B11*0.0006</f>
        <v>485.873394495413</v>
      </c>
      <c r="C60" s="93"/>
      <c r="D60" s="100" t="s">
        <v>103</v>
      </c>
      <c r="E60" s="18">
        <v>0.03</v>
      </c>
      <c r="F60" s="29">
        <f>F58*E60</f>
        <v>1606.48138073395</v>
      </c>
    </row>
    <row r="61" ht="18" customHeight="1" spans="1:6">
      <c r="A61" s="14"/>
      <c r="B61" s="29"/>
      <c r="C61" s="93"/>
      <c r="D61" s="100" t="s">
        <v>104</v>
      </c>
      <c r="E61" s="18">
        <v>0.02</v>
      </c>
      <c r="F61" s="29">
        <f>F58*E61</f>
        <v>1070.98758715596</v>
      </c>
    </row>
    <row r="62" ht="18" customHeight="1" spans="1:6">
      <c r="A62" s="39" t="s">
        <v>105</v>
      </c>
      <c r="B62" s="40">
        <f>SUM(B58:B61)</f>
        <v>14520.0836926604</v>
      </c>
      <c r="C62" s="93"/>
      <c r="D62" s="101" t="s">
        <v>105</v>
      </c>
      <c r="E62" s="96"/>
      <c r="F62" s="43">
        <f>SUM(F58:F61)</f>
        <v>58904.317293578</v>
      </c>
    </row>
    <row r="63" ht="18" customHeight="1" spans="3:6">
      <c r="C63" s="92"/>
      <c r="D63" s="16" t="s">
        <v>99</v>
      </c>
      <c r="E63" s="102">
        <v>0.0003</v>
      </c>
      <c r="F63" s="29"/>
    </row>
    <row r="64" ht="18" customHeight="1" spans="3:6">
      <c r="C64" s="92"/>
      <c r="D64" s="16" t="s">
        <v>102</v>
      </c>
      <c r="E64" s="102">
        <v>0.0006</v>
      </c>
      <c r="F64" s="29"/>
    </row>
    <row r="65" ht="18" customHeight="1" spans="3:6">
      <c r="C65" s="92"/>
      <c r="D65" s="26" t="s">
        <v>105</v>
      </c>
      <c r="E65" s="103"/>
      <c r="F65" s="42">
        <f>F64+F63</f>
        <v>0</v>
      </c>
    </row>
    <row r="66" ht="18" customHeight="1" spans="3:6">
      <c r="C66" s="92"/>
      <c r="D66" s="26" t="s">
        <v>23</v>
      </c>
      <c r="E66" s="41"/>
      <c r="F66" s="42">
        <f>F62+F65</f>
        <v>58904.317293578</v>
      </c>
    </row>
    <row r="67" ht="18" customHeight="1" spans="3:6">
      <c r="C67" s="92"/>
      <c r="D67" s="41" t="s">
        <v>96</v>
      </c>
      <c r="E67" s="103">
        <v>0.02</v>
      </c>
      <c r="F67" s="42">
        <f>G11*E67</f>
        <v>17653.4</v>
      </c>
    </row>
    <row r="68" ht="18" customHeight="1" spans="3:6">
      <c r="C68" s="92"/>
      <c r="D68" s="5" t="s">
        <v>106</v>
      </c>
      <c r="F68" s="4">
        <f>B55*0.25</f>
        <v>14034.210298165</v>
      </c>
    </row>
    <row r="69" ht="18" customHeight="1" spans="3:3">
      <c r="C69" s="92"/>
    </row>
    <row r="70" ht="18" customHeight="1" spans="3:3">
      <c r="C70" s="92"/>
    </row>
    <row r="71" spans="3:3">
      <c r="C71" s="92"/>
    </row>
    <row r="72" spans="3:3">
      <c r="C72" s="92"/>
    </row>
    <row r="73" spans="3:3">
      <c r="C73" s="92"/>
    </row>
    <row r="74" spans="3:3">
      <c r="C74" s="92"/>
    </row>
    <row r="75" spans="3:3">
      <c r="C75" s="92"/>
    </row>
    <row r="76" spans="3:3">
      <c r="C76" s="92"/>
    </row>
    <row r="77" spans="3:3">
      <c r="C77" s="92"/>
    </row>
    <row r="78" spans="3:3">
      <c r="C78" s="92"/>
    </row>
    <row r="79" spans="3:3">
      <c r="C79" s="92"/>
    </row>
    <row r="80" spans="3:3">
      <c r="C80" s="92"/>
    </row>
    <row r="81" spans="3:3">
      <c r="C81" s="92"/>
    </row>
    <row r="82" spans="3:3">
      <c r="C82" s="92"/>
    </row>
    <row r="83" spans="3:3">
      <c r="C83" s="92"/>
    </row>
    <row r="84" spans="3:3">
      <c r="C84" s="92"/>
    </row>
    <row r="85" spans="3:3">
      <c r="C85" s="92"/>
    </row>
    <row r="86" spans="3:3">
      <c r="C86" s="9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1"/>
  <sheetViews>
    <sheetView topLeftCell="A64" workbookViewId="0">
      <selection activeCell="I78" sqref="I78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11.75" style="5" customWidth="1"/>
    <col min="9" max="9" width="13.8833333333333" style="7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9" t="s">
        <v>6</v>
      </c>
      <c r="I2" s="61"/>
      <c r="J2" s="62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3"/>
      <c r="J3" s="23"/>
      <c r="K3" s="23"/>
      <c r="L3" s="23"/>
    </row>
    <row r="4" ht="18" customHeight="1" spans="1:12">
      <c r="A4" s="3" t="s">
        <v>9</v>
      </c>
      <c r="H4" s="23"/>
      <c r="I4" s="63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10" si="0">G7/(1+C7+E7)</f>
        <v>809788.990825688</v>
      </c>
      <c r="C7" s="30">
        <v>0.02</v>
      </c>
      <c r="D7" s="31">
        <f t="shared" ref="D7:D10" si="1">G7/(1+E7+C7)*C7</f>
        <v>16195.7798165138</v>
      </c>
      <c r="E7" s="32">
        <v>0.07</v>
      </c>
      <c r="F7" s="29">
        <f t="shared" ref="F7:F10" si="2">G7/(1+C7+E7)*E7</f>
        <v>56685.2293577982</v>
      </c>
      <c r="G7" s="33">
        <v>882670</v>
      </c>
      <c r="H7" s="34" t="s">
        <v>21</v>
      </c>
      <c r="I7" s="20">
        <v>882670</v>
      </c>
      <c r="J7" s="44" t="s">
        <v>22</v>
      </c>
    </row>
    <row r="8" ht="18" customHeight="1" spans="1:10">
      <c r="A8" s="35">
        <v>44160</v>
      </c>
      <c r="B8" s="22">
        <f t="shared" si="0"/>
        <v>693376.146788991</v>
      </c>
      <c r="C8" s="36">
        <v>0.02</v>
      </c>
      <c r="D8" s="37">
        <f t="shared" si="1"/>
        <v>13867.5229357798</v>
      </c>
      <c r="E8" s="32">
        <v>0.07</v>
      </c>
      <c r="F8" s="22">
        <f t="shared" si="2"/>
        <v>48536.3302752294</v>
      </c>
      <c r="G8" s="33">
        <v>755780</v>
      </c>
      <c r="H8" s="34" t="s">
        <v>107</v>
      </c>
      <c r="I8" s="20">
        <v>755780</v>
      </c>
      <c r="J8" s="44" t="s">
        <v>22</v>
      </c>
    </row>
    <row r="9" ht="18" customHeight="1" spans="1:10">
      <c r="A9" s="28"/>
      <c r="B9" s="29">
        <f t="shared" si="0"/>
        <v>0</v>
      </c>
      <c r="C9" s="30">
        <v>0.02</v>
      </c>
      <c r="D9" s="31">
        <f t="shared" si="1"/>
        <v>0</v>
      </c>
      <c r="E9" s="30">
        <v>0.08</v>
      </c>
      <c r="F9" s="29">
        <f t="shared" si="2"/>
        <v>0</v>
      </c>
      <c r="G9" s="33"/>
      <c r="H9" s="34"/>
      <c r="I9" s="20"/>
      <c r="J9" s="44"/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0">
        <v>0.08</v>
      </c>
      <c r="F10" s="29">
        <f t="shared" si="2"/>
        <v>0</v>
      </c>
      <c r="G10" s="33"/>
      <c r="H10" s="34"/>
      <c r="I10" s="20"/>
      <c r="J10" s="44"/>
    </row>
    <row r="11" ht="18" customHeight="1" spans="1:10">
      <c r="A11" s="39" t="s">
        <v>23</v>
      </c>
      <c r="B11" s="40">
        <f t="shared" ref="B11:G11" si="3">SUM(B7:B10)</f>
        <v>1503165.13761468</v>
      </c>
      <c r="C11" s="41"/>
      <c r="D11" s="42">
        <f t="shared" si="3"/>
        <v>30063.3027522936</v>
      </c>
      <c r="E11" s="41"/>
      <c r="F11" s="43">
        <f t="shared" si="3"/>
        <v>105221.559633028</v>
      </c>
      <c r="G11" s="42">
        <f t="shared" si="3"/>
        <v>1638450</v>
      </c>
      <c r="H11" s="93"/>
      <c r="I11" s="25">
        <f>SUM(I7:I10)</f>
        <v>1638450</v>
      </c>
      <c r="J11" s="44"/>
    </row>
    <row r="12" ht="18" customHeight="1" spans="1:12">
      <c r="A12" s="3" t="s">
        <v>24</v>
      </c>
      <c r="J12" s="6"/>
      <c r="K12" s="6"/>
      <c r="L12" s="65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6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7" t="s">
        <v>38</v>
      </c>
      <c r="K14" s="20" t="s">
        <v>39</v>
      </c>
      <c r="L14" s="27"/>
      <c r="M14" s="27"/>
      <c r="N14" s="27"/>
      <c r="O14" s="27"/>
    </row>
    <row r="15" s="1" customFormat="1" ht="18" customHeight="1" spans="1:15">
      <c r="A15" s="35"/>
      <c r="B15" s="22">
        <f t="shared" ref="B15:B23" si="4">ROUND(G15/(1+E15),2)</f>
        <v>0</v>
      </c>
      <c r="C15" s="46"/>
      <c r="D15" s="47"/>
      <c r="E15" s="48"/>
      <c r="F15" s="22">
        <f t="shared" ref="F15:F22" si="5">ROUND(G15/(1+E15)*E15,2)</f>
        <v>0</v>
      </c>
      <c r="G15" s="33"/>
      <c r="H15" s="34" t="s">
        <v>40</v>
      </c>
      <c r="I15" s="20">
        <v>5000</v>
      </c>
      <c r="J15" s="44" t="s">
        <v>22</v>
      </c>
      <c r="K15" s="47" t="s">
        <v>41</v>
      </c>
      <c r="L15" s="58"/>
      <c r="M15" s="67"/>
      <c r="N15" s="67"/>
      <c r="O15" s="58"/>
    </row>
    <row r="16" s="1" customFormat="1" ht="18" customHeight="1" spans="1:15">
      <c r="A16" s="35" t="s">
        <v>42</v>
      </c>
      <c r="B16" s="22">
        <f t="shared" si="4"/>
        <v>52264.15</v>
      </c>
      <c r="C16" s="46">
        <v>1</v>
      </c>
      <c r="D16" s="47" t="s">
        <v>43</v>
      </c>
      <c r="E16" s="49">
        <v>0.06</v>
      </c>
      <c r="F16" s="22">
        <f t="shared" si="5"/>
        <v>3135.85</v>
      </c>
      <c r="G16" s="33">
        <v>55400</v>
      </c>
      <c r="H16" s="34"/>
      <c r="I16" s="20"/>
      <c r="J16" s="44" t="s">
        <v>22</v>
      </c>
      <c r="K16" s="47" t="s">
        <v>44</v>
      </c>
      <c r="L16" s="58"/>
      <c r="M16" s="67"/>
      <c r="N16" s="67"/>
      <c r="O16" s="58"/>
    </row>
    <row r="17" s="1" customFormat="1" ht="18" customHeight="1" spans="1:15">
      <c r="A17" s="35"/>
      <c r="B17" s="22">
        <f t="shared" si="4"/>
        <v>0</v>
      </c>
      <c r="C17" s="46"/>
      <c r="D17" s="47"/>
      <c r="E17" s="48"/>
      <c r="F17" s="22">
        <f t="shared" si="5"/>
        <v>0</v>
      </c>
      <c r="G17" s="33"/>
      <c r="H17" s="34" t="s">
        <v>45</v>
      </c>
      <c r="I17" s="20">
        <v>22950</v>
      </c>
      <c r="J17" s="44" t="s">
        <v>22</v>
      </c>
      <c r="K17" s="47" t="s">
        <v>46</v>
      </c>
      <c r="L17" s="58"/>
      <c r="M17" s="67"/>
      <c r="N17" s="67"/>
      <c r="O17" s="58"/>
    </row>
    <row r="18" s="1" customFormat="1" ht="18" customHeight="1" spans="1:15">
      <c r="A18" s="35"/>
      <c r="B18" s="22">
        <f t="shared" si="4"/>
        <v>0</v>
      </c>
      <c r="C18" s="46"/>
      <c r="D18" s="47"/>
      <c r="E18" s="48"/>
      <c r="F18" s="22">
        <f t="shared" si="5"/>
        <v>0</v>
      </c>
      <c r="G18" s="33"/>
      <c r="H18" s="34" t="s">
        <v>47</v>
      </c>
      <c r="I18" s="20">
        <v>-23000</v>
      </c>
      <c r="J18" s="44" t="s">
        <v>38</v>
      </c>
      <c r="K18" s="47" t="s">
        <v>48</v>
      </c>
      <c r="L18" s="58"/>
      <c r="M18" s="67"/>
      <c r="N18" s="67"/>
      <c r="O18" s="58"/>
    </row>
    <row r="19" s="1" customFormat="1" ht="18" customHeight="1" spans="1:15">
      <c r="A19" s="35"/>
      <c r="B19" s="22">
        <f t="shared" si="4"/>
        <v>0</v>
      </c>
      <c r="C19" s="46"/>
      <c r="D19" s="47"/>
      <c r="E19" s="48"/>
      <c r="F19" s="22">
        <f t="shared" si="5"/>
        <v>0</v>
      </c>
      <c r="G19" s="33"/>
      <c r="H19" s="34">
        <v>43984</v>
      </c>
      <c r="I19" s="20">
        <v>64950</v>
      </c>
      <c r="J19" s="44" t="s">
        <v>22</v>
      </c>
      <c r="K19" s="47" t="s">
        <v>49</v>
      </c>
      <c r="L19" s="58"/>
      <c r="M19" s="67"/>
      <c r="N19" s="67"/>
      <c r="O19" s="58"/>
    </row>
    <row r="20" s="1" customFormat="1" ht="18" customHeight="1" spans="1:15">
      <c r="A20" s="35"/>
      <c r="B20" s="22">
        <f t="shared" si="4"/>
        <v>0</v>
      </c>
      <c r="C20" s="46"/>
      <c r="D20" s="47"/>
      <c r="E20" s="48"/>
      <c r="F20" s="22">
        <f t="shared" si="5"/>
        <v>0</v>
      </c>
      <c r="G20" s="33"/>
      <c r="H20" s="34">
        <v>43984</v>
      </c>
      <c r="I20" s="20">
        <v>-65000</v>
      </c>
      <c r="J20" s="44" t="s">
        <v>38</v>
      </c>
      <c r="K20" s="47" t="s">
        <v>48</v>
      </c>
      <c r="L20" s="58"/>
      <c r="M20" s="67"/>
      <c r="N20" s="67"/>
      <c r="O20" s="58"/>
    </row>
    <row r="21" s="1" customFormat="1" ht="18" customHeight="1" spans="1:15">
      <c r="A21" s="35"/>
      <c r="B21" s="22">
        <f t="shared" si="4"/>
        <v>0</v>
      </c>
      <c r="C21" s="46"/>
      <c r="D21" s="47"/>
      <c r="E21" s="48"/>
      <c r="F21" s="22">
        <f t="shared" si="5"/>
        <v>0</v>
      </c>
      <c r="G21" s="33"/>
      <c r="H21" s="34">
        <v>43985</v>
      </c>
      <c r="I21" s="20">
        <v>47550</v>
      </c>
      <c r="J21" s="44" t="s">
        <v>22</v>
      </c>
      <c r="K21" s="47" t="s">
        <v>49</v>
      </c>
      <c r="L21" s="58"/>
      <c r="M21" s="67"/>
      <c r="N21" s="67"/>
      <c r="O21" s="58"/>
    </row>
    <row r="22" s="1" customFormat="1" ht="18" customHeight="1" spans="1:15">
      <c r="A22" s="35"/>
      <c r="B22" s="22">
        <f t="shared" si="4"/>
        <v>0</v>
      </c>
      <c r="C22" s="46"/>
      <c r="D22" s="47"/>
      <c r="E22" s="48"/>
      <c r="F22" s="22">
        <f t="shared" si="5"/>
        <v>0</v>
      </c>
      <c r="G22" s="33"/>
      <c r="H22" s="34">
        <v>43985</v>
      </c>
      <c r="I22" s="20">
        <v>-47600</v>
      </c>
      <c r="J22" s="44" t="s">
        <v>38</v>
      </c>
      <c r="K22" s="47" t="s">
        <v>48</v>
      </c>
      <c r="L22" s="58"/>
      <c r="M22" s="67"/>
      <c r="N22" s="67"/>
      <c r="O22" s="58"/>
    </row>
    <row r="23" s="1" customFormat="1" ht="18" customHeight="1" spans="1:15">
      <c r="A23" s="35" t="s">
        <v>50</v>
      </c>
      <c r="B23" s="22">
        <f t="shared" si="4"/>
        <v>195</v>
      </c>
      <c r="C23" s="46">
        <v>1</v>
      </c>
      <c r="D23" s="47" t="s">
        <v>51</v>
      </c>
      <c r="E23" s="48"/>
      <c r="F23" s="22"/>
      <c r="G23" s="33">
        <v>195</v>
      </c>
      <c r="H23" s="50"/>
      <c r="I23" s="68"/>
      <c r="J23" s="67"/>
      <c r="K23" s="47" t="s">
        <v>52</v>
      </c>
      <c r="L23" s="58" t="s">
        <v>53</v>
      </c>
      <c r="M23" s="67"/>
      <c r="N23" s="67"/>
      <c r="O23" s="58"/>
    </row>
    <row r="24" s="1" customFormat="1" ht="18" customHeight="1" spans="1:15">
      <c r="A24" s="35" t="s">
        <v>50</v>
      </c>
      <c r="B24" s="22">
        <v>0</v>
      </c>
      <c r="C24" s="46">
        <v>1</v>
      </c>
      <c r="D24" s="47" t="s">
        <v>51</v>
      </c>
      <c r="E24" s="48"/>
      <c r="F24" s="22">
        <f t="shared" ref="F24:F44" si="6">ROUND(G24/(1+E24)*E24,2)</f>
        <v>0</v>
      </c>
      <c r="G24" s="33">
        <v>9140</v>
      </c>
      <c r="H24" s="50"/>
      <c r="I24" s="68"/>
      <c r="J24" s="67"/>
      <c r="K24" s="47" t="s">
        <v>54</v>
      </c>
      <c r="L24" s="58" t="s">
        <v>55</v>
      </c>
      <c r="M24" s="67"/>
      <c r="N24" s="133" t="s">
        <v>56</v>
      </c>
      <c r="O24" s="58"/>
    </row>
    <row r="25" s="1" customFormat="1" ht="18" customHeight="1" spans="1:15">
      <c r="A25" s="35" t="s">
        <v>50</v>
      </c>
      <c r="B25" s="22">
        <v>0</v>
      </c>
      <c r="C25" s="46">
        <v>1</v>
      </c>
      <c r="D25" s="47" t="s">
        <v>51</v>
      </c>
      <c r="E25" s="48"/>
      <c r="F25" s="22">
        <f t="shared" si="6"/>
        <v>0</v>
      </c>
      <c r="G25" s="33">
        <v>9000</v>
      </c>
      <c r="H25" s="50"/>
      <c r="I25" s="68"/>
      <c r="J25" s="67"/>
      <c r="K25" s="47" t="s">
        <v>54</v>
      </c>
      <c r="L25" s="58" t="s">
        <v>57</v>
      </c>
      <c r="M25" s="67"/>
      <c r="N25" s="133" t="s">
        <v>56</v>
      </c>
      <c r="O25" s="58"/>
    </row>
    <row r="26" s="1" customFormat="1" ht="18" customHeight="1" spans="1:15">
      <c r="A26" s="35" t="s">
        <v>50</v>
      </c>
      <c r="B26" s="22">
        <v>0</v>
      </c>
      <c r="C26" s="46">
        <v>1</v>
      </c>
      <c r="D26" s="47" t="s">
        <v>51</v>
      </c>
      <c r="E26" s="48"/>
      <c r="F26" s="22">
        <f t="shared" si="6"/>
        <v>0</v>
      </c>
      <c r="G26" s="33">
        <v>2000</v>
      </c>
      <c r="H26" s="50"/>
      <c r="I26" s="68"/>
      <c r="J26" s="67"/>
      <c r="K26" s="47" t="s">
        <v>54</v>
      </c>
      <c r="L26" s="58" t="s">
        <v>58</v>
      </c>
      <c r="M26" s="67"/>
      <c r="N26" s="133" t="s">
        <v>56</v>
      </c>
      <c r="O26" s="58"/>
    </row>
    <row r="27" s="1" customFormat="1" ht="18" customHeight="1" spans="1:15">
      <c r="A27" s="35" t="s">
        <v>50</v>
      </c>
      <c r="B27" s="22">
        <v>0</v>
      </c>
      <c r="C27" s="46">
        <v>1</v>
      </c>
      <c r="D27" s="47" t="s">
        <v>51</v>
      </c>
      <c r="E27" s="48"/>
      <c r="F27" s="22">
        <f t="shared" si="6"/>
        <v>0</v>
      </c>
      <c r="G27" s="33">
        <v>8870</v>
      </c>
      <c r="H27" s="50"/>
      <c r="I27" s="68"/>
      <c r="J27" s="67"/>
      <c r="K27" s="47" t="s">
        <v>54</v>
      </c>
      <c r="L27" s="1" t="s">
        <v>59</v>
      </c>
      <c r="N27" s="133" t="s">
        <v>56</v>
      </c>
      <c r="O27" s="58"/>
    </row>
    <row r="28" s="1" customFormat="1" ht="18" customHeight="1" spans="1:15">
      <c r="A28" s="35" t="s">
        <v>50</v>
      </c>
      <c r="B28" s="22">
        <v>0</v>
      </c>
      <c r="C28" s="46">
        <v>1</v>
      </c>
      <c r="D28" s="47" t="s">
        <v>51</v>
      </c>
      <c r="E28" s="48"/>
      <c r="F28" s="22">
        <f t="shared" si="6"/>
        <v>0</v>
      </c>
      <c r="G28" s="33">
        <v>9500</v>
      </c>
      <c r="H28" s="50"/>
      <c r="I28" s="68"/>
      <c r="J28" s="67"/>
      <c r="K28" s="47" t="s">
        <v>54</v>
      </c>
      <c r="L28" s="58" t="s">
        <v>58</v>
      </c>
      <c r="M28" s="67"/>
      <c r="N28" s="133" t="s">
        <v>56</v>
      </c>
      <c r="O28" s="58"/>
    </row>
    <row r="29" s="1" customFormat="1" ht="18" customHeight="1" spans="1:15">
      <c r="A29" s="35" t="s">
        <v>50</v>
      </c>
      <c r="B29" s="22">
        <v>0</v>
      </c>
      <c r="C29" s="46">
        <v>1</v>
      </c>
      <c r="D29" s="47" t="s">
        <v>51</v>
      </c>
      <c r="E29" s="48"/>
      <c r="F29" s="22">
        <f t="shared" si="6"/>
        <v>0</v>
      </c>
      <c r="G29" s="33">
        <v>8085</v>
      </c>
      <c r="H29" s="50"/>
      <c r="I29" s="68"/>
      <c r="J29" s="67"/>
      <c r="K29" s="47" t="s">
        <v>54</v>
      </c>
      <c r="L29" s="58" t="s">
        <v>60</v>
      </c>
      <c r="M29" s="67"/>
      <c r="N29" s="133" t="s">
        <v>56</v>
      </c>
      <c r="O29" s="58"/>
    </row>
    <row r="30" s="1" customFormat="1" ht="18" customHeight="1" spans="1:16">
      <c r="A30" s="35" t="s">
        <v>50</v>
      </c>
      <c r="B30" s="22">
        <f t="shared" ref="B30:B32" si="7">ROUND(G30/(1+E30),2)</f>
        <v>99557.52</v>
      </c>
      <c r="C30" s="46">
        <v>1</v>
      </c>
      <c r="D30" s="47" t="s">
        <v>43</v>
      </c>
      <c r="E30" s="49">
        <v>0.13</v>
      </c>
      <c r="F30" s="22">
        <f t="shared" si="6"/>
        <v>12942.48</v>
      </c>
      <c r="G30" s="33">
        <v>112500</v>
      </c>
      <c r="H30" s="50"/>
      <c r="I30" s="68"/>
      <c r="J30" s="67"/>
      <c r="K30" s="47" t="s">
        <v>49</v>
      </c>
      <c r="L30" s="58" t="s">
        <v>61</v>
      </c>
      <c r="M30" s="67"/>
      <c r="N30" s="67"/>
      <c r="O30" s="58"/>
      <c r="P30" s="1" t="s">
        <v>62</v>
      </c>
    </row>
    <row r="31" s="1" customFormat="1" ht="18" customHeight="1" spans="1:15">
      <c r="A31" s="35" t="s">
        <v>50</v>
      </c>
      <c r="B31" s="22">
        <f t="shared" si="7"/>
        <v>2965.5</v>
      </c>
      <c r="C31" s="46">
        <v>14</v>
      </c>
      <c r="D31" s="47" t="s">
        <v>63</v>
      </c>
      <c r="E31" s="49"/>
      <c r="F31" s="22">
        <f t="shared" si="6"/>
        <v>0</v>
      </c>
      <c r="G31" s="33">
        <v>2965.5</v>
      </c>
      <c r="H31" s="50"/>
      <c r="I31" s="68"/>
      <c r="J31" s="67"/>
      <c r="K31" s="47" t="s">
        <v>64</v>
      </c>
      <c r="L31" s="58" t="s">
        <v>65</v>
      </c>
      <c r="M31" s="67"/>
      <c r="N31" s="67"/>
      <c r="O31" s="58"/>
    </row>
    <row r="32" s="1" customFormat="1" ht="18" customHeight="1" spans="1:15">
      <c r="A32" s="35" t="s">
        <v>50</v>
      </c>
      <c r="B32" s="22">
        <f t="shared" si="7"/>
        <v>388349.51</v>
      </c>
      <c r="C32" s="46">
        <v>4</v>
      </c>
      <c r="D32" s="47" t="s">
        <v>43</v>
      </c>
      <c r="E32" s="49">
        <v>0.03</v>
      </c>
      <c r="F32" s="22">
        <f t="shared" si="6"/>
        <v>11650.49</v>
      </c>
      <c r="G32" s="33">
        <v>400000</v>
      </c>
      <c r="H32" s="50"/>
      <c r="I32" s="68"/>
      <c r="J32" s="67"/>
      <c r="K32" s="47" t="s">
        <v>66</v>
      </c>
      <c r="L32" s="58" t="s">
        <v>67</v>
      </c>
      <c r="M32" s="67"/>
      <c r="N32" s="67"/>
      <c r="O32" s="58"/>
    </row>
    <row r="33" s="2" customFormat="1" ht="18" customHeight="1" spans="1:15">
      <c r="A33" s="52" t="s">
        <v>50</v>
      </c>
      <c r="B33" s="22"/>
      <c r="C33" s="53">
        <v>1</v>
      </c>
      <c r="D33" s="54" t="s">
        <v>51</v>
      </c>
      <c r="E33" s="55"/>
      <c r="F33" s="22">
        <f t="shared" si="6"/>
        <v>0</v>
      </c>
      <c r="G33" s="33">
        <v>1812.36</v>
      </c>
      <c r="H33" s="56"/>
      <c r="I33" s="70"/>
      <c r="J33" s="71"/>
      <c r="K33" s="47" t="s">
        <v>68</v>
      </c>
      <c r="L33" s="58" t="s">
        <v>69</v>
      </c>
      <c r="M33" s="22" t="s">
        <v>70</v>
      </c>
      <c r="N33" s="67"/>
      <c r="O33" s="72"/>
    </row>
    <row r="34" s="2" customFormat="1" ht="18" customHeight="1" spans="1:15">
      <c r="A34" s="35" t="s">
        <v>71</v>
      </c>
      <c r="B34" s="22">
        <f t="shared" ref="B34:B44" si="8">ROUND(G34/(1+E34),2)</f>
        <v>2997.83</v>
      </c>
      <c r="C34" s="46">
        <v>1</v>
      </c>
      <c r="D34" s="47" t="s">
        <v>43</v>
      </c>
      <c r="E34" s="49">
        <v>0.06</v>
      </c>
      <c r="F34" s="22">
        <f t="shared" si="6"/>
        <v>179.87</v>
      </c>
      <c r="G34" s="33">
        <v>3177.7</v>
      </c>
      <c r="H34" s="56"/>
      <c r="I34" s="70"/>
      <c r="J34" s="71"/>
      <c r="K34" s="47" t="s">
        <v>72</v>
      </c>
      <c r="L34" s="58" t="s">
        <v>73</v>
      </c>
      <c r="M34" s="67" t="s">
        <v>74</v>
      </c>
      <c r="N34" s="67"/>
      <c r="O34" s="72"/>
    </row>
    <row r="35" s="2" customFormat="1" ht="18" customHeight="1" spans="1:15">
      <c r="A35" s="35" t="s">
        <v>71</v>
      </c>
      <c r="B35" s="22">
        <f t="shared" si="8"/>
        <v>5995.67</v>
      </c>
      <c r="C35" s="46">
        <v>1</v>
      </c>
      <c r="D35" s="47" t="s">
        <v>43</v>
      </c>
      <c r="E35" s="49">
        <v>0.06</v>
      </c>
      <c r="F35" s="22">
        <f t="shared" si="6"/>
        <v>359.74</v>
      </c>
      <c r="G35" s="33">
        <v>6355.41</v>
      </c>
      <c r="H35" s="56"/>
      <c r="I35" s="70"/>
      <c r="J35" s="71"/>
      <c r="K35" s="47" t="s">
        <v>72</v>
      </c>
      <c r="L35" s="58" t="s">
        <v>73</v>
      </c>
      <c r="M35" s="67" t="s">
        <v>74</v>
      </c>
      <c r="N35" s="67"/>
      <c r="O35" s="72"/>
    </row>
    <row r="36" s="1" customFormat="1" ht="18" customHeight="1" spans="1:16">
      <c r="A36" s="35" t="s">
        <v>71</v>
      </c>
      <c r="B36" s="22">
        <f t="shared" si="8"/>
        <v>99557.52</v>
      </c>
      <c r="C36" s="46">
        <v>1</v>
      </c>
      <c r="D36" s="47" t="s">
        <v>43</v>
      </c>
      <c r="E36" s="49">
        <v>0.13</v>
      </c>
      <c r="F36" s="22">
        <f t="shared" si="6"/>
        <v>12942.48</v>
      </c>
      <c r="G36" s="33">
        <v>112500</v>
      </c>
      <c r="H36" s="56"/>
      <c r="I36" s="70"/>
      <c r="J36" s="71"/>
      <c r="K36" s="47" t="s">
        <v>49</v>
      </c>
      <c r="L36" s="58" t="s">
        <v>61</v>
      </c>
      <c r="M36" s="67" t="s">
        <v>74</v>
      </c>
      <c r="N36" s="67"/>
      <c r="O36" s="72"/>
      <c r="P36" s="1" t="s">
        <v>75</v>
      </c>
    </row>
    <row r="37" s="2" customFormat="1" ht="18" customHeight="1" spans="1:15">
      <c r="A37" s="35" t="s">
        <v>71</v>
      </c>
      <c r="B37" s="22">
        <f t="shared" si="8"/>
        <v>20309.73</v>
      </c>
      <c r="C37" s="46">
        <v>1</v>
      </c>
      <c r="D37" s="47" t="s">
        <v>43</v>
      </c>
      <c r="E37" s="49">
        <v>0.13</v>
      </c>
      <c r="F37" s="22">
        <f t="shared" si="6"/>
        <v>2640.27</v>
      </c>
      <c r="G37" s="33">
        <v>22950</v>
      </c>
      <c r="H37" s="56"/>
      <c r="I37" s="70"/>
      <c r="J37" s="71"/>
      <c r="K37" s="47" t="s">
        <v>46</v>
      </c>
      <c r="L37" s="58" t="s">
        <v>76</v>
      </c>
      <c r="M37" s="67" t="s">
        <v>74</v>
      </c>
      <c r="N37" s="67"/>
      <c r="O37" s="72"/>
    </row>
    <row r="38" s="1" customFormat="1" ht="18" customHeight="1" spans="1:15">
      <c r="A38" s="35" t="s">
        <v>71</v>
      </c>
      <c r="B38" s="22">
        <f t="shared" si="8"/>
        <v>44247.79</v>
      </c>
      <c r="C38" s="46">
        <v>1</v>
      </c>
      <c r="D38" s="47" t="s">
        <v>43</v>
      </c>
      <c r="E38" s="49">
        <v>0.13</v>
      </c>
      <c r="F38" s="22">
        <f t="shared" si="6"/>
        <v>5752.21</v>
      </c>
      <c r="G38" s="33">
        <v>50000</v>
      </c>
      <c r="H38" s="57">
        <v>44103</v>
      </c>
      <c r="I38" s="73">
        <v>50000</v>
      </c>
      <c r="J38" s="74"/>
      <c r="K38" s="75" t="s">
        <v>46</v>
      </c>
      <c r="L38" s="76"/>
      <c r="M38" s="77"/>
      <c r="O38" s="58"/>
    </row>
    <row r="39" s="1" customFormat="1" ht="18" customHeight="1" spans="1:15">
      <c r="A39" s="35"/>
      <c r="B39" s="22">
        <f t="shared" si="8"/>
        <v>0</v>
      </c>
      <c r="C39" s="46"/>
      <c r="D39" s="47"/>
      <c r="E39" s="49"/>
      <c r="F39" s="22">
        <f t="shared" si="6"/>
        <v>0</v>
      </c>
      <c r="G39" s="33"/>
      <c r="H39" s="57">
        <v>44103</v>
      </c>
      <c r="I39" s="73">
        <v>400000</v>
      </c>
      <c r="J39" s="74"/>
      <c r="K39" s="78" t="s">
        <v>66</v>
      </c>
      <c r="L39" s="76"/>
      <c r="M39" s="77"/>
      <c r="O39" s="58"/>
    </row>
    <row r="40" s="1" customFormat="1" ht="18" customHeight="1" spans="1:15">
      <c r="A40" s="35" t="s">
        <v>71</v>
      </c>
      <c r="B40" s="22">
        <f t="shared" si="8"/>
        <v>33185.84</v>
      </c>
      <c r="C40" s="46"/>
      <c r="D40" s="47"/>
      <c r="E40" s="49">
        <v>0.13</v>
      </c>
      <c r="F40" s="22">
        <f t="shared" si="6"/>
        <v>4314.16</v>
      </c>
      <c r="G40" s="33">
        <v>37500</v>
      </c>
      <c r="H40" s="57">
        <v>44103</v>
      </c>
      <c r="I40" s="73">
        <v>150000</v>
      </c>
      <c r="J40" s="74"/>
      <c r="K40" s="78" t="s">
        <v>49</v>
      </c>
      <c r="L40" s="76"/>
      <c r="M40" s="77"/>
      <c r="O40" s="58"/>
    </row>
    <row r="41" s="1" customFormat="1" ht="18" customHeight="1" spans="1:15">
      <c r="A41" s="58" t="s">
        <v>71</v>
      </c>
      <c r="B41" s="22">
        <f t="shared" si="8"/>
        <v>4245.28</v>
      </c>
      <c r="C41" s="58">
        <v>1</v>
      </c>
      <c r="D41" s="47" t="s">
        <v>43</v>
      </c>
      <c r="E41" s="49">
        <v>0.06</v>
      </c>
      <c r="F41" s="22">
        <f t="shared" si="6"/>
        <v>254.72</v>
      </c>
      <c r="G41" s="33">
        <v>4500</v>
      </c>
      <c r="H41" s="130">
        <v>44103</v>
      </c>
      <c r="I41" s="79">
        <v>4500</v>
      </c>
      <c r="J41" s="79" t="s">
        <v>22</v>
      </c>
      <c r="K41" s="79" t="s">
        <v>77</v>
      </c>
      <c r="L41" s="58" t="s">
        <v>78</v>
      </c>
      <c r="M41" s="67"/>
      <c r="N41" s="67"/>
      <c r="O41" s="58"/>
    </row>
    <row r="42" s="1" customFormat="1" ht="18" customHeight="1" spans="1:15">
      <c r="A42" s="58" t="s">
        <v>108</v>
      </c>
      <c r="B42" s="22">
        <f t="shared" si="8"/>
        <v>174757.28</v>
      </c>
      <c r="C42" s="58">
        <v>2</v>
      </c>
      <c r="D42" s="47" t="s">
        <v>43</v>
      </c>
      <c r="E42" s="49">
        <v>0.03</v>
      </c>
      <c r="F42" s="22">
        <f t="shared" si="6"/>
        <v>5242.72</v>
      </c>
      <c r="G42" s="33">
        <v>180000</v>
      </c>
      <c r="H42" s="130">
        <v>44137</v>
      </c>
      <c r="I42" s="79">
        <v>160000</v>
      </c>
      <c r="J42" s="79" t="s">
        <v>22</v>
      </c>
      <c r="K42" s="79" t="s">
        <v>66</v>
      </c>
      <c r="L42" s="72" t="s">
        <v>67</v>
      </c>
      <c r="M42" s="67"/>
      <c r="N42" s="67"/>
      <c r="O42" s="58"/>
    </row>
    <row r="43" s="1" customFormat="1" ht="18" customHeight="1" spans="1:15">
      <c r="A43" s="58" t="s">
        <v>109</v>
      </c>
      <c r="B43" s="22">
        <f t="shared" si="8"/>
        <v>320388.35</v>
      </c>
      <c r="C43" s="58">
        <v>4</v>
      </c>
      <c r="D43" s="47" t="s">
        <v>43</v>
      </c>
      <c r="E43" s="49">
        <v>0.03</v>
      </c>
      <c r="F43" s="22">
        <f t="shared" si="6"/>
        <v>9611.65</v>
      </c>
      <c r="G43" s="33">
        <v>330000</v>
      </c>
      <c r="H43" s="132">
        <v>44174</v>
      </c>
      <c r="I43" s="133">
        <v>330000</v>
      </c>
      <c r="J43" s="133" t="s">
        <v>22</v>
      </c>
      <c r="K43" s="133" t="s">
        <v>66</v>
      </c>
      <c r="L43" s="134" t="s">
        <v>67</v>
      </c>
      <c r="M43" s="67"/>
      <c r="N43" s="67"/>
      <c r="O43" s="58"/>
    </row>
    <row r="44" s="1" customFormat="1" ht="18" customHeight="1" spans="1:15">
      <c r="A44" s="58" t="s">
        <v>109</v>
      </c>
      <c r="B44" s="22">
        <f t="shared" si="8"/>
        <v>132743.36</v>
      </c>
      <c r="C44" s="58">
        <v>2</v>
      </c>
      <c r="D44" s="47" t="s">
        <v>43</v>
      </c>
      <c r="E44" s="49">
        <v>0.13</v>
      </c>
      <c r="F44" s="22">
        <f t="shared" si="6"/>
        <v>17256.64</v>
      </c>
      <c r="G44" s="33">
        <v>150000</v>
      </c>
      <c r="H44" s="132">
        <v>44174</v>
      </c>
      <c r="I44" s="133">
        <v>150000</v>
      </c>
      <c r="J44" s="133" t="s">
        <v>22</v>
      </c>
      <c r="K44" s="147" t="s">
        <v>49</v>
      </c>
      <c r="L44" s="134" t="s">
        <v>61</v>
      </c>
      <c r="M44" s="67"/>
      <c r="N44" s="67"/>
      <c r="O44" s="58"/>
    </row>
    <row r="45" s="1" customFormat="1" ht="18" customHeight="1" spans="1:15">
      <c r="A45" s="58"/>
      <c r="B45" s="22"/>
      <c r="C45" s="58"/>
      <c r="D45" s="47"/>
      <c r="E45" s="49"/>
      <c r="F45" s="22"/>
      <c r="G45" s="33"/>
      <c r="H45" s="130"/>
      <c r="I45" s="79"/>
      <c r="J45" s="79"/>
      <c r="K45" s="79"/>
      <c r="L45" s="58"/>
      <c r="M45" s="67"/>
      <c r="N45" s="67"/>
      <c r="O45" s="58"/>
    </row>
    <row r="46" s="1" customFormat="1" ht="18" customHeight="1" spans="1:15">
      <c r="A46" s="58"/>
      <c r="B46" s="22"/>
      <c r="C46" s="58"/>
      <c r="D46" s="47"/>
      <c r="E46" s="49"/>
      <c r="F46" s="22"/>
      <c r="G46" s="33"/>
      <c r="H46" s="130"/>
      <c r="I46" s="79"/>
      <c r="J46" s="79"/>
      <c r="K46" s="79"/>
      <c r="L46" s="58"/>
      <c r="M46" s="67"/>
      <c r="N46" s="67"/>
      <c r="O46" s="58"/>
    </row>
    <row r="47" s="1" customFormat="1" ht="18" customHeight="1" spans="1:15">
      <c r="A47" s="58"/>
      <c r="B47" s="22"/>
      <c r="C47" s="58"/>
      <c r="D47" s="47"/>
      <c r="E47" s="49"/>
      <c r="F47" s="22"/>
      <c r="G47" s="33"/>
      <c r="H47" s="130"/>
      <c r="I47" s="79"/>
      <c r="J47" s="79"/>
      <c r="K47" s="79"/>
      <c r="L47" s="58"/>
      <c r="M47" s="67"/>
      <c r="N47" s="67"/>
      <c r="O47" s="58"/>
    </row>
    <row r="48" s="1" customFormat="1" ht="18" customHeight="1" spans="1:15">
      <c r="A48" s="58"/>
      <c r="B48" s="22"/>
      <c r="C48" s="58"/>
      <c r="D48" s="47"/>
      <c r="E48" s="49"/>
      <c r="F48" s="22"/>
      <c r="G48" s="33"/>
      <c r="H48" s="130"/>
      <c r="I48" s="79"/>
      <c r="J48" s="79"/>
      <c r="K48" s="79"/>
      <c r="L48" s="58"/>
      <c r="M48" s="67"/>
      <c r="N48" s="67"/>
      <c r="O48" s="58"/>
    </row>
    <row r="49" s="1" customFormat="1" ht="18" customHeight="1" spans="1:15">
      <c r="A49" s="58"/>
      <c r="B49" s="22"/>
      <c r="C49" s="58"/>
      <c r="D49" s="47"/>
      <c r="E49" s="49"/>
      <c r="F49" s="22"/>
      <c r="G49" s="33"/>
      <c r="H49" s="130"/>
      <c r="I49" s="79"/>
      <c r="J49" s="79"/>
      <c r="K49" s="79"/>
      <c r="L49" s="58"/>
      <c r="M49" s="67"/>
      <c r="N49" s="67"/>
      <c r="O49" s="58"/>
    </row>
    <row r="50" s="1" customFormat="1" ht="18" customHeight="1" spans="1:15">
      <c r="A50" s="58"/>
      <c r="B50" s="22"/>
      <c r="C50" s="58"/>
      <c r="D50" s="47"/>
      <c r="E50" s="49"/>
      <c r="F50" s="22"/>
      <c r="G50" s="33"/>
      <c r="H50" s="130"/>
      <c r="I50" s="79"/>
      <c r="J50" s="79"/>
      <c r="K50" s="79"/>
      <c r="L50" s="58"/>
      <c r="M50" s="67"/>
      <c r="N50" s="67"/>
      <c r="O50" s="58"/>
    </row>
    <row r="51" s="1" customFormat="1" ht="18" customHeight="1" spans="1:15">
      <c r="A51" s="58"/>
      <c r="B51" s="22"/>
      <c r="C51" s="58"/>
      <c r="D51" s="47"/>
      <c r="E51" s="49"/>
      <c r="F51" s="22"/>
      <c r="G51" s="33"/>
      <c r="H51" s="130"/>
      <c r="I51" s="79"/>
      <c r="J51" s="79"/>
      <c r="K51" s="79"/>
      <c r="L51" s="58"/>
      <c r="M51" s="67"/>
      <c r="N51" s="67"/>
      <c r="O51" s="58"/>
    </row>
    <row r="52" s="1" customFormat="1" ht="18" customHeight="1" spans="1:15">
      <c r="A52" s="58"/>
      <c r="B52" s="22"/>
      <c r="C52" s="58"/>
      <c r="D52" s="47"/>
      <c r="E52" s="49"/>
      <c r="F52" s="22"/>
      <c r="G52" s="33"/>
      <c r="H52" s="132">
        <v>44174</v>
      </c>
      <c r="I52" s="133">
        <v>200</v>
      </c>
      <c r="J52" s="135" t="s">
        <v>79</v>
      </c>
      <c r="K52" s="136" t="s">
        <v>81</v>
      </c>
      <c r="L52" s="58"/>
      <c r="M52" s="67"/>
      <c r="N52" s="67"/>
      <c r="O52" s="58"/>
    </row>
    <row r="53" s="1" customFormat="1" ht="18" customHeight="1" spans="1:15">
      <c r="A53" s="58"/>
      <c r="B53" s="22"/>
      <c r="C53" s="58"/>
      <c r="D53" s="47"/>
      <c r="E53" s="49"/>
      <c r="F53" s="22"/>
      <c r="G53" s="33"/>
      <c r="H53" s="132">
        <v>44174</v>
      </c>
      <c r="I53" s="133">
        <v>15115.6</v>
      </c>
      <c r="J53" s="137" t="s">
        <v>79</v>
      </c>
      <c r="K53" s="138" t="s">
        <v>82</v>
      </c>
      <c r="L53" s="58"/>
      <c r="M53" s="67"/>
      <c r="N53" s="67"/>
      <c r="O53" s="58"/>
    </row>
    <row r="54" s="1" customFormat="1" ht="18" customHeight="1" spans="1:15">
      <c r="A54" s="58"/>
      <c r="B54" s="22"/>
      <c r="C54" s="58"/>
      <c r="D54" s="47"/>
      <c r="E54" s="49"/>
      <c r="F54" s="22"/>
      <c r="G54" s="33"/>
      <c r="H54" s="132">
        <v>44174</v>
      </c>
      <c r="I54" s="133">
        <v>902</v>
      </c>
      <c r="J54" s="133" t="s">
        <v>79</v>
      </c>
      <c r="K54" s="133" t="s">
        <v>110</v>
      </c>
      <c r="L54" s="58"/>
      <c r="M54" s="67"/>
      <c r="N54" s="67"/>
      <c r="O54" s="58"/>
    </row>
    <row r="55" s="1" customFormat="1" ht="18" customHeight="1" spans="1:15">
      <c r="A55" s="58"/>
      <c r="B55" s="22"/>
      <c r="C55" s="58"/>
      <c r="D55" s="47"/>
      <c r="E55" s="49"/>
      <c r="F55" s="22"/>
      <c r="G55" s="33"/>
      <c r="H55" s="132">
        <v>44174</v>
      </c>
      <c r="I55" s="133">
        <v>15116</v>
      </c>
      <c r="J55" s="135" t="s">
        <v>79</v>
      </c>
      <c r="K55" s="148" t="s">
        <v>111</v>
      </c>
      <c r="L55" s="58"/>
      <c r="M55" s="67"/>
      <c r="N55" s="67"/>
      <c r="O55" s="58"/>
    </row>
    <row r="56" s="1" customFormat="1" ht="18" customHeight="1" spans="1:15">
      <c r="A56" s="58"/>
      <c r="B56" s="22"/>
      <c r="C56" s="58"/>
      <c r="D56" s="47"/>
      <c r="E56" s="49"/>
      <c r="F56" s="22"/>
      <c r="G56" s="33"/>
      <c r="H56" s="130">
        <v>44137</v>
      </c>
      <c r="I56" s="79">
        <v>100</v>
      </c>
      <c r="J56" s="109" t="s">
        <v>79</v>
      </c>
      <c r="K56" s="110" t="s">
        <v>81</v>
      </c>
      <c r="L56" s="58"/>
      <c r="M56" s="67"/>
      <c r="N56" s="67"/>
      <c r="O56" s="58"/>
    </row>
    <row r="57" s="1" customFormat="1" ht="18" customHeight="1" spans="1:15">
      <c r="A57" s="58"/>
      <c r="B57" s="22">
        <f t="shared" ref="B57:B67" si="9">ROUND(G57/(1+E57),2)</f>
        <v>0</v>
      </c>
      <c r="C57" s="58"/>
      <c r="D57" s="58"/>
      <c r="E57" s="49"/>
      <c r="F57" s="58"/>
      <c r="G57" s="33"/>
      <c r="H57" s="130">
        <v>44137</v>
      </c>
      <c r="I57" s="114">
        <v>-167249.11</v>
      </c>
      <c r="J57" s="112" t="s">
        <v>112</v>
      </c>
      <c r="K57" s="79" t="s">
        <v>113</v>
      </c>
      <c r="L57" s="58"/>
      <c r="M57" s="67"/>
      <c r="N57" s="67"/>
      <c r="O57" s="58"/>
    </row>
    <row r="58" s="1" customFormat="1" ht="18" customHeight="1" spans="1:15">
      <c r="A58" s="58"/>
      <c r="B58" s="22">
        <f t="shared" si="9"/>
        <v>0</v>
      </c>
      <c r="C58" s="58"/>
      <c r="D58" s="58"/>
      <c r="E58" s="49"/>
      <c r="F58" s="58"/>
      <c r="G58" s="33"/>
      <c r="H58" s="85">
        <v>44103</v>
      </c>
      <c r="I58" s="115">
        <v>7127</v>
      </c>
      <c r="J58" s="116" t="s">
        <v>79</v>
      </c>
      <c r="K58" s="79" t="s">
        <v>80</v>
      </c>
      <c r="L58" s="58"/>
      <c r="M58" s="67"/>
      <c r="N58" s="67"/>
      <c r="O58" s="58"/>
    </row>
    <row r="59" s="1" customFormat="1" ht="18" customHeight="1" spans="1:15">
      <c r="A59" s="35"/>
      <c r="B59" s="22">
        <f t="shared" si="9"/>
        <v>0</v>
      </c>
      <c r="C59" s="46"/>
      <c r="D59" s="47"/>
      <c r="E59" s="49"/>
      <c r="F59" s="22"/>
      <c r="G59" s="33"/>
      <c r="H59" s="85">
        <v>44103</v>
      </c>
      <c r="I59" s="109">
        <v>250</v>
      </c>
      <c r="J59" s="109" t="s">
        <v>79</v>
      </c>
      <c r="K59" s="110" t="s">
        <v>81</v>
      </c>
      <c r="L59" s="58"/>
      <c r="M59" s="67"/>
      <c r="N59" s="67"/>
      <c r="O59" s="58"/>
    </row>
    <row r="60" s="1" customFormat="1" ht="18" customHeight="1" spans="1:15">
      <c r="A60" s="35" t="s">
        <v>50</v>
      </c>
      <c r="B60" s="22">
        <f t="shared" si="9"/>
        <v>17653.4</v>
      </c>
      <c r="C60" s="46"/>
      <c r="D60" s="47"/>
      <c r="E60" s="49"/>
      <c r="F60" s="22"/>
      <c r="G60" s="33">
        <v>17653.4</v>
      </c>
      <c r="H60" s="57">
        <v>44103</v>
      </c>
      <c r="I60" s="109">
        <v>17653.4</v>
      </c>
      <c r="J60" s="111" t="s">
        <v>79</v>
      </c>
      <c r="K60" s="75" t="s">
        <v>82</v>
      </c>
      <c r="L60" s="58"/>
      <c r="M60" s="67"/>
      <c r="N60" s="67"/>
      <c r="O60" s="58"/>
    </row>
    <row r="61" s="1" customFormat="1" ht="18" customHeight="1" spans="1:15">
      <c r="A61" s="35" t="s">
        <v>83</v>
      </c>
      <c r="B61" s="22">
        <f t="shared" si="9"/>
        <v>2000</v>
      </c>
      <c r="C61" s="46"/>
      <c r="D61" s="47"/>
      <c r="E61" s="49"/>
      <c r="F61" s="22"/>
      <c r="G61" s="33">
        <v>2000</v>
      </c>
      <c r="H61" s="57">
        <v>44103</v>
      </c>
      <c r="I61" s="117">
        <v>2000</v>
      </c>
      <c r="J61" s="118" t="s">
        <v>79</v>
      </c>
      <c r="K61" s="113" t="s">
        <v>84</v>
      </c>
      <c r="L61" s="76"/>
      <c r="M61" s="67"/>
      <c r="N61" s="67"/>
      <c r="O61" s="58"/>
    </row>
    <row r="62" s="1" customFormat="1" ht="18" customHeight="1" spans="1:15">
      <c r="A62" s="35"/>
      <c r="B62" s="22">
        <f t="shared" si="9"/>
        <v>0</v>
      </c>
      <c r="C62" s="46"/>
      <c r="D62" s="47"/>
      <c r="E62" s="49"/>
      <c r="F62" s="22">
        <f t="shared" ref="F62:F67" si="10">ROUND(G62/(1+E62)*E62,2)</f>
        <v>0</v>
      </c>
      <c r="G62" s="33"/>
      <c r="H62" s="57">
        <v>44103</v>
      </c>
      <c r="I62" s="119">
        <v>181283.32</v>
      </c>
      <c r="J62" s="118" t="s">
        <v>85</v>
      </c>
      <c r="K62" s="113" t="s">
        <v>86</v>
      </c>
      <c r="L62" s="58"/>
      <c r="M62" s="67"/>
      <c r="N62" s="67"/>
      <c r="O62" s="58"/>
    </row>
    <row r="63" s="1" customFormat="1" ht="18" customHeight="1" spans="1:15">
      <c r="A63" s="35"/>
      <c r="B63" s="22">
        <f t="shared" si="9"/>
        <v>0</v>
      </c>
      <c r="C63" s="46"/>
      <c r="D63" s="47"/>
      <c r="E63" s="48"/>
      <c r="F63" s="22">
        <f t="shared" si="10"/>
        <v>0</v>
      </c>
      <c r="G63" s="33"/>
      <c r="H63" s="57">
        <v>44103</v>
      </c>
      <c r="I63" s="119">
        <v>58904.32</v>
      </c>
      <c r="J63" s="118" t="s">
        <v>79</v>
      </c>
      <c r="K63" s="113" t="s">
        <v>87</v>
      </c>
      <c r="L63" s="58"/>
      <c r="M63" s="67"/>
      <c r="N63" s="67"/>
      <c r="O63" s="58"/>
    </row>
    <row r="64" s="1" customFormat="1" ht="18" customHeight="1" spans="1:15">
      <c r="A64" s="35"/>
      <c r="B64" s="22">
        <f t="shared" si="9"/>
        <v>0</v>
      </c>
      <c r="C64" s="46"/>
      <c r="D64" s="47"/>
      <c r="E64" s="48"/>
      <c r="F64" s="22">
        <f t="shared" si="10"/>
        <v>0</v>
      </c>
      <c r="G64" s="33"/>
      <c r="H64" s="57">
        <v>44103</v>
      </c>
      <c r="I64" s="119">
        <v>17653.4</v>
      </c>
      <c r="J64" s="118" t="s">
        <v>79</v>
      </c>
      <c r="K64" s="113" t="s">
        <v>88</v>
      </c>
      <c r="L64" s="58"/>
      <c r="M64" s="67"/>
      <c r="N64" s="67"/>
      <c r="O64" s="58"/>
    </row>
    <row r="65" s="1" customFormat="1" ht="18" customHeight="1" spans="1:15">
      <c r="A65" s="35"/>
      <c r="B65" s="22">
        <f t="shared" si="9"/>
        <v>0</v>
      </c>
      <c r="C65" s="46"/>
      <c r="D65" s="47"/>
      <c r="E65" s="48"/>
      <c r="F65" s="22">
        <f t="shared" si="10"/>
        <v>0</v>
      </c>
      <c r="G65" s="33"/>
      <c r="H65" s="34">
        <v>43986</v>
      </c>
      <c r="I65" s="20">
        <v>50</v>
      </c>
      <c r="J65" s="44" t="s">
        <v>79</v>
      </c>
      <c r="K65" s="47" t="s">
        <v>89</v>
      </c>
      <c r="L65" s="58"/>
      <c r="M65" s="67"/>
      <c r="N65" s="67"/>
      <c r="O65" s="58"/>
    </row>
    <row r="66" s="1" customFormat="1" ht="18" customHeight="1" spans="1:15">
      <c r="A66" s="35"/>
      <c r="B66" s="22">
        <f t="shared" si="9"/>
        <v>0</v>
      </c>
      <c r="C66" s="46"/>
      <c r="D66" s="47"/>
      <c r="E66" s="48"/>
      <c r="F66" s="22">
        <f t="shared" si="10"/>
        <v>0</v>
      </c>
      <c r="G66" s="33"/>
      <c r="H66" s="34">
        <v>43984</v>
      </c>
      <c r="I66" s="20">
        <v>50</v>
      </c>
      <c r="J66" s="44" t="s">
        <v>79</v>
      </c>
      <c r="K66" s="47" t="s">
        <v>89</v>
      </c>
      <c r="L66" s="58"/>
      <c r="M66" s="67"/>
      <c r="N66" s="67"/>
      <c r="O66" s="58"/>
    </row>
    <row r="67" s="1" customFormat="1" ht="18" customHeight="1" spans="1:15">
      <c r="A67" s="35"/>
      <c r="B67" s="22">
        <f t="shared" si="9"/>
        <v>0</v>
      </c>
      <c r="C67" s="46"/>
      <c r="D67" s="47"/>
      <c r="E67" s="48"/>
      <c r="F67" s="22">
        <f t="shared" si="10"/>
        <v>0</v>
      </c>
      <c r="G67" s="33"/>
      <c r="H67" s="34">
        <v>43978</v>
      </c>
      <c r="I67" s="20">
        <v>50</v>
      </c>
      <c r="J67" s="44" t="s">
        <v>79</v>
      </c>
      <c r="K67" s="47" t="s">
        <v>89</v>
      </c>
      <c r="L67" s="58"/>
      <c r="M67" s="67"/>
      <c r="N67" s="67"/>
      <c r="O67" s="58"/>
    </row>
    <row r="68" ht="18" customHeight="1" spans="1:15">
      <c r="A68" s="39" t="s">
        <v>23</v>
      </c>
      <c r="B68" s="40">
        <f>SUM(B14:B67)</f>
        <v>1401413.73</v>
      </c>
      <c r="C68" s="40">
        <f>SUM(C23:C67)</f>
        <v>41</v>
      </c>
      <c r="D68" s="40">
        <f>SUM(D23:D67)</f>
        <v>0</v>
      </c>
      <c r="E68" s="40">
        <f>SUM(E23:E67)</f>
        <v>1.05</v>
      </c>
      <c r="F68" s="40">
        <f>SUM(F14:F67)</f>
        <v>86283.28</v>
      </c>
      <c r="G68" s="86">
        <f>SUM(G15:G67)</f>
        <v>1536104.37</v>
      </c>
      <c r="H68" s="139"/>
      <c r="I68" s="25">
        <f>SUM(I14:I67)</f>
        <v>1393555.93</v>
      </c>
      <c r="J68" s="120"/>
      <c r="K68" s="121"/>
      <c r="L68" s="93"/>
      <c r="M68" s="44"/>
      <c r="N68" s="44"/>
      <c r="O68" s="93"/>
    </row>
    <row r="69" ht="18" customHeight="1" spans="1:14">
      <c r="A69" s="87" t="s">
        <v>90</v>
      </c>
      <c r="B69" s="88">
        <f>B11*0.96</f>
        <v>1443038.53211009</v>
      </c>
      <c r="C69" s="89"/>
      <c r="D69" s="90"/>
      <c r="E69" s="90"/>
      <c r="F69" s="88"/>
      <c r="G69" s="88">
        <f>G11-G68</f>
        <v>102345.63</v>
      </c>
      <c r="H69" s="27" t="s">
        <v>91</v>
      </c>
      <c r="I69" s="25">
        <f>I11-I68</f>
        <v>244894.07</v>
      </c>
      <c r="J69" s="9"/>
      <c r="K69" s="122"/>
      <c r="M69" s="9"/>
      <c r="N69" s="9"/>
    </row>
    <row r="70" ht="18" customHeight="1" spans="1:14">
      <c r="A70" s="87" t="s">
        <v>92</v>
      </c>
      <c r="B70" s="88">
        <f>B69-B68</f>
        <v>41624.8021100916</v>
      </c>
      <c r="C70" s="89"/>
      <c r="D70" s="90"/>
      <c r="E70" s="90"/>
      <c r="F70" s="88"/>
      <c r="G70" s="88"/>
      <c r="H70" s="91"/>
      <c r="I70" s="123"/>
      <c r="J70" s="9"/>
      <c r="K70" s="122"/>
      <c r="M70" s="9"/>
      <c r="N70" s="9"/>
    </row>
    <row r="71" ht="18" customHeight="1" spans="1:3">
      <c r="A71" s="3" t="s">
        <v>93</v>
      </c>
      <c r="C71" s="92"/>
    </row>
    <row r="72" ht="18" customHeight="1" spans="1:11">
      <c r="A72" s="24" t="s">
        <v>94</v>
      </c>
      <c r="B72" s="25" t="s">
        <v>95</v>
      </c>
      <c r="C72" s="93"/>
      <c r="D72" s="27" t="s">
        <v>94</v>
      </c>
      <c r="E72" s="26" t="s">
        <v>16</v>
      </c>
      <c r="F72" s="94" t="s">
        <v>95</v>
      </c>
      <c r="G72" s="25" t="s">
        <v>114</v>
      </c>
      <c r="H72" s="26" t="s">
        <v>115</v>
      </c>
      <c r="I72" s="26"/>
      <c r="K72" s="95" t="s">
        <v>116</v>
      </c>
    </row>
    <row r="73" ht="18" customHeight="1" spans="1:11">
      <c r="A73" s="14" t="s">
        <v>96</v>
      </c>
      <c r="B73" s="22">
        <f>(B69-B68)*0.25</f>
        <v>10406.2005275229</v>
      </c>
      <c r="C73" s="93"/>
      <c r="D73" s="96" t="s">
        <v>97</v>
      </c>
      <c r="E73" s="27" t="s">
        <v>98</v>
      </c>
      <c r="F73" s="43">
        <f>F11-F68</f>
        <v>18938.2796330275</v>
      </c>
      <c r="G73" s="10">
        <f>F7-F16</f>
        <v>53549.3793577982</v>
      </c>
      <c r="H73" s="140">
        <f>(B7*0.96-(SUM(B23:B41)+B60+B61))*0.25</f>
        <v>14034.2102981651</v>
      </c>
      <c r="I73" s="20" t="s">
        <v>117</v>
      </c>
      <c r="K73" s="98">
        <f>F8-F30-F32-F34-F35-F36-F37-F38-F40-F41-F42</f>
        <v>-7742.80972477064</v>
      </c>
    </row>
    <row r="74" ht="18" customHeight="1" spans="1:11">
      <c r="A74" s="14" t="s">
        <v>99</v>
      </c>
      <c r="B74" s="99" t="s">
        <v>100</v>
      </c>
      <c r="C74" s="93"/>
      <c r="D74" s="100" t="s">
        <v>101</v>
      </c>
      <c r="E74" s="18">
        <v>0.05</v>
      </c>
      <c r="F74" s="29">
        <f>F73*E74</f>
        <v>946.913981651377</v>
      </c>
      <c r="G74" s="20">
        <f>G73*E74</f>
        <v>2677.46896788991</v>
      </c>
      <c r="H74" s="140">
        <f>I62</f>
        <v>181283.32</v>
      </c>
      <c r="I74" s="20" t="s">
        <v>118</v>
      </c>
      <c r="K74" s="98">
        <v>0</v>
      </c>
    </row>
    <row r="75" ht="18" customHeight="1" spans="1:11">
      <c r="A75" s="14" t="s">
        <v>102</v>
      </c>
      <c r="B75" s="99">
        <f>B11*0.0006</f>
        <v>901.899082568807</v>
      </c>
      <c r="C75" s="93"/>
      <c r="D75" s="100" t="s">
        <v>103</v>
      </c>
      <c r="E75" s="18">
        <v>0.03</v>
      </c>
      <c r="F75" s="29">
        <f>F73*E75</f>
        <v>568.148388990826</v>
      </c>
      <c r="G75" s="20">
        <f>G73*E75</f>
        <v>1606.48138073395</v>
      </c>
      <c r="H75" s="141">
        <f>H74-H73</f>
        <v>167249.109701835</v>
      </c>
      <c r="I75" s="20" t="s">
        <v>119</v>
      </c>
      <c r="K75" s="98">
        <v>0</v>
      </c>
    </row>
    <row r="76" ht="18" customHeight="1" spans="1:11">
      <c r="A76" s="14"/>
      <c r="B76" s="29"/>
      <c r="C76" s="93"/>
      <c r="D76" s="100" t="s">
        <v>104</v>
      </c>
      <c r="E76" s="18">
        <v>0.02</v>
      </c>
      <c r="F76" s="29">
        <f>F73*E76</f>
        <v>378.765592660551</v>
      </c>
      <c r="G76" s="20">
        <f>G73*E76</f>
        <v>1070.98758715596</v>
      </c>
      <c r="K76" s="98">
        <v>0</v>
      </c>
    </row>
    <row r="77" ht="18" customHeight="1" spans="1:11">
      <c r="A77" s="39" t="s">
        <v>105</v>
      </c>
      <c r="B77" s="40">
        <f>SUM(B73:B76)</f>
        <v>11308.0996100917</v>
      </c>
      <c r="C77" s="93"/>
      <c r="D77" s="101" t="s">
        <v>105</v>
      </c>
      <c r="E77" s="96"/>
      <c r="F77" s="43">
        <f>SUM(F73:F76)</f>
        <v>20832.1075963303</v>
      </c>
      <c r="G77" s="25">
        <f>SUM(G73:G76)</f>
        <v>58904.317293578</v>
      </c>
      <c r="K77" s="98"/>
    </row>
    <row r="78" ht="18" customHeight="1" spans="3:11">
      <c r="C78" s="92"/>
      <c r="D78" s="16" t="s">
        <v>99</v>
      </c>
      <c r="E78" s="102">
        <v>0.0003</v>
      </c>
      <c r="F78" s="29"/>
      <c r="G78" s="20"/>
      <c r="K78" s="98"/>
    </row>
    <row r="79" ht="18" customHeight="1" spans="3:11">
      <c r="C79" s="92"/>
      <c r="D79" s="16" t="s">
        <v>102</v>
      </c>
      <c r="E79" s="102">
        <v>0.0006</v>
      </c>
      <c r="F79" s="29"/>
      <c r="G79" s="20"/>
      <c r="K79" s="98">
        <f>(B7+B8)*E79</f>
        <v>901.899082568807</v>
      </c>
    </row>
    <row r="80" ht="18" customHeight="1" spans="3:11">
      <c r="C80" s="92"/>
      <c r="D80" s="26" t="s">
        <v>105</v>
      </c>
      <c r="E80" s="103"/>
      <c r="F80" s="42">
        <f>F79+F78</f>
        <v>0</v>
      </c>
      <c r="G80" s="20"/>
      <c r="K80" s="98"/>
    </row>
    <row r="81" ht="18" customHeight="1" spans="3:11">
      <c r="C81" s="92"/>
      <c r="D81" s="26" t="s">
        <v>23</v>
      </c>
      <c r="E81" s="41"/>
      <c r="F81" s="42">
        <f>F77+F80</f>
        <v>20832.1075963303</v>
      </c>
      <c r="G81" s="20"/>
      <c r="K81" s="98"/>
    </row>
    <row r="82" ht="18" customHeight="1" spans="3:11">
      <c r="C82" s="92"/>
      <c r="D82" s="41" t="s">
        <v>96</v>
      </c>
      <c r="E82" s="103">
        <v>0.02</v>
      </c>
      <c r="F82" s="42">
        <f>G11*E82</f>
        <v>32769</v>
      </c>
      <c r="G82" s="25">
        <f>E82*G7</f>
        <v>17653.4</v>
      </c>
      <c r="K82" s="98">
        <f>E82*G8</f>
        <v>15115.6</v>
      </c>
    </row>
    <row r="83" ht="18" customHeight="1" spans="3:3">
      <c r="C83" s="92"/>
    </row>
    <row r="84" ht="18" customHeight="1" spans="3:3">
      <c r="C84" s="92"/>
    </row>
    <row r="85" ht="18" customHeight="1" spans="3:3">
      <c r="C85" s="92"/>
    </row>
    <row r="86" spans="3:3">
      <c r="C86" s="92"/>
    </row>
    <row r="87" spans="3:3">
      <c r="C87" s="92"/>
    </row>
    <row r="88" spans="3:3">
      <c r="C88" s="92"/>
    </row>
    <row r="89" spans="3:3">
      <c r="C89" s="92"/>
    </row>
    <row r="90" spans="3:3">
      <c r="C90" s="92"/>
    </row>
    <row r="91" spans="3:3">
      <c r="C91" s="92"/>
    </row>
    <row r="92" spans="3:3">
      <c r="C92" s="92"/>
    </row>
    <row r="93" spans="3:3">
      <c r="C93" s="92"/>
    </row>
    <row r="94" spans="3:3">
      <c r="C94" s="92"/>
    </row>
    <row r="95" spans="3:3">
      <c r="C95" s="92"/>
    </row>
    <row r="96" spans="3:3">
      <c r="C96" s="92"/>
    </row>
    <row r="97" spans="3:3">
      <c r="C97" s="92"/>
    </row>
    <row r="98" spans="3:3">
      <c r="C98" s="92"/>
    </row>
    <row r="99" spans="3:3">
      <c r="C99" s="92"/>
    </row>
    <row r="100" spans="3:3">
      <c r="C100" s="92"/>
    </row>
    <row r="101" spans="3:3">
      <c r="C101" s="92"/>
    </row>
  </sheetData>
  <autoFilter ref="A12:P82">
    <extLst/>
  </autoFilter>
  <mergeCells count="9">
    <mergeCell ref="A1:J1"/>
    <mergeCell ref="H2:J2"/>
    <mergeCell ref="C5:D5"/>
    <mergeCell ref="E5:F5"/>
    <mergeCell ref="H5:J5"/>
    <mergeCell ref="H72:I72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08"/>
  <sheetViews>
    <sheetView topLeftCell="A37" workbookViewId="0">
      <selection activeCell="K9" sqref="K9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11.75" style="5" customWidth="1"/>
    <col min="9" max="9" width="13.8833333333333" style="7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9" t="s">
        <v>6</v>
      </c>
      <c r="I2" s="61"/>
      <c r="J2" s="62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3"/>
      <c r="J3" s="23"/>
      <c r="K3" s="23"/>
      <c r="L3" s="23"/>
    </row>
    <row r="4" ht="18" customHeight="1" spans="1:12">
      <c r="A4" s="3" t="s">
        <v>9</v>
      </c>
      <c r="H4" s="23"/>
      <c r="I4" s="63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10" si="0">G7/(1+C7+E7)</f>
        <v>809788.990825688</v>
      </c>
      <c r="C7" s="30">
        <v>0.02</v>
      </c>
      <c r="D7" s="31">
        <f t="shared" ref="D7:D10" si="1">G7/(1+E7+C7)*C7</f>
        <v>16195.7798165138</v>
      </c>
      <c r="E7" s="32">
        <v>0.07</v>
      </c>
      <c r="F7" s="29">
        <f t="shared" ref="F7:F10" si="2">G7/(1+C7+E7)*E7</f>
        <v>56685.2293577982</v>
      </c>
      <c r="G7" s="33">
        <v>882670</v>
      </c>
      <c r="H7" s="34" t="s">
        <v>21</v>
      </c>
      <c r="I7" s="20">
        <v>882670</v>
      </c>
      <c r="J7" s="44" t="s">
        <v>22</v>
      </c>
    </row>
    <row r="8" ht="18" customHeight="1" spans="1:10">
      <c r="A8" s="35">
        <v>44160</v>
      </c>
      <c r="B8" s="22">
        <f t="shared" si="0"/>
        <v>693376.146788991</v>
      </c>
      <c r="C8" s="36">
        <v>0.02</v>
      </c>
      <c r="D8" s="37">
        <f t="shared" si="1"/>
        <v>13867.5229357798</v>
      </c>
      <c r="E8" s="32">
        <v>0.07</v>
      </c>
      <c r="F8" s="22">
        <f t="shared" si="2"/>
        <v>48536.3302752294</v>
      </c>
      <c r="G8" s="33">
        <v>755780</v>
      </c>
      <c r="H8" s="34" t="s">
        <v>107</v>
      </c>
      <c r="I8" s="20">
        <v>755780</v>
      </c>
      <c r="J8" s="44" t="s">
        <v>22</v>
      </c>
    </row>
    <row r="9" ht="18" customHeight="1" spans="1:10">
      <c r="A9" s="28">
        <v>44183</v>
      </c>
      <c r="B9" s="29">
        <f t="shared" si="0"/>
        <v>1022636.36363636</v>
      </c>
      <c r="C9" s="30">
        <v>0.02</v>
      </c>
      <c r="D9" s="31">
        <f t="shared" si="1"/>
        <v>20452.7272727273</v>
      </c>
      <c r="E9" s="30">
        <v>0.08</v>
      </c>
      <c r="F9" s="29">
        <f t="shared" si="2"/>
        <v>81810.9090909091</v>
      </c>
      <c r="G9" s="33">
        <v>1124900</v>
      </c>
      <c r="H9" s="34"/>
      <c r="I9" s="20"/>
      <c r="J9" s="44"/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0">
        <v>0.08</v>
      </c>
      <c r="F10" s="29">
        <f t="shared" si="2"/>
        <v>0</v>
      </c>
      <c r="G10" s="33"/>
      <c r="H10" s="34"/>
      <c r="I10" s="20"/>
      <c r="J10" s="44"/>
    </row>
    <row r="11" ht="18" customHeight="1" spans="1:10">
      <c r="A11" s="39" t="s">
        <v>23</v>
      </c>
      <c r="B11" s="40">
        <f t="shared" ref="B11:G11" si="3">SUM(B7:B10)</f>
        <v>2525801.50125104</v>
      </c>
      <c r="C11" s="41"/>
      <c r="D11" s="42">
        <f t="shared" si="3"/>
        <v>50516.0300250209</v>
      </c>
      <c r="E11" s="41"/>
      <c r="F11" s="43">
        <f t="shared" si="3"/>
        <v>187032.468723937</v>
      </c>
      <c r="G11" s="42">
        <f t="shared" si="3"/>
        <v>2763350</v>
      </c>
      <c r="H11" s="93"/>
      <c r="I11" s="25">
        <f>SUM(I7:I10)</f>
        <v>1638450</v>
      </c>
      <c r="J11" s="44"/>
    </row>
    <row r="12" ht="18" customHeight="1" spans="1:12">
      <c r="A12" s="3" t="s">
        <v>24</v>
      </c>
      <c r="J12" s="6"/>
      <c r="K12" s="6"/>
      <c r="L12" s="65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6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7" t="s">
        <v>38</v>
      </c>
      <c r="K14" s="20" t="s">
        <v>39</v>
      </c>
      <c r="L14" s="27"/>
      <c r="M14" s="27"/>
      <c r="N14" s="27"/>
      <c r="O14" s="27"/>
    </row>
    <row r="15" s="1" customFormat="1" ht="18" customHeight="1" spans="1:15">
      <c r="A15" s="35"/>
      <c r="B15" s="22">
        <f t="shared" ref="B15:B23" si="4">ROUND(G15/(1+E15),2)</f>
        <v>0</v>
      </c>
      <c r="C15" s="46"/>
      <c r="D15" s="47"/>
      <c r="E15" s="48"/>
      <c r="F15" s="22">
        <f t="shared" ref="F15:F22" si="5">ROUND(G15/(1+E15)*E15,2)</f>
        <v>0</v>
      </c>
      <c r="G15" s="33"/>
      <c r="H15" s="34" t="s">
        <v>40</v>
      </c>
      <c r="I15" s="20">
        <v>5000</v>
      </c>
      <c r="J15" s="44" t="s">
        <v>22</v>
      </c>
      <c r="K15" s="47" t="s">
        <v>41</v>
      </c>
      <c r="L15" s="58"/>
      <c r="M15" s="67"/>
      <c r="N15" s="67"/>
      <c r="O15" s="58"/>
    </row>
    <row r="16" s="1" customFormat="1" ht="18" customHeight="1" spans="1:15">
      <c r="A16" s="35" t="s">
        <v>42</v>
      </c>
      <c r="B16" s="22">
        <f t="shared" si="4"/>
        <v>52264.15</v>
      </c>
      <c r="C16" s="46">
        <v>1</v>
      </c>
      <c r="D16" s="47" t="s">
        <v>43</v>
      </c>
      <c r="E16" s="49">
        <v>0.06</v>
      </c>
      <c r="F16" s="22">
        <f t="shared" si="5"/>
        <v>3135.85</v>
      </c>
      <c r="G16" s="33">
        <v>55400</v>
      </c>
      <c r="H16" s="34"/>
      <c r="I16" s="20"/>
      <c r="J16" s="44" t="s">
        <v>22</v>
      </c>
      <c r="K16" s="47" t="s">
        <v>44</v>
      </c>
      <c r="L16" s="58"/>
      <c r="M16" s="67"/>
      <c r="N16" s="67"/>
      <c r="O16" s="58"/>
    </row>
    <row r="17" s="1" customFormat="1" ht="18" customHeight="1" spans="1:15">
      <c r="A17" s="35"/>
      <c r="B17" s="22">
        <f t="shared" si="4"/>
        <v>0</v>
      </c>
      <c r="C17" s="46"/>
      <c r="D17" s="47"/>
      <c r="E17" s="48"/>
      <c r="F17" s="22">
        <f t="shared" si="5"/>
        <v>0</v>
      </c>
      <c r="G17" s="33"/>
      <c r="H17" s="34" t="s">
        <v>45</v>
      </c>
      <c r="I17" s="20">
        <v>22950</v>
      </c>
      <c r="J17" s="44" t="s">
        <v>22</v>
      </c>
      <c r="K17" s="47" t="s">
        <v>46</v>
      </c>
      <c r="L17" s="58"/>
      <c r="M17" s="67"/>
      <c r="N17" s="67"/>
      <c r="O17" s="58"/>
    </row>
    <row r="18" s="1" customFormat="1" ht="18" customHeight="1" spans="1:15">
      <c r="A18" s="35"/>
      <c r="B18" s="22">
        <f t="shared" si="4"/>
        <v>0</v>
      </c>
      <c r="C18" s="46"/>
      <c r="D18" s="47"/>
      <c r="E18" s="48"/>
      <c r="F18" s="22">
        <f t="shared" si="5"/>
        <v>0</v>
      </c>
      <c r="G18" s="33"/>
      <c r="H18" s="34" t="s">
        <v>47</v>
      </c>
      <c r="I18" s="20">
        <v>-23000</v>
      </c>
      <c r="J18" s="44" t="s">
        <v>38</v>
      </c>
      <c r="K18" s="47" t="s">
        <v>48</v>
      </c>
      <c r="L18" s="58"/>
      <c r="M18" s="67"/>
      <c r="N18" s="67"/>
      <c r="O18" s="58"/>
    </row>
    <row r="19" s="1" customFormat="1" ht="18" customHeight="1" spans="1:15">
      <c r="A19" s="35"/>
      <c r="B19" s="22">
        <f t="shared" si="4"/>
        <v>0</v>
      </c>
      <c r="C19" s="46"/>
      <c r="D19" s="47"/>
      <c r="E19" s="48"/>
      <c r="F19" s="22">
        <f t="shared" si="5"/>
        <v>0</v>
      </c>
      <c r="G19" s="33"/>
      <c r="H19" s="34">
        <v>43984</v>
      </c>
      <c r="I19" s="20">
        <v>64950</v>
      </c>
      <c r="J19" s="44" t="s">
        <v>22</v>
      </c>
      <c r="K19" s="47" t="s">
        <v>49</v>
      </c>
      <c r="L19" s="58"/>
      <c r="M19" s="67"/>
      <c r="N19" s="67"/>
      <c r="O19" s="58"/>
    </row>
    <row r="20" s="1" customFormat="1" ht="18" customHeight="1" spans="1:15">
      <c r="A20" s="35"/>
      <c r="B20" s="22">
        <f t="shared" si="4"/>
        <v>0</v>
      </c>
      <c r="C20" s="46"/>
      <c r="D20" s="47"/>
      <c r="E20" s="48"/>
      <c r="F20" s="22">
        <f t="shared" si="5"/>
        <v>0</v>
      </c>
      <c r="G20" s="33"/>
      <c r="H20" s="34">
        <v>43984</v>
      </c>
      <c r="I20" s="20">
        <v>-65000</v>
      </c>
      <c r="J20" s="44" t="s">
        <v>38</v>
      </c>
      <c r="K20" s="47" t="s">
        <v>48</v>
      </c>
      <c r="L20" s="58"/>
      <c r="M20" s="67"/>
      <c r="N20" s="67"/>
      <c r="O20" s="58"/>
    </row>
    <row r="21" s="1" customFormat="1" ht="18" customHeight="1" spans="1:15">
      <c r="A21" s="35"/>
      <c r="B21" s="22">
        <f t="shared" si="4"/>
        <v>0</v>
      </c>
      <c r="C21" s="46"/>
      <c r="D21" s="47"/>
      <c r="E21" s="48"/>
      <c r="F21" s="22">
        <f t="shared" si="5"/>
        <v>0</v>
      </c>
      <c r="G21" s="33"/>
      <c r="H21" s="34">
        <v>43985</v>
      </c>
      <c r="I21" s="20">
        <v>47550</v>
      </c>
      <c r="J21" s="44" t="s">
        <v>22</v>
      </c>
      <c r="K21" s="47" t="s">
        <v>49</v>
      </c>
      <c r="L21" s="58"/>
      <c r="M21" s="67"/>
      <c r="N21" s="67"/>
      <c r="O21" s="58"/>
    </row>
    <row r="22" s="1" customFormat="1" ht="18" customHeight="1" spans="1:15">
      <c r="A22" s="35"/>
      <c r="B22" s="22">
        <f t="shared" si="4"/>
        <v>0</v>
      </c>
      <c r="C22" s="46"/>
      <c r="D22" s="47"/>
      <c r="E22" s="48"/>
      <c r="F22" s="22">
        <f t="shared" si="5"/>
        <v>0</v>
      </c>
      <c r="G22" s="33"/>
      <c r="H22" s="34">
        <v>43985</v>
      </c>
      <c r="I22" s="20">
        <v>-47600</v>
      </c>
      <c r="J22" s="44" t="s">
        <v>38</v>
      </c>
      <c r="K22" s="47" t="s">
        <v>48</v>
      </c>
      <c r="L22" s="58"/>
      <c r="M22" s="67"/>
      <c r="N22" s="67"/>
      <c r="O22" s="58"/>
    </row>
    <row r="23" s="1" customFormat="1" ht="18" customHeight="1" spans="1:15">
      <c r="A23" s="35" t="s">
        <v>50</v>
      </c>
      <c r="B23" s="22">
        <f t="shared" si="4"/>
        <v>195</v>
      </c>
      <c r="C23" s="46">
        <v>1</v>
      </c>
      <c r="D23" s="47" t="s">
        <v>51</v>
      </c>
      <c r="E23" s="48"/>
      <c r="F23" s="22"/>
      <c r="G23" s="33">
        <v>195</v>
      </c>
      <c r="H23" s="50"/>
      <c r="I23" s="68"/>
      <c r="J23" s="67"/>
      <c r="K23" s="47" t="s">
        <v>52</v>
      </c>
      <c r="L23" s="58" t="s">
        <v>53</v>
      </c>
      <c r="M23" s="67"/>
      <c r="N23" s="67"/>
      <c r="O23" s="58"/>
    </row>
    <row r="24" s="1" customFormat="1" ht="18" customHeight="1" spans="1:15">
      <c r="A24" s="35" t="s">
        <v>50</v>
      </c>
      <c r="B24" s="22">
        <v>0</v>
      </c>
      <c r="C24" s="46">
        <v>1</v>
      </c>
      <c r="D24" s="47" t="s">
        <v>51</v>
      </c>
      <c r="E24" s="48"/>
      <c r="F24" s="22">
        <f t="shared" ref="F24:F47" si="6">ROUND(G24/(1+E24)*E24,2)</f>
        <v>0</v>
      </c>
      <c r="G24" s="33">
        <v>9140</v>
      </c>
      <c r="H24" s="50"/>
      <c r="I24" s="68"/>
      <c r="J24" s="67"/>
      <c r="K24" s="47" t="s">
        <v>54</v>
      </c>
      <c r="L24" s="58" t="s">
        <v>55</v>
      </c>
      <c r="M24" s="67"/>
      <c r="N24" s="133" t="s">
        <v>56</v>
      </c>
      <c r="O24" s="58"/>
    </row>
    <row r="25" s="1" customFormat="1" ht="18" customHeight="1" spans="1:15">
      <c r="A25" s="35" t="s">
        <v>50</v>
      </c>
      <c r="B25" s="22">
        <v>0</v>
      </c>
      <c r="C25" s="46">
        <v>1</v>
      </c>
      <c r="D25" s="47" t="s">
        <v>51</v>
      </c>
      <c r="E25" s="48"/>
      <c r="F25" s="22">
        <f t="shared" si="6"/>
        <v>0</v>
      </c>
      <c r="G25" s="33">
        <v>9000</v>
      </c>
      <c r="H25" s="50"/>
      <c r="I25" s="68"/>
      <c r="J25" s="67"/>
      <c r="K25" s="47" t="s">
        <v>54</v>
      </c>
      <c r="L25" s="58" t="s">
        <v>57</v>
      </c>
      <c r="M25" s="67"/>
      <c r="N25" s="133" t="s">
        <v>56</v>
      </c>
      <c r="O25" s="58"/>
    </row>
    <row r="26" s="1" customFormat="1" ht="18" customHeight="1" spans="1:15">
      <c r="A26" s="35" t="s">
        <v>50</v>
      </c>
      <c r="B26" s="22">
        <v>0</v>
      </c>
      <c r="C26" s="46">
        <v>1</v>
      </c>
      <c r="D26" s="47" t="s">
        <v>51</v>
      </c>
      <c r="E26" s="48"/>
      <c r="F26" s="22">
        <f t="shared" si="6"/>
        <v>0</v>
      </c>
      <c r="G26" s="33">
        <v>2000</v>
      </c>
      <c r="H26" s="50"/>
      <c r="I26" s="68"/>
      <c r="J26" s="67"/>
      <c r="K26" s="47" t="s">
        <v>54</v>
      </c>
      <c r="L26" s="58" t="s">
        <v>58</v>
      </c>
      <c r="M26" s="67"/>
      <c r="N26" s="133" t="s">
        <v>56</v>
      </c>
      <c r="O26" s="58"/>
    </row>
    <row r="27" s="1" customFormat="1" ht="18" customHeight="1" spans="1:15">
      <c r="A27" s="35" t="s">
        <v>50</v>
      </c>
      <c r="B27" s="22">
        <v>0</v>
      </c>
      <c r="C27" s="46">
        <v>1</v>
      </c>
      <c r="D27" s="47" t="s">
        <v>51</v>
      </c>
      <c r="E27" s="48"/>
      <c r="F27" s="22">
        <f t="shared" si="6"/>
        <v>0</v>
      </c>
      <c r="G27" s="33">
        <v>8870</v>
      </c>
      <c r="H27" s="50"/>
      <c r="I27" s="68"/>
      <c r="J27" s="67"/>
      <c r="K27" s="47" t="s">
        <v>54</v>
      </c>
      <c r="L27" s="1" t="s">
        <v>59</v>
      </c>
      <c r="N27" s="133" t="s">
        <v>56</v>
      </c>
      <c r="O27" s="58"/>
    </row>
    <row r="28" s="1" customFormat="1" ht="18" customHeight="1" spans="1:15">
      <c r="A28" s="35" t="s">
        <v>50</v>
      </c>
      <c r="B28" s="22">
        <v>0</v>
      </c>
      <c r="C28" s="46">
        <v>1</v>
      </c>
      <c r="D28" s="47" t="s">
        <v>51</v>
      </c>
      <c r="E28" s="48"/>
      <c r="F28" s="22">
        <f t="shared" si="6"/>
        <v>0</v>
      </c>
      <c r="G28" s="33">
        <v>9500</v>
      </c>
      <c r="H28" s="50"/>
      <c r="I28" s="68"/>
      <c r="J28" s="67"/>
      <c r="K28" s="47" t="s">
        <v>54</v>
      </c>
      <c r="L28" s="58" t="s">
        <v>58</v>
      </c>
      <c r="M28" s="67"/>
      <c r="N28" s="133" t="s">
        <v>56</v>
      </c>
      <c r="O28" s="58"/>
    </row>
    <row r="29" s="1" customFormat="1" ht="18" customHeight="1" spans="1:15">
      <c r="A29" s="35" t="s">
        <v>50</v>
      </c>
      <c r="B29" s="22">
        <v>0</v>
      </c>
      <c r="C29" s="46">
        <v>1</v>
      </c>
      <c r="D29" s="47" t="s">
        <v>51</v>
      </c>
      <c r="E29" s="48"/>
      <c r="F29" s="22">
        <f t="shared" si="6"/>
        <v>0</v>
      </c>
      <c r="G29" s="33">
        <v>8085</v>
      </c>
      <c r="H29" s="50"/>
      <c r="I29" s="68"/>
      <c r="J29" s="67"/>
      <c r="K29" s="47" t="s">
        <v>54</v>
      </c>
      <c r="L29" s="58" t="s">
        <v>60</v>
      </c>
      <c r="M29" s="67"/>
      <c r="N29" s="133" t="s">
        <v>56</v>
      </c>
      <c r="O29" s="58"/>
    </row>
    <row r="30" s="1" customFormat="1" ht="18" customHeight="1" spans="1:16">
      <c r="A30" s="35" t="s">
        <v>50</v>
      </c>
      <c r="B30" s="22">
        <f t="shared" ref="B30:B32" si="7">ROUND(G30/(1+E30),2)</f>
        <v>99557.52</v>
      </c>
      <c r="C30" s="46">
        <v>1</v>
      </c>
      <c r="D30" s="47" t="s">
        <v>43</v>
      </c>
      <c r="E30" s="49">
        <v>0.13</v>
      </c>
      <c r="F30" s="22">
        <f t="shared" si="6"/>
        <v>12942.48</v>
      </c>
      <c r="G30" s="33">
        <v>112500</v>
      </c>
      <c r="H30" s="50"/>
      <c r="I30" s="68"/>
      <c r="J30" s="67"/>
      <c r="K30" s="47" t="s">
        <v>49</v>
      </c>
      <c r="L30" s="58" t="s">
        <v>61</v>
      </c>
      <c r="M30" s="67"/>
      <c r="N30" s="67"/>
      <c r="O30" s="58"/>
      <c r="P30" s="1" t="s">
        <v>62</v>
      </c>
    </row>
    <row r="31" s="1" customFormat="1" ht="18" customHeight="1" spans="1:15">
      <c r="A31" s="35" t="s">
        <v>50</v>
      </c>
      <c r="B31" s="22">
        <f t="shared" si="7"/>
        <v>2965.5</v>
      </c>
      <c r="C31" s="46">
        <v>14</v>
      </c>
      <c r="D31" s="47" t="s">
        <v>63</v>
      </c>
      <c r="E31" s="49"/>
      <c r="F31" s="22">
        <f t="shared" si="6"/>
        <v>0</v>
      </c>
      <c r="G31" s="33">
        <v>2965.5</v>
      </c>
      <c r="H31" s="50"/>
      <c r="I31" s="68"/>
      <c r="J31" s="67"/>
      <c r="K31" s="47" t="s">
        <v>64</v>
      </c>
      <c r="L31" s="58" t="s">
        <v>65</v>
      </c>
      <c r="M31" s="67"/>
      <c r="N31" s="67"/>
      <c r="O31" s="58"/>
    </row>
    <row r="32" s="1" customFormat="1" ht="18" customHeight="1" spans="1:15">
      <c r="A32" s="35" t="s">
        <v>50</v>
      </c>
      <c r="B32" s="22">
        <f t="shared" si="7"/>
        <v>388349.51</v>
      </c>
      <c r="C32" s="46">
        <v>4</v>
      </c>
      <c r="D32" s="47" t="s">
        <v>43</v>
      </c>
      <c r="E32" s="49">
        <v>0.03</v>
      </c>
      <c r="F32" s="22">
        <f t="shared" si="6"/>
        <v>11650.49</v>
      </c>
      <c r="G32" s="33">
        <v>400000</v>
      </c>
      <c r="H32" s="50"/>
      <c r="I32" s="68"/>
      <c r="J32" s="67"/>
      <c r="K32" s="47" t="s">
        <v>66</v>
      </c>
      <c r="L32" s="58" t="s">
        <v>67</v>
      </c>
      <c r="M32" s="67"/>
      <c r="N32" s="67"/>
      <c r="O32" s="58"/>
    </row>
    <row r="33" s="2" customFormat="1" ht="18" customHeight="1" spans="1:15">
      <c r="A33" s="52" t="s">
        <v>50</v>
      </c>
      <c r="B33" s="22"/>
      <c r="C33" s="53">
        <v>1</v>
      </c>
      <c r="D33" s="54" t="s">
        <v>51</v>
      </c>
      <c r="E33" s="55"/>
      <c r="F33" s="22">
        <f t="shared" si="6"/>
        <v>0</v>
      </c>
      <c r="G33" s="33">
        <v>1812.36</v>
      </c>
      <c r="H33" s="56"/>
      <c r="I33" s="70"/>
      <c r="J33" s="71"/>
      <c r="K33" s="47" t="s">
        <v>68</v>
      </c>
      <c r="L33" s="58" t="s">
        <v>69</v>
      </c>
      <c r="M33" s="22" t="s">
        <v>70</v>
      </c>
      <c r="N33" s="67"/>
      <c r="O33" s="72"/>
    </row>
    <row r="34" s="2" customFormat="1" ht="18" customHeight="1" spans="1:15">
      <c r="A34" s="35" t="s">
        <v>71</v>
      </c>
      <c r="B34" s="22">
        <f t="shared" ref="B34:B47" si="8">ROUND(G34/(1+E34),2)</f>
        <v>2997.83</v>
      </c>
      <c r="C34" s="46">
        <v>1</v>
      </c>
      <c r="D34" s="47" t="s">
        <v>43</v>
      </c>
      <c r="E34" s="49">
        <v>0.06</v>
      </c>
      <c r="F34" s="22">
        <f t="shared" si="6"/>
        <v>179.87</v>
      </c>
      <c r="G34" s="33">
        <v>3177.7</v>
      </c>
      <c r="H34" s="56"/>
      <c r="I34" s="70"/>
      <c r="J34" s="71"/>
      <c r="K34" s="47" t="s">
        <v>72</v>
      </c>
      <c r="L34" s="58" t="s">
        <v>73</v>
      </c>
      <c r="M34" s="67" t="s">
        <v>74</v>
      </c>
      <c r="N34" s="67"/>
      <c r="O34" s="72"/>
    </row>
    <row r="35" s="2" customFormat="1" ht="18" customHeight="1" spans="1:15">
      <c r="A35" s="35" t="s">
        <v>71</v>
      </c>
      <c r="B35" s="22">
        <f t="shared" si="8"/>
        <v>5995.67</v>
      </c>
      <c r="C35" s="46">
        <v>1</v>
      </c>
      <c r="D35" s="47" t="s">
        <v>43</v>
      </c>
      <c r="E35" s="49">
        <v>0.06</v>
      </c>
      <c r="F35" s="22">
        <f t="shared" si="6"/>
        <v>359.74</v>
      </c>
      <c r="G35" s="33">
        <v>6355.41</v>
      </c>
      <c r="H35" s="56"/>
      <c r="I35" s="70"/>
      <c r="J35" s="71"/>
      <c r="K35" s="47" t="s">
        <v>72</v>
      </c>
      <c r="L35" s="58" t="s">
        <v>73</v>
      </c>
      <c r="M35" s="67" t="s">
        <v>74</v>
      </c>
      <c r="N35" s="67"/>
      <c r="O35" s="72"/>
    </row>
    <row r="36" s="1" customFormat="1" ht="18" customHeight="1" spans="1:16">
      <c r="A36" s="35" t="s">
        <v>71</v>
      </c>
      <c r="B36" s="22">
        <f t="shared" si="8"/>
        <v>99557.52</v>
      </c>
      <c r="C36" s="46">
        <v>1</v>
      </c>
      <c r="D36" s="47" t="s">
        <v>43</v>
      </c>
      <c r="E36" s="49">
        <v>0.13</v>
      </c>
      <c r="F36" s="22">
        <f t="shared" si="6"/>
        <v>12942.48</v>
      </c>
      <c r="G36" s="33">
        <v>112500</v>
      </c>
      <c r="H36" s="56"/>
      <c r="I36" s="70"/>
      <c r="J36" s="71"/>
      <c r="K36" s="47" t="s">
        <v>49</v>
      </c>
      <c r="L36" s="58" t="s">
        <v>61</v>
      </c>
      <c r="M36" s="67" t="s">
        <v>74</v>
      </c>
      <c r="N36" s="67"/>
      <c r="O36" s="72"/>
      <c r="P36" s="1" t="s">
        <v>75</v>
      </c>
    </row>
    <row r="37" s="2" customFormat="1" ht="18" customHeight="1" spans="1:15">
      <c r="A37" s="35" t="s">
        <v>71</v>
      </c>
      <c r="B37" s="22">
        <f t="shared" si="8"/>
        <v>20309.73</v>
      </c>
      <c r="C37" s="46">
        <v>1</v>
      </c>
      <c r="D37" s="47" t="s">
        <v>43</v>
      </c>
      <c r="E37" s="49">
        <v>0.13</v>
      </c>
      <c r="F37" s="22">
        <f t="shared" si="6"/>
        <v>2640.27</v>
      </c>
      <c r="G37" s="33">
        <v>22950</v>
      </c>
      <c r="H37" s="56"/>
      <c r="I37" s="70"/>
      <c r="J37" s="71"/>
      <c r="K37" s="47" t="s">
        <v>46</v>
      </c>
      <c r="L37" s="58" t="s">
        <v>76</v>
      </c>
      <c r="M37" s="67" t="s">
        <v>74</v>
      </c>
      <c r="N37" s="67"/>
      <c r="O37" s="72"/>
    </row>
    <row r="38" s="1" customFormat="1" ht="18" customHeight="1" spans="1:15">
      <c r="A38" s="35" t="s">
        <v>71</v>
      </c>
      <c r="B38" s="22">
        <f t="shared" si="8"/>
        <v>44247.79</v>
      </c>
      <c r="C38" s="46">
        <v>1</v>
      </c>
      <c r="D38" s="47" t="s">
        <v>43</v>
      </c>
      <c r="E38" s="49">
        <v>0.13</v>
      </c>
      <c r="F38" s="22">
        <f t="shared" si="6"/>
        <v>5752.21</v>
      </c>
      <c r="G38" s="33">
        <v>50000</v>
      </c>
      <c r="H38" s="57">
        <v>44103</v>
      </c>
      <c r="I38" s="73">
        <v>50000</v>
      </c>
      <c r="J38" s="74"/>
      <c r="K38" s="75" t="s">
        <v>46</v>
      </c>
      <c r="L38" s="76"/>
      <c r="M38" s="77"/>
      <c r="O38" s="58"/>
    </row>
    <row r="39" s="1" customFormat="1" ht="18" customHeight="1" spans="1:15">
      <c r="A39" s="35"/>
      <c r="B39" s="22">
        <f t="shared" si="8"/>
        <v>0</v>
      </c>
      <c r="C39" s="46"/>
      <c r="D39" s="47"/>
      <c r="E39" s="49"/>
      <c r="F39" s="22">
        <f t="shared" si="6"/>
        <v>0</v>
      </c>
      <c r="G39" s="33"/>
      <c r="H39" s="57">
        <v>44103</v>
      </c>
      <c r="I39" s="73">
        <v>400000</v>
      </c>
      <c r="J39" s="74"/>
      <c r="K39" s="78" t="s">
        <v>66</v>
      </c>
      <c r="L39" s="76"/>
      <c r="M39" s="77"/>
      <c r="O39" s="58"/>
    </row>
    <row r="40" s="1" customFormat="1" ht="18" customHeight="1" spans="1:15">
      <c r="A40" s="35" t="s">
        <v>71</v>
      </c>
      <c r="B40" s="22">
        <f t="shared" si="8"/>
        <v>33185.84</v>
      </c>
      <c r="C40" s="46"/>
      <c r="D40" s="47"/>
      <c r="E40" s="49">
        <v>0.13</v>
      </c>
      <c r="F40" s="22">
        <f t="shared" si="6"/>
        <v>4314.16</v>
      </c>
      <c r="G40" s="33">
        <v>37500</v>
      </c>
      <c r="H40" s="57">
        <v>44103</v>
      </c>
      <c r="I40" s="73">
        <v>150000</v>
      </c>
      <c r="J40" s="74"/>
      <c r="K40" s="78" t="s">
        <v>49</v>
      </c>
      <c r="L40" s="76"/>
      <c r="M40" s="77"/>
      <c r="O40" s="58"/>
    </row>
    <row r="41" s="1" customFormat="1" ht="18" customHeight="1" spans="1:15">
      <c r="A41" s="58" t="s">
        <v>71</v>
      </c>
      <c r="B41" s="22">
        <f t="shared" si="8"/>
        <v>4245.28</v>
      </c>
      <c r="C41" s="58">
        <v>1</v>
      </c>
      <c r="D41" s="47" t="s">
        <v>43</v>
      </c>
      <c r="E41" s="49">
        <v>0.06</v>
      </c>
      <c r="F41" s="22">
        <f t="shared" si="6"/>
        <v>254.72</v>
      </c>
      <c r="G41" s="33">
        <v>4500</v>
      </c>
      <c r="H41" s="130">
        <v>44103</v>
      </c>
      <c r="I41" s="79">
        <v>4500</v>
      </c>
      <c r="J41" s="79" t="s">
        <v>22</v>
      </c>
      <c r="K41" s="79" t="s">
        <v>77</v>
      </c>
      <c r="L41" s="58" t="s">
        <v>78</v>
      </c>
      <c r="M41" s="67"/>
      <c r="N41" s="67"/>
      <c r="O41" s="58"/>
    </row>
    <row r="42" s="1" customFormat="1" ht="18" customHeight="1" spans="1:15">
      <c r="A42" s="58" t="s">
        <v>108</v>
      </c>
      <c r="B42" s="22">
        <f t="shared" si="8"/>
        <v>174757.28</v>
      </c>
      <c r="C42" s="58">
        <v>2</v>
      </c>
      <c r="D42" s="47" t="s">
        <v>43</v>
      </c>
      <c r="E42" s="49">
        <v>0.03</v>
      </c>
      <c r="F42" s="131">
        <f t="shared" si="6"/>
        <v>5242.72</v>
      </c>
      <c r="G42" s="33">
        <v>180000</v>
      </c>
      <c r="H42" s="130">
        <v>44137</v>
      </c>
      <c r="I42" s="79">
        <v>160000</v>
      </c>
      <c r="J42" s="79" t="s">
        <v>22</v>
      </c>
      <c r="K42" s="79" t="s">
        <v>66</v>
      </c>
      <c r="L42" s="72" t="s">
        <v>67</v>
      </c>
      <c r="M42" s="67"/>
      <c r="N42" s="67"/>
      <c r="O42" s="58"/>
    </row>
    <row r="43" s="1" customFormat="1" ht="18" customHeight="1" spans="1:15">
      <c r="A43" s="58" t="s">
        <v>109</v>
      </c>
      <c r="B43" s="22">
        <f t="shared" si="8"/>
        <v>320388.35</v>
      </c>
      <c r="C43" s="58">
        <v>4</v>
      </c>
      <c r="D43" s="47" t="s">
        <v>43</v>
      </c>
      <c r="E43" s="49">
        <v>0.03</v>
      </c>
      <c r="F43" s="22">
        <f t="shared" si="6"/>
        <v>9611.65</v>
      </c>
      <c r="G43" s="33">
        <v>330000</v>
      </c>
      <c r="H43" s="130">
        <v>44174</v>
      </c>
      <c r="I43" s="79">
        <v>330000</v>
      </c>
      <c r="J43" s="79" t="s">
        <v>22</v>
      </c>
      <c r="K43" s="79" t="s">
        <v>66</v>
      </c>
      <c r="L43" s="80" t="s">
        <v>67</v>
      </c>
      <c r="M43" s="79"/>
      <c r="N43" s="67"/>
      <c r="O43" s="58"/>
    </row>
    <row r="44" s="1" customFormat="1" ht="18" customHeight="1" spans="1:15">
      <c r="A44" s="58" t="s">
        <v>109</v>
      </c>
      <c r="B44" s="22">
        <f t="shared" si="8"/>
        <v>132743.36</v>
      </c>
      <c r="C44" s="58">
        <v>2</v>
      </c>
      <c r="D44" s="47" t="s">
        <v>43</v>
      </c>
      <c r="E44" s="49">
        <v>0.13</v>
      </c>
      <c r="F44" s="22">
        <f t="shared" si="6"/>
        <v>17256.64</v>
      </c>
      <c r="G44" s="33">
        <v>150000</v>
      </c>
      <c r="H44" s="130">
        <v>44174</v>
      </c>
      <c r="I44" s="79">
        <v>150000</v>
      </c>
      <c r="J44" s="79" t="s">
        <v>22</v>
      </c>
      <c r="K44" s="78" t="s">
        <v>49</v>
      </c>
      <c r="L44" s="80" t="s">
        <v>61</v>
      </c>
      <c r="M44" s="79"/>
      <c r="N44" s="67"/>
      <c r="O44" s="58"/>
    </row>
    <row r="45" s="1" customFormat="1" ht="18" customHeight="1" spans="1:15">
      <c r="A45" s="58"/>
      <c r="B45" s="22">
        <f t="shared" si="8"/>
        <v>0</v>
      </c>
      <c r="C45" s="58"/>
      <c r="D45" s="47"/>
      <c r="E45" s="49"/>
      <c r="F45" s="22">
        <f t="shared" si="6"/>
        <v>0</v>
      </c>
      <c r="G45" s="33"/>
      <c r="H45" s="130">
        <v>44180</v>
      </c>
      <c r="I45" s="79">
        <v>115050</v>
      </c>
      <c r="J45" s="79" t="s">
        <v>22</v>
      </c>
      <c r="K45" s="79" t="s">
        <v>46</v>
      </c>
      <c r="L45" s="80" t="s">
        <v>120</v>
      </c>
      <c r="M45" s="79"/>
      <c r="N45" s="67"/>
      <c r="O45" s="58"/>
    </row>
    <row r="46" s="1" customFormat="1" ht="18" customHeight="1" spans="1:15">
      <c r="A46" s="58"/>
      <c r="B46" s="22">
        <f t="shared" si="8"/>
        <v>0</v>
      </c>
      <c r="C46" s="58"/>
      <c r="D46" s="47"/>
      <c r="E46" s="49"/>
      <c r="F46" s="22">
        <f t="shared" si="6"/>
        <v>0</v>
      </c>
      <c r="G46" s="33"/>
      <c r="H46" s="130">
        <v>44180</v>
      </c>
      <c r="I46" s="79">
        <v>60000</v>
      </c>
      <c r="J46" s="79" t="s">
        <v>22</v>
      </c>
      <c r="K46" s="79" t="s">
        <v>66</v>
      </c>
      <c r="L46" s="80"/>
      <c r="M46" s="79"/>
      <c r="N46" s="67"/>
      <c r="O46" s="58"/>
    </row>
    <row r="47" s="1" customFormat="1" ht="18" customHeight="1" spans="1:15">
      <c r="A47" s="58" t="s">
        <v>121</v>
      </c>
      <c r="B47" s="22">
        <f t="shared" si="8"/>
        <v>68316.83</v>
      </c>
      <c r="C47" s="58">
        <v>7</v>
      </c>
      <c r="D47" s="47" t="s">
        <v>43</v>
      </c>
      <c r="E47" s="49">
        <v>0.01</v>
      </c>
      <c r="F47" s="22">
        <f t="shared" si="6"/>
        <v>683.17</v>
      </c>
      <c r="G47" s="33">
        <v>69000</v>
      </c>
      <c r="H47" s="132">
        <v>44182</v>
      </c>
      <c r="I47" s="133">
        <v>69000</v>
      </c>
      <c r="J47" s="133" t="s">
        <v>22</v>
      </c>
      <c r="K47" s="133" t="s">
        <v>122</v>
      </c>
      <c r="L47" s="80" t="s">
        <v>123</v>
      </c>
      <c r="M47" s="79"/>
      <c r="N47" s="67"/>
      <c r="O47" s="58"/>
    </row>
    <row r="48" s="1" customFormat="1" ht="18" customHeight="1" spans="1:15">
      <c r="A48" s="58"/>
      <c r="B48" s="22"/>
      <c r="C48" s="58"/>
      <c r="D48" s="47"/>
      <c r="E48" s="49"/>
      <c r="F48" s="22"/>
      <c r="G48" s="33"/>
      <c r="H48" s="130"/>
      <c r="I48" s="79"/>
      <c r="J48" s="79"/>
      <c r="K48" s="79"/>
      <c r="L48" s="80"/>
      <c r="M48" s="79"/>
      <c r="N48" s="67"/>
      <c r="O48" s="58"/>
    </row>
    <row r="49" s="1" customFormat="1" ht="18" customHeight="1" spans="1:15">
      <c r="A49" s="58"/>
      <c r="B49" s="22"/>
      <c r="C49" s="58"/>
      <c r="D49" s="47"/>
      <c r="E49" s="49"/>
      <c r="F49" s="22"/>
      <c r="G49" s="33"/>
      <c r="H49" s="130"/>
      <c r="I49" s="79"/>
      <c r="J49" s="79"/>
      <c r="K49" s="79"/>
      <c r="L49" s="80"/>
      <c r="M49" s="79"/>
      <c r="N49" s="67"/>
      <c r="O49" s="58"/>
    </row>
    <row r="50" s="1" customFormat="1" ht="18" customHeight="1" spans="1:15">
      <c r="A50" s="58"/>
      <c r="B50" s="22"/>
      <c r="C50" s="58"/>
      <c r="D50" s="47"/>
      <c r="E50" s="49"/>
      <c r="F50" s="22"/>
      <c r="G50" s="33"/>
      <c r="H50" s="130"/>
      <c r="I50" s="79"/>
      <c r="J50" s="79"/>
      <c r="K50" s="79"/>
      <c r="L50" s="80"/>
      <c r="M50" s="79"/>
      <c r="N50" s="67"/>
      <c r="O50" s="58"/>
    </row>
    <row r="51" s="1" customFormat="1" ht="18" customHeight="1" spans="1:15">
      <c r="A51" s="58"/>
      <c r="B51" s="22"/>
      <c r="C51" s="58"/>
      <c r="D51" s="47"/>
      <c r="E51" s="49"/>
      <c r="F51" s="22"/>
      <c r="G51" s="33"/>
      <c r="H51" s="130"/>
      <c r="I51" s="79"/>
      <c r="J51" s="79"/>
      <c r="K51" s="79"/>
      <c r="L51" s="80"/>
      <c r="M51" s="79"/>
      <c r="N51" s="67"/>
      <c r="O51" s="58"/>
    </row>
    <row r="52" s="1" customFormat="1" ht="18" customHeight="1" spans="1:15">
      <c r="A52" s="58"/>
      <c r="B52" s="22"/>
      <c r="C52" s="58"/>
      <c r="D52" s="47"/>
      <c r="E52" s="49"/>
      <c r="F52" s="22"/>
      <c r="G52" s="33"/>
      <c r="H52" s="130"/>
      <c r="I52" s="79"/>
      <c r="J52" s="79"/>
      <c r="K52" s="79"/>
      <c r="L52" s="80"/>
      <c r="M52" s="79"/>
      <c r="N52" s="67"/>
      <c r="O52" s="58"/>
    </row>
    <row r="53" s="1" customFormat="1" ht="18" customHeight="1" spans="1:15">
      <c r="A53" s="58"/>
      <c r="B53" s="22"/>
      <c r="C53" s="58"/>
      <c r="D53" s="47"/>
      <c r="E53" s="49"/>
      <c r="F53" s="22"/>
      <c r="G53" s="33"/>
      <c r="H53" s="130"/>
      <c r="I53" s="79"/>
      <c r="J53" s="79"/>
      <c r="K53" s="79"/>
      <c r="L53" s="80"/>
      <c r="M53" s="79"/>
      <c r="N53" s="67"/>
      <c r="O53" s="58"/>
    </row>
    <row r="54" s="1" customFormat="1" ht="18" customHeight="1" spans="1:15">
      <c r="A54" s="58"/>
      <c r="B54" s="22"/>
      <c r="C54" s="58"/>
      <c r="D54" s="47"/>
      <c r="E54" s="49"/>
      <c r="F54" s="22"/>
      <c r="G54" s="33"/>
      <c r="H54" s="130"/>
      <c r="I54" s="79"/>
      <c r="J54" s="79"/>
      <c r="K54" s="79"/>
      <c r="L54" s="80"/>
      <c r="M54" s="79"/>
      <c r="N54" s="67"/>
      <c r="O54" s="58"/>
    </row>
    <row r="55" s="1" customFormat="1" ht="18" customHeight="1" spans="1:15">
      <c r="A55" s="58"/>
      <c r="B55" s="22"/>
      <c r="C55" s="58"/>
      <c r="D55" s="47"/>
      <c r="E55" s="49"/>
      <c r="F55" s="22"/>
      <c r="G55" s="33"/>
      <c r="H55" s="132">
        <v>44182</v>
      </c>
      <c r="I55" s="133">
        <v>-14034.21</v>
      </c>
      <c r="J55" s="146" t="s">
        <v>112</v>
      </c>
      <c r="K55" s="133" t="s">
        <v>113</v>
      </c>
      <c r="L55" s="80"/>
      <c r="M55" s="79"/>
      <c r="N55" s="67"/>
      <c r="O55" s="58"/>
    </row>
    <row r="56" s="1" customFormat="1" ht="18" customHeight="1" spans="1:15">
      <c r="A56" s="58"/>
      <c r="B56" s="22"/>
      <c r="C56" s="58"/>
      <c r="D56" s="47"/>
      <c r="E56" s="49"/>
      <c r="F56" s="22"/>
      <c r="G56" s="33"/>
      <c r="H56" s="132">
        <v>44182</v>
      </c>
      <c r="I56" s="133">
        <v>100</v>
      </c>
      <c r="J56" s="135" t="s">
        <v>79</v>
      </c>
      <c r="K56" s="136" t="s">
        <v>81</v>
      </c>
      <c r="L56" s="80"/>
      <c r="M56" s="79"/>
      <c r="N56" s="67"/>
      <c r="O56" s="58"/>
    </row>
    <row r="57" s="1" customFormat="1" ht="18" customHeight="1" spans="1:15">
      <c r="A57" s="58"/>
      <c r="B57" s="22"/>
      <c r="C57" s="58"/>
      <c r="D57" s="47"/>
      <c r="E57" s="49"/>
      <c r="F57" s="22"/>
      <c r="G57" s="33"/>
      <c r="H57" s="132">
        <v>44182</v>
      </c>
      <c r="I57" s="133">
        <v>8174</v>
      </c>
      <c r="J57" s="135" t="s">
        <v>79</v>
      </c>
      <c r="K57" s="133" t="s">
        <v>124</v>
      </c>
      <c r="L57" s="80"/>
      <c r="M57" s="79"/>
      <c r="N57" s="67"/>
      <c r="O57" s="58"/>
    </row>
    <row r="58" s="1" customFormat="1" ht="18" customHeight="1" spans="1:15">
      <c r="A58" s="58"/>
      <c r="B58" s="22"/>
      <c r="C58" s="58"/>
      <c r="D58" s="47"/>
      <c r="E58" s="49"/>
      <c r="F58" s="22"/>
      <c r="G58" s="33"/>
      <c r="H58" s="130">
        <v>44180</v>
      </c>
      <c r="I58" s="79">
        <v>150</v>
      </c>
      <c r="J58" s="109" t="s">
        <v>79</v>
      </c>
      <c r="K58" s="110" t="s">
        <v>81</v>
      </c>
      <c r="L58" s="80"/>
      <c r="M58" s="79"/>
      <c r="N58" s="67"/>
      <c r="O58" s="58"/>
    </row>
    <row r="59" s="1" customFormat="1" ht="18" customHeight="1" spans="1:15">
      <c r="A59" s="58"/>
      <c r="B59" s="22"/>
      <c r="C59" s="58"/>
      <c r="D59" s="47"/>
      <c r="E59" s="49"/>
      <c r="F59" s="22"/>
      <c r="G59" s="33"/>
      <c r="H59" s="130">
        <v>44174</v>
      </c>
      <c r="I59" s="79">
        <v>200</v>
      </c>
      <c r="J59" s="109" t="s">
        <v>79</v>
      </c>
      <c r="K59" s="110" t="s">
        <v>81</v>
      </c>
      <c r="L59" s="80"/>
      <c r="M59" s="79"/>
      <c r="N59" s="67"/>
      <c r="O59" s="58"/>
    </row>
    <row r="60" s="1" customFormat="1" ht="18" customHeight="1" spans="1:15">
      <c r="A60" s="58"/>
      <c r="B60" s="22"/>
      <c r="C60" s="58"/>
      <c r="D60" s="47"/>
      <c r="E60" s="49"/>
      <c r="F60" s="22"/>
      <c r="G60" s="33"/>
      <c r="H60" s="130">
        <v>44174</v>
      </c>
      <c r="I60" s="79">
        <v>15115.6</v>
      </c>
      <c r="J60" s="111" t="s">
        <v>79</v>
      </c>
      <c r="K60" s="75" t="s">
        <v>82</v>
      </c>
      <c r="L60" s="80"/>
      <c r="M60" s="79"/>
      <c r="N60" s="67"/>
      <c r="O60" s="58"/>
    </row>
    <row r="61" s="1" customFormat="1" ht="18" customHeight="1" spans="1:15">
      <c r="A61" s="58"/>
      <c r="B61" s="22"/>
      <c r="C61" s="58"/>
      <c r="D61" s="47"/>
      <c r="E61" s="49"/>
      <c r="F61" s="22"/>
      <c r="G61" s="33"/>
      <c r="H61" s="130">
        <v>44174</v>
      </c>
      <c r="I61" s="79">
        <v>902</v>
      </c>
      <c r="J61" s="79" t="s">
        <v>79</v>
      </c>
      <c r="K61" s="79" t="s">
        <v>110</v>
      </c>
      <c r="L61" s="80"/>
      <c r="M61" s="79"/>
      <c r="N61" s="67"/>
      <c r="O61" s="58"/>
    </row>
    <row r="62" s="1" customFormat="1" ht="18" customHeight="1" spans="1:15">
      <c r="A62" s="58"/>
      <c r="B62" s="22"/>
      <c r="C62" s="58"/>
      <c r="D62" s="47"/>
      <c r="E62" s="49"/>
      <c r="F62" s="22"/>
      <c r="G62" s="33"/>
      <c r="H62" s="130">
        <v>44174</v>
      </c>
      <c r="I62" s="79">
        <v>15116</v>
      </c>
      <c r="J62" s="109" t="s">
        <v>79</v>
      </c>
      <c r="K62" s="113" t="s">
        <v>111</v>
      </c>
      <c r="L62" s="80"/>
      <c r="M62" s="79"/>
      <c r="N62" s="67"/>
      <c r="O62" s="58"/>
    </row>
    <row r="63" s="1" customFormat="1" ht="18" customHeight="1" spans="1:15">
      <c r="A63" s="58"/>
      <c r="B63" s="22"/>
      <c r="C63" s="58"/>
      <c r="D63" s="47"/>
      <c r="E63" s="49"/>
      <c r="F63" s="22"/>
      <c r="G63" s="33"/>
      <c r="H63" s="130">
        <v>44137</v>
      </c>
      <c r="I63" s="79">
        <v>100</v>
      </c>
      <c r="J63" s="109" t="s">
        <v>79</v>
      </c>
      <c r="K63" s="110" t="s">
        <v>81</v>
      </c>
      <c r="L63" s="80"/>
      <c r="M63" s="79"/>
      <c r="N63" s="67"/>
      <c r="O63" s="58"/>
    </row>
    <row r="64" s="1" customFormat="1" ht="18" customHeight="1" spans="1:15">
      <c r="A64" s="58"/>
      <c r="B64" s="22">
        <f t="shared" ref="B64:B74" si="9">ROUND(G64/(1+E64),2)</f>
        <v>0</v>
      </c>
      <c r="C64" s="58"/>
      <c r="D64" s="58"/>
      <c r="E64" s="49"/>
      <c r="F64" s="58"/>
      <c r="G64" s="33"/>
      <c r="H64" s="130">
        <v>44137</v>
      </c>
      <c r="I64" s="114">
        <v>-167249.11</v>
      </c>
      <c r="J64" s="112" t="s">
        <v>112</v>
      </c>
      <c r="K64" s="79" t="s">
        <v>113</v>
      </c>
      <c r="L64" s="58"/>
      <c r="M64" s="67"/>
      <c r="N64" s="67"/>
      <c r="O64" s="58"/>
    </row>
    <row r="65" s="1" customFormat="1" ht="18" customHeight="1" spans="1:15">
      <c r="A65" s="58"/>
      <c r="B65" s="22">
        <f t="shared" si="9"/>
        <v>0</v>
      </c>
      <c r="C65" s="58"/>
      <c r="D65" s="58"/>
      <c r="E65" s="49"/>
      <c r="F65" s="58"/>
      <c r="G65" s="33"/>
      <c r="H65" s="85">
        <v>44103</v>
      </c>
      <c r="I65" s="115">
        <v>7127</v>
      </c>
      <c r="J65" s="116" t="s">
        <v>79</v>
      </c>
      <c r="K65" s="79" t="s">
        <v>80</v>
      </c>
      <c r="L65" s="58"/>
      <c r="M65" s="67"/>
      <c r="N65" s="67"/>
      <c r="O65" s="58"/>
    </row>
    <row r="66" s="1" customFormat="1" ht="18" customHeight="1" spans="1:15">
      <c r="A66" s="35"/>
      <c r="B66" s="22">
        <f t="shared" si="9"/>
        <v>0</v>
      </c>
      <c r="C66" s="46"/>
      <c r="D66" s="47"/>
      <c r="E66" s="49"/>
      <c r="F66" s="22"/>
      <c r="G66" s="33"/>
      <c r="H66" s="85">
        <v>44103</v>
      </c>
      <c r="I66" s="109">
        <v>250</v>
      </c>
      <c r="J66" s="109" t="s">
        <v>79</v>
      </c>
      <c r="K66" s="110" t="s">
        <v>81</v>
      </c>
      <c r="L66" s="58"/>
      <c r="M66" s="67"/>
      <c r="N66" s="67"/>
      <c r="O66" s="58"/>
    </row>
    <row r="67" s="1" customFormat="1" ht="18" customHeight="1" spans="1:15">
      <c r="A67" s="35" t="s">
        <v>50</v>
      </c>
      <c r="B67" s="22">
        <f t="shared" si="9"/>
        <v>17653.4</v>
      </c>
      <c r="C67" s="46"/>
      <c r="D67" s="47"/>
      <c r="E67" s="49"/>
      <c r="F67" s="22"/>
      <c r="G67" s="33">
        <v>17653.4</v>
      </c>
      <c r="H67" s="57">
        <v>44103</v>
      </c>
      <c r="I67" s="109">
        <v>17653.4</v>
      </c>
      <c r="J67" s="111" t="s">
        <v>79</v>
      </c>
      <c r="K67" s="75" t="s">
        <v>82</v>
      </c>
      <c r="L67" s="58"/>
      <c r="M67" s="67"/>
      <c r="N67" s="67"/>
      <c r="O67" s="58"/>
    </row>
    <row r="68" s="1" customFormat="1" ht="18" customHeight="1" spans="1:15">
      <c r="A68" s="35" t="s">
        <v>83</v>
      </c>
      <c r="B68" s="22">
        <f t="shared" si="9"/>
        <v>2000</v>
      </c>
      <c r="C68" s="46"/>
      <c r="D68" s="47"/>
      <c r="E68" s="49"/>
      <c r="F68" s="22"/>
      <c r="G68" s="33">
        <v>2000</v>
      </c>
      <c r="H68" s="57">
        <v>44103</v>
      </c>
      <c r="I68" s="117">
        <v>2000</v>
      </c>
      <c r="J68" s="118" t="s">
        <v>79</v>
      </c>
      <c r="K68" s="113" t="s">
        <v>84</v>
      </c>
      <c r="L68" s="76"/>
      <c r="M68" s="67"/>
      <c r="N68" s="67"/>
      <c r="O68" s="58"/>
    </row>
    <row r="69" s="1" customFormat="1" ht="18" customHeight="1" spans="1:15">
      <c r="A69" s="35"/>
      <c r="B69" s="22">
        <f t="shared" si="9"/>
        <v>0</v>
      </c>
      <c r="C69" s="46"/>
      <c r="D69" s="47"/>
      <c r="E69" s="49"/>
      <c r="F69" s="22">
        <f t="shared" ref="F69:F74" si="10">ROUND(G69/(1+E69)*E69,2)</f>
        <v>0</v>
      </c>
      <c r="G69" s="33"/>
      <c r="H69" s="57">
        <v>44103</v>
      </c>
      <c r="I69" s="119">
        <v>181283.32</v>
      </c>
      <c r="J69" s="118" t="s">
        <v>85</v>
      </c>
      <c r="K69" s="113" t="s">
        <v>86</v>
      </c>
      <c r="L69" s="58"/>
      <c r="M69" s="67"/>
      <c r="N69" s="67"/>
      <c r="O69" s="58"/>
    </row>
    <row r="70" s="1" customFormat="1" ht="18" customHeight="1" spans="1:15">
      <c r="A70" s="35"/>
      <c r="B70" s="22">
        <f t="shared" si="9"/>
        <v>0</v>
      </c>
      <c r="C70" s="46"/>
      <c r="D70" s="47"/>
      <c r="E70" s="48"/>
      <c r="F70" s="22">
        <f t="shared" si="10"/>
        <v>0</v>
      </c>
      <c r="G70" s="33"/>
      <c r="H70" s="57">
        <v>44103</v>
      </c>
      <c r="I70" s="119">
        <v>58904.32</v>
      </c>
      <c r="J70" s="118" t="s">
        <v>79</v>
      </c>
      <c r="K70" s="113" t="s">
        <v>87</v>
      </c>
      <c r="L70" s="58"/>
      <c r="M70" s="67"/>
      <c r="N70" s="67"/>
      <c r="O70" s="58"/>
    </row>
    <row r="71" s="1" customFormat="1" ht="18" customHeight="1" spans="1:15">
      <c r="A71" s="35"/>
      <c r="B71" s="22">
        <f t="shared" si="9"/>
        <v>0</v>
      </c>
      <c r="C71" s="46"/>
      <c r="D71" s="47"/>
      <c r="E71" s="48"/>
      <c r="F71" s="22">
        <f t="shared" si="10"/>
        <v>0</v>
      </c>
      <c r="G71" s="33"/>
      <c r="H71" s="57">
        <v>44103</v>
      </c>
      <c r="I71" s="119">
        <v>17653.4</v>
      </c>
      <c r="J71" s="118" t="s">
        <v>79</v>
      </c>
      <c r="K71" s="113" t="s">
        <v>88</v>
      </c>
      <c r="L71" s="58"/>
      <c r="M71" s="67"/>
      <c r="N71" s="67"/>
      <c r="O71" s="58"/>
    </row>
    <row r="72" s="1" customFormat="1" ht="18" customHeight="1" spans="1:15">
      <c r="A72" s="35"/>
      <c r="B72" s="22">
        <f t="shared" si="9"/>
        <v>0</v>
      </c>
      <c r="C72" s="46"/>
      <c r="D72" s="47"/>
      <c r="E72" s="48"/>
      <c r="F72" s="22">
        <f t="shared" si="10"/>
        <v>0</v>
      </c>
      <c r="G72" s="33"/>
      <c r="H72" s="34">
        <v>43986</v>
      </c>
      <c r="I72" s="20">
        <v>50</v>
      </c>
      <c r="J72" s="44" t="s">
        <v>79</v>
      </c>
      <c r="K72" s="47" t="s">
        <v>89</v>
      </c>
      <c r="L72" s="58"/>
      <c r="M72" s="67"/>
      <c r="N72" s="67"/>
      <c r="O72" s="58"/>
    </row>
    <row r="73" s="1" customFormat="1" ht="18" customHeight="1" spans="1:15">
      <c r="A73" s="35"/>
      <c r="B73" s="22">
        <f t="shared" si="9"/>
        <v>0</v>
      </c>
      <c r="C73" s="46"/>
      <c r="D73" s="47"/>
      <c r="E73" s="48"/>
      <c r="F73" s="22">
        <f t="shared" si="10"/>
        <v>0</v>
      </c>
      <c r="G73" s="33"/>
      <c r="H73" s="34">
        <v>43984</v>
      </c>
      <c r="I73" s="20">
        <v>50</v>
      </c>
      <c r="J73" s="44" t="s">
        <v>79</v>
      </c>
      <c r="K73" s="47" t="s">
        <v>89</v>
      </c>
      <c r="L73" s="58"/>
      <c r="M73" s="67"/>
      <c r="N73" s="67"/>
      <c r="O73" s="58"/>
    </row>
    <row r="74" s="1" customFormat="1" ht="18" customHeight="1" spans="1:15">
      <c r="A74" s="35"/>
      <c r="B74" s="22">
        <f t="shared" si="9"/>
        <v>0</v>
      </c>
      <c r="C74" s="46"/>
      <c r="D74" s="47"/>
      <c r="E74" s="48"/>
      <c r="F74" s="22">
        <f t="shared" si="10"/>
        <v>0</v>
      </c>
      <c r="G74" s="33"/>
      <c r="H74" s="34">
        <v>43978</v>
      </c>
      <c r="I74" s="20">
        <v>50</v>
      </c>
      <c r="J74" s="44" t="s">
        <v>79</v>
      </c>
      <c r="K74" s="47" t="s">
        <v>89</v>
      </c>
      <c r="L74" s="58"/>
      <c r="M74" s="67"/>
      <c r="N74" s="67"/>
      <c r="O74" s="58"/>
    </row>
    <row r="75" ht="18" customHeight="1" spans="1:15">
      <c r="A75" s="39" t="s">
        <v>23</v>
      </c>
      <c r="B75" s="40">
        <f>SUM(B14:B74)</f>
        <v>1469730.56</v>
      </c>
      <c r="C75" s="40">
        <f>SUM(C23:C74)</f>
        <v>48</v>
      </c>
      <c r="D75" s="40">
        <f>SUM(D23:D74)</f>
        <v>0</v>
      </c>
      <c r="E75" s="40">
        <f>SUM(E23:E74)</f>
        <v>1.06</v>
      </c>
      <c r="F75" s="40">
        <f>SUM(F14:F74)</f>
        <v>86966.45</v>
      </c>
      <c r="G75" s="86">
        <f>SUM(G15:G74)</f>
        <v>1605104.37</v>
      </c>
      <c r="H75" s="139"/>
      <c r="I75" s="25">
        <f>SUM(I14:I74)</f>
        <v>1631995.72</v>
      </c>
      <c r="J75" s="120"/>
      <c r="K75" s="121"/>
      <c r="L75" s="93"/>
      <c r="M75" s="44"/>
      <c r="N75" s="44"/>
      <c r="O75" s="93"/>
    </row>
    <row r="76" ht="18" customHeight="1" spans="1:14">
      <c r="A76" s="87" t="s">
        <v>90</v>
      </c>
      <c r="B76" s="88">
        <f>B11*0.92</f>
        <v>2323737.38115096</v>
      </c>
      <c r="C76" s="89"/>
      <c r="D76" s="90"/>
      <c r="E76" s="90"/>
      <c r="F76" s="88"/>
      <c r="G76" s="88">
        <f>G11-G75</f>
        <v>1158245.63</v>
      </c>
      <c r="H76" s="27" t="s">
        <v>91</v>
      </c>
      <c r="I76" s="25">
        <f>I11-I75</f>
        <v>6454.28000000003</v>
      </c>
      <c r="J76" s="9"/>
      <c r="K76" s="122"/>
      <c r="M76" s="9"/>
      <c r="N76" s="9"/>
    </row>
    <row r="77" ht="18" customHeight="1" spans="1:14">
      <c r="A77" s="87" t="s">
        <v>92</v>
      </c>
      <c r="B77" s="88">
        <f>B76-B75</f>
        <v>854006.82115096</v>
      </c>
      <c r="C77" s="89"/>
      <c r="D77" s="90"/>
      <c r="E77" s="90"/>
      <c r="F77" s="88"/>
      <c r="G77" s="88"/>
      <c r="H77" s="91"/>
      <c r="I77" s="123"/>
      <c r="J77" s="9"/>
      <c r="K77" s="122"/>
      <c r="M77" s="9"/>
      <c r="N77" s="9"/>
    </row>
    <row r="78" ht="18" customHeight="1" spans="1:3">
      <c r="A78" s="3" t="s">
        <v>93</v>
      </c>
      <c r="C78" s="92"/>
    </row>
    <row r="79" ht="18" customHeight="1" spans="1:13">
      <c r="A79" s="24" t="s">
        <v>94</v>
      </c>
      <c r="B79" s="25" t="s">
        <v>95</v>
      </c>
      <c r="C79" s="93"/>
      <c r="D79" s="27" t="s">
        <v>94</v>
      </c>
      <c r="E79" s="26" t="s">
        <v>16</v>
      </c>
      <c r="F79" s="94" t="s">
        <v>95</v>
      </c>
      <c r="G79" s="25" t="s">
        <v>114</v>
      </c>
      <c r="H79" s="26" t="s">
        <v>115</v>
      </c>
      <c r="I79" s="26"/>
      <c r="K79" s="95" t="s">
        <v>116</v>
      </c>
      <c r="L79" s="44" t="s">
        <v>125</v>
      </c>
      <c r="M79" s="44"/>
    </row>
    <row r="80" ht="18" customHeight="1" spans="1:13">
      <c r="A80" s="14" t="s">
        <v>96</v>
      </c>
      <c r="B80" s="22">
        <f>(B76-B75)*0.25</f>
        <v>213501.70528774</v>
      </c>
      <c r="C80" s="93"/>
      <c r="D80" s="96" t="s">
        <v>97</v>
      </c>
      <c r="E80" s="27" t="s">
        <v>98</v>
      </c>
      <c r="F80" s="43">
        <f>F11-F75</f>
        <v>100066.018723937</v>
      </c>
      <c r="G80" s="10">
        <f>F7-F16</f>
        <v>53549.3793577982</v>
      </c>
      <c r="H80" s="140">
        <f>(B7*0.96-(SUM(B23:B41)+B67+B68))*0.25</f>
        <v>14034.2102981651</v>
      </c>
      <c r="I80" s="20" t="s">
        <v>117</v>
      </c>
      <c r="K80" s="98">
        <f>F8-F30-F32-F34-F35-F36-F37-F38-F40-F41-F42</f>
        <v>-7742.80972477064</v>
      </c>
      <c r="L80" s="98">
        <f>F9-F43-F44+K80</f>
        <v>47199.8093661385</v>
      </c>
      <c r="M80" s="98"/>
    </row>
    <row r="81" ht="18" customHeight="1" spans="1:13">
      <c r="A81" s="14" t="s">
        <v>99</v>
      </c>
      <c r="B81" s="99" t="s">
        <v>100</v>
      </c>
      <c r="C81" s="93"/>
      <c r="D81" s="100" t="s">
        <v>101</v>
      </c>
      <c r="E81" s="18">
        <v>0.05</v>
      </c>
      <c r="F81" s="29">
        <f>F80*E81</f>
        <v>5003.30093619685</v>
      </c>
      <c r="G81" s="20">
        <f>G80*E81</f>
        <v>2677.46896788991</v>
      </c>
      <c r="H81" s="140">
        <f>I69</f>
        <v>181283.32</v>
      </c>
      <c r="I81" s="20" t="s">
        <v>118</v>
      </c>
      <c r="K81" s="98">
        <v>0</v>
      </c>
      <c r="L81" s="98">
        <f>L80*0.07</f>
        <v>3303.98665562969</v>
      </c>
      <c r="M81" s="98"/>
    </row>
    <row r="82" ht="18" customHeight="1" spans="1:13">
      <c r="A82" s="14" t="s">
        <v>102</v>
      </c>
      <c r="B82" s="99">
        <f>B11*0.0006</f>
        <v>1515.48090075063</v>
      </c>
      <c r="C82" s="93"/>
      <c r="D82" s="100" t="s">
        <v>103</v>
      </c>
      <c r="E82" s="18">
        <v>0.03</v>
      </c>
      <c r="F82" s="29">
        <f>F80*E82</f>
        <v>3001.98056171811</v>
      </c>
      <c r="G82" s="20">
        <f>G80*E82</f>
        <v>1606.48138073395</v>
      </c>
      <c r="H82" s="141">
        <f>H81-H80</f>
        <v>167249.109701835</v>
      </c>
      <c r="I82" s="20" t="s">
        <v>119</v>
      </c>
      <c r="K82" s="98">
        <v>0</v>
      </c>
      <c r="L82" s="98">
        <f>L80*E82</f>
        <v>1415.99428098415</v>
      </c>
      <c r="M82" s="98"/>
    </row>
    <row r="83" ht="18" customHeight="1" spans="1:13">
      <c r="A83" s="14"/>
      <c r="B83" s="29"/>
      <c r="C83" s="93"/>
      <c r="D83" s="100" t="s">
        <v>104</v>
      </c>
      <c r="E83" s="18">
        <v>0.02</v>
      </c>
      <c r="F83" s="29">
        <f>F80*E83</f>
        <v>2001.32037447874</v>
      </c>
      <c r="G83" s="20">
        <f>G80*E83</f>
        <v>1070.98758715596</v>
      </c>
      <c r="K83" s="98">
        <v>0</v>
      </c>
      <c r="L83" s="98">
        <f>L80*E83</f>
        <v>943.996187322769</v>
      </c>
      <c r="M83" s="98"/>
    </row>
    <row r="84" ht="18" customHeight="1" spans="1:13">
      <c r="A84" s="39" t="s">
        <v>105</v>
      </c>
      <c r="B84" s="40">
        <f t="shared" ref="B84:G84" si="11">SUM(B80:B83)</f>
        <v>215017.186188491</v>
      </c>
      <c r="C84" s="93"/>
      <c r="D84" s="101" t="s">
        <v>105</v>
      </c>
      <c r="E84" s="96"/>
      <c r="F84" s="43">
        <f t="shared" si="11"/>
        <v>110072.620596331</v>
      </c>
      <c r="G84" s="25">
        <f t="shared" si="11"/>
        <v>58904.317293578</v>
      </c>
      <c r="K84" s="98"/>
      <c r="L84" s="98"/>
      <c r="M84" s="98"/>
    </row>
    <row r="85" ht="18" customHeight="1" spans="3:13">
      <c r="C85" s="92"/>
      <c r="D85" s="16" t="s">
        <v>99</v>
      </c>
      <c r="E85" s="102">
        <v>0.0003</v>
      </c>
      <c r="F85" s="29"/>
      <c r="G85" s="20"/>
      <c r="K85" s="98"/>
      <c r="L85" s="98"/>
      <c r="M85" s="98"/>
    </row>
    <row r="86" ht="18" customHeight="1" spans="3:13">
      <c r="C86" s="92"/>
      <c r="D86" s="16" t="s">
        <v>102</v>
      </c>
      <c r="E86" s="102">
        <v>0.0006</v>
      </c>
      <c r="F86" s="29"/>
      <c r="G86" s="20"/>
      <c r="K86" s="98">
        <f>(B7+B8)*E86</f>
        <v>901.899082568807</v>
      </c>
      <c r="L86" s="98">
        <f>E86*B9</f>
        <v>613.581818181818</v>
      </c>
      <c r="M86" s="98"/>
    </row>
    <row r="87" ht="18" customHeight="1" spans="3:13">
      <c r="C87" s="92"/>
      <c r="D87" s="26" t="s">
        <v>105</v>
      </c>
      <c r="E87" s="103"/>
      <c r="F87" s="42">
        <f>F86+F85</f>
        <v>0</v>
      </c>
      <c r="G87" s="20"/>
      <c r="K87" s="98"/>
      <c r="L87" s="98"/>
      <c r="M87" s="98"/>
    </row>
    <row r="88" ht="18" customHeight="1" spans="3:13">
      <c r="C88" s="92"/>
      <c r="D88" s="26" t="s">
        <v>23</v>
      </c>
      <c r="E88" s="41"/>
      <c r="F88" s="42">
        <f>F84+F87</f>
        <v>110072.620596331</v>
      </c>
      <c r="G88" s="20"/>
      <c r="K88" s="98"/>
      <c r="L88" s="98"/>
      <c r="M88" s="98"/>
    </row>
    <row r="89" ht="18" customHeight="1" spans="3:13">
      <c r="C89" s="92"/>
      <c r="D89" s="41" t="s">
        <v>96</v>
      </c>
      <c r="E89" s="103">
        <v>0.02</v>
      </c>
      <c r="F89" s="42">
        <f>G11*E89</f>
        <v>55267</v>
      </c>
      <c r="G89" s="25">
        <f>E89*G7</f>
        <v>17653.4</v>
      </c>
      <c r="K89" s="98">
        <f>E89*G8</f>
        <v>15115.6</v>
      </c>
      <c r="L89" s="98"/>
      <c r="M89" s="98"/>
    </row>
    <row r="90" ht="18" customHeight="1" spans="3:12">
      <c r="C90" s="92"/>
      <c r="L90" s="10">
        <f>SUM(L80:L89)</f>
        <v>53477.3683082569</v>
      </c>
    </row>
    <row r="91" ht="18" customHeight="1" spans="3:3">
      <c r="C91" s="92"/>
    </row>
    <row r="92" ht="18" customHeight="1" spans="3:3">
      <c r="C92" s="92"/>
    </row>
    <row r="93" spans="3:3">
      <c r="C93" s="92"/>
    </row>
    <row r="94" spans="3:3">
      <c r="C94" s="92"/>
    </row>
    <row r="95" spans="3:3">
      <c r="C95" s="92"/>
    </row>
    <row r="96" spans="3:3">
      <c r="C96" s="92"/>
    </row>
    <row r="97" spans="3:3">
      <c r="C97" s="92"/>
    </row>
    <row r="98" spans="3:3">
      <c r="C98" s="92"/>
    </row>
    <row r="99" spans="3:3">
      <c r="C99" s="92"/>
    </row>
    <row r="100" spans="3:3">
      <c r="C100" s="92"/>
    </row>
    <row r="101" spans="3:3">
      <c r="C101" s="92"/>
    </row>
    <row r="102" spans="3:3">
      <c r="C102" s="92"/>
    </row>
    <row r="103" spans="3:3">
      <c r="C103" s="92"/>
    </row>
    <row r="104" spans="3:3">
      <c r="C104" s="92"/>
    </row>
    <row r="105" spans="3:3">
      <c r="C105" s="92"/>
    </row>
    <row r="106" spans="3:3">
      <c r="C106" s="92"/>
    </row>
    <row r="107" spans="3:3">
      <c r="C107" s="92"/>
    </row>
    <row r="108" spans="3:3">
      <c r="C108" s="92"/>
    </row>
  </sheetData>
  <autoFilter ref="A12:P90">
    <extLst/>
  </autoFilter>
  <mergeCells count="20">
    <mergeCell ref="A1:J1"/>
    <mergeCell ref="H2:J2"/>
    <mergeCell ref="C5:D5"/>
    <mergeCell ref="E5:F5"/>
    <mergeCell ref="H5:J5"/>
    <mergeCell ref="H79:I79"/>
    <mergeCell ref="L79:M79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4"/>
  <sheetViews>
    <sheetView topLeftCell="B70" workbookViewId="0">
      <selection activeCell="L8" sqref="L8"/>
    </sheetView>
  </sheetViews>
  <sheetFormatPr defaultColWidth="9" defaultRowHeight="11.25"/>
  <cols>
    <col min="1" max="1" width="10.75" style="3" customWidth="1"/>
    <col min="2" max="2" width="13.1333333333333" style="4" customWidth="1"/>
    <col min="3" max="3" width="6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11.75" style="5" customWidth="1"/>
    <col min="9" max="9" width="13.8833333333333" style="7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129" t="s">
        <v>6</v>
      </c>
      <c r="I2" s="61"/>
      <c r="J2" s="62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3"/>
      <c r="J3" s="23"/>
      <c r="K3" s="23"/>
      <c r="L3" s="23"/>
    </row>
    <row r="4" ht="18" customHeight="1" spans="1:12">
      <c r="A4" s="3" t="s">
        <v>9</v>
      </c>
      <c r="H4" s="23"/>
      <c r="I4" s="63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 t="shared" ref="B7:B10" si="0">G7/(1+C7+E7)</f>
        <v>809788.990825688</v>
      </c>
      <c r="C7" s="30">
        <v>0.02</v>
      </c>
      <c r="D7" s="31">
        <f t="shared" ref="D7:D10" si="1">G7/(1+E7+C7)*C7</f>
        <v>16195.7798165138</v>
      </c>
      <c r="E7" s="32">
        <v>0.07</v>
      </c>
      <c r="F7" s="29">
        <f t="shared" ref="F7:F10" si="2">G7/(1+C7+E7)*E7</f>
        <v>56685.2293577982</v>
      </c>
      <c r="G7" s="33">
        <v>882670</v>
      </c>
      <c r="H7" s="34" t="s">
        <v>21</v>
      </c>
      <c r="I7" s="20">
        <v>882670</v>
      </c>
      <c r="J7" s="44" t="s">
        <v>22</v>
      </c>
    </row>
    <row r="8" ht="18" customHeight="1" spans="1:10">
      <c r="A8" s="35">
        <v>44160</v>
      </c>
      <c r="B8" s="22">
        <f t="shared" si="0"/>
        <v>693376.146788991</v>
      </c>
      <c r="C8" s="36">
        <v>0.02</v>
      </c>
      <c r="D8" s="37">
        <f t="shared" si="1"/>
        <v>13867.5229357798</v>
      </c>
      <c r="E8" s="32">
        <v>0.07</v>
      </c>
      <c r="F8" s="22">
        <f t="shared" si="2"/>
        <v>48536.3302752294</v>
      </c>
      <c r="G8" s="33">
        <v>755780</v>
      </c>
      <c r="H8" s="34" t="s">
        <v>107</v>
      </c>
      <c r="I8" s="20">
        <v>755780</v>
      </c>
      <c r="J8" s="44" t="s">
        <v>22</v>
      </c>
    </row>
    <row r="9" ht="18" customHeight="1" spans="1:10">
      <c r="A9" s="28">
        <v>44183</v>
      </c>
      <c r="B9" s="29">
        <f t="shared" si="0"/>
        <v>1022636.36363636</v>
      </c>
      <c r="C9" s="30">
        <v>0.02</v>
      </c>
      <c r="D9" s="31">
        <f t="shared" si="1"/>
        <v>20452.7272727273</v>
      </c>
      <c r="E9" s="30">
        <v>0.08</v>
      </c>
      <c r="F9" s="29">
        <f t="shared" si="2"/>
        <v>81810.9090909091</v>
      </c>
      <c r="G9" s="33">
        <v>1124900</v>
      </c>
      <c r="H9" s="34">
        <v>44193</v>
      </c>
      <c r="I9" s="20">
        <v>1124900</v>
      </c>
      <c r="J9" s="44" t="s">
        <v>22</v>
      </c>
    </row>
    <row r="10" ht="18" customHeight="1" spans="1:10">
      <c r="A10" s="28"/>
      <c r="B10" s="29">
        <f t="shared" si="0"/>
        <v>0</v>
      </c>
      <c r="C10" s="30">
        <v>0.02</v>
      </c>
      <c r="D10" s="31">
        <f t="shared" si="1"/>
        <v>0</v>
      </c>
      <c r="E10" s="30">
        <v>0.08</v>
      </c>
      <c r="F10" s="29">
        <f t="shared" si="2"/>
        <v>0</v>
      </c>
      <c r="G10" s="33"/>
      <c r="H10" s="34"/>
      <c r="I10" s="20"/>
      <c r="J10" s="44"/>
    </row>
    <row r="11" ht="18" customHeight="1" spans="1:10">
      <c r="A11" s="39" t="s">
        <v>23</v>
      </c>
      <c r="B11" s="40">
        <f t="shared" ref="B11:G11" si="3">SUM(B7:B10)</f>
        <v>2525801.50125104</v>
      </c>
      <c r="C11" s="41"/>
      <c r="D11" s="42">
        <f t="shared" si="3"/>
        <v>50516.0300250209</v>
      </c>
      <c r="E11" s="41"/>
      <c r="F11" s="43">
        <f t="shared" si="3"/>
        <v>187032.468723937</v>
      </c>
      <c r="G11" s="42">
        <f t="shared" si="3"/>
        <v>2763350</v>
      </c>
      <c r="H11" s="93"/>
      <c r="I11" s="25">
        <f>SUM(I7:I10)</f>
        <v>2763350</v>
      </c>
      <c r="J11" s="44"/>
    </row>
    <row r="12" ht="18" customHeight="1" spans="1:12">
      <c r="A12" s="3" t="s">
        <v>24</v>
      </c>
      <c r="J12" s="6"/>
      <c r="K12" s="6"/>
      <c r="L12" s="65"/>
    </row>
    <row r="13" ht="18" customHeight="1" spans="1:15">
      <c r="A13" s="24" t="s">
        <v>25</v>
      </c>
      <c r="B13" s="25" t="s">
        <v>26</v>
      </c>
      <c r="C13" s="26" t="s">
        <v>27</v>
      </c>
      <c r="D13" s="26" t="s">
        <v>28</v>
      </c>
      <c r="E13" s="26" t="s">
        <v>16</v>
      </c>
      <c r="F13" s="25" t="s">
        <v>29</v>
      </c>
      <c r="G13" s="25" t="s">
        <v>14</v>
      </c>
      <c r="H13" s="26" t="s">
        <v>30</v>
      </c>
      <c r="I13" s="25" t="s">
        <v>31</v>
      </c>
      <c r="J13" s="26" t="s">
        <v>20</v>
      </c>
      <c r="K13" s="66" t="s">
        <v>32</v>
      </c>
      <c r="L13" s="27" t="s">
        <v>33</v>
      </c>
      <c r="M13" s="27" t="s">
        <v>34</v>
      </c>
      <c r="N13" s="27" t="s">
        <v>35</v>
      </c>
      <c r="O13" s="27" t="s">
        <v>36</v>
      </c>
    </row>
    <row r="14" customFormat="1" ht="18" customHeight="1" spans="1:15">
      <c r="A14" s="24"/>
      <c r="B14" s="25"/>
      <c r="C14" s="26"/>
      <c r="D14" s="26"/>
      <c r="E14" s="26"/>
      <c r="F14" s="25"/>
      <c r="G14" s="25"/>
      <c r="H14" s="29" t="s">
        <v>37</v>
      </c>
      <c r="I14" s="20">
        <v>-5000</v>
      </c>
      <c r="J14" s="47" t="s">
        <v>38</v>
      </c>
      <c r="K14" s="20" t="s">
        <v>39</v>
      </c>
      <c r="L14" s="27"/>
      <c r="M14" s="27"/>
      <c r="N14" s="27"/>
      <c r="O14" s="27"/>
    </row>
    <row r="15" s="1" customFormat="1" ht="18" customHeight="1" spans="1:15">
      <c r="A15" s="35"/>
      <c r="B15" s="22">
        <f t="shared" ref="B15:B23" si="4">ROUND(G15/(1+E15),2)</f>
        <v>0</v>
      </c>
      <c r="C15" s="46"/>
      <c r="D15" s="47"/>
      <c r="E15" s="48"/>
      <c r="F15" s="22">
        <f t="shared" ref="F15:F22" si="5">ROUND(G15/(1+E15)*E15,2)</f>
        <v>0</v>
      </c>
      <c r="G15" s="33"/>
      <c r="H15" s="34" t="s">
        <v>40</v>
      </c>
      <c r="I15" s="20">
        <v>5000</v>
      </c>
      <c r="J15" s="44" t="s">
        <v>22</v>
      </c>
      <c r="K15" s="47" t="s">
        <v>41</v>
      </c>
      <c r="L15" s="58"/>
      <c r="M15" s="67"/>
      <c r="N15" s="67"/>
      <c r="O15" s="58"/>
    </row>
    <row r="16" s="1" customFormat="1" ht="18" customHeight="1" spans="1:15">
      <c r="A16" s="35" t="s">
        <v>42</v>
      </c>
      <c r="B16" s="22">
        <f t="shared" si="4"/>
        <v>52264.15</v>
      </c>
      <c r="C16" s="46">
        <v>1</v>
      </c>
      <c r="D16" s="47" t="s">
        <v>43</v>
      </c>
      <c r="E16" s="49">
        <v>0.06</v>
      </c>
      <c r="F16" s="22">
        <f t="shared" si="5"/>
        <v>3135.85</v>
      </c>
      <c r="G16" s="33">
        <v>55400</v>
      </c>
      <c r="H16" s="34"/>
      <c r="I16" s="20"/>
      <c r="J16" s="44" t="s">
        <v>22</v>
      </c>
      <c r="K16" s="47" t="s">
        <v>44</v>
      </c>
      <c r="L16" s="58"/>
      <c r="M16" s="67"/>
      <c r="N16" s="67"/>
      <c r="O16" s="58"/>
    </row>
    <row r="17" s="1" customFormat="1" ht="18" customHeight="1" spans="1:15">
      <c r="A17" s="35"/>
      <c r="B17" s="22">
        <f t="shared" si="4"/>
        <v>0</v>
      </c>
      <c r="C17" s="46"/>
      <c r="D17" s="47"/>
      <c r="E17" s="48"/>
      <c r="F17" s="22">
        <f t="shared" si="5"/>
        <v>0</v>
      </c>
      <c r="G17" s="33"/>
      <c r="H17" s="34" t="s">
        <v>45</v>
      </c>
      <c r="I17" s="20">
        <v>22950</v>
      </c>
      <c r="J17" s="44" t="s">
        <v>22</v>
      </c>
      <c r="K17" s="47" t="s">
        <v>46</v>
      </c>
      <c r="L17" s="58"/>
      <c r="M17" s="67"/>
      <c r="N17" s="67"/>
      <c r="O17" s="58"/>
    </row>
    <row r="18" s="1" customFormat="1" ht="18" customHeight="1" spans="1:15">
      <c r="A18" s="35"/>
      <c r="B18" s="22">
        <f t="shared" si="4"/>
        <v>0</v>
      </c>
      <c r="C18" s="46"/>
      <c r="D18" s="47"/>
      <c r="E18" s="48"/>
      <c r="F18" s="22">
        <f t="shared" si="5"/>
        <v>0</v>
      </c>
      <c r="G18" s="33"/>
      <c r="H18" s="34" t="s">
        <v>47</v>
      </c>
      <c r="I18" s="20">
        <v>-23000</v>
      </c>
      <c r="J18" s="44" t="s">
        <v>38</v>
      </c>
      <c r="K18" s="47" t="s">
        <v>48</v>
      </c>
      <c r="L18" s="58"/>
      <c r="M18" s="67"/>
      <c r="N18" s="67"/>
      <c r="O18" s="58"/>
    </row>
    <row r="19" s="1" customFormat="1" ht="18" customHeight="1" spans="1:15">
      <c r="A19" s="35"/>
      <c r="B19" s="22">
        <f t="shared" si="4"/>
        <v>0</v>
      </c>
      <c r="C19" s="46"/>
      <c r="D19" s="47"/>
      <c r="E19" s="48"/>
      <c r="F19" s="22">
        <f t="shared" si="5"/>
        <v>0</v>
      </c>
      <c r="G19" s="33"/>
      <c r="H19" s="34">
        <v>43984</v>
      </c>
      <c r="I19" s="20">
        <v>64950</v>
      </c>
      <c r="J19" s="44" t="s">
        <v>22</v>
      </c>
      <c r="K19" s="47" t="s">
        <v>49</v>
      </c>
      <c r="L19" s="58"/>
      <c r="M19" s="67"/>
      <c r="N19" s="67"/>
      <c r="O19" s="58"/>
    </row>
    <row r="20" s="1" customFormat="1" ht="18" customHeight="1" spans="1:15">
      <c r="A20" s="35"/>
      <c r="B20" s="22">
        <f t="shared" si="4"/>
        <v>0</v>
      </c>
      <c r="C20" s="46"/>
      <c r="D20" s="47"/>
      <c r="E20" s="48"/>
      <c r="F20" s="22">
        <f t="shared" si="5"/>
        <v>0</v>
      </c>
      <c r="G20" s="33"/>
      <c r="H20" s="34">
        <v>43984</v>
      </c>
      <c r="I20" s="20">
        <v>-65000</v>
      </c>
      <c r="J20" s="44" t="s">
        <v>38</v>
      </c>
      <c r="K20" s="47" t="s">
        <v>48</v>
      </c>
      <c r="L20" s="58"/>
      <c r="M20" s="67"/>
      <c r="N20" s="67"/>
      <c r="O20" s="58"/>
    </row>
    <row r="21" s="1" customFormat="1" ht="18" customHeight="1" spans="1:15">
      <c r="A21" s="35"/>
      <c r="B21" s="22">
        <f t="shared" si="4"/>
        <v>0</v>
      </c>
      <c r="C21" s="46"/>
      <c r="D21" s="47"/>
      <c r="E21" s="48"/>
      <c r="F21" s="22">
        <f t="shared" si="5"/>
        <v>0</v>
      </c>
      <c r="G21" s="33"/>
      <c r="H21" s="34">
        <v>43985</v>
      </c>
      <c r="I21" s="20">
        <v>47550</v>
      </c>
      <c r="J21" s="44" t="s">
        <v>22</v>
      </c>
      <c r="K21" s="47" t="s">
        <v>49</v>
      </c>
      <c r="L21" s="58"/>
      <c r="M21" s="67"/>
      <c r="N21" s="67"/>
      <c r="O21" s="58"/>
    </row>
    <row r="22" s="1" customFormat="1" ht="18" customHeight="1" spans="1:15">
      <c r="A22" s="35"/>
      <c r="B22" s="22">
        <f t="shared" si="4"/>
        <v>0</v>
      </c>
      <c r="C22" s="46"/>
      <c r="D22" s="47"/>
      <c r="E22" s="48"/>
      <c r="F22" s="22">
        <f t="shared" si="5"/>
        <v>0</v>
      </c>
      <c r="G22" s="33"/>
      <c r="H22" s="34">
        <v>43985</v>
      </c>
      <c r="I22" s="20">
        <v>-47600</v>
      </c>
      <c r="J22" s="44" t="s">
        <v>38</v>
      </c>
      <c r="K22" s="47" t="s">
        <v>48</v>
      </c>
      <c r="L22" s="58"/>
      <c r="M22" s="67"/>
      <c r="N22" s="67"/>
      <c r="O22" s="58"/>
    </row>
    <row r="23" s="1" customFormat="1" ht="18" customHeight="1" spans="1:15">
      <c r="A23" s="35" t="s">
        <v>50</v>
      </c>
      <c r="B23" s="22">
        <f t="shared" si="4"/>
        <v>195</v>
      </c>
      <c r="C23" s="46">
        <v>1</v>
      </c>
      <c r="D23" s="47" t="s">
        <v>51</v>
      </c>
      <c r="E23" s="48"/>
      <c r="F23" s="22"/>
      <c r="G23" s="33">
        <v>195</v>
      </c>
      <c r="H23" s="50"/>
      <c r="I23" s="68"/>
      <c r="J23" s="67"/>
      <c r="K23" s="47" t="s">
        <v>52</v>
      </c>
      <c r="L23" s="58" t="s">
        <v>53</v>
      </c>
      <c r="M23" s="67"/>
      <c r="N23" s="67"/>
      <c r="O23" s="58"/>
    </row>
    <row r="24" s="1" customFormat="1" ht="18" customHeight="1" spans="1:15">
      <c r="A24" s="35" t="s">
        <v>50</v>
      </c>
      <c r="B24" s="22">
        <v>0</v>
      </c>
      <c r="C24" s="46">
        <v>1</v>
      </c>
      <c r="D24" s="47" t="s">
        <v>51</v>
      </c>
      <c r="E24" s="48"/>
      <c r="F24" s="22">
        <f t="shared" ref="F24:F47" si="6">ROUND(G24/(1+E24)*E24,2)</f>
        <v>0</v>
      </c>
      <c r="G24" s="33">
        <v>9140</v>
      </c>
      <c r="H24" s="50"/>
      <c r="I24" s="68"/>
      <c r="J24" s="67"/>
      <c r="K24" s="47" t="s">
        <v>54</v>
      </c>
      <c r="L24" s="58" t="s">
        <v>55</v>
      </c>
      <c r="M24" s="67"/>
      <c r="N24" s="133" t="s">
        <v>56</v>
      </c>
      <c r="O24" s="58"/>
    </row>
    <row r="25" s="1" customFormat="1" ht="18" customHeight="1" spans="1:15">
      <c r="A25" s="35" t="s">
        <v>50</v>
      </c>
      <c r="B25" s="22">
        <v>0</v>
      </c>
      <c r="C25" s="46">
        <v>1</v>
      </c>
      <c r="D25" s="47" t="s">
        <v>51</v>
      </c>
      <c r="E25" s="48"/>
      <c r="F25" s="22">
        <f t="shared" si="6"/>
        <v>0</v>
      </c>
      <c r="G25" s="33">
        <v>9000</v>
      </c>
      <c r="H25" s="50"/>
      <c r="I25" s="68"/>
      <c r="J25" s="67"/>
      <c r="K25" s="47" t="s">
        <v>54</v>
      </c>
      <c r="L25" s="58" t="s">
        <v>57</v>
      </c>
      <c r="M25" s="67"/>
      <c r="N25" s="133" t="s">
        <v>56</v>
      </c>
      <c r="O25" s="58"/>
    </row>
    <row r="26" s="1" customFormat="1" ht="18" customHeight="1" spans="1:15">
      <c r="A26" s="35" t="s">
        <v>50</v>
      </c>
      <c r="B26" s="22">
        <v>0</v>
      </c>
      <c r="C26" s="46">
        <v>1</v>
      </c>
      <c r="D26" s="47" t="s">
        <v>51</v>
      </c>
      <c r="E26" s="48"/>
      <c r="F26" s="22">
        <f t="shared" si="6"/>
        <v>0</v>
      </c>
      <c r="G26" s="33">
        <v>2000</v>
      </c>
      <c r="H26" s="50"/>
      <c r="I26" s="68"/>
      <c r="J26" s="67"/>
      <c r="K26" s="47" t="s">
        <v>54</v>
      </c>
      <c r="L26" s="58" t="s">
        <v>58</v>
      </c>
      <c r="M26" s="67"/>
      <c r="N26" s="133" t="s">
        <v>56</v>
      </c>
      <c r="O26" s="58"/>
    </row>
    <row r="27" s="1" customFormat="1" ht="18" customHeight="1" spans="1:15">
      <c r="A27" s="35" t="s">
        <v>50</v>
      </c>
      <c r="B27" s="22">
        <v>0</v>
      </c>
      <c r="C27" s="46">
        <v>1</v>
      </c>
      <c r="D27" s="47" t="s">
        <v>51</v>
      </c>
      <c r="E27" s="48"/>
      <c r="F27" s="22">
        <f t="shared" si="6"/>
        <v>0</v>
      </c>
      <c r="G27" s="33">
        <v>8870</v>
      </c>
      <c r="H27" s="50"/>
      <c r="I27" s="68"/>
      <c r="J27" s="67"/>
      <c r="K27" s="47" t="s">
        <v>54</v>
      </c>
      <c r="L27" s="1" t="s">
        <v>59</v>
      </c>
      <c r="N27" s="133" t="s">
        <v>56</v>
      </c>
      <c r="O27" s="58"/>
    </row>
    <row r="28" s="1" customFormat="1" ht="18" customHeight="1" spans="1:15">
      <c r="A28" s="35" t="s">
        <v>50</v>
      </c>
      <c r="B28" s="22">
        <v>0</v>
      </c>
      <c r="C28" s="46">
        <v>1</v>
      </c>
      <c r="D28" s="47" t="s">
        <v>51</v>
      </c>
      <c r="E28" s="48"/>
      <c r="F28" s="22">
        <f t="shared" si="6"/>
        <v>0</v>
      </c>
      <c r="G28" s="33">
        <v>9500</v>
      </c>
      <c r="H28" s="50"/>
      <c r="I28" s="68"/>
      <c r="J28" s="67"/>
      <c r="K28" s="47" t="s">
        <v>54</v>
      </c>
      <c r="L28" s="58" t="s">
        <v>58</v>
      </c>
      <c r="M28" s="67"/>
      <c r="N28" s="133" t="s">
        <v>56</v>
      </c>
      <c r="O28" s="58"/>
    </row>
    <row r="29" s="1" customFormat="1" ht="18" customHeight="1" spans="1:15">
      <c r="A29" s="35" t="s">
        <v>50</v>
      </c>
      <c r="B29" s="22">
        <v>0</v>
      </c>
      <c r="C29" s="46">
        <v>1</v>
      </c>
      <c r="D29" s="47" t="s">
        <v>51</v>
      </c>
      <c r="E29" s="48"/>
      <c r="F29" s="22">
        <f t="shared" si="6"/>
        <v>0</v>
      </c>
      <c r="G29" s="33">
        <v>8085</v>
      </c>
      <c r="H29" s="50"/>
      <c r="I29" s="68"/>
      <c r="J29" s="67"/>
      <c r="K29" s="47" t="s">
        <v>54</v>
      </c>
      <c r="L29" s="58" t="s">
        <v>60</v>
      </c>
      <c r="M29" s="67"/>
      <c r="N29" s="133" t="s">
        <v>56</v>
      </c>
      <c r="O29" s="58"/>
    </row>
    <row r="30" s="1" customFormat="1" ht="18" customHeight="1" spans="1:16">
      <c r="A30" s="35" t="s">
        <v>50</v>
      </c>
      <c r="B30" s="22">
        <f t="shared" ref="B30:B32" si="7">ROUND(G30/(1+E30),2)</f>
        <v>99557.52</v>
      </c>
      <c r="C30" s="46">
        <v>1</v>
      </c>
      <c r="D30" s="47" t="s">
        <v>43</v>
      </c>
      <c r="E30" s="49">
        <v>0.13</v>
      </c>
      <c r="F30" s="22">
        <f t="shared" si="6"/>
        <v>12942.48</v>
      </c>
      <c r="G30" s="33">
        <v>112500</v>
      </c>
      <c r="H30" s="50"/>
      <c r="I30" s="68"/>
      <c r="J30" s="67"/>
      <c r="K30" s="47" t="s">
        <v>49</v>
      </c>
      <c r="L30" s="58" t="s">
        <v>61</v>
      </c>
      <c r="M30" s="67"/>
      <c r="N30" s="67"/>
      <c r="O30" s="58"/>
      <c r="P30" s="1" t="s">
        <v>62</v>
      </c>
    </row>
    <row r="31" s="1" customFormat="1" ht="18" customHeight="1" spans="1:15">
      <c r="A31" s="35" t="s">
        <v>50</v>
      </c>
      <c r="B31" s="22">
        <f t="shared" si="7"/>
        <v>2965.5</v>
      </c>
      <c r="C31" s="46">
        <v>14</v>
      </c>
      <c r="D31" s="47" t="s">
        <v>63</v>
      </c>
      <c r="E31" s="49"/>
      <c r="F31" s="22">
        <f t="shared" si="6"/>
        <v>0</v>
      </c>
      <c r="G31" s="33">
        <v>2965.5</v>
      </c>
      <c r="H31" s="50"/>
      <c r="I31" s="68"/>
      <c r="J31" s="67"/>
      <c r="K31" s="47" t="s">
        <v>64</v>
      </c>
      <c r="L31" s="58" t="s">
        <v>65</v>
      </c>
      <c r="M31" s="67"/>
      <c r="N31" s="67"/>
      <c r="O31" s="58"/>
    </row>
    <row r="32" s="1" customFormat="1" ht="18" customHeight="1" spans="1:15">
      <c r="A32" s="35" t="s">
        <v>50</v>
      </c>
      <c r="B32" s="22">
        <f t="shared" si="7"/>
        <v>388349.51</v>
      </c>
      <c r="C32" s="46">
        <v>4</v>
      </c>
      <c r="D32" s="47" t="s">
        <v>43</v>
      </c>
      <c r="E32" s="49">
        <v>0.03</v>
      </c>
      <c r="F32" s="22">
        <f t="shared" si="6"/>
        <v>11650.49</v>
      </c>
      <c r="G32" s="33">
        <v>400000</v>
      </c>
      <c r="H32" s="50"/>
      <c r="I32" s="68"/>
      <c r="J32" s="67"/>
      <c r="K32" s="47" t="s">
        <v>66</v>
      </c>
      <c r="L32" s="58" t="s">
        <v>67</v>
      </c>
      <c r="M32" s="67"/>
      <c r="N32" s="67"/>
      <c r="O32" s="58"/>
    </row>
    <row r="33" s="2" customFormat="1" ht="18" customHeight="1" spans="1:15">
      <c r="A33" s="52" t="s">
        <v>50</v>
      </c>
      <c r="B33" s="22"/>
      <c r="C33" s="53">
        <v>1</v>
      </c>
      <c r="D33" s="54" t="s">
        <v>51</v>
      </c>
      <c r="E33" s="55"/>
      <c r="F33" s="22">
        <f t="shared" si="6"/>
        <v>0</v>
      </c>
      <c r="G33" s="33">
        <v>1812.36</v>
      </c>
      <c r="H33" s="56"/>
      <c r="I33" s="70"/>
      <c r="J33" s="71"/>
      <c r="K33" s="47" t="s">
        <v>68</v>
      </c>
      <c r="L33" s="58" t="s">
        <v>69</v>
      </c>
      <c r="M33" s="22" t="s">
        <v>70</v>
      </c>
      <c r="N33" s="67"/>
      <c r="O33" s="72"/>
    </row>
    <row r="34" s="2" customFormat="1" ht="18" customHeight="1" spans="1:15">
      <c r="A34" s="35" t="s">
        <v>71</v>
      </c>
      <c r="B34" s="22">
        <f t="shared" ref="B34:B47" si="8">ROUND(G34/(1+E34),2)</f>
        <v>2997.83</v>
      </c>
      <c r="C34" s="46">
        <v>1</v>
      </c>
      <c r="D34" s="47" t="s">
        <v>43</v>
      </c>
      <c r="E34" s="49">
        <v>0.06</v>
      </c>
      <c r="F34" s="22">
        <f t="shared" si="6"/>
        <v>179.87</v>
      </c>
      <c r="G34" s="33">
        <v>3177.7</v>
      </c>
      <c r="H34" s="56"/>
      <c r="I34" s="70"/>
      <c r="J34" s="71"/>
      <c r="K34" s="47" t="s">
        <v>72</v>
      </c>
      <c r="L34" s="58" t="s">
        <v>73</v>
      </c>
      <c r="M34" s="67" t="s">
        <v>74</v>
      </c>
      <c r="N34" s="67"/>
      <c r="O34" s="72"/>
    </row>
    <row r="35" s="2" customFormat="1" ht="18" customHeight="1" spans="1:15">
      <c r="A35" s="35" t="s">
        <v>71</v>
      </c>
      <c r="B35" s="22">
        <f t="shared" si="8"/>
        <v>5995.67</v>
      </c>
      <c r="C35" s="46">
        <v>1</v>
      </c>
      <c r="D35" s="47" t="s">
        <v>43</v>
      </c>
      <c r="E35" s="49">
        <v>0.06</v>
      </c>
      <c r="F35" s="22">
        <f t="shared" si="6"/>
        <v>359.74</v>
      </c>
      <c r="G35" s="33">
        <v>6355.41</v>
      </c>
      <c r="H35" s="56"/>
      <c r="I35" s="70"/>
      <c r="J35" s="71"/>
      <c r="K35" s="47" t="s">
        <v>72</v>
      </c>
      <c r="L35" s="58" t="s">
        <v>73</v>
      </c>
      <c r="M35" s="67" t="s">
        <v>74</v>
      </c>
      <c r="N35" s="67"/>
      <c r="O35" s="72"/>
    </row>
    <row r="36" s="1" customFormat="1" ht="18" customHeight="1" spans="1:16">
      <c r="A36" s="35" t="s">
        <v>71</v>
      </c>
      <c r="B36" s="22">
        <f t="shared" si="8"/>
        <v>99557.52</v>
      </c>
      <c r="C36" s="46">
        <v>1</v>
      </c>
      <c r="D36" s="47" t="s">
        <v>43</v>
      </c>
      <c r="E36" s="49">
        <v>0.13</v>
      </c>
      <c r="F36" s="22">
        <f t="shared" si="6"/>
        <v>12942.48</v>
      </c>
      <c r="G36" s="33">
        <v>112500</v>
      </c>
      <c r="H36" s="56"/>
      <c r="I36" s="70"/>
      <c r="J36" s="71"/>
      <c r="K36" s="47" t="s">
        <v>49</v>
      </c>
      <c r="L36" s="58" t="s">
        <v>61</v>
      </c>
      <c r="M36" s="67" t="s">
        <v>74</v>
      </c>
      <c r="N36" s="67"/>
      <c r="O36" s="72"/>
      <c r="P36" s="1" t="s">
        <v>75</v>
      </c>
    </row>
    <row r="37" s="2" customFormat="1" ht="18" customHeight="1" spans="1:15">
      <c r="A37" s="35" t="s">
        <v>71</v>
      </c>
      <c r="B37" s="22">
        <f t="shared" si="8"/>
        <v>20309.73</v>
      </c>
      <c r="C37" s="46">
        <v>1</v>
      </c>
      <c r="D37" s="47" t="s">
        <v>43</v>
      </c>
      <c r="E37" s="49">
        <v>0.13</v>
      </c>
      <c r="F37" s="22">
        <f t="shared" si="6"/>
        <v>2640.27</v>
      </c>
      <c r="G37" s="33">
        <v>22950</v>
      </c>
      <c r="H37" s="56"/>
      <c r="I37" s="70"/>
      <c r="J37" s="71"/>
      <c r="K37" s="47" t="s">
        <v>46</v>
      </c>
      <c r="L37" s="58" t="s">
        <v>76</v>
      </c>
      <c r="M37" s="67" t="s">
        <v>74</v>
      </c>
      <c r="N37" s="67"/>
      <c r="O37" s="72"/>
    </row>
    <row r="38" s="1" customFormat="1" ht="18" customHeight="1" spans="1:15">
      <c r="A38" s="35" t="s">
        <v>71</v>
      </c>
      <c r="B38" s="22">
        <f t="shared" si="8"/>
        <v>44247.79</v>
      </c>
      <c r="C38" s="46">
        <v>1</v>
      </c>
      <c r="D38" s="47" t="s">
        <v>43</v>
      </c>
      <c r="E38" s="49">
        <v>0.13</v>
      </c>
      <c r="F38" s="22">
        <f t="shared" si="6"/>
        <v>5752.21</v>
      </c>
      <c r="G38" s="33">
        <v>50000</v>
      </c>
      <c r="H38" s="57">
        <v>44103</v>
      </c>
      <c r="I38" s="73">
        <v>50000</v>
      </c>
      <c r="J38" s="74"/>
      <c r="K38" s="75" t="s">
        <v>46</v>
      </c>
      <c r="L38" s="76"/>
      <c r="M38" s="77"/>
      <c r="O38" s="58"/>
    </row>
    <row r="39" s="1" customFormat="1" ht="18" customHeight="1" spans="1:15">
      <c r="A39" s="35"/>
      <c r="B39" s="22">
        <f t="shared" si="8"/>
        <v>0</v>
      </c>
      <c r="C39" s="46"/>
      <c r="D39" s="47"/>
      <c r="E39" s="49"/>
      <c r="F39" s="22">
        <f t="shared" si="6"/>
        <v>0</v>
      </c>
      <c r="G39" s="33"/>
      <c r="H39" s="57">
        <v>44103</v>
      </c>
      <c r="I39" s="73">
        <v>400000</v>
      </c>
      <c r="J39" s="74"/>
      <c r="K39" s="78" t="s">
        <v>66</v>
      </c>
      <c r="L39" s="76"/>
      <c r="M39" s="77"/>
      <c r="O39" s="58"/>
    </row>
    <row r="40" s="1" customFormat="1" ht="18" customHeight="1" spans="1:15">
      <c r="A40" s="35" t="s">
        <v>71</v>
      </c>
      <c r="B40" s="22">
        <f t="shared" si="8"/>
        <v>33185.84</v>
      </c>
      <c r="C40" s="46"/>
      <c r="D40" s="47"/>
      <c r="E40" s="49">
        <v>0.13</v>
      </c>
      <c r="F40" s="22">
        <f t="shared" si="6"/>
        <v>4314.16</v>
      </c>
      <c r="G40" s="33">
        <v>37500</v>
      </c>
      <c r="H40" s="57">
        <v>44103</v>
      </c>
      <c r="I40" s="73">
        <v>150000</v>
      </c>
      <c r="J40" s="74"/>
      <c r="K40" s="78" t="s">
        <v>49</v>
      </c>
      <c r="L40" s="76"/>
      <c r="M40" s="77"/>
      <c r="O40" s="58"/>
    </row>
    <row r="41" s="1" customFormat="1" ht="18" customHeight="1" spans="1:15">
      <c r="A41" s="58" t="s">
        <v>71</v>
      </c>
      <c r="B41" s="22">
        <f t="shared" si="8"/>
        <v>4245.28</v>
      </c>
      <c r="C41" s="58">
        <v>1</v>
      </c>
      <c r="D41" s="47" t="s">
        <v>43</v>
      </c>
      <c r="E41" s="49">
        <v>0.06</v>
      </c>
      <c r="F41" s="22">
        <f t="shared" si="6"/>
        <v>254.72</v>
      </c>
      <c r="G41" s="33">
        <v>4500</v>
      </c>
      <c r="H41" s="130">
        <v>44103</v>
      </c>
      <c r="I41" s="79">
        <v>4500</v>
      </c>
      <c r="J41" s="79" t="s">
        <v>22</v>
      </c>
      <c r="K41" s="79" t="s">
        <v>77</v>
      </c>
      <c r="L41" s="58" t="s">
        <v>78</v>
      </c>
      <c r="M41" s="67"/>
      <c r="N41" s="67"/>
      <c r="O41" s="58"/>
    </row>
    <row r="42" s="1" customFormat="1" ht="18" customHeight="1" spans="1:15">
      <c r="A42" s="58" t="s">
        <v>108</v>
      </c>
      <c r="B42" s="22">
        <f t="shared" si="8"/>
        <v>174757.28</v>
      </c>
      <c r="C42" s="58">
        <v>2</v>
      </c>
      <c r="D42" s="47" t="s">
        <v>43</v>
      </c>
      <c r="E42" s="49">
        <v>0.03</v>
      </c>
      <c r="F42" s="131">
        <f t="shared" si="6"/>
        <v>5242.72</v>
      </c>
      <c r="G42" s="33">
        <v>180000</v>
      </c>
      <c r="H42" s="130">
        <v>44137</v>
      </c>
      <c r="I42" s="79">
        <v>160000</v>
      </c>
      <c r="J42" s="79" t="s">
        <v>22</v>
      </c>
      <c r="K42" s="79" t="s">
        <v>66</v>
      </c>
      <c r="L42" s="72" t="s">
        <v>67</v>
      </c>
      <c r="M42" s="67"/>
      <c r="N42" s="67"/>
      <c r="O42" s="58"/>
    </row>
    <row r="43" s="1" customFormat="1" ht="18" customHeight="1" spans="1:15">
      <c r="A43" s="58" t="s">
        <v>109</v>
      </c>
      <c r="B43" s="22">
        <f t="shared" si="8"/>
        <v>320388.35</v>
      </c>
      <c r="C43" s="58">
        <v>4</v>
      </c>
      <c r="D43" s="47" t="s">
        <v>43</v>
      </c>
      <c r="E43" s="49">
        <v>0.03</v>
      </c>
      <c r="F43" s="22">
        <f t="shared" si="6"/>
        <v>9611.65</v>
      </c>
      <c r="G43" s="33">
        <v>330000</v>
      </c>
      <c r="H43" s="130">
        <v>44174</v>
      </c>
      <c r="I43" s="79">
        <v>330000</v>
      </c>
      <c r="J43" s="79" t="s">
        <v>22</v>
      </c>
      <c r="K43" s="79" t="s">
        <v>66</v>
      </c>
      <c r="L43" s="80" t="s">
        <v>67</v>
      </c>
      <c r="M43" s="79"/>
      <c r="N43" s="67"/>
      <c r="O43" s="58"/>
    </row>
    <row r="44" s="1" customFormat="1" ht="18" customHeight="1" spans="1:15">
      <c r="A44" s="58" t="s">
        <v>109</v>
      </c>
      <c r="B44" s="22">
        <f t="shared" si="8"/>
        <v>132743.36</v>
      </c>
      <c r="C44" s="58">
        <v>2</v>
      </c>
      <c r="D44" s="47" t="s">
        <v>43</v>
      </c>
      <c r="E44" s="49">
        <v>0.13</v>
      </c>
      <c r="F44" s="22">
        <f t="shared" si="6"/>
        <v>17256.64</v>
      </c>
      <c r="G44" s="33">
        <v>150000</v>
      </c>
      <c r="H44" s="130">
        <v>44174</v>
      </c>
      <c r="I44" s="79">
        <v>150000</v>
      </c>
      <c r="J44" s="79" t="s">
        <v>22</v>
      </c>
      <c r="K44" s="78" t="s">
        <v>49</v>
      </c>
      <c r="L44" s="80" t="s">
        <v>61</v>
      </c>
      <c r="M44" s="79"/>
      <c r="N44" s="67"/>
      <c r="O44" s="58"/>
    </row>
    <row r="45" s="1" customFormat="1" ht="18" customHeight="1" spans="1:15">
      <c r="A45" s="58"/>
      <c r="B45" s="22">
        <f t="shared" si="8"/>
        <v>0</v>
      </c>
      <c r="C45" s="58"/>
      <c r="D45" s="47"/>
      <c r="E45" s="49"/>
      <c r="F45" s="22">
        <f t="shared" si="6"/>
        <v>0</v>
      </c>
      <c r="G45" s="33"/>
      <c r="H45" s="130">
        <v>44180</v>
      </c>
      <c r="I45" s="79">
        <v>115050</v>
      </c>
      <c r="J45" s="79" t="s">
        <v>22</v>
      </c>
      <c r="K45" s="79" t="s">
        <v>46</v>
      </c>
      <c r="L45" s="80" t="s">
        <v>120</v>
      </c>
      <c r="M45" s="79"/>
      <c r="N45" s="67"/>
      <c r="O45" s="58"/>
    </row>
    <row r="46" s="1" customFormat="1" ht="18" customHeight="1" spans="1:15">
      <c r="A46" s="58"/>
      <c r="B46" s="22">
        <f t="shared" si="8"/>
        <v>0</v>
      </c>
      <c r="C46" s="58"/>
      <c r="D46" s="47"/>
      <c r="E46" s="49"/>
      <c r="F46" s="22">
        <f t="shared" si="6"/>
        <v>0</v>
      </c>
      <c r="G46" s="33"/>
      <c r="H46" s="130">
        <v>44180</v>
      </c>
      <c r="I46" s="79">
        <v>60000</v>
      </c>
      <c r="J46" s="79" t="s">
        <v>22</v>
      </c>
      <c r="K46" s="79" t="s">
        <v>66</v>
      </c>
      <c r="L46" s="80"/>
      <c r="M46" s="79"/>
      <c r="N46" s="67"/>
      <c r="O46" s="58"/>
    </row>
    <row r="47" s="1" customFormat="1" ht="18" customHeight="1" spans="1:15">
      <c r="A47" s="58" t="s">
        <v>121</v>
      </c>
      <c r="B47" s="22">
        <f t="shared" si="8"/>
        <v>68316.83</v>
      </c>
      <c r="C47" s="58">
        <v>7</v>
      </c>
      <c r="D47" s="47" t="s">
        <v>43</v>
      </c>
      <c r="E47" s="49">
        <v>0.01</v>
      </c>
      <c r="F47" s="22">
        <f t="shared" si="6"/>
        <v>683.17</v>
      </c>
      <c r="G47" s="33">
        <v>69000</v>
      </c>
      <c r="H47" s="130">
        <v>44182</v>
      </c>
      <c r="I47" s="79">
        <v>69000</v>
      </c>
      <c r="J47" s="79" t="s">
        <v>22</v>
      </c>
      <c r="K47" s="79" t="s">
        <v>122</v>
      </c>
      <c r="L47" s="80" t="s">
        <v>123</v>
      </c>
      <c r="M47" s="79"/>
      <c r="N47" s="67"/>
      <c r="O47" s="58"/>
    </row>
    <row r="48" s="1" customFormat="1" ht="18" customHeight="1" spans="1:15">
      <c r="A48" s="58"/>
      <c r="B48" s="22">
        <f t="shared" ref="B48:B69" si="9">ROUND(G48/(1+E48),2)</f>
        <v>0</v>
      </c>
      <c r="C48" s="58"/>
      <c r="D48" s="47"/>
      <c r="E48" s="49"/>
      <c r="F48" s="22"/>
      <c r="G48" s="33"/>
      <c r="H48" s="132">
        <v>44195</v>
      </c>
      <c r="I48" s="133">
        <v>86000</v>
      </c>
      <c r="J48" s="133" t="s">
        <v>22</v>
      </c>
      <c r="K48" s="133" t="s">
        <v>122</v>
      </c>
      <c r="L48" s="134" t="s">
        <v>123</v>
      </c>
      <c r="M48" s="79"/>
      <c r="N48" s="67"/>
      <c r="O48" s="58"/>
    </row>
    <row r="49" s="1" customFormat="1" ht="18" customHeight="1" spans="1:15">
      <c r="A49" s="58"/>
      <c r="B49" s="22">
        <f t="shared" si="9"/>
        <v>0</v>
      </c>
      <c r="C49" s="58"/>
      <c r="D49" s="47"/>
      <c r="E49" s="49"/>
      <c r="F49" s="22"/>
      <c r="G49" s="33"/>
      <c r="H49" s="132">
        <v>44195</v>
      </c>
      <c r="I49" s="133">
        <v>250000</v>
      </c>
      <c r="J49" s="133" t="s">
        <v>22</v>
      </c>
      <c r="K49" s="133" t="s">
        <v>46</v>
      </c>
      <c r="L49" s="134" t="s">
        <v>120</v>
      </c>
      <c r="M49" s="79"/>
      <c r="N49" s="67"/>
      <c r="O49" s="58"/>
    </row>
    <row r="50" s="1" customFormat="1" ht="18" customHeight="1" spans="1:15">
      <c r="A50" s="58"/>
      <c r="B50" s="22">
        <f t="shared" si="9"/>
        <v>0</v>
      </c>
      <c r="C50" s="58"/>
      <c r="D50" s="47"/>
      <c r="E50" s="49"/>
      <c r="F50" s="22"/>
      <c r="G50" s="33"/>
      <c r="H50" s="132">
        <v>44195</v>
      </c>
      <c r="I50" s="133">
        <v>200000</v>
      </c>
      <c r="J50" s="133" t="s">
        <v>22</v>
      </c>
      <c r="K50" s="133" t="s">
        <v>66</v>
      </c>
      <c r="L50" s="134"/>
      <c r="M50" s="79"/>
      <c r="N50" s="67"/>
      <c r="O50" s="58"/>
    </row>
    <row r="51" s="1" customFormat="1" ht="18" customHeight="1" spans="1:15">
      <c r="A51" s="58"/>
      <c r="B51" s="22">
        <f t="shared" si="9"/>
        <v>0</v>
      </c>
      <c r="C51" s="58"/>
      <c r="D51" s="47"/>
      <c r="E51" s="49"/>
      <c r="F51" s="22"/>
      <c r="G51" s="33"/>
      <c r="H51" s="132">
        <v>44195</v>
      </c>
      <c r="I51" s="133">
        <v>68500</v>
      </c>
      <c r="J51" s="133" t="s">
        <v>22</v>
      </c>
      <c r="K51" s="133" t="s">
        <v>49</v>
      </c>
      <c r="L51" s="134" t="s">
        <v>126</v>
      </c>
      <c r="M51" s="79"/>
      <c r="N51" s="67"/>
      <c r="O51" s="58"/>
    </row>
    <row r="52" s="1" customFormat="1" ht="18" customHeight="1" spans="1:15">
      <c r="A52" s="58"/>
      <c r="B52" s="22">
        <f t="shared" si="9"/>
        <v>0</v>
      </c>
      <c r="C52" s="58"/>
      <c r="D52" s="47"/>
      <c r="E52" s="49"/>
      <c r="F52" s="22"/>
      <c r="G52" s="33"/>
      <c r="H52" s="130"/>
      <c r="I52" s="79"/>
      <c r="J52" s="79"/>
      <c r="K52" s="79"/>
      <c r="L52" s="80"/>
      <c r="M52" s="79"/>
      <c r="N52" s="67"/>
      <c r="O52" s="58"/>
    </row>
    <row r="53" s="1" customFormat="1" ht="18" customHeight="1" spans="1:15">
      <c r="A53" s="58"/>
      <c r="B53" s="22">
        <f t="shared" si="9"/>
        <v>0</v>
      </c>
      <c r="C53" s="58"/>
      <c r="D53" s="47"/>
      <c r="E53" s="49"/>
      <c r="F53" s="22"/>
      <c r="G53" s="33"/>
      <c r="H53" s="130"/>
      <c r="I53" s="79"/>
      <c r="J53" s="79"/>
      <c r="K53" s="79"/>
      <c r="L53" s="80"/>
      <c r="M53" s="79"/>
      <c r="N53" s="67"/>
      <c r="O53" s="58"/>
    </row>
    <row r="54" s="1" customFormat="1" ht="18" customHeight="1" spans="1:15">
      <c r="A54" s="58"/>
      <c r="B54" s="22">
        <f t="shared" si="9"/>
        <v>0</v>
      </c>
      <c r="C54" s="58"/>
      <c r="D54" s="47"/>
      <c r="E54" s="49"/>
      <c r="F54" s="22"/>
      <c r="G54" s="33"/>
      <c r="H54" s="130"/>
      <c r="I54" s="79"/>
      <c r="J54" s="79"/>
      <c r="K54" s="79"/>
      <c r="L54" s="80"/>
      <c r="M54" s="79"/>
      <c r="N54" s="67"/>
      <c r="O54" s="58"/>
    </row>
    <row r="55" s="1" customFormat="1" ht="18" customHeight="1" spans="1:15">
      <c r="A55" s="58"/>
      <c r="B55" s="22">
        <f t="shared" si="9"/>
        <v>0</v>
      </c>
      <c r="C55" s="58"/>
      <c r="D55" s="47"/>
      <c r="E55" s="49"/>
      <c r="F55" s="22"/>
      <c r="G55" s="33"/>
      <c r="H55" s="130"/>
      <c r="I55" s="79"/>
      <c r="J55" s="79"/>
      <c r="K55" s="79"/>
      <c r="L55" s="80"/>
      <c r="M55" s="79"/>
      <c r="N55" s="67"/>
      <c r="O55" s="58"/>
    </row>
    <row r="56" s="1" customFormat="1" ht="18" customHeight="1" spans="1:15">
      <c r="A56" s="58"/>
      <c r="B56" s="22">
        <f t="shared" si="9"/>
        <v>0</v>
      </c>
      <c r="C56" s="58"/>
      <c r="D56" s="47"/>
      <c r="E56" s="49"/>
      <c r="F56" s="22"/>
      <c r="G56" s="33"/>
      <c r="H56" s="130"/>
      <c r="I56" s="79"/>
      <c r="J56" s="79"/>
      <c r="K56" s="79"/>
      <c r="L56" s="80"/>
      <c r="M56" s="79"/>
      <c r="N56" s="67"/>
      <c r="O56" s="58"/>
    </row>
    <row r="57" s="1" customFormat="1" ht="18" customHeight="1" spans="1:15">
      <c r="A57" s="58"/>
      <c r="B57" s="22">
        <f t="shared" si="9"/>
        <v>0</v>
      </c>
      <c r="C57" s="58"/>
      <c r="D57" s="47"/>
      <c r="E57" s="49"/>
      <c r="F57" s="22"/>
      <c r="G57" s="33"/>
      <c r="H57" s="132">
        <v>44195</v>
      </c>
      <c r="I57" s="133">
        <v>22498</v>
      </c>
      <c r="J57" s="133" t="s">
        <v>79</v>
      </c>
      <c r="K57" s="133" t="s">
        <v>127</v>
      </c>
      <c r="L57" s="80"/>
      <c r="M57" s="79"/>
      <c r="N57" s="67"/>
      <c r="O57" s="58"/>
    </row>
    <row r="58" s="1" customFormat="1" ht="18" customHeight="1" spans="1:15">
      <c r="A58" s="58"/>
      <c r="B58" s="22">
        <f t="shared" si="9"/>
        <v>0</v>
      </c>
      <c r="C58" s="58"/>
      <c r="D58" s="47"/>
      <c r="E58" s="49"/>
      <c r="F58" s="22"/>
      <c r="G58" s="33"/>
      <c r="H58" s="132">
        <v>44195</v>
      </c>
      <c r="I58" s="133">
        <v>300</v>
      </c>
      <c r="J58" s="135" t="s">
        <v>79</v>
      </c>
      <c r="K58" s="136" t="s">
        <v>81</v>
      </c>
      <c r="L58" s="80"/>
      <c r="M58" s="79"/>
      <c r="N58" s="67"/>
      <c r="O58" s="58"/>
    </row>
    <row r="59" s="1" customFormat="1" ht="18" customHeight="1" spans="1:15">
      <c r="A59" s="58"/>
      <c r="B59" s="22">
        <f t="shared" si="9"/>
        <v>0</v>
      </c>
      <c r="C59" s="58"/>
      <c r="D59" s="47"/>
      <c r="E59" s="49"/>
      <c r="F59" s="22"/>
      <c r="G59" s="33"/>
      <c r="H59" s="132">
        <v>44195</v>
      </c>
      <c r="I59" s="133">
        <v>52712</v>
      </c>
      <c r="J59" s="137" t="s">
        <v>79</v>
      </c>
      <c r="K59" s="133" t="s">
        <v>128</v>
      </c>
      <c r="L59" s="80"/>
      <c r="M59" s="79"/>
      <c r="N59" s="67"/>
      <c r="O59" s="58"/>
    </row>
    <row r="60" s="1" customFormat="1" ht="18" customHeight="1" spans="1:15">
      <c r="A60" s="58" t="s">
        <v>129</v>
      </c>
      <c r="B60" s="22">
        <f t="shared" si="9"/>
        <v>22498</v>
      </c>
      <c r="C60" s="58"/>
      <c r="D60" s="47"/>
      <c r="E60" s="49"/>
      <c r="F60" s="22"/>
      <c r="G60" s="33">
        <v>22498</v>
      </c>
      <c r="H60" s="132">
        <v>44195</v>
      </c>
      <c r="I60" s="133">
        <v>22498</v>
      </c>
      <c r="J60" s="137" t="s">
        <v>79</v>
      </c>
      <c r="K60" s="138" t="s">
        <v>130</v>
      </c>
      <c r="L60" s="80"/>
      <c r="M60" s="79"/>
      <c r="N60" s="67"/>
      <c r="O60" s="58"/>
    </row>
    <row r="61" s="1" customFormat="1" ht="18" customHeight="1" spans="1:15">
      <c r="A61" s="58"/>
      <c r="B61" s="22">
        <f t="shared" si="9"/>
        <v>0</v>
      </c>
      <c r="C61" s="58"/>
      <c r="D61" s="47"/>
      <c r="E61" s="49"/>
      <c r="F61" s="22"/>
      <c r="G61" s="33"/>
      <c r="H61" s="130">
        <v>44182</v>
      </c>
      <c r="I61" s="79">
        <v>-14034.21</v>
      </c>
      <c r="J61" s="112" t="s">
        <v>112</v>
      </c>
      <c r="K61" s="79" t="s">
        <v>113</v>
      </c>
      <c r="L61" s="80"/>
      <c r="M61" s="79"/>
      <c r="N61" s="67"/>
      <c r="O61" s="58"/>
    </row>
    <row r="62" s="1" customFormat="1" ht="18" customHeight="1" spans="1:15">
      <c r="A62" s="58"/>
      <c r="B62" s="22">
        <f t="shared" si="9"/>
        <v>0</v>
      </c>
      <c r="C62" s="58"/>
      <c r="D62" s="47"/>
      <c r="E62" s="49"/>
      <c r="F62" s="22"/>
      <c r="G62" s="33"/>
      <c r="H62" s="130">
        <v>44182</v>
      </c>
      <c r="I62" s="79">
        <v>100</v>
      </c>
      <c r="J62" s="109" t="s">
        <v>79</v>
      </c>
      <c r="K62" s="110" t="s">
        <v>81</v>
      </c>
      <c r="L62" s="80"/>
      <c r="M62" s="79"/>
      <c r="N62" s="67"/>
      <c r="O62" s="58"/>
    </row>
    <row r="63" s="1" customFormat="1" ht="18" customHeight="1" spans="1:15">
      <c r="A63" s="58"/>
      <c r="B63" s="22">
        <f t="shared" si="9"/>
        <v>0</v>
      </c>
      <c r="C63" s="58"/>
      <c r="D63" s="47"/>
      <c r="E63" s="49"/>
      <c r="F63" s="22"/>
      <c r="G63" s="33"/>
      <c r="H63" s="130">
        <v>44182</v>
      </c>
      <c r="I63" s="79">
        <v>8174</v>
      </c>
      <c r="J63" s="109" t="s">
        <v>79</v>
      </c>
      <c r="K63" s="79" t="s">
        <v>124</v>
      </c>
      <c r="L63" s="80"/>
      <c r="M63" s="79"/>
      <c r="N63" s="67"/>
      <c r="O63" s="58"/>
    </row>
    <row r="64" s="1" customFormat="1" ht="18" customHeight="1" spans="1:15">
      <c r="A64" s="58"/>
      <c r="B64" s="22">
        <f t="shared" si="9"/>
        <v>0</v>
      </c>
      <c r="C64" s="58"/>
      <c r="D64" s="47"/>
      <c r="E64" s="49"/>
      <c r="F64" s="22"/>
      <c r="G64" s="33"/>
      <c r="H64" s="130">
        <v>44180</v>
      </c>
      <c r="I64" s="79">
        <v>150</v>
      </c>
      <c r="J64" s="109" t="s">
        <v>79</v>
      </c>
      <c r="K64" s="110" t="s">
        <v>81</v>
      </c>
      <c r="L64" s="80">
        <f>I63</f>
        <v>8174</v>
      </c>
      <c r="M64" s="79" t="s">
        <v>131</v>
      </c>
      <c r="N64" s="67"/>
      <c r="O64" s="58"/>
    </row>
    <row r="65" s="1" customFormat="1" ht="18" customHeight="1" spans="1:15">
      <c r="A65" s="58"/>
      <c r="B65" s="22">
        <f t="shared" si="9"/>
        <v>0</v>
      </c>
      <c r="C65" s="58"/>
      <c r="D65" s="47"/>
      <c r="E65" s="49"/>
      <c r="F65" s="22"/>
      <c r="G65" s="33"/>
      <c r="H65" s="130">
        <v>44174</v>
      </c>
      <c r="I65" s="79">
        <v>200</v>
      </c>
      <c r="J65" s="109" t="s">
        <v>79</v>
      </c>
      <c r="K65" s="110" t="s">
        <v>81</v>
      </c>
      <c r="L65" s="80">
        <f>I65+I64+I62+I58</f>
        <v>750</v>
      </c>
      <c r="M65" s="79" t="s">
        <v>132</v>
      </c>
      <c r="N65" s="67"/>
      <c r="O65" s="58"/>
    </row>
    <row r="66" s="1" customFormat="1" ht="18" customHeight="1" spans="1:15">
      <c r="A66" s="58" t="s">
        <v>133</v>
      </c>
      <c r="B66" s="22">
        <f t="shared" si="9"/>
        <v>15115.6</v>
      </c>
      <c r="C66" s="58"/>
      <c r="D66" s="47"/>
      <c r="E66" s="49"/>
      <c r="F66" s="22"/>
      <c r="G66" s="33">
        <v>15115.6</v>
      </c>
      <c r="H66" s="130">
        <v>44174</v>
      </c>
      <c r="I66" s="79">
        <v>15115.6</v>
      </c>
      <c r="J66" s="111" t="s">
        <v>79</v>
      </c>
      <c r="K66" s="75" t="s">
        <v>82</v>
      </c>
      <c r="L66" s="80">
        <f>I66+I60</f>
        <v>37613.6</v>
      </c>
      <c r="M66" s="79" t="s">
        <v>134</v>
      </c>
      <c r="N66" s="67"/>
      <c r="O66" s="58"/>
    </row>
    <row r="67" s="1" customFormat="1" ht="18" customHeight="1" spans="1:15">
      <c r="A67" s="58"/>
      <c r="B67" s="22">
        <f t="shared" si="9"/>
        <v>0</v>
      </c>
      <c r="C67" s="58"/>
      <c r="D67" s="47"/>
      <c r="E67" s="49"/>
      <c r="F67" s="22"/>
      <c r="G67" s="33"/>
      <c r="H67" s="130">
        <v>44174</v>
      </c>
      <c r="I67" s="79">
        <v>902</v>
      </c>
      <c r="J67" s="79" t="s">
        <v>79</v>
      </c>
      <c r="K67" s="79" t="s">
        <v>110</v>
      </c>
      <c r="L67" s="80">
        <f>I67+I59</f>
        <v>53614</v>
      </c>
      <c r="M67" s="79" t="s">
        <v>135</v>
      </c>
      <c r="N67" s="67"/>
      <c r="O67" s="58"/>
    </row>
    <row r="68" s="1" customFormat="1" ht="18" customHeight="1" spans="1:15">
      <c r="A68" s="58"/>
      <c r="B68" s="22">
        <f t="shared" si="9"/>
        <v>0</v>
      </c>
      <c r="C68" s="58"/>
      <c r="D68" s="47"/>
      <c r="E68" s="49"/>
      <c r="F68" s="22"/>
      <c r="G68" s="33"/>
      <c r="H68" s="130">
        <v>44174</v>
      </c>
      <c r="I68" s="79">
        <v>15116</v>
      </c>
      <c r="J68" s="109" t="s">
        <v>79</v>
      </c>
      <c r="K68" s="113" t="s">
        <v>111</v>
      </c>
      <c r="L68" s="80">
        <f>I68+I57</f>
        <v>37614</v>
      </c>
      <c r="M68" s="79" t="s">
        <v>88</v>
      </c>
      <c r="N68" s="67"/>
      <c r="O68" s="58"/>
    </row>
    <row r="69" s="1" customFormat="1" ht="18" customHeight="1" spans="1:15">
      <c r="A69" s="58"/>
      <c r="B69" s="22">
        <f t="shared" si="9"/>
        <v>0</v>
      </c>
      <c r="C69" s="58"/>
      <c r="D69" s="47"/>
      <c r="E69" s="49"/>
      <c r="F69" s="22"/>
      <c r="G69" s="33"/>
      <c r="H69" s="130">
        <v>44137</v>
      </c>
      <c r="I69" s="79">
        <v>100</v>
      </c>
      <c r="J69" s="109" t="s">
        <v>79</v>
      </c>
      <c r="K69" s="110" t="s">
        <v>81</v>
      </c>
      <c r="L69" s="80"/>
      <c r="M69" s="79"/>
      <c r="N69" s="67"/>
      <c r="O69" s="58"/>
    </row>
    <row r="70" s="1" customFormat="1" ht="18" customHeight="1" spans="1:15">
      <c r="A70" s="58"/>
      <c r="B70" s="22">
        <f t="shared" ref="B70:B80" si="10">ROUND(G70/(1+E70),2)</f>
        <v>0</v>
      </c>
      <c r="C70" s="58"/>
      <c r="D70" s="58"/>
      <c r="E70" s="49"/>
      <c r="F70" s="58"/>
      <c r="G70" s="33"/>
      <c r="H70" s="130">
        <v>44137</v>
      </c>
      <c r="I70" s="114">
        <v>-167249.11</v>
      </c>
      <c r="J70" s="112" t="s">
        <v>112</v>
      </c>
      <c r="K70" s="79" t="s">
        <v>113</v>
      </c>
      <c r="L70" s="58"/>
      <c r="M70" s="67"/>
      <c r="N70" s="67"/>
      <c r="O70" s="58"/>
    </row>
    <row r="71" s="1" customFormat="1" ht="18" customHeight="1" spans="1:15">
      <c r="A71" s="58"/>
      <c r="B71" s="22">
        <f t="shared" si="10"/>
        <v>0</v>
      </c>
      <c r="C71" s="58"/>
      <c r="D71" s="58"/>
      <c r="E71" s="49"/>
      <c r="F71" s="58"/>
      <c r="G71" s="33"/>
      <c r="H71" s="85">
        <v>44103</v>
      </c>
      <c r="I71" s="115">
        <v>7127</v>
      </c>
      <c r="J71" s="116" t="s">
        <v>79</v>
      </c>
      <c r="K71" s="79" t="s">
        <v>80</v>
      </c>
      <c r="L71" s="58"/>
      <c r="M71" s="67"/>
      <c r="N71" s="67"/>
      <c r="O71" s="58"/>
    </row>
    <row r="72" s="1" customFormat="1" ht="18" customHeight="1" spans="1:15">
      <c r="A72" s="35"/>
      <c r="B72" s="22">
        <f t="shared" si="10"/>
        <v>0</v>
      </c>
      <c r="C72" s="46"/>
      <c r="D72" s="47"/>
      <c r="E72" s="49"/>
      <c r="F72" s="22"/>
      <c r="G72" s="33"/>
      <c r="H72" s="85">
        <v>44103</v>
      </c>
      <c r="I72" s="109">
        <v>250</v>
      </c>
      <c r="J72" s="109" t="s">
        <v>79</v>
      </c>
      <c r="K72" s="110" t="s">
        <v>81</v>
      </c>
      <c r="L72" s="58"/>
      <c r="M72" s="67"/>
      <c r="N72" s="67"/>
      <c r="O72" s="58"/>
    </row>
    <row r="73" s="1" customFormat="1" ht="18" customHeight="1" spans="1:15">
      <c r="A73" s="35" t="s">
        <v>50</v>
      </c>
      <c r="B73" s="22">
        <f t="shared" si="10"/>
        <v>17653.4</v>
      </c>
      <c r="C73" s="46"/>
      <c r="D73" s="47"/>
      <c r="E73" s="49"/>
      <c r="F73" s="22"/>
      <c r="G73" s="33">
        <v>17653.4</v>
      </c>
      <c r="H73" s="57">
        <v>44103</v>
      </c>
      <c r="I73" s="109">
        <v>17653.4</v>
      </c>
      <c r="J73" s="111" t="s">
        <v>79</v>
      </c>
      <c r="K73" s="75" t="s">
        <v>82</v>
      </c>
      <c r="L73" s="58"/>
      <c r="M73" s="67"/>
      <c r="N73" s="67"/>
      <c r="O73" s="58"/>
    </row>
    <row r="74" s="1" customFormat="1" ht="18" customHeight="1" spans="1:15">
      <c r="A74" s="35" t="s">
        <v>83</v>
      </c>
      <c r="B74" s="22">
        <f t="shared" si="10"/>
        <v>2000</v>
      </c>
      <c r="C74" s="46"/>
      <c r="D74" s="47"/>
      <c r="E74" s="49"/>
      <c r="F74" s="22"/>
      <c r="G74" s="33">
        <v>2000</v>
      </c>
      <c r="H74" s="57">
        <v>44103</v>
      </c>
      <c r="I74" s="117">
        <v>2000</v>
      </c>
      <c r="J74" s="118" t="s">
        <v>79</v>
      </c>
      <c r="K74" s="113" t="s">
        <v>84</v>
      </c>
      <c r="L74" s="76"/>
      <c r="M74" s="67"/>
      <c r="N74" s="67"/>
      <c r="O74" s="58"/>
    </row>
    <row r="75" s="1" customFormat="1" ht="18" customHeight="1" spans="1:15">
      <c r="A75" s="35"/>
      <c r="B75" s="22">
        <f t="shared" si="10"/>
        <v>0</v>
      </c>
      <c r="C75" s="46"/>
      <c r="D75" s="47"/>
      <c r="E75" s="49"/>
      <c r="F75" s="22">
        <f t="shared" ref="F75:F80" si="11">ROUND(G75/(1+E75)*E75,2)</f>
        <v>0</v>
      </c>
      <c r="G75" s="33"/>
      <c r="H75" s="57">
        <v>44103</v>
      </c>
      <c r="I75" s="119">
        <v>181283.32</v>
      </c>
      <c r="J75" s="118" t="s">
        <v>85</v>
      </c>
      <c r="K75" s="113" t="s">
        <v>86</v>
      </c>
      <c r="L75" s="58"/>
      <c r="M75" s="67"/>
      <c r="N75" s="67"/>
      <c r="O75" s="58"/>
    </row>
    <row r="76" s="1" customFormat="1" ht="18" customHeight="1" spans="1:15">
      <c r="A76" s="35"/>
      <c r="B76" s="22">
        <f t="shared" si="10"/>
        <v>0</v>
      </c>
      <c r="C76" s="46"/>
      <c r="D76" s="47"/>
      <c r="E76" s="48"/>
      <c r="F76" s="22">
        <f t="shared" si="11"/>
        <v>0</v>
      </c>
      <c r="G76" s="33"/>
      <c r="H76" s="57">
        <v>44103</v>
      </c>
      <c r="I76" s="119">
        <v>58904.32</v>
      </c>
      <c r="J76" s="118" t="s">
        <v>79</v>
      </c>
      <c r="K76" s="113" t="s">
        <v>87</v>
      </c>
      <c r="L76" s="58"/>
      <c r="M76" s="67"/>
      <c r="N76" s="67"/>
      <c r="O76" s="58"/>
    </row>
    <row r="77" s="1" customFormat="1" ht="18" customHeight="1" spans="1:15">
      <c r="A77" s="35"/>
      <c r="B77" s="22">
        <f t="shared" si="10"/>
        <v>0</v>
      </c>
      <c r="C77" s="46"/>
      <c r="D77" s="47"/>
      <c r="E77" s="48"/>
      <c r="F77" s="22">
        <f t="shared" si="11"/>
        <v>0</v>
      </c>
      <c r="G77" s="33"/>
      <c r="H77" s="57">
        <v>44103</v>
      </c>
      <c r="I77" s="119">
        <v>17653.4</v>
      </c>
      <c r="J77" s="118" t="s">
        <v>79</v>
      </c>
      <c r="K77" s="113" t="s">
        <v>88</v>
      </c>
      <c r="L77" s="58"/>
      <c r="M77" s="67"/>
      <c r="N77" s="67"/>
      <c r="O77" s="58"/>
    </row>
    <row r="78" s="1" customFormat="1" ht="18" customHeight="1" spans="1:15">
      <c r="A78" s="35"/>
      <c r="B78" s="22">
        <f t="shared" si="10"/>
        <v>0</v>
      </c>
      <c r="C78" s="46"/>
      <c r="D78" s="47"/>
      <c r="E78" s="48"/>
      <c r="F78" s="22">
        <f t="shared" si="11"/>
        <v>0</v>
      </c>
      <c r="G78" s="33"/>
      <c r="H78" s="34">
        <v>43986</v>
      </c>
      <c r="I78" s="20">
        <v>50</v>
      </c>
      <c r="J78" s="44" t="s">
        <v>79</v>
      </c>
      <c r="K78" s="47" t="s">
        <v>89</v>
      </c>
      <c r="L78" s="58"/>
      <c r="M78" s="67"/>
      <c r="N78" s="67"/>
      <c r="O78" s="58"/>
    </row>
    <row r="79" s="1" customFormat="1" ht="18" customHeight="1" spans="1:15">
      <c r="A79" s="35"/>
      <c r="B79" s="22">
        <f t="shared" si="10"/>
        <v>0</v>
      </c>
      <c r="C79" s="46"/>
      <c r="D79" s="47"/>
      <c r="E79" s="48"/>
      <c r="F79" s="22">
        <f t="shared" si="11"/>
        <v>0</v>
      </c>
      <c r="G79" s="33"/>
      <c r="H79" s="34">
        <v>43984</v>
      </c>
      <c r="I79" s="20">
        <v>50</v>
      </c>
      <c r="J79" s="44" t="s">
        <v>79</v>
      </c>
      <c r="K79" s="47" t="s">
        <v>89</v>
      </c>
      <c r="L79" s="58"/>
      <c r="M79" s="67"/>
      <c r="N79" s="67"/>
      <c r="O79" s="58"/>
    </row>
    <row r="80" s="1" customFormat="1" ht="18" customHeight="1" spans="1:15">
      <c r="A80" s="35"/>
      <c r="B80" s="22">
        <f t="shared" si="10"/>
        <v>0</v>
      </c>
      <c r="C80" s="46"/>
      <c r="D80" s="47"/>
      <c r="E80" s="48"/>
      <c r="F80" s="22">
        <f t="shared" si="11"/>
        <v>0</v>
      </c>
      <c r="G80" s="33"/>
      <c r="H80" s="34">
        <v>43978</v>
      </c>
      <c r="I80" s="20">
        <v>50</v>
      </c>
      <c r="J80" s="44" t="s">
        <v>79</v>
      </c>
      <c r="K80" s="47" t="s">
        <v>89</v>
      </c>
      <c r="L80" s="58"/>
      <c r="M80" s="67"/>
      <c r="N80" s="67"/>
      <c r="O80" s="58"/>
    </row>
    <row r="81" ht="18" customHeight="1" spans="1:15">
      <c r="A81" s="39" t="s">
        <v>23</v>
      </c>
      <c r="B81" s="40">
        <f>SUM(B14:B80)</f>
        <v>1507344.16</v>
      </c>
      <c r="C81" s="40">
        <f>SUM(C23:C80)</f>
        <v>48</v>
      </c>
      <c r="D81" s="40">
        <f>SUM(D23:D80)</f>
        <v>0</v>
      </c>
      <c r="E81" s="40">
        <f>SUM(E23:E80)</f>
        <v>1.06</v>
      </c>
      <c r="F81" s="40">
        <f>SUM(F14:F80)</f>
        <v>86966.45</v>
      </c>
      <c r="G81" s="86">
        <f>SUM(G15:G80)</f>
        <v>1642717.97</v>
      </c>
      <c r="H81" s="139"/>
      <c r="I81" s="25">
        <f>SUM(I14:I80)</f>
        <v>2334503.72</v>
      </c>
      <c r="J81" s="120"/>
      <c r="K81" s="121"/>
      <c r="L81" s="93"/>
      <c r="M81" s="44"/>
      <c r="N81" s="44"/>
      <c r="O81" s="93"/>
    </row>
    <row r="82" ht="18" customHeight="1" spans="1:14">
      <c r="A82" s="87" t="s">
        <v>90</v>
      </c>
      <c r="B82" s="88">
        <f>B11*0.92</f>
        <v>2323737.38115096</v>
      </c>
      <c r="C82" s="89"/>
      <c r="D82" s="90"/>
      <c r="E82" s="90"/>
      <c r="F82" s="88"/>
      <c r="G82" s="88">
        <f>G11-G81</f>
        <v>1120632.03</v>
      </c>
      <c r="H82" s="27" t="s">
        <v>91</v>
      </c>
      <c r="I82" s="25">
        <f>I11-I81</f>
        <v>428846.28</v>
      </c>
      <c r="J82" s="9"/>
      <c r="K82" s="122"/>
      <c r="M82" s="9"/>
      <c r="N82" s="9"/>
    </row>
    <row r="83" ht="18" customHeight="1" spans="1:14">
      <c r="A83" s="87" t="s">
        <v>92</v>
      </c>
      <c r="B83" s="88">
        <f>B82-B81</f>
        <v>816393.22115096</v>
      </c>
      <c r="C83" s="89"/>
      <c r="D83" s="90"/>
      <c r="E83" s="90"/>
      <c r="F83" s="88"/>
      <c r="G83" s="88"/>
      <c r="H83" s="91"/>
      <c r="I83" s="123"/>
      <c r="J83" s="9"/>
      <c r="K83" s="122"/>
      <c r="M83" s="9"/>
      <c r="N83" s="9"/>
    </row>
    <row r="84" ht="18" customHeight="1" spans="1:3">
      <c r="A84" s="3" t="s">
        <v>93</v>
      </c>
      <c r="C84" s="92"/>
    </row>
    <row r="85" ht="18" customHeight="1" spans="1:13">
      <c r="A85" s="24" t="s">
        <v>94</v>
      </c>
      <c r="B85" s="25" t="s">
        <v>95</v>
      </c>
      <c r="C85" s="93"/>
      <c r="D85" s="27" t="s">
        <v>94</v>
      </c>
      <c r="E85" s="26" t="s">
        <v>16</v>
      </c>
      <c r="F85" s="94" t="s">
        <v>95</v>
      </c>
      <c r="G85" s="25" t="s">
        <v>114</v>
      </c>
      <c r="H85" s="26" t="s">
        <v>115</v>
      </c>
      <c r="I85" s="26"/>
      <c r="K85" s="95" t="s">
        <v>116</v>
      </c>
      <c r="L85" s="44" t="s">
        <v>125</v>
      </c>
      <c r="M85" s="44"/>
    </row>
    <row r="86" ht="18" customHeight="1" spans="1:13">
      <c r="A86" s="14" t="s">
        <v>96</v>
      </c>
      <c r="B86" s="22">
        <f>(B82-B81)*0.25</f>
        <v>204098.30528774</v>
      </c>
      <c r="C86" s="93"/>
      <c r="D86" s="96" t="s">
        <v>97</v>
      </c>
      <c r="E86" s="27" t="s">
        <v>98</v>
      </c>
      <c r="F86" s="97">
        <f>F11-F81</f>
        <v>100066.018723937</v>
      </c>
      <c r="G86" s="10">
        <f>F7-F16</f>
        <v>53549.3793577982</v>
      </c>
      <c r="H86" s="140">
        <f>(B7*0.96-(SUM(B23:B41)+B73+B74))*0.25</f>
        <v>14034.2102981651</v>
      </c>
      <c r="I86" s="20" t="s">
        <v>117</v>
      </c>
      <c r="K86" s="98">
        <f>F8-F30-F32-F34-F35-F36-F37-F38-F40-F41-F42</f>
        <v>-7742.80972477064</v>
      </c>
      <c r="L86" s="98">
        <f>F9-F43-F44-F47+K86</f>
        <v>46516.6393661385</v>
      </c>
      <c r="M86" s="98"/>
    </row>
    <row r="87" ht="18" customHeight="1" spans="1:13">
      <c r="A87" s="14" t="s">
        <v>99</v>
      </c>
      <c r="B87" s="99" t="s">
        <v>100</v>
      </c>
      <c r="C87" s="93"/>
      <c r="D87" s="100" t="s">
        <v>101</v>
      </c>
      <c r="E87" s="18">
        <v>0.05</v>
      </c>
      <c r="F87" s="31">
        <f>F86*E87</f>
        <v>5003.30093619685</v>
      </c>
      <c r="G87" s="20">
        <f>G86*E87</f>
        <v>2677.46896788991</v>
      </c>
      <c r="H87" s="140">
        <f>I75</f>
        <v>181283.32</v>
      </c>
      <c r="I87" s="20" t="s">
        <v>118</v>
      </c>
      <c r="K87" s="98">
        <v>0</v>
      </c>
      <c r="L87" s="98">
        <f>L86*0.07</f>
        <v>3256.16475562969</v>
      </c>
      <c r="M87" s="98"/>
    </row>
    <row r="88" ht="18" customHeight="1" spans="1:13">
      <c r="A88" s="14" t="s">
        <v>102</v>
      </c>
      <c r="B88" s="99">
        <f>B11*0.0006</f>
        <v>1515.48090075063</v>
      </c>
      <c r="C88" s="93"/>
      <c r="D88" s="100" t="s">
        <v>103</v>
      </c>
      <c r="E88" s="18">
        <v>0.03</v>
      </c>
      <c r="F88" s="31">
        <f>F86*E88</f>
        <v>3001.98056171811</v>
      </c>
      <c r="G88" s="20">
        <f>G86*E88</f>
        <v>1606.48138073395</v>
      </c>
      <c r="H88" s="141">
        <f>H87-H86</f>
        <v>167249.109701835</v>
      </c>
      <c r="I88" s="20" t="s">
        <v>119</v>
      </c>
      <c r="K88" s="98">
        <v>0</v>
      </c>
      <c r="L88" s="98">
        <f>L86*E88</f>
        <v>1395.49918098415</v>
      </c>
      <c r="M88" s="98"/>
    </row>
    <row r="89" ht="18" customHeight="1" spans="1:13">
      <c r="A89" s="14"/>
      <c r="B89" s="29"/>
      <c r="C89" s="93"/>
      <c r="D89" s="100" t="s">
        <v>104</v>
      </c>
      <c r="E89" s="18">
        <v>0.02</v>
      </c>
      <c r="F89" s="31">
        <f>F86*E89</f>
        <v>2001.32037447874</v>
      </c>
      <c r="G89" s="20">
        <f>G86*E89</f>
        <v>1070.98758715596</v>
      </c>
      <c r="K89" s="98">
        <v>0</v>
      </c>
      <c r="L89" s="98">
        <f>L86*E89</f>
        <v>930.332787322769</v>
      </c>
      <c r="M89" s="98"/>
    </row>
    <row r="90" ht="18" customHeight="1" spans="1:13">
      <c r="A90" s="39" t="s">
        <v>105</v>
      </c>
      <c r="B90" s="40">
        <f t="shared" ref="B90:G90" si="12">SUM(B86:B89)</f>
        <v>205613.786188491</v>
      </c>
      <c r="C90" s="93"/>
      <c r="D90" s="101" t="s">
        <v>105</v>
      </c>
      <c r="E90" s="96"/>
      <c r="F90" s="97">
        <f t="shared" si="12"/>
        <v>110072.620596331</v>
      </c>
      <c r="G90" s="25">
        <f t="shared" si="12"/>
        <v>58904.317293578</v>
      </c>
      <c r="K90" s="98"/>
      <c r="L90" s="98"/>
      <c r="M90" s="98"/>
    </row>
    <row r="91" ht="18" customHeight="1" spans="3:13">
      <c r="C91" s="92"/>
      <c r="D91" s="16" t="s">
        <v>99</v>
      </c>
      <c r="E91" s="102">
        <v>0.0003</v>
      </c>
      <c r="F91" s="29"/>
      <c r="G91" s="20"/>
      <c r="K91" s="98"/>
      <c r="L91" s="98"/>
      <c r="M91" s="98"/>
    </row>
    <row r="92" ht="18" customHeight="1" spans="3:13">
      <c r="C92" s="92"/>
      <c r="D92" s="16" t="s">
        <v>102</v>
      </c>
      <c r="E92" s="102">
        <v>0.0006</v>
      </c>
      <c r="F92" s="29"/>
      <c r="G92" s="20"/>
      <c r="K92" s="98">
        <f>(B7+B8)*E92</f>
        <v>901.899082568807</v>
      </c>
      <c r="L92" s="98">
        <f>E92*B9</f>
        <v>613.581818181818</v>
      </c>
      <c r="M92" s="98"/>
    </row>
    <row r="93" ht="18" customHeight="1" spans="3:13">
      <c r="C93" s="92"/>
      <c r="D93" s="26" t="s">
        <v>105</v>
      </c>
      <c r="E93" s="103"/>
      <c r="F93" s="42">
        <f>F92+F91</f>
        <v>0</v>
      </c>
      <c r="G93" s="20"/>
      <c r="K93" s="98"/>
      <c r="L93" s="98"/>
      <c r="M93" s="98"/>
    </row>
    <row r="94" ht="18" customHeight="1" spans="3:13">
      <c r="C94" s="92"/>
      <c r="D94" s="104" t="s">
        <v>23</v>
      </c>
      <c r="E94" s="105"/>
      <c r="F94" s="43">
        <f>F90+F93</f>
        <v>110072.620596331</v>
      </c>
      <c r="G94" s="142"/>
      <c r="H94" s="143"/>
      <c r="I94" s="144"/>
      <c r="J94" s="145"/>
      <c r="K94" s="108"/>
      <c r="L94" s="108">
        <f>SUM(L86:L93)</f>
        <v>52712.2179082569</v>
      </c>
      <c r="M94" s="108"/>
    </row>
    <row r="95" ht="18" customHeight="1" spans="3:13">
      <c r="C95" s="92"/>
      <c r="D95" s="105" t="s">
        <v>96</v>
      </c>
      <c r="E95" s="106">
        <v>0.02</v>
      </c>
      <c r="F95" s="43">
        <f>G11*E95</f>
        <v>55267</v>
      </c>
      <c r="G95" s="107">
        <f>E95*G7</f>
        <v>17653.4</v>
      </c>
      <c r="H95" s="143"/>
      <c r="I95" s="144"/>
      <c r="J95" s="145"/>
      <c r="K95" s="108">
        <f>E95*G8</f>
        <v>15115.6</v>
      </c>
      <c r="L95" s="108">
        <f>G9*E95</f>
        <v>22498</v>
      </c>
      <c r="M95" s="108"/>
    </row>
    <row r="96" ht="18" customHeight="1" spans="3:3">
      <c r="C96" s="92"/>
    </row>
    <row r="97" ht="18" customHeight="1" spans="3:3">
      <c r="C97" s="92"/>
    </row>
    <row r="98" ht="18" customHeight="1" spans="3:3">
      <c r="C98" s="92"/>
    </row>
    <row r="99" spans="3:3">
      <c r="C99" s="92"/>
    </row>
    <row r="100" spans="3:3">
      <c r="C100" s="92"/>
    </row>
    <row r="101" spans="3:3">
      <c r="C101" s="92"/>
    </row>
    <row r="102" spans="3:3">
      <c r="C102" s="92"/>
    </row>
    <row r="103" spans="3:3">
      <c r="C103" s="92"/>
    </row>
    <row r="104" spans="3:3">
      <c r="C104" s="92"/>
    </row>
    <row r="105" spans="3:3">
      <c r="C105" s="92"/>
    </row>
    <row r="106" spans="3:3">
      <c r="C106" s="92"/>
    </row>
    <row r="107" spans="3:3">
      <c r="C107" s="92"/>
    </row>
    <row r="108" spans="3:3">
      <c r="C108" s="92"/>
    </row>
    <row r="109" spans="3:3">
      <c r="C109" s="92"/>
    </row>
    <row r="110" spans="3:3">
      <c r="C110" s="92"/>
    </row>
    <row r="111" spans="3:3">
      <c r="C111" s="92"/>
    </row>
    <row r="112" spans="3:3">
      <c r="C112" s="92"/>
    </row>
    <row r="113" spans="3:3">
      <c r="C113" s="92"/>
    </row>
    <row r="114" spans="3:3">
      <c r="C114" s="92"/>
    </row>
  </sheetData>
  <autoFilter ref="A12:P96">
    <extLst/>
  </autoFilter>
  <mergeCells count="20">
    <mergeCell ref="A1:J1"/>
    <mergeCell ref="H2:J2"/>
    <mergeCell ref="C5:D5"/>
    <mergeCell ref="E5:F5"/>
    <mergeCell ref="H5:J5"/>
    <mergeCell ref="H85:I85"/>
    <mergeCell ref="L85:M85"/>
    <mergeCell ref="L86:M86"/>
    <mergeCell ref="L87:M87"/>
    <mergeCell ref="L88:M88"/>
    <mergeCell ref="L89:M89"/>
    <mergeCell ref="L90:M90"/>
    <mergeCell ref="L91:M91"/>
    <mergeCell ref="L92:M92"/>
    <mergeCell ref="L93:M93"/>
    <mergeCell ref="L94:M94"/>
    <mergeCell ref="L95:M95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0"/>
  <sheetViews>
    <sheetView tabSelected="1" topLeftCell="B93" workbookViewId="0">
      <selection activeCell="L109" sqref="L109"/>
    </sheetView>
  </sheetViews>
  <sheetFormatPr defaultColWidth="9" defaultRowHeight="11.25"/>
  <cols>
    <col min="1" max="1" width="13.5583333333333" style="3" customWidth="1"/>
    <col min="2" max="2" width="13.1333333333333" style="4" customWidth="1"/>
    <col min="3" max="3" width="7" style="5" customWidth="1"/>
    <col min="4" max="4" width="13.3833333333333" style="5" customWidth="1"/>
    <col min="5" max="5" width="6" style="5" customWidth="1"/>
    <col min="6" max="6" width="13.1333333333333" style="4" customWidth="1"/>
    <col min="7" max="7" width="14.1333333333333" style="4" customWidth="1"/>
    <col min="8" max="8" width="11.75" style="6" customWidth="1"/>
    <col min="9" max="9" width="16.75" style="7" customWidth="1"/>
    <col min="10" max="10" width="6.13333333333333" style="8" customWidth="1"/>
    <col min="11" max="11" width="31.5" style="9" customWidth="1"/>
    <col min="12" max="12" width="12.75" style="10" customWidth="1"/>
    <col min="13" max="13" width="9.13333333333333" style="10" customWidth="1"/>
    <col min="14" max="14" width="5.63333333333333" style="10" customWidth="1"/>
    <col min="15" max="16384" width="9" style="10"/>
  </cols>
  <sheetData>
    <row r="1" ht="21.95" customHeight="1" spans="1:12">
      <c r="A1" s="11" t="s">
        <v>0</v>
      </c>
      <c r="B1" s="12"/>
      <c r="C1" s="12"/>
      <c r="D1" s="12"/>
      <c r="E1" s="12"/>
      <c r="F1" s="13"/>
      <c r="G1" s="13"/>
      <c r="H1" s="12"/>
      <c r="I1" s="13"/>
      <c r="J1" s="12"/>
      <c r="K1" s="23"/>
      <c r="L1" s="23"/>
    </row>
    <row r="2" ht="18" customHeight="1" spans="1:12">
      <c r="A2" s="14" t="s">
        <v>1</v>
      </c>
      <c r="B2" s="15">
        <v>43601</v>
      </c>
      <c r="C2" s="16" t="s">
        <v>2</v>
      </c>
      <c r="D2" s="17">
        <v>9291558</v>
      </c>
      <c r="E2" s="18" t="s">
        <v>3</v>
      </c>
      <c r="F2" s="19" t="s">
        <v>4</v>
      </c>
      <c r="G2" s="20" t="s">
        <v>5</v>
      </c>
      <c r="H2" s="21" t="s">
        <v>6</v>
      </c>
      <c r="I2" s="61"/>
      <c r="J2" s="62"/>
      <c r="K2" s="23"/>
      <c r="L2" s="23"/>
    </row>
    <row r="3" ht="18" customHeight="1" spans="1:12">
      <c r="A3" s="14" t="s">
        <v>7</v>
      </c>
      <c r="B3" s="22"/>
      <c r="C3" s="16" t="s">
        <v>8</v>
      </c>
      <c r="D3" s="16"/>
      <c r="H3" s="23"/>
      <c r="I3" s="63"/>
      <c r="J3" s="23"/>
      <c r="K3" s="23"/>
      <c r="L3" s="23"/>
    </row>
    <row r="4" ht="18" customHeight="1" spans="1:12">
      <c r="A4" s="3" t="s">
        <v>9</v>
      </c>
      <c r="H4" s="23"/>
      <c r="I4" s="63"/>
      <c r="J4" s="23"/>
      <c r="K4" s="23"/>
      <c r="L4" s="23"/>
    </row>
    <row r="5" ht="18" customHeight="1" spans="1:10">
      <c r="A5" s="24" t="s">
        <v>10</v>
      </c>
      <c r="B5" s="25" t="s">
        <v>11</v>
      </c>
      <c r="C5" s="26" t="s">
        <v>12</v>
      </c>
      <c r="D5" s="26"/>
      <c r="E5" s="26" t="s">
        <v>13</v>
      </c>
      <c r="F5" s="25"/>
      <c r="G5" s="25" t="s">
        <v>14</v>
      </c>
      <c r="H5" s="27" t="s">
        <v>15</v>
      </c>
      <c r="I5" s="25"/>
      <c r="J5" s="27"/>
    </row>
    <row r="6" ht="18" customHeight="1" spans="1:10">
      <c r="A6" s="24"/>
      <c r="B6" s="25"/>
      <c r="C6" s="26" t="s">
        <v>16</v>
      </c>
      <c r="D6" s="26" t="s">
        <v>17</v>
      </c>
      <c r="E6" s="26" t="s">
        <v>16</v>
      </c>
      <c r="F6" s="25" t="s">
        <v>17</v>
      </c>
      <c r="G6" s="25"/>
      <c r="H6" s="27" t="s">
        <v>18</v>
      </c>
      <c r="I6" s="25" t="s">
        <v>19</v>
      </c>
      <c r="J6" s="27" t="s">
        <v>20</v>
      </c>
    </row>
    <row r="7" ht="18" customHeight="1" spans="1:10">
      <c r="A7" s="28">
        <v>43969</v>
      </c>
      <c r="B7" s="29">
        <f>G7/(1+C7+E7)</f>
        <v>809788.990825688</v>
      </c>
      <c r="C7" s="30">
        <v>0.02</v>
      </c>
      <c r="D7" s="31">
        <f>G7/(1+E7+C7)*C7</f>
        <v>16195.7798165138</v>
      </c>
      <c r="E7" s="32">
        <v>0.07</v>
      </c>
      <c r="F7" s="29">
        <f>G7/(1+C7+E7)*E7</f>
        <v>56685.2293577982</v>
      </c>
      <c r="G7" s="33">
        <v>882670</v>
      </c>
      <c r="H7" s="34" t="s">
        <v>21</v>
      </c>
      <c r="I7" s="20">
        <v>882670</v>
      </c>
      <c r="J7" s="44" t="s">
        <v>22</v>
      </c>
    </row>
    <row r="8" ht="18" customHeight="1" spans="1:10">
      <c r="A8" s="35">
        <v>44160</v>
      </c>
      <c r="B8" s="22">
        <f>G8/(1+C8+E8)</f>
        <v>693376.146788991</v>
      </c>
      <c r="C8" s="36">
        <v>0.02</v>
      </c>
      <c r="D8" s="37">
        <f>G8/(1+E8+C8)*C8</f>
        <v>13867.5229357798</v>
      </c>
      <c r="E8" s="32">
        <v>0.07</v>
      </c>
      <c r="F8" s="22">
        <f>G8/(1+C8+E8)*E8</f>
        <v>48536.3302752294</v>
      </c>
      <c r="G8" s="33">
        <v>755780</v>
      </c>
      <c r="H8" s="34" t="s">
        <v>107</v>
      </c>
      <c r="I8" s="20">
        <v>755780</v>
      </c>
      <c r="J8" s="44" t="s">
        <v>22</v>
      </c>
    </row>
    <row r="9" ht="18" customHeight="1" spans="1:10">
      <c r="A9" s="28">
        <v>44183</v>
      </c>
      <c r="B9" s="29">
        <f>G9/(1+C9+E9)</f>
        <v>1032018.34862385</v>
      </c>
      <c r="C9" s="30">
        <v>0.02</v>
      </c>
      <c r="D9" s="31">
        <f>G9/(1+E9+C9)*C9</f>
        <v>20640.3669724771</v>
      </c>
      <c r="E9" s="32">
        <v>0.07</v>
      </c>
      <c r="F9" s="29">
        <f>G9/(1+C9+E9)*E9</f>
        <v>72241.2844036697</v>
      </c>
      <c r="G9" s="33">
        <v>1124900</v>
      </c>
      <c r="H9" s="34">
        <v>44193</v>
      </c>
      <c r="I9" s="20">
        <v>1124900</v>
      </c>
      <c r="J9" s="44" t="s">
        <v>22</v>
      </c>
    </row>
    <row r="10" ht="18" customHeight="1" spans="1:10">
      <c r="A10" s="28">
        <v>44229</v>
      </c>
      <c r="B10" s="29">
        <f>G10/(1+C10+E10)</f>
        <v>1108990.82568807</v>
      </c>
      <c r="C10" s="30">
        <v>0.02</v>
      </c>
      <c r="D10" s="31">
        <f>G10/(1+E10+C10)*C10</f>
        <v>22179.8165137615</v>
      </c>
      <c r="E10" s="32">
        <v>0.07</v>
      </c>
      <c r="F10" s="29">
        <f>G10/(1+C10+E10)*E10</f>
        <v>77629.3577981651</v>
      </c>
      <c r="G10" s="33">
        <v>1208800</v>
      </c>
      <c r="H10" s="38">
        <v>44237</v>
      </c>
      <c r="I10" s="64">
        <v>1112096</v>
      </c>
      <c r="J10" s="44" t="s">
        <v>22</v>
      </c>
    </row>
    <row r="11" ht="18" customHeight="1" spans="1:10">
      <c r="A11" s="28"/>
      <c r="B11" s="29"/>
      <c r="C11" s="30"/>
      <c r="D11" s="31"/>
      <c r="E11" s="30"/>
      <c r="F11" s="29"/>
      <c r="G11" s="33"/>
      <c r="H11" s="34"/>
      <c r="I11" s="20"/>
      <c r="J11" s="44"/>
    </row>
    <row r="12" ht="18" customHeight="1" spans="1:10">
      <c r="A12" s="28"/>
      <c r="B12" s="29"/>
      <c r="C12" s="30"/>
      <c r="D12" s="31"/>
      <c r="E12" s="30"/>
      <c r="F12" s="29"/>
      <c r="G12" s="33"/>
      <c r="H12" s="34"/>
      <c r="I12" s="20"/>
      <c r="J12" s="44"/>
    </row>
    <row r="13" ht="18" customHeight="1" spans="1:10">
      <c r="A13" s="28"/>
      <c r="B13" s="29">
        <f>G13/(1+C13+E13)</f>
        <v>0</v>
      </c>
      <c r="C13" s="30">
        <v>0.02</v>
      </c>
      <c r="D13" s="31">
        <f>G13/(1+E13+C13)*C13</f>
        <v>0</v>
      </c>
      <c r="E13" s="30">
        <v>0.08</v>
      </c>
      <c r="F13" s="29">
        <f>G13/(1+C13+E13)*E13</f>
        <v>0</v>
      </c>
      <c r="G13" s="33"/>
      <c r="H13" s="34"/>
      <c r="I13" s="20"/>
      <c r="J13" s="44"/>
    </row>
    <row r="14" ht="18" customHeight="1" spans="1:10">
      <c r="A14" s="39" t="s">
        <v>23</v>
      </c>
      <c r="B14" s="40">
        <f>SUM(B7:B13)</f>
        <v>3644174.31192661</v>
      </c>
      <c r="C14" s="41"/>
      <c r="D14" s="42">
        <f>SUM(D7:D13)</f>
        <v>72883.4862385321</v>
      </c>
      <c r="E14" s="41"/>
      <c r="F14" s="43">
        <f>SUM(F7:F13)</f>
        <v>255092.201834862</v>
      </c>
      <c r="G14" s="42">
        <f>SUM(G7:G13)</f>
        <v>3972150</v>
      </c>
      <c r="H14" s="44"/>
      <c r="I14" s="25">
        <f>SUM(I7:I13)</f>
        <v>3875446</v>
      </c>
      <c r="J14" s="44"/>
    </row>
    <row r="15" ht="18" customHeight="1" spans="1:12">
      <c r="A15" s="3" t="s">
        <v>24</v>
      </c>
      <c r="J15" s="6"/>
      <c r="K15" s="6"/>
      <c r="L15" s="65"/>
    </row>
    <row r="16" ht="18" customHeight="1" spans="1:15">
      <c r="A16" s="24" t="s">
        <v>25</v>
      </c>
      <c r="B16" s="25" t="s">
        <v>26</v>
      </c>
      <c r="C16" s="26" t="s">
        <v>27</v>
      </c>
      <c r="D16" s="26" t="s">
        <v>28</v>
      </c>
      <c r="E16" s="26" t="s">
        <v>16</v>
      </c>
      <c r="F16" s="25" t="s">
        <v>29</v>
      </c>
      <c r="G16" s="25" t="s">
        <v>14</v>
      </c>
      <c r="H16" s="26" t="s">
        <v>30</v>
      </c>
      <c r="I16" s="25" t="s">
        <v>31</v>
      </c>
      <c r="J16" s="26" t="s">
        <v>20</v>
      </c>
      <c r="K16" s="66" t="s">
        <v>32</v>
      </c>
      <c r="L16" s="27" t="s">
        <v>33</v>
      </c>
      <c r="M16" s="27" t="s">
        <v>34</v>
      </c>
      <c r="N16" s="27" t="s">
        <v>35</v>
      </c>
      <c r="O16" s="27" t="s">
        <v>36</v>
      </c>
    </row>
    <row r="17" customFormat="1" ht="18" customHeight="1" spans="1:15">
      <c r="A17" s="24"/>
      <c r="B17" s="25"/>
      <c r="C17" s="26"/>
      <c r="D17" s="26"/>
      <c r="E17" s="26"/>
      <c r="F17" s="45"/>
      <c r="G17" s="25"/>
      <c r="H17" s="20" t="s">
        <v>37</v>
      </c>
      <c r="I17" s="20">
        <v>-5000</v>
      </c>
      <c r="J17" s="47" t="s">
        <v>38</v>
      </c>
      <c r="K17" s="20" t="s">
        <v>39</v>
      </c>
      <c r="L17" s="27"/>
      <c r="M17" s="27"/>
      <c r="N17" s="27"/>
      <c r="O17" s="27"/>
    </row>
    <row r="18" s="1" customFormat="1" ht="18" customHeight="1" spans="1:15">
      <c r="A18" s="35"/>
      <c r="B18" s="22">
        <f t="shared" ref="B18:B26" si="0">ROUND(G18/(1+E18),2)</f>
        <v>0</v>
      </c>
      <c r="C18" s="46"/>
      <c r="D18" s="47"/>
      <c r="E18" s="48"/>
      <c r="F18" s="37">
        <f t="shared" ref="F18:F25" si="1">ROUND(G18/(1+E18)*E18,2)</f>
        <v>0</v>
      </c>
      <c r="G18" s="33"/>
      <c r="H18" s="34" t="s">
        <v>40</v>
      </c>
      <c r="I18" s="20">
        <v>5000</v>
      </c>
      <c r="J18" s="44" t="s">
        <v>22</v>
      </c>
      <c r="K18" s="47" t="s">
        <v>41</v>
      </c>
      <c r="L18" s="58"/>
      <c r="M18" s="67"/>
      <c r="N18" s="67"/>
      <c r="O18" s="58"/>
    </row>
    <row r="19" s="1" customFormat="1" ht="18" customHeight="1" spans="1:15">
      <c r="A19" s="35" t="s">
        <v>42</v>
      </c>
      <c r="B19" s="22">
        <f t="shared" si="0"/>
        <v>52264.15</v>
      </c>
      <c r="C19" s="46">
        <v>1</v>
      </c>
      <c r="D19" s="47" t="s">
        <v>43</v>
      </c>
      <c r="E19" s="49">
        <v>0.06</v>
      </c>
      <c r="F19" s="37">
        <f t="shared" si="1"/>
        <v>3135.85</v>
      </c>
      <c r="G19" s="33">
        <v>55400</v>
      </c>
      <c r="H19" s="34"/>
      <c r="I19" s="20"/>
      <c r="J19" s="44" t="s">
        <v>22</v>
      </c>
      <c r="K19" s="47" t="s">
        <v>44</v>
      </c>
      <c r="L19" s="58"/>
      <c r="M19" s="67"/>
      <c r="N19" s="67"/>
      <c r="O19" s="58"/>
    </row>
    <row r="20" s="1" customFormat="1" ht="18" customHeight="1" spans="1:15">
      <c r="A20" s="35"/>
      <c r="B20" s="22">
        <f t="shared" si="0"/>
        <v>0</v>
      </c>
      <c r="C20" s="46"/>
      <c r="D20" s="47"/>
      <c r="E20" s="48"/>
      <c r="F20" s="37">
        <f t="shared" si="1"/>
        <v>0</v>
      </c>
      <c r="G20" s="33"/>
      <c r="H20" s="34" t="s">
        <v>45</v>
      </c>
      <c r="I20" s="20">
        <v>22950</v>
      </c>
      <c r="J20" s="44" t="s">
        <v>22</v>
      </c>
      <c r="K20" s="47" t="s">
        <v>46</v>
      </c>
      <c r="L20" s="58"/>
      <c r="M20" s="67"/>
      <c r="N20" s="67"/>
      <c r="O20" s="58"/>
    </row>
    <row r="21" s="1" customFormat="1" ht="18" customHeight="1" spans="1:15">
      <c r="A21" s="35"/>
      <c r="B21" s="22">
        <f t="shared" si="0"/>
        <v>0</v>
      </c>
      <c r="C21" s="46"/>
      <c r="D21" s="47"/>
      <c r="E21" s="48"/>
      <c r="F21" s="37">
        <f t="shared" si="1"/>
        <v>0</v>
      </c>
      <c r="G21" s="33"/>
      <c r="H21" s="34" t="s">
        <v>47</v>
      </c>
      <c r="I21" s="20">
        <v>-23000</v>
      </c>
      <c r="J21" s="44" t="s">
        <v>38</v>
      </c>
      <c r="K21" s="47" t="s">
        <v>48</v>
      </c>
      <c r="L21" s="58"/>
      <c r="M21" s="67"/>
      <c r="N21" s="67"/>
      <c r="O21" s="58"/>
    </row>
    <row r="22" s="1" customFormat="1" ht="18" customHeight="1" spans="1:15">
      <c r="A22" s="35"/>
      <c r="B22" s="22">
        <f t="shared" si="0"/>
        <v>0</v>
      </c>
      <c r="C22" s="46"/>
      <c r="D22" s="47"/>
      <c r="E22" s="48"/>
      <c r="F22" s="37">
        <f t="shared" si="1"/>
        <v>0</v>
      </c>
      <c r="G22" s="33"/>
      <c r="H22" s="34">
        <v>43984</v>
      </c>
      <c r="I22" s="20">
        <v>64950</v>
      </c>
      <c r="J22" s="44" t="s">
        <v>22</v>
      </c>
      <c r="K22" s="47" t="s">
        <v>49</v>
      </c>
      <c r="L22" s="58"/>
      <c r="M22" s="67"/>
      <c r="N22" s="67"/>
      <c r="O22" s="58"/>
    </row>
    <row r="23" s="1" customFormat="1" ht="18" customHeight="1" spans="1:15">
      <c r="A23" s="35"/>
      <c r="B23" s="22">
        <f t="shared" si="0"/>
        <v>0</v>
      </c>
      <c r="C23" s="46"/>
      <c r="D23" s="47"/>
      <c r="E23" s="48"/>
      <c r="F23" s="37">
        <f t="shared" si="1"/>
        <v>0</v>
      </c>
      <c r="G23" s="33"/>
      <c r="H23" s="34">
        <v>43984</v>
      </c>
      <c r="I23" s="20">
        <v>-65000</v>
      </c>
      <c r="J23" s="44" t="s">
        <v>38</v>
      </c>
      <c r="K23" s="47" t="s">
        <v>48</v>
      </c>
      <c r="L23" s="58"/>
      <c r="M23" s="67"/>
      <c r="N23" s="67"/>
      <c r="O23" s="58"/>
    </row>
    <row r="24" s="1" customFormat="1" ht="18" customHeight="1" spans="1:15">
      <c r="A24" s="35"/>
      <c r="B24" s="22">
        <f t="shared" si="0"/>
        <v>0</v>
      </c>
      <c r="C24" s="46"/>
      <c r="D24" s="47"/>
      <c r="E24" s="48"/>
      <c r="F24" s="37">
        <f t="shared" si="1"/>
        <v>0</v>
      </c>
      <c r="G24" s="33"/>
      <c r="H24" s="34">
        <v>43985</v>
      </c>
      <c r="I24" s="20">
        <v>47550</v>
      </c>
      <c r="J24" s="44" t="s">
        <v>22</v>
      </c>
      <c r="K24" s="47" t="s">
        <v>49</v>
      </c>
      <c r="L24" s="58"/>
      <c r="M24" s="67"/>
      <c r="N24" s="67"/>
      <c r="O24" s="58"/>
    </row>
    <row r="25" s="1" customFormat="1" ht="18" customHeight="1" spans="1:15">
      <c r="A25" s="35"/>
      <c r="B25" s="22">
        <f t="shared" si="0"/>
        <v>0</v>
      </c>
      <c r="C25" s="46"/>
      <c r="D25" s="47"/>
      <c r="E25" s="48"/>
      <c r="F25" s="37">
        <f t="shared" si="1"/>
        <v>0</v>
      </c>
      <c r="G25" s="33"/>
      <c r="H25" s="34">
        <v>43985</v>
      </c>
      <c r="I25" s="20">
        <v>-47600</v>
      </c>
      <c r="J25" s="44" t="s">
        <v>38</v>
      </c>
      <c r="K25" s="47" t="s">
        <v>48</v>
      </c>
      <c r="L25" s="58"/>
      <c r="M25" s="67"/>
      <c r="N25" s="67"/>
      <c r="O25" s="58"/>
    </row>
    <row r="26" s="1" customFormat="1" ht="18" customHeight="1" spans="1:15">
      <c r="A26" s="35" t="s">
        <v>50</v>
      </c>
      <c r="B26" s="22">
        <f t="shared" si="0"/>
        <v>195</v>
      </c>
      <c r="C26" s="46">
        <v>1</v>
      </c>
      <c r="D26" s="47" t="s">
        <v>51</v>
      </c>
      <c r="E26" s="48"/>
      <c r="F26" s="37"/>
      <c r="G26" s="33">
        <v>195</v>
      </c>
      <c r="H26" s="50"/>
      <c r="I26" s="68"/>
      <c r="J26" s="67"/>
      <c r="K26" s="47" t="s">
        <v>52</v>
      </c>
      <c r="L26" s="58" t="s">
        <v>53</v>
      </c>
      <c r="M26" s="67"/>
      <c r="N26" s="67"/>
      <c r="O26" s="58"/>
    </row>
    <row r="27" s="1" customFormat="1" ht="18" customHeight="1" spans="1:15">
      <c r="A27" s="35" t="s">
        <v>50</v>
      </c>
      <c r="B27" s="22">
        <f t="shared" ref="B27:B32" si="2">ROUND(G27/(1+E27),2)</f>
        <v>9140</v>
      </c>
      <c r="C27" s="46">
        <v>1</v>
      </c>
      <c r="D27" s="47" t="s">
        <v>51</v>
      </c>
      <c r="E27" s="48"/>
      <c r="F27" s="37">
        <f t="shared" ref="F27:F59" si="3">ROUND(G27/(1+E27)*E27,2)</f>
        <v>0</v>
      </c>
      <c r="G27" s="51">
        <v>9140</v>
      </c>
      <c r="H27" s="50"/>
      <c r="I27" s="68"/>
      <c r="J27" s="67"/>
      <c r="K27" s="54" t="s">
        <v>54</v>
      </c>
      <c r="L27" s="58" t="s">
        <v>55</v>
      </c>
      <c r="M27" s="67"/>
      <c r="N27" s="69" t="s">
        <v>56</v>
      </c>
      <c r="O27" s="58"/>
    </row>
    <row r="28" s="1" customFormat="1" ht="18" customHeight="1" spans="1:15">
      <c r="A28" s="35" t="s">
        <v>50</v>
      </c>
      <c r="B28" s="22">
        <f t="shared" si="2"/>
        <v>9000</v>
      </c>
      <c r="C28" s="46">
        <v>1</v>
      </c>
      <c r="D28" s="47" t="s">
        <v>51</v>
      </c>
      <c r="E28" s="48"/>
      <c r="F28" s="37">
        <f t="shared" si="3"/>
        <v>0</v>
      </c>
      <c r="G28" s="51">
        <v>9000</v>
      </c>
      <c r="H28" s="50"/>
      <c r="I28" s="68"/>
      <c r="J28" s="67"/>
      <c r="K28" s="54" t="s">
        <v>54</v>
      </c>
      <c r="L28" s="58" t="s">
        <v>57</v>
      </c>
      <c r="M28" s="67"/>
      <c r="N28" s="69" t="s">
        <v>56</v>
      </c>
      <c r="O28" s="58"/>
    </row>
    <row r="29" s="1" customFormat="1" ht="18" customHeight="1" spans="1:15">
      <c r="A29" s="35" t="s">
        <v>50</v>
      </c>
      <c r="B29" s="22">
        <f t="shared" si="2"/>
        <v>2000</v>
      </c>
      <c r="C29" s="46">
        <v>1</v>
      </c>
      <c r="D29" s="47" t="s">
        <v>51</v>
      </c>
      <c r="E29" s="48"/>
      <c r="F29" s="37">
        <f t="shared" si="3"/>
        <v>0</v>
      </c>
      <c r="G29" s="51">
        <v>2000</v>
      </c>
      <c r="H29" s="50"/>
      <c r="I29" s="68"/>
      <c r="J29" s="67"/>
      <c r="K29" s="54" t="s">
        <v>54</v>
      </c>
      <c r="L29" s="58" t="s">
        <v>58</v>
      </c>
      <c r="M29" s="67"/>
      <c r="N29" s="69" t="s">
        <v>56</v>
      </c>
      <c r="O29" s="58"/>
    </row>
    <row r="30" s="1" customFormat="1" ht="18" customHeight="1" spans="1:15">
      <c r="A30" s="35" t="s">
        <v>50</v>
      </c>
      <c r="B30" s="22">
        <f t="shared" si="2"/>
        <v>8870</v>
      </c>
      <c r="C30" s="46">
        <v>1</v>
      </c>
      <c r="D30" s="47" t="s">
        <v>51</v>
      </c>
      <c r="E30" s="48"/>
      <c r="F30" s="37">
        <f t="shared" si="3"/>
        <v>0</v>
      </c>
      <c r="G30" s="51">
        <v>8870</v>
      </c>
      <c r="H30" s="50"/>
      <c r="I30" s="68"/>
      <c r="J30" s="67"/>
      <c r="K30" s="54" t="s">
        <v>54</v>
      </c>
      <c r="L30" s="1" t="s">
        <v>59</v>
      </c>
      <c r="N30" s="69" t="s">
        <v>56</v>
      </c>
      <c r="O30" s="58"/>
    </row>
    <row r="31" s="1" customFormat="1" ht="18" customHeight="1" spans="1:15">
      <c r="A31" s="35" t="s">
        <v>50</v>
      </c>
      <c r="B31" s="22">
        <f t="shared" si="2"/>
        <v>9500</v>
      </c>
      <c r="C31" s="46">
        <v>1</v>
      </c>
      <c r="D31" s="47" t="s">
        <v>51</v>
      </c>
      <c r="E31" s="48"/>
      <c r="F31" s="37">
        <f t="shared" si="3"/>
        <v>0</v>
      </c>
      <c r="G31" s="51">
        <v>9500</v>
      </c>
      <c r="H31" s="50"/>
      <c r="I31" s="68"/>
      <c r="J31" s="67"/>
      <c r="K31" s="54" t="s">
        <v>54</v>
      </c>
      <c r="L31" s="58" t="s">
        <v>58</v>
      </c>
      <c r="M31" s="67"/>
      <c r="N31" s="69" t="s">
        <v>56</v>
      </c>
      <c r="O31" s="58"/>
    </row>
    <row r="32" s="1" customFormat="1" ht="18" customHeight="1" spans="1:15">
      <c r="A32" s="35" t="s">
        <v>50</v>
      </c>
      <c r="B32" s="22">
        <f t="shared" si="2"/>
        <v>8085</v>
      </c>
      <c r="C32" s="46">
        <v>1</v>
      </c>
      <c r="D32" s="47" t="s">
        <v>51</v>
      </c>
      <c r="E32" s="48"/>
      <c r="F32" s="37">
        <f t="shared" si="3"/>
        <v>0</v>
      </c>
      <c r="G32" s="51">
        <v>8085</v>
      </c>
      <c r="H32" s="50"/>
      <c r="I32" s="68"/>
      <c r="J32" s="67"/>
      <c r="K32" s="54" t="s">
        <v>54</v>
      </c>
      <c r="L32" s="58" t="s">
        <v>60</v>
      </c>
      <c r="M32" s="67"/>
      <c r="N32" s="69" t="s">
        <v>56</v>
      </c>
      <c r="O32" s="58"/>
    </row>
    <row r="33" s="1" customFormat="1" ht="18" customHeight="1" spans="1:16">
      <c r="A33" s="35" t="s">
        <v>50</v>
      </c>
      <c r="B33" s="22">
        <f t="shared" ref="B33:B36" si="4">ROUND(G33/(1+E33),2)</f>
        <v>99557.52</v>
      </c>
      <c r="C33" s="46">
        <v>1</v>
      </c>
      <c r="D33" s="47" t="s">
        <v>43</v>
      </c>
      <c r="E33" s="49">
        <v>0.13</v>
      </c>
      <c r="F33" s="37">
        <f t="shared" si="3"/>
        <v>12942.48</v>
      </c>
      <c r="G33" s="33">
        <v>112500</v>
      </c>
      <c r="H33" s="50"/>
      <c r="I33" s="68"/>
      <c r="J33" s="67"/>
      <c r="K33" s="47" t="s">
        <v>49</v>
      </c>
      <c r="L33" s="58" t="s">
        <v>61</v>
      </c>
      <c r="M33" s="67"/>
      <c r="N33" s="67"/>
      <c r="O33" s="58"/>
      <c r="P33" s="1" t="s">
        <v>62</v>
      </c>
    </row>
    <row r="34" s="1" customFormat="1" ht="18" customHeight="1" spans="1:15">
      <c r="A34" s="35" t="s">
        <v>50</v>
      </c>
      <c r="B34" s="22">
        <f t="shared" si="4"/>
        <v>2965.5</v>
      </c>
      <c r="C34" s="46">
        <v>14</v>
      </c>
      <c r="D34" s="47" t="s">
        <v>63</v>
      </c>
      <c r="E34" s="49"/>
      <c r="F34" s="37">
        <f t="shared" si="3"/>
        <v>0</v>
      </c>
      <c r="G34" s="33">
        <v>2965.5</v>
      </c>
      <c r="H34" s="50"/>
      <c r="I34" s="68"/>
      <c r="J34" s="67"/>
      <c r="K34" s="47" t="s">
        <v>64</v>
      </c>
      <c r="L34" s="58" t="s">
        <v>65</v>
      </c>
      <c r="M34" s="67"/>
      <c r="N34" s="67"/>
      <c r="O34" s="58"/>
    </row>
    <row r="35" s="1" customFormat="1" ht="18" customHeight="1" spans="1:15">
      <c r="A35" s="35" t="s">
        <v>50</v>
      </c>
      <c r="B35" s="22">
        <f t="shared" si="4"/>
        <v>388349.51</v>
      </c>
      <c r="C35" s="46">
        <v>4</v>
      </c>
      <c r="D35" s="47" t="s">
        <v>43</v>
      </c>
      <c r="E35" s="49">
        <v>0.03</v>
      </c>
      <c r="F35" s="37">
        <f t="shared" si="3"/>
        <v>11650.49</v>
      </c>
      <c r="G35" s="33">
        <v>400000</v>
      </c>
      <c r="H35" s="50"/>
      <c r="I35" s="68"/>
      <c r="J35" s="67"/>
      <c r="K35" s="47" t="s">
        <v>66</v>
      </c>
      <c r="L35" s="58" t="s">
        <v>67</v>
      </c>
      <c r="M35" s="67"/>
      <c r="N35" s="67"/>
      <c r="O35" s="58"/>
    </row>
    <row r="36" s="2" customFormat="1" ht="18" customHeight="1" spans="1:15">
      <c r="A36" s="52" t="s">
        <v>50</v>
      </c>
      <c r="B36" s="22">
        <f t="shared" si="4"/>
        <v>1812.36</v>
      </c>
      <c r="C36" s="53">
        <v>1</v>
      </c>
      <c r="D36" s="54" t="s">
        <v>51</v>
      </c>
      <c r="E36" s="55"/>
      <c r="F36" s="37">
        <f t="shared" si="3"/>
        <v>0</v>
      </c>
      <c r="G36" s="33">
        <v>1812.36</v>
      </c>
      <c r="H36" s="56"/>
      <c r="I36" s="70"/>
      <c r="J36" s="71"/>
      <c r="K36" s="47" t="s">
        <v>68</v>
      </c>
      <c r="L36" s="58" t="s">
        <v>69</v>
      </c>
      <c r="M36" s="22" t="s">
        <v>70</v>
      </c>
      <c r="N36" s="67"/>
      <c r="O36" s="72"/>
    </row>
    <row r="37" s="2" customFormat="1" ht="18" customHeight="1" spans="1:15">
      <c r="A37" s="35" t="s">
        <v>71</v>
      </c>
      <c r="B37" s="22">
        <f t="shared" ref="B37:B60" si="5">ROUND(G37/(1+E37),2)</f>
        <v>2997.83</v>
      </c>
      <c r="C37" s="46">
        <v>1</v>
      </c>
      <c r="D37" s="47" t="s">
        <v>43</v>
      </c>
      <c r="E37" s="49">
        <v>0.06</v>
      </c>
      <c r="F37" s="37">
        <f t="shared" si="3"/>
        <v>179.87</v>
      </c>
      <c r="G37" s="33">
        <v>3177.7</v>
      </c>
      <c r="H37" s="56"/>
      <c r="I37" s="70"/>
      <c r="J37" s="71"/>
      <c r="K37" s="47" t="s">
        <v>72</v>
      </c>
      <c r="L37" s="58" t="s">
        <v>73</v>
      </c>
      <c r="M37" s="67" t="s">
        <v>74</v>
      </c>
      <c r="N37" s="67"/>
      <c r="O37" s="72"/>
    </row>
    <row r="38" s="2" customFormat="1" ht="18" customHeight="1" spans="1:15">
      <c r="A38" s="35" t="s">
        <v>71</v>
      </c>
      <c r="B38" s="22">
        <f t="shared" si="5"/>
        <v>5995.67</v>
      </c>
      <c r="C38" s="46">
        <v>1</v>
      </c>
      <c r="D38" s="47" t="s">
        <v>43</v>
      </c>
      <c r="E38" s="49">
        <v>0.06</v>
      </c>
      <c r="F38" s="37">
        <f t="shared" si="3"/>
        <v>359.74</v>
      </c>
      <c r="G38" s="33">
        <v>6355.41</v>
      </c>
      <c r="H38" s="56"/>
      <c r="I38" s="70"/>
      <c r="J38" s="71"/>
      <c r="K38" s="47" t="s">
        <v>72</v>
      </c>
      <c r="L38" s="58" t="s">
        <v>73</v>
      </c>
      <c r="M38" s="67" t="s">
        <v>74</v>
      </c>
      <c r="N38" s="67"/>
      <c r="O38" s="72"/>
    </row>
    <row r="39" s="1" customFormat="1" ht="18" customHeight="1" spans="1:16">
      <c r="A39" s="35" t="s">
        <v>71</v>
      </c>
      <c r="B39" s="22">
        <f t="shared" si="5"/>
        <v>99557.52</v>
      </c>
      <c r="C39" s="46">
        <v>1</v>
      </c>
      <c r="D39" s="47" t="s">
        <v>43</v>
      </c>
      <c r="E39" s="49">
        <v>0.13</v>
      </c>
      <c r="F39" s="37">
        <f t="shared" si="3"/>
        <v>12942.48</v>
      </c>
      <c r="G39" s="33">
        <v>112500</v>
      </c>
      <c r="H39" s="56"/>
      <c r="I39" s="70"/>
      <c r="J39" s="71"/>
      <c r="K39" s="47" t="s">
        <v>49</v>
      </c>
      <c r="L39" s="58" t="s">
        <v>61</v>
      </c>
      <c r="M39" s="67" t="s">
        <v>74</v>
      </c>
      <c r="N39" s="67"/>
      <c r="O39" s="72"/>
      <c r="P39" s="1" t="s">
        <v>75</v>
      </c>
    </row>
    <row r="40" s="2" customFormat="1" ht="18" customHeight="1" spans="1:15">
      <c r="A40" s="35" t="s">
        <v>71</v>
      </c>
      <c r="B40" s="22">
        <f t="shared" si="5"/>
        <v>20309.73</v>
      </c>
      <c r="C40" s="46">
        <v>1</v>
      </c>
      <c r="D40" s="47" t="s">
        <v>43</v>
      </c>
      <c r="E40" s="49">
        <v>0.13</v>
      </c>
      <c r="F40" s="37">
        <f t="shared" si="3"/>
        <v>2640.27</v>
      </c>
      <c r="G40" s="33">
        <v>22950</v>
      </c>
      <c r="H40" s="56"/>
      <c r="I40" s="70"/>
      <c r="J40" s="71"/>
      <c r="K40" s="47" t="s">
        <v>46</v>
      </c>
      <c r="L40" s="58" t="s">
        <v>76</v>
      </c>
      <c r="M40" s="67" t="s">
        <v>74</v>
      </c>
      <c r="N40" s="67"/>
      <c r="O40" s="72"/>
    </row>
    <row r="41" s="1" customFormat="1" ht="18" customHeight="1" spans="1:15">
      <c r="A41" s="35" t="s">
        <v>71</v>
      </c>
      <c r="B41" s="22">
        <f t="shared" si="5"/>
        <v>44247.79</v>
      </c>
      <c r="C41" s="46">
        <v>1</v>
      </c>
      <c r="D41" s="47" t="s">
        <v>43</v>
      </c>
      <c r="E41" s="49">
        <v>0.13</v>
      </c>
      <c r="F41" s="37">
        <f t="shared" si="3"/>
        <v>5752.21</v>
      </c>
      <c r="G41" s="33">
        <v>50000</v>
      </c>
      <c r="H41" s="57">
        <v>44103</v>
      </c>
      <c r="I41" s="73">
        <v>50000</v>
      </c>
      <c r="J41" s="74"/>
      <c r="K41" s="75" t="s">
        <v>46</v>
      </c>
      <c r="L41" s="76"/>
      <c r="M41" s="77"/>
      <c r="O41" s="58"/>
    </row>
    <row r="42" s="1" customFormat="1" ht="18" customHeight="1" spans="1:15">
      <c r="A42" s="35"/>
      <c r="B42" s="22">
        <f t="shared" si="5"/>
        <v>0</v>
      </c>
      <c r="C42" s="46"/>
      <c r="D42" s="47"/>
      <c r="E42" s="49"/>
      <c r="F42" s="37">
        <f t="shared" si="3"/>
        <v>0</v>
      </c>
      <c r="G42" s="33"/>
      <c r="H42" s="57">
        <v>44103</v>
      </c>
      <c r="I42" s="73">
        <v>400000</v>
      </c>
      <c r="J42" s="74"/>
      <c r="K42" s="78" t="s">
        <v>66</v>
      </c>
      <c r="L42" s="76"/>
      <c r="M42" s="77"/>
      <c r="O42" s="58"/>
    </row>
    <row r="43" s="1" customFormat="1" ht="18" customHeight="1" spans="1:15">
      <c r="A43" s="35" t="s">
        <v>71</v>
      </c>
      <c r="B43" s="22">
        <f t="shared" si="5"/>
        <v>33185.84</v>
      </c>
      <c r="C43" s="46"/>
      <c r="D43" s="47"/>
      <c r="E43" s="49">
        <v>0.13</v>
      </c>
      <c r="F43" s="37">
        <f t="shared" si="3"/>
        <v>4314.16</v>
      </c>
      <c r="G43" s="33">
        <v>37500</v>
      </c>
      <c r="H43" s="57">
        <v>44103</v>
      </c>
      <c r="I43" s="73">
        <v>150000</v>
      </c>
      <c r="J43" s="74"/>
      <c r="K43" s="78" t="s">
        <v>49</v>
      </c>
      <c r="L43" s="76"/>
      <c r="M43" s="77"/>
      <c r="O43" s="58"/>
    </row>
    <row r="44" s="1" customFormat="1" ht="18" customHeight="1" spans="1:15">
      <c r="A44" s="58" t="s">
        <v>71</v>
      </c>
      <c r="B44" s="22">
        <f t="shared" si="5"/>
        <v>4245.28</v>
      </c>
      <c r="C44" s="58">
        <v>1</v>
      </c>
      <c r="D44" s="47" t="s">
        <v>43</v>
      </c>
      <c r="E44" s="49">
        <v>0.06</v>
      </c>
      <c r="F44" s="37">
        <f t="shared" si="3"/>
        <v>254.72</v>
      </c>
      <c r="G44" s="33">
        <v>4500</v>
      </c>
      <c r="H44" s="59">
        <v>44103</v>
      </c>
      <c r="I44" s="79">
        <v>4500</v>
      </c>
      <c r="J44" s="79" t="s">
        <v>22</v>
      </c>
      <c r="K44" s="79" t="s">
        <v>77</v>
      </c>
      <c r="L44" s="58" t="s">
        <v>78</v>
      </c>
      <c r="M44" s="67"/>
      <c r="N44" s="67"/>
      <c r="O44" s="58"/>
    </row>
    <row r="45" s="1" customFormat="1" ht="18" customHeight="1" spans="1:15">
      <c r="A45" s="58" t="s">
        <v>108</v>
      </c>
      <c r="B45" s="22">
        <f t="shared" si="5"/>
        <v>174757.28</v>
      </c>
      <c r="C45" s="58">
        <v>2</v>
      </c>
      <c r="D45" s="47" t="s">
        <v>43</v>
      </c>
      <c r="E45" s="49">
        <v>0.03</v>
      </c>
      <c r="F45" s="37">
        <f t="shared" si="3"/>
        <v>5242.72</v>
      </c>
      <c r="G45" s="33">
        <v>180000</v>
      </c>
      <c r="H45" s="59">
        <v>44137</v>
      </c>
      <c r="I45" s="79">
        <v>160000</v>
      </c>
      <c r="J45" s="79" t="s">
        <v>22</v>
      </c>
      <c r="K45" s="79" t="s">
        <v>66</v>
      </c>
      <c r="L45" s="72" t="s">
        <v>67</v>
      </c>
      <c r="M45" s="67"/>
      <c r="N45" s="67"/>
      <c r="O45" s="58"/>
    </row>
    <row r="46" s="1" customFormat="1" ht="18" customHeight="1" spans="1:15">
      <c r="A46" s="58" t="s">
        <v>109</v>
      </c>
      <c r="B46" s="22">
        <f t="shared" si="5"/>
        <v>320388.35</v>
      </c>
      <c r="C46" s="58">
        <v>4</v>
      </c>
      <c r="D46" s="47" t="s">
        <v>43</v>
      </c>
      <c r="E46" s="49">
        <v>0.03</v>
      </c>
      <c r="F46" s="37">
        <f t="shared" si="3"/>
        <v>9611.65</v>
      </c>
      <c r="G46" s="33">
        <v>330000</v>
      </c>
      <c r="H46" s="59">
        <v>44174</v>
      </c>
      <c r="I46" s="79">
        <v>330000</v>
      </c>
      <c r="J46" s="79" t="s">
        <v>22</v>
      </c>
      <c r="K46" s="79" t="s">
        <v>66</v>
      </c>
      <c r="L46" s="80" t="s">
        <v>67</v>
      </c>
      <c r="M46" s="79"/>
      <c r="N46" s="67"/>
      <c r="O46" s="58"/>
    </row>
    <row r="47" s="1" customFormat="1" ht="18" customHeight="1" spans="1:15">
      <c r="A47" s="58" t="s">
        <v>109</v>
      </c>
      <c r="B47" s="22">
        <f t="shared" si="5"/>
        <v>132743.36</v>
      </c>
      <c r="C47" s="58">
        <v>2</v>
      </c>
      <c r="D47" s="47" t="s">
        <v>43</v>
      </c>
      <c r="E47" s="49">
        <v>0.13</v>
      </c>
      <c r="F47" s="37">
        <f t="shared" si="3"/>
        <v>17256.64</v>
      </c>
      <c r="G47" s="33">
        <v>150000</v>
      </c>
      <c r="H47" s="59">
        <v>44174</v>
      </c>
      <c r="I47" s="79">
        <v>150000</v>
      </c>
      <c r="J47" s="79" t="s">
        <v>22</v>
      </c>
      <c r="K47" s="78" t="s">
        <v>49</v>
      </c>
      <c r="L47" s="80" t="s">
        <v>61</v>
      </c>
      <c r="M47" s="79"/>
      <c r="N47" s="67"/>
      <c r="O47" s="58"/>
    </row>
    <row r="48" s="1" customFormat="1" ht="18" customHeight="1" spans="1:15">
      <c r="A48" s="58" t="s">
        <v>136</v>
      </c>
      <c r="B48" s="22">
        <f t="shared" si="5"/>
        <v>163761.06</v>
      </c>
      <c r="C48" s="58">
        <v>2</v>
      </c>
      <c r="D48" s="47" t="s">
        <v>43</v>
      </c>
      <c r="E48" s="49">
        <v>0.13</v>
      </c>
      <c r="F48" s="37">
        <f t="shared" si="3"/>
        <v>21288.94</v>
      </c>
      <c r="G48" s="33">
        <v>185050</v>
      </c>
      <c r="H48" s="59">
        <v>44180</v>
      </c>
      <c r="I48" s="79">
        <v>115050</v>
      </c>
      <c r="J48" s="79" t="s">
        <v>22</v>
      </c>
      <c r="K48" s="79" t="s">
        <v>46</v>
      </c>
      <c r="L48" s="80" t="s">
        <v>120</v>
      </c>
      <c r="M48" s="79"/>
      <c r="N48" s="67"/>
      <c r="O48" s="58"/>
    </row>
    <row r="49" s="1" customFormat="1" ht="18" customHeight="1" spans="1:15">
      <c r="A49" s="58"/>
      <c r="B49" s="22">
        <f t="shared" si="5"/>
        <v>0</v>
      </c>
      <c r="C49" s="58"/>
      <c r="D49" s="47"/>
      <c r="E49" s="49"/>
      <c r="F49" s="37">
        <f t="shared" si="3"/>
        <v>0</v>
      </c>
      <c r="G49" s="33"/>
      <c r="H49" s="59">
        <v>44180</v>
      </c>
      <c r="I49" s="79">
        <v>60000</v>
      </c>
      <c r="J49" s="79" t="s">
        <v>22</v>
      </c>
      <c r="K49" s="79" t="s">
        <v>66</v>
      </c>
      <c r="L49" s="80"/>
      <c r="M49" s="79"/>
      <c r="N49" s="67"/>
      <c r="O49" s="58"/>
    </row>
    <row r="50" s="1" customFormat="1" ht="18" customHeight="1" spans="1:15">
      <c r="A50" s="58" t="s">
        <v>121</v>
      </c>
      <c r="B50" s="22">
        <f t="shared" si="5"/>
        <v>68316.83</v>
      </c>
      <c r="C50" s="58">
        <v>7</v>
      </c>
      <c r="D50" s="47" t="s">
        <v>43</v>
      </c>
      <c r="E50" s="49">
        <v>0.01</v>
      </c>
      <c r="F50" s="37">
        <f t="shared" si="3"/>
        <v>683.17</v>
      </c>
      <c r="G50" s="33">
        <v>69000</v>
      </c>
      <c r="H50" s="59">
        <v>44182</v>
      </c>
      <c r="I50" s="79">
        <v>69000</v>
      </c>
      <c r="J50" s="79" t="s">
        <v>22</v>
      </c>
      <c r="K50" s="79" t="s">
        <v>122</v>
      </c>
      <c r="L50" s="80" t="s">
        <v>123</v>
      </c>
      <c r="M50" s="79"/>
      <c r="N50" s="67"/>
      <c r="O50" s="58"/>
    </row>
    <row r="51" s="1" customFormat="1" ht="18" customHeight="1" spans="1:15">
      <c r="A51" s="58">
        <v>2021.1</v>
      </c>
      <c r="B51" s="22">
        <f t="shared" si="5"/>
        <v>85148.51</v>
      </c>
      <c r="C51" s="58">
        <v>1</v>
      </c>
      <c r="D51" s="47" t="s">
        <v>43</v>
      </c>
      <c r="E51" s="49">
        <v>0.01</v>
      </c>
      <c r="F51" s="37">
        <f t="shared" si="3"/>
        <v>851.49</v>
      </c>
      <c r="G51" s="33">
        <v>86000</v>
      </c>
      <c r="H51" s="59">
        <v>44195</v>
      </c>
      <c r="I51" s="79">
        <v>86000</v>
      </c>
      <c r="J51" s="79" t="s">
        <v>22</v>
      </c>
      <c r="K51" s="79" t="s">
        <v>122</v>
      </c>
      <c r="L51" s="80" t="s">
        <v>123</v>
      </c>
      <c r="M51" s="79"/>
      <c r="N51" s="67"/>
      <c r="O51" s="58"/>
    </row>
    <row r="52" s="1" customFormat="1" ht="18" customHeight="1" spans="1:15">
      <c r="A52" s="58">
        <v>2021.1</v>
      </c>
      <c r="B52" s="22">
        <f t="shared" si="5"/>
        <v>159292.04</v>
      </c>
      <c r="C52" s="58">
        <v>2</v>
      </c>
      <c r="D52" s="47" t="s">
        <v>43</v>
      </c>
      <c r="E52" s="49">
        <v>0.13</v>
      </c>
      <c r="F52" s="37">
        <f t="shared" si="3"/>
        <v>20707.96</v>
      </c>
      <c r="G52" s="33">
        <v>180000</v>
      </c>
      <c r="H52" s="59">
        <v>44195</v>
      </c>
      <c r="I52" s="79">
        <v>250000</v>
      </c>
      <c r="J52" s="79" t="s">
        <v>22</v>
      </c>
      <c r="K52" s="79" t="s">
        <v>46</v>
      </c>
      <c r="L52" s="80" t="s">
        <v>120</v>
      </c>
      <c r="M52" s="79"/>
      <c r="N52" s="67"/>
      <c r="O52" s="58"/>
    </row>
    <row r="53" s="1" customFormat="1" ht="18" customHeight="1" spans="1:15">
      <c r="A53" s="58">
        <v>2021.1</v>
      </c>
      <c r="B53" s="22">
        <f t="shared" si="5"/>
        <v>194174.76</v>
      </c>
      <c r="C53" s="58">
        <v>2</v>
      </c>
      <c r="D53" s="47" t="s">
        <v>43</v>
      </c>
      <c r="E53" s="49">
        <v>0.03</v>
      </c>
      <c r="F53" s="37">
        <f t="shared" si="3"/>
        <v>5825.24</v>
      </c>
      <c r="G53" s="33">
        <v>200000</v>
      </c>
      <c r="H53" s="59">
        <v>44195</v>
      </c>
      <c r="I53" s="79">
        <v>200000</v>
      </c>
      <c r="J53" s="79" t="s">
        <v>22</v>
      </c>
      <c r="K53" s="79" t="s">
        <v>66</v>
      </c>
      <c r="L53" s="80" t="s">
        <v>67</v>
      </c>
      <c r="M53" s="79"/>
      <c r="N53" s="67"/>
      <c r="O53" s="58"/>
    </row>
    <row r="54" s="1" customFormat="1" ht="18" customHeight="1" spans="1:15">
      <c r="A54" s="58">
        <v>2021.1</v>
      </c>
      <c r="B54" s="22">
        <f t="shared" si="5"/>
        <v>132743.36</v>
      </c>
      <c r="C54" s="58">
        <v>2</v>
      </c>
      <c r="D54" s="47" t="s">
        <v>43</v>
      </c>
      <c r="E54" s="49">
        <v>0.13</v>
      </c>
      <c r="F54" s="37">
        <f t="shared" si="3"/>
        <v>17256.64</v>
      </c>
      <c r="G54" s="33">
        <v>150000</v>
      </c>
      <c r="H54" s="59">
        <v>44195</v>
      </c>
      <c r="I54" s="79">
        <v>68500</v>
      </c>
      <c r="J54" s="79" t="s">
        <v>22</v>
      </c>
      <c r="K54" s="79" t="s">
        <v>49</v>
      </c>
      <c r="L54" s="80" t="s">
        <v>126</v>
      </c>
      <c r="M54" s="79"/>
      <c r="N54" s="67"/>
      <c r="O54" s="58"/>
    </row>
    <row r="55" s="1" customFormat="1" ht="18" customHeight="1" spans="1:15">
      <c r="A55" s="58">
        <v>2021.1</v>
      </c>
      <c r="B55" s="22">
        <f t="shared" si="5"/>
        <v>420000</v>
      </c>
      <c r="C55" s="58">
        <v>5</v>
      </c>
      <c r="D55" s="47" t="s">
        <v>51</v>
      </c>
      <c r="E55" s="49"/>
      <c r="F55" s="37">
        <f t="shared" si="3"/>
        <v>0</v>
      </c>
      <c r="G55" s="33">
        <f>100800+44800+91000+91000+92400</f>
        <v>420000</v>
      </c>
      <c r="H55" s="59">
        <v>44211</v>
      </c>
      <c r="I55" s="81">
        <v>420000</v>
      </c>
      <c r="J55" s="79" t="s">
        <v>22</v>
      </c>
      <c r="K55" s="82" t="s">
        <v>137</v>
      </c>
      <c r="L55" s="80" t="s">
        <v>138</v>
      </c>
      <c r="M55" s="79"/>
      <c r="N55" s="67"/>
      <c r="O55" s="58"/>
    </row>
    <row r="56" s="1" customFormat="1" ht="18" customHeight="1" spans="1:15">
      <c r="A56" s="58"/>
      <c r="B56" s="22">
        <f t="shared" si="5"/>
        <v>0</v>
      </c>
      <c r="C56" s="58"/>
      <c r="D56" s="47"/>
      <c r="E56" s="49"/>
      <c r="F56" s="37">
        <f t="shared" si="3"/>
        <v>0</v>
      </c>
      <c r="G56" s="33"/>
      <c r="H56" s="60">
        <v>44224</v>
      </c>
      <c r="I56" s="83">
        <v>-1000000</v>
      </c>
      <c r="J56" s="79" t="s">
        <v>22</v>
      </c>
      <c r="K56" s="83" t="s">
        <v>48</v>
      </c>
      <c r="L56" s="84" t="s">
        <v>139</v>
      </c>
      <c r="M56" s="79"/>
      <c r="N56" s="67"/>
      <c r="O56" s="58"/>
    </row>
    <row r="57" s="1" customFormat="1" ht="18" customHeight="1" spans="1:15">
      <c r="A57" s="58"/>
      <c r="B57" s="22">
        <f t="shared" si="5"/>
        <v>0</v>
      </c>
      <c r="C57" s="58"/>
      <c r="D57" s="47"/>
      <c r="E57" s="49"/>
      <c r="F57" s="37">
        <f t="shared" si="3"/>
        <v>0</v>
      </c>
      <c r="G57" s="33"/>
      <c r="H57" s="59">
        <v>44224</v>
      </c>
      <c r="I57" s="79">
        <v>500000</v>
      </c>
      <c r="J57" s="79" t="s">
        <v>22</v>
      </c>
      <c r="K57" s="79" t="s">
        <v>140</v>
      </c>
      <c r="L57" s="80"/>
      <c r="M57" s="79"/>
      <c r="N57" s="67"/>
      <c r="O57" s="58"/>
    </row>
    <row r="58" s="1" customFormat="1" ht="18" customHeight="1" spans="1:15">
      <c r="A58" s="58">
        <v>2021.2</v>
      </c>
      <c r="B58" s="22">
        <f t="shared" si="5"/>
        <v>436893.2</v>
      </c>
      <c r="C58" s="58">
        <v>5</v>
      </c>
      <c r="D58" s="47" t="s">
        <v>43</v>
      </c>
      <c r="E58" s="49">
        <v>0.03</v>
      </c>
      <c r="F58" s="37">
        <f t="shared" si="3"/>
        <v>13106.8</v>
      </c>
      <c r="G58" s="33">
        <v>450000</v>
      </c>
      <c r="H58" s="59">
        <v>44249</v>
      </c>
      <c r="I58" s="79">
        <v>450000</v>
      </c>
      <c r="J58" s="79" t="s">
        <v>22</v>
      </c>
      <c r="K58" s="79" t="s">
        <v>66</v>
      </c>
      <c r="L58" s="80"/>
      <c r="M58" s="79"/>
      <c r="N58" s="67"/>
      <c r="O58" s="58"/>
    </row>
    <row r="59" s="1" customFormat="1" ht="18" customHeight="1" spans="1:15">
      <c r="A59" s="58">
        <v>2021.3</v>
      </c>
      <c r="B59" s="22">
        <f t="shared" si="5"/>
        <v>775600</v>
      </c>
      <c r="C59" s="58">
        <v>1</v>
      </c>
      <c r="D59" s="47" t="s">
        <v>141</v>
      </c>
      <c r="E59" s="49"/>
      <c r="F59" s="37">
        <f t="shared" si="3"/>
        <v>0</v>
      </c>
      <c r="G59" s="51">
        <v>775600</v>
      </c>
      <c r="H59" s="59">
        <v>44249</v>
      </c>
      <c r="I59" s="79">
        <v>600000</v>
      </c>
      <c r="J59" s="79" t="s">
        <v>22</v>
      </c>
      <c r="K59" s="79" t="s">
        <v>142</v>
      </c>
      <c r="L59" s="80"/>
      <c r="M59" s="79"/>
      <c r="N59" s="67"/>
      <c r="O59" s="58"/>
    </row>
    <row r="60" s="1" customFormat="1" ht="18" customHeight="1" spans="1:15">
      <c r="A60" s="58"/>
      <c r="B60" s="22">
        <f t="shared" si="5"/>
        <v>0</v>
      </c>
      <c r="C60" s="58"/>
      <c r="D60" s="47"/>
      <c r="E60" s="49"/>
      <c r="F60" s="37"/>
      <c r="G60" s="33"/>
      <c r="H60" s="59">
        <v>44271</v>
      </c>
      <c r="I60" s="79">
        <v>500000</v>
      </c>
      <c r="J60" s="79" t="s">
        <v>22</v>
      </c>
      <c r="K60" s="79" t="s">
        <v>140</v>
      </c>
      <c r="L60" s="80"/>
      <c r="M60" s="79"/>
      <c r="N60" s="67"/>
      <c r="O60" s="58"/>
    </row>
    <row r="61" s="1" customFormat="1" ht="18" customHeight="1" spans="1:15">
      <c r="A61" s="58"/>
      <c r="B61" s="22"/>
      <c r="C61" s="58"/>
      <c r="D61" s="47"/>
      <c r="E61" s="49"/>
      <c r="F61" s="37"/>
      <c r="G61" s="33"/>
      <c r="H61" s="59"/>
      <c r="I61" s="79"/>
      <c r="J61" s="79"/>
      <c r="K61" s="79"/>
      <c r="L61" s="80"/>
      <c r="M61" s="79"/>
      <c r="N61" s="67"/>
      <c r="O61" s="58"/>
    </row>
    <row r="62" s="1" customFormat="1" ht="18" customHeight="1" spans="1:15">
      <c r="A62" s="58"/>
      <c r="B62" s="22"/>
      <c r="C62" s="58"/>
      <c r="D62" s="47"/>
      <c r="E62" s="49"/>
      <c r="F62" s="37"/>
      <c r="G62" s="33"/>
      <c r="H62" s="59"/>
      <c r="I62" s="79"/>
      <c r="J62" s="79"/>
      <c r="K62" s="79"/>
      <c r="L62" s="80"/>
      <c r="M62" s="79"/>
      <c r="N62" s="67"/>
      <c r="O62" s="58"/>
    </row>
    <row r="63" s="1" customFormat="1" ht="18" customHeight="1" spans="1:15">
      <c r="A63" s="58"/>
      <c r="B63" s="22">
        <f t="shared" ref="B63:B70" si="6">ROUND(G63/(1+E63),2)</f>
        <v>0</v>
      </c>
      <c r="C63" s="58"/>
      <c r="D63" s="47"/>
      <c r="E63" s="49"/>
      <c r="F63" s="22"/>
      <c r="G63" s="33"/>
      <c r="H63" s="59"/>
      <c r="I63" s="79"/>
      <c r="J63" s="79"/>
      <c r="K63" s="79"/>
      <c r="L63" s="80"/>
      <c r="M63" s="79"/>
      <c r="N63" s="67"/>
      <c r="O63" s="58"/>
    </row>
    <row r="64" s="1" customFormat="1" ht="18" customHeight="1" spans="1:15">
      <c r="A64" s="58"/>
      <c r="B64" s="22">
        <f t="shared" si="6"/>
        <v>0</v>
      </c>
      <c r="C64" s="58"/>
      <c r="D64" s="47"/>
      <c r="E64" s="49"/>
      <c r="F64" s="22"/>
      <c r="G64" s="33"/>
      <c r="H64" s="59"/>
      <c r="I64" s="79"/>
      <c r="J64" s="79"/>
      <c r="K64" s="79"/>
      <c r="L64" s="80"/>
      <c r="M64" s="79"/>
      <c r="N64" s="67"/>
      <c r="O64" s="58"/>
    </row>
    <row r="65" s="1" customFormat="1" ht="18" customHeight="1" spans="1:15">
      <c r="A65" s="58"/>
      <c r="B65" s="22">
        <f t="shared" si="6"/>
        <v>0</v>
      </c>
      <c r="C65" s="58"/>
      <c r="D65" s="47"/>
      <c r="E65" s="49"/>
      <c r="F65" s="22"/>
      <c r="G65" s="33"/>
      <c r="H65" s="59">
        <v>44271</v>
      </c>
      <c r="I65" s="79">
        <v>100</v>
      </c>
      <c r="J65" s="109" t="s">
        <v>79</v>
      </c>
      <c r="K65" s="110" t="s">
        <v>81</v>
      </c>
      <c r="L65" s="80"/>
      <c r="M65" s="79"/>
      <c r="N65" s="67"/>
      <c r="O65" s="58"/>
    </row>
    <row r="66" s="1" customFormat="1" ht="18" customHeight="1" spans="1:15">
      <c r="A66" s="58"/>
      <c r="B66" s="22">
        <f t="shared" si="6"/>
        <v>0</v>
      </c>
      <c r="C66" s="58"/>
      <c r="D66" s="47"/>
      <c r="E66" s="49"/>
      <c r="F66" s="22"/>
      <c r="G66" s="33"/>
      <c r="H66" s="59">
        <v>44249</v>
      </c>
      <c r="I66" s="79">
        <v>200</v>
      </c>
      <c r="J66" s="109" t="s">
        <v>79</v>
      </c>
      <c r="K66" s="110" t="s">
        <v>81</v>
      </c>
      <c r="L66" s="80"/>
      <c r="M66" s="79"/>
      <c r="N66" s="67"/>
      <c r="O66" s="58"/>
    </row>
    <row r="67" s="1" customFormat="1" ht="18" customHeight="1" spans="1:15">
      <c r="A67" s="58">
        <v>21.2</v>
      </c>
      <c r="B67" s="22">
        <f t="shared" si="6"/>
        <v>22241.92</v>
      </c>
      <c r="C67" s="58"/>
      <c r="D67" s="47"/>
      <c r="E67" s="49"/>
      <c r="F67" s="22"/>
      <c r="G67" s="33">
        <v>22241.92</v>
      </c>
      <c r="H67" s="59">
        <v>44249</v>
      </c>
      <c r="I67" s="79">
        <v>22241.92</v>
      </c>
      <c r="J67" s="79" t="s">
        <v>79</v>
      </c>
      <c r="K67" s="79" t="s">
        <v>143</v>
      </c>
      <c r="L67" s="80"/>
      <c r="M67" s="79"/>
      <c r="N67" s="67"/>
      <c r="O67" s="58"/>
    </row>
    <row r="68" s="1" customFormat="1" ht="18" customHeight="1" spans="1:15">
      <c r="A68" s="58"/>
      <c r="B68" s="22">
        <f t="shared" si="6"/>
        <v>0</v>
      </c>
      <c r="C68" s="58"/>
      <c r="D68" s="47"/>
      <c r="E68" s="49"/>
      <c r="F68" s="22"/>
      <c r="G68" s="33"/>
      <c r="H68" s="59">
        <v>44249</v>
      </c>
      <c r="I68" s="79">
        <v>24176</v>
      </c>
      <c r="J68" s="79" t="s">
        <v>79</v>
      </c>
      <c r="K68" s="79" t="s">
        <v>144</v>
      </c>
      <c r="L68" s="80"/>
      <c r="M68" s="79"/>
      <c r="N68" s="67"/>
      <c r="O68" s="58"/>
    </row>
    <row r="69" s="1" customFormat="1" ht="18" customHeight="1" spans="1:15">
      <c r="A69" s="58"/>
      <c r="B69" s="22">
        <f t="shared" si="6"/>
        <v>0</v>
      </c>
      <c r="C69" s="58"/>
      <c r="D69" s="47"/>
      <c r="E69" s="49"/>
      <c r="F69" s="22"/>
      <c r="G69" s="33"/>
      <c r="H69" s="59">
        <v>44249</v>
      </c>
      <c r="I69" s="79">
        <v>22932</v>
      </c>
      <c r="J69" s="111" t="s">
        <v>79</v>
      </c>
      <c r="K69" s="79" t="s">
        <v>145</v>
      </c>
      <c r="L69" s="80"/>
      <c r="M69" s="79"/>
      <c r="N69" s="67"/>
      <c r="O69" s="58"/>
    </row>
    <row r="70" s="1" customFormat="1" ht="18" customHeight="1" spans="1:15">
      <c r="A70" s="58"/>
      <c r="B70" s="22">
        <f t="shared" si="6"/>
        <v>0</v>
      </c>
      <c r="C70" s="58"/>
      <c r="D70" s="47"/>
      <c r="E70" s="49"/>
      <c r="F70" s="22"/>
      <c r="G70" s="33"/>
      <c r="H70" s="59">
        <v>44224</v>
      </c>
      <c r="I70" s="79">
        <v>100</v>
      </c>
      <c r="J70" s="109" t="s">
        <v>79</v>
      </c>
      <c r="K70" s="110" t="s">
        <v>81</v>
      </c>
      <c r="L70" s="80"/>
      <c r="M70" s="79"/>
      <c r="N70" s="67"/>
      <c r="O70" s="58"/>
    </row>
    <row r="71" s="1" customFormat="1" ht="18" customHeight="1" spans="1:15">
      <c r="A71" s="58"/>
      <c r="B71" s="22">
        <f t="shared" ref="B70:B95" si="7">ROUND(G71/(1+E71),2)</f>
        <v>0</v>
      </c>
      <c r="C71" s="58"/>
      <c r="D71" s="47"/>
      <c r="E71" s="49"/>
      <c r="F71" s="22"/>
      <c r="G71" s="33"/>
      <c r="H71" s="59">
        <v>44211</v>
      </c>
      <c r="I71" s="79">
        <v>100</v>
      </c>
      <c r="J71" s="109" t="s">
        <v>79</v>
      </c>
      <c r="K71" s="110" t="s">
        <v>81</v>
      </c>
      <c r="L71" s="80"/>
      <c r="M71" s="79"/>
      <c r="N71" s="67"/>
      <c r="O71" s="58"/>
    </row>
    <row r="72" s="1" customFormat="1" ht="18" customHeight="1" spans="1:15">
      <c r="A72" s="58"/>
      <c r="B72" s="22">
        <f t="shared" si="7"/>
        <v>0</v>
      </c>
      <c r="C72" s="58"/>
      <c r="D72" s="47"/>
      <c r="E72" s="49"/>
      <c r="F72" s="22"/>
      <c r="G72" s="33"/>
      <c r="H72" s="59">
        <v>44195</v>
      </c>
      <c r="I72" s="79">
        <v>22498</v>
      </c>
      <c r="J72" s="79" t="s">
        <v>79</v>
      </c>
      <c r="K72" s="79" t="s">
        <v>127</v>
      </c>
      <c r="L72" s="80"/>
      <c r="M72" s="79"/>
      <c r="N72" s="67"/>
      <c r="O72" s="58"/>
    </row>
    <row r="73" s="1" customFormat="1" ht="18" customHeight="1" spans="1:15">
      <c r="A73" s="58"/>
      <c r="B73" s="22">
        <f t="shared" si="7"/>
        <v>0</v>
      </c>
      <c r="C73" s="58"/>
      <c r="D73" s="47"/>
      <c r="E73" s="49"/>
      <c r="F73" s="22"/>
      <c r="G73" s="33"/>
      <c r="H73" s="59">
        <v>44195</v>
      </c>
      <c r="I73" s="79">
        <v>300</v>
      </c>
      <c r="J73" s="109" t="s">
        <v>79</v>
      </c>
      <c r="K73" s="110" t="s">
        <v>81</v>
      </c>
      <c r="L73" s="80"/>
      <c r="M73" s="79"/>
      <c r="N73" s="67"/>
      <c r="O73" s="58"/>
    </row>
    <row r="74" s="1" customFormat="1" ht="18" customHeight="1" spans="1:15">
      <c r="A74" s="58"/>
      <c r="B74" s="22">
        <f t="shared" si="7"/>
        <v>0</v>
      </c>
      <c r="C74" s="58"/>
      <c r="D74" s="47"/>
      <c r="E74" s="49"/>
      <c r="F74" s="22"/>
      <c r="G74" s="33"/>
      <c r="H74" s="59">
        <v>44195</v>
      </c>
      <c r="I74" s="79">
        <v>42000</v>
      </c>
      <c r="J74" s="111" t="s">
        <v>79</v>
      </c>
      <c r="K74" s="79" t="s">
        <v>128</v>
      </c>
      <c r="L74" s="80"/>
      <c r="M74" s="79"/>
      <c r="N74" s="67"/>
      <c r="O74" s="58"/>
    </row>
    <row r="75" s="1" customFormat="1" ht="18" customHeight="1" spans="1:15">
      <c r="A75" s="58" t="s">
        <v>129</v>
      </c>
      <c r="B75" s="22">
        <f t="shared" si="7"/>
        <v>22498</v>
      </c>
      <c r="C75" s="58"/>
      <c r="D75" s="47"/>
      <c r="E75" s="49"/>
      <c r="F75" s="22"/>
      <c r="G75" s="33">
        <v>22498</v>
      </c>
      <c r="H75" s="59">
        <v>44195</v>
      </c>
      <c r="I75" s="79">
        <v>22498</v>
      </c>
      <c r="J75" s="111" t="s">
        <v>79</v>
      </c>
      <c r="K75" s="75" t="s">
        <v>130</v>
      </c>
      <c r="L75" s="80"/>
      <c r="M75" s="79"/>
      <c r="N75" s="67"/>
      <c r="O75" s="58"/>
    </row>
    <row r="76" s="1" customFormat="1" ht="18" customHeight="1" spans="1:15">
      <c r="A76" s="58"/>
      <c r="B76" s="22">
        <f t="shared" si="7"/>
        <v>0</v>
      </c>
      <c r="C76" s="58"/>
      <c r="D76" s="47"/>
      <c r="E76" s="49"/>
      <c r="F76" s="22"/>
      <c r="G76" s="33"/>
      <c r="H76" s="59">
        <v>44182</v>
      </c>
      <c r="I76" s="79">
        <v>-14034.21</v>
      </c>
      <c r="J76" s="112" t="s">
        <v>112</v>
      </c>
      <c r="K76" s="79" t="s">
        <v>113</v>
      </c>
      <c r="L76" s="80"/>
      <c r="M76" s="79"/>
      <c r="N76" s="67"/>
      <c r="O76" s="58"/>
    </row>
    <row r="77" s="1" customFormat="1" ht="18" customHeight="1" spans="1:15">
      <c r="A77" s="58"/>
      <c r="B77" s="22">
        <f t="shared" si="7"/>
        <v>0</v>
      </c>
      <c r="C77" s="58"/>
      <c r="D77" s="47"/>
      <c r="E77" s="49"/>
      <c r="F77" s="22"/>
      <c r="G77" s="33"/>
      <c r="H77" s="59">
        <v>44182</v>
      </c>
      <c r="I77" s="79">
        <v>100</v>
      </c>
      <c r="J77" s="109" t="s">
        <v>79</v>
      </c>
      <c r="K77" s="110" t="s">
        <v>81</v>
      </c>
      <c r="L77" s="80"/>
      <c r="M77" s="79"/>
      <c r="N77" s="67"/>
      <c r="O77" s="58"/>
    </row>
    <row r="78" s="1" customFormat="1" ht="18" customHeight="1" spans="1:15">
      <c r="A78" s="58"/>
      <c r="B78" s="22">
        <f t="shared" si="7"/>
        <v>0</v>
      </c>
      <c r="C78" s="58"/>
      <c r="D78" s="47"/>
      <c r="E78" s="49"/>
      <c r="F78" s="22"/>
      <c r="G78" s="33"/>
      <c r="H78" s="59">
        <v>44182</v>
      </c>
      <c r="I78" s="79">
        <v>8174</v>
      </c>
      <c r="J78" s="109" t="s">
        <v>79</v>
      </c>
      <c r="K78" s="79" t="s">
        <v>124</v>
      </c>
      <c r="L78" s="80"/>
      <c r="M78" s="79"/>
      <c r="N78" s="67"/>
      <c r="O78" s="58"/>
    </row>
    <row r="79" s="1" customFormat="1" ht="18" customHeight="1" spans="1:15">
      <c r="A79" s="58"/>
      <c r="B79" s="22">
        <f t="shared" si="7"/>
        <v>0</v>
      </c>
      <c r="C79" s="58"/>
      <c r="D79" s="47"/>
      <c r="E79" s="49"/>
      <c r="F79" s="22"/>
      <c r="G79" s="33"/>
      <c r="H79" s="59">
        <v>44180</v>
      </c>
      <c r="I79" s="79">
        <v>150</v>
      </c>
      <c r="J79" s="109" t="s">
        <v>79</v>
      </c>
      <c r="K79" s="110" t="s">
        <v>81</v>
      </c>
      <c r="L79" s="80"/>
      <c r="M79" s="79"/>
      <c r="N79" s="67"/>
      <c r="O79" s="58"/>
    </row>
    <row r="80" s="1" customFormat="1" ht="18" customHeight="1" spans="1:15">
      <c r="A80" s="58"/>
      <c r="B80" s="22">
        <f t="shared" si="7"/>
        <v>0</v>
      </c>
      <c r="C80" s="58"/>
      <c r="D80" s="47"/>
      <c r="E80" s="49"/>
      <c r="F80" s="22"/>
      <c r="G80" s="33"/>
      <c r="H80" s="59">
        <v>44174</v>
      </c>
      <c r="I80" s="79">
        <v>200</v>
      </c>
      <c r="J80" s="109" t="s">
        <v>79</v>
      </c>
      <c r="K80" s="110" t="s">
        <v>81</v>
      </c>
      <c r="L80" s="80"/>
      <c r="M80" s="79"/>
      <c r="N80" s="67"/>
      <c r="O80" s="58"/>
    </row>
    <row r="81" s="1" customFormat="1" ht="18" customHeight="1" spans="1:15">
      <c r="A81" s="58" t="s">
        <v>133</v>
      </c>
      <c r="B81" s="22">
        <f t="shared" si="7"/>
        <v>15115.6</v>
      </c>
      <c r="C81" s="58"/>
      <c r="D81" s="47"/>
      <c r="E81" s="49"/>
      <c r="F81" s="22"/>
      <c r="G81" s="33">
        <v>15115.6</v>
      </c>
      <c r="H81" s="59">
        <v>44174</v>
      </c>
      <c r="I81" s="79">
        <v>15115.6</v>
      </c>
      <c r="J81" s="111" t="s">
        <v>79</v>
      </c>
      <c r="K81" s="75" t="s">
        <v>82</v>
      </c>
      <c r="L81" s="80"/>
      <c r="M81" s="79"/>
      <c r="N81" s="67"/>
      <c r="O81" s="58"/>
    </row>
    <row r="82" s="1" customFormat="1" ht="18" customHeight="1" spans="1:15">
      <c r="A82" s="58"/>
      <c r="B82" s="22">
        <f t="shared" si="7"/>
        <v>0</v>
      </c>
      <c r="C82" s="58"/>
      <c r="D82" s="47"/>
      <c r="E82" s="49"/>
      <c r="F82" s="22"/>
      <c r="G82" s="33"/>
      <c r="H82" s="59">
        <v>44174</v>
      </c>
      <c r="I82" s="79">
        <v>902</v>
      </c>
      <c r="J82" s="79" t="s">
        <v>79</v>
      </c>
      <c r="K82" s="79" t="s">
        <v>110</v>
      </c>
      <c r="L82" s="80"/>
      <c r="M82" s="79"/>
      <c r="N82" s="67"/>
      <c r="O82" s="58"/>
    </row>
    <row r="83" s="1" customFormat="1" ht="18" customHeight="1" spans="1:15">
      <c r="A83" s="58"/>
      <c r="B83" s="22">
        <f t="shared" si="7"/>
        <v>0</v>
      </c>
      <c r="C83" s="58"/>
      <c r="D83" s="47"/>
      <c r="E83" s="49"/>
      <c r="F83" s="22"/>
      <c r="G83" s="33"/>
      <c r="H83" s="59">
        <v>44174</v>
      </c>
      <c r="I83" s="79">
        <v>15116</v>
      </c>
      <c r="J83" s="109" t="s">
        <v>79</v>
      </c>
      <c r="K83" s="113" t="s">
        <v>111</v>
      </c>
      <c r="L83" s="80"/>
      <c r="M83" s="79"/>
      <c r="N83" s="67"/>
      <c r="O83" s="58"/>
    </row>
    <row r="84" s="1" customFormat="1" ht="18" customHeight="1" spans="1:15">
      <c r="A84" s="58"/>
      <c r="B84" s="22">
        <f t="shared" si="7"/>
        <v>0</v>
      </c>
      <c r="C84" s="58"/>
      <c r="D84" s="47"/>
      <c r="E84" s="49"/>
      <c r="F84" s="22"/>
      <c r="G84" s="33"/>
      <c r="H84" s="59">
        <v>44137</v>
      </c>
      <c r="I84" s="79">
        <v>100</v>
      </c>
      <c r="J84" s="109" t="s">
        <v>79</v>
      </c>
      <c r="K84" s="110" t="s">
        <v>81</v>
      </c>
      <c r="L84" s="80"/>
      <c r="M84" s="79"/>
      <c r="N84" s="67"/>
      <c r="O84" s="58"/>
    </row>
    <row r="85" s="1" customFormat="1" ht="18" customHeight="1" spans="1:15">
      <c r="A85" s="58"/>
      <c r="B85" s="22">
        <f t="shared" si="7"/>
        <v>0</v>
      </c>
      <c r="C85" s="58"/>
      <c r="D85" s="58"/>
      <c r="E85" s="49"/>
      <c r="F85" s="58"/>
      <c r="G85" s="33"/>
      <c r="H85" s="59">
        <v>44137</v>
      </c>
      <c r="I85" s="114">
        <v>-167249.11</v>
      </c>
      <c r="J85" s="112" t="s">
        <v>112</v>
      </c>
      <c r="K85" s="79" t="s">
        <v>113</v>
      </c>
      <c r="L85" s="58"/>
      <c r="M85" s="67"/>
      <c r="N85" s="67"/>
      <c r="O85" s="58"/>
    </row>
    <row r="86" s="1" customFormat="1" ht="18" customHeight="1" spans="1:15">
      <c r="A86" s="58"/>
      <c r="B86" s="22">
        <f t="shared" si="7"/>
        <v>0</v>
      </c>
      <c r="C86" s="58"/>
      <c r="D86" s="58"/>
      <c r="E86" s="49"/>
      <c r="F86" s="58"/>
      <c r="G86" s="33"/>
      <c r="H86" s="85">
        <v>44103</v>
      </c>
      <c r="I86" s="115">
        <v>7127</v>
      </c>
      <c r="J86" s="116" t="s">
        <v>79</v>
      </c>
      <c r="K86" s="79" t="s">
        <v>80</v>
      </c>
      <c r="L86" s="58"/>
      <c r="M86" s="67"/>
      <c r="N86" s="67"/>
      <c r="O86" s="58"/>
    </row>
    <row r="87" s="1" customFormat="1" ht="18" customHeight="1" spans="1:15">
      <c r="A87" s="35"/>
      <c r="B87" s="22">
        <f t="shared" si="7"/>
        <v>0</v>
      </c>
      <c r="C87" s="46"/>
      <c r="D87" s="47"/>
      <c r="E87" s="49"/>
      <c r="F87" s="22"/>
      <c r="G87" s="33"/>
      <c r="H87" s="85">
        <v>44103</v>
      </c>
      <c r="I87" s="109">
        <v>250</v>
      </c>
      <c r="J87" s="109" t="s">
        <v>79</v>
      </c>
      <c r="K87" s="110" t="s">
        <v>81</v>
      </c>
      <c r="L87" s="58"/>
      <c r="M87" s="67"/>
      <c r="N87" s="67"/>
      <c r="O87" s="58"/>
    </row>
    <row r="88" s="1" customFormat="1" ht="18" customHeight="1" spans="1:15">
      <c r="A88" s="35" t="s">
        <v>50</v>
      </c>
      <c r="B88" s="22">
        <f t="shared" si="7"/>
        <v>17653.4</v>
      </c>
      <c r="C88" s="46"/>
      <c r="D88" s="47"/>
      <c r="E88" s="49"/>
      <c r="F88" s="22"/>
      <c r="G88" s="33">
        <v>17653.4</v>
      </c>
      <c r="H88" s="57">
        <v>44103</v>
      </c>
      <c r="I88" s="109">
        <v>17653.4</v>
      </c>
      <c r="J88" s="111" t="s">
        <v>79</v>
      </c>
      <c r="K88" s="75" t="s">
        <v>82</v>
      </c>
      <c r="L88" s="58"/>
      <c r="M88" s="67"/>
      <c r="N88" s="67"/>
      <c r="O88" s="58"/>
    </row>
    <row r="89" s="1" customFormat="1" ht="18" customHeight="1" spans="1:15">
      <c r="A89" s="35" t="s">
        <v>83</v>
      </c>
      <c r="B89" s="22">
        <f t="shared" si="7"/>
        <v>2000</v>
      </c>
      <c r="C89" s="46"/>
      <c r="D89" s="47"/>
      <c r="E89" s="49"/>
      <c r="F89" s="22"/>
      <c r="G89" s="33">
        <v>2000</v>
      </c>
      <c r="H89" s="57">
        <v>44103</v>
      </c>
      <c r="I89" s="117">
        <v>2000</v>
      </c>
      <c r="J89" s="118" t="s">
        <v>79</v>
      </c>
      <c r="K89" s="113" t="s">
        <v>84</v>
      </c>
      <c r="L89" s="76"/>
      <c r="M89" s="67"/>
      <c r="N89" s="67"/>
      <c r="O89" s="58"/>
    </row>
    <row r="90" s="1" customFormat="1" ht="18" customHeight="1" spans="1:15">
      <c r="A90" s="35"/>
      <c r="B90" s="22">
        <f t="shared" si="7"/>
        <v>0</v>
      </c>
      <c r="C90" s="46"/>
      <c r="D90" s="47"/>
      <c r="E90" s="49"/>
      <c r="F90" s="22">
        <f>ROUND(G90/(1+E90)*E90,2)</f>
        <v>0</v>
      </c>
      <c r="G90" s="33"/>
      <c r="H90" s="57">
        <v>44103</v>
      </c>
      <c r="I90" s="119">
        <v>181283.32</v>
      </c>
      <c r="J90" s="118" t="s">
        <v>85</v>
      </c>
      <c r="K90" s="113" t="s">
        <v>86</v>
      </c>
      <c r="L90" s="58"/>
      <c r="M90" s="67"/>
      <c r="N90" s="67"/>
      <c r="O90" s="58"/>
    </row>
    <row r="91" s="1" customFormat="1" ht="18" customHeight="1" spans="1:15">
      <c r="A91" s="35"/>
      <c r="B91" s="22"/>
      <c r="C91" s="46"/>
      <c r="D91" s="47"/>
      <c r="E91" s="49"/>
      <c r="F91" s="22"/>
      <c r="G91" s="33"/>
      <c r="H91" s="57">
        <v>44103</v>
      </c>
      <c r="I91" s="119">
        <f>G110-I92</f>
        <v>1070.98488073398</v>
      </c>
      <c r="J91" s="118" t="s">
        <v>79</v>
      </c>
      <c r="K91" s="113" t="s">
        <v>146</v>
      </c>
      <c r="L91" s="58"/>
      <c r="M91" s="67"/>
      <c r="N91" s="67"/>
      <c r="O91" s="58"/>
    </row>
    <row r="92" s="1" customFormat="1" ht="18" customHeight="1" spans="1:15">
      <c r="A92" s="35"/>
      <c r="B92" s="22">
        <f>ROUND(G92/(1+E92),2)</f>
        <v>0</v>
      </c>
      <c r="C92" s="46"/>
      <c r="D92" s="47"/>
      <c r="E92" s="48"/>
      <c r="F92" s="22">
        <f>ROUND(G92/(1+E92)*E92,2)</f>
        <v>0</v>
      </c>
      <c r="G92" s="33"/>
      <c r="H92" s="57">
        <v>44103</v>
      </c>
      <c r="I92" s="119">
        <v>58904.32</v>
      </c>
      <c r="J92" s="118" t="s">
        <v>79</v>
      </c>
      <c r="K92" s="113" t="s">
        <v>87</v>
      </c>
      <c r="L92" s="58"/>
      <c r="M92" s="67"/>
      <c r="N92" s="67"/>
      <c r="O92" s="58"/>
    </row>
    <row r="93" s="1" customFormat="1" ht="18" customHeight="1" spans="1:15">
      <c r="A93" s="35"/>
      <c r="B93" s="22">
        <f>ROUND(G93/(1+E93),2)</f>
        <v>0</v>
      </c>
      <c r="C93" s="46"/>
      <c r="D93" s="47"/>
      <c r="E93" s="48"/>
      <c r="F93" s="22">
        <f>ROUND(G93/(1+E93)*E93,2)</f>
        <v>0</v>
      </c>
      <c r="G93" s="33"/>
      <c r="H93" s="57">
        <v>44103</v>
      </c>
      <c r="I93" s="119">
        <v>17653.4</v>
      </c>
      <c r="J93" s="118" t="s">
        <v>79</v>
      </c>
      <c r="K93" s="113" t="s">
        <v>88</v>
      </c>
      <c r="L93" s="58"/>
      <c r="M93" s="67"/>
      <c r="N93" s="67"/>
      <c r="O93" s="58"/>
    </row>
    <row r="94" s="1" customFormat="1" ht="18" customHeight="1" spans="1:15">
      <c r="A94" s="35"/>
      <c r="B94" s="22">
        <f>ROUND(G94/(1+E94),2)</f>
        <v>0</v>
      </c>
      <c r="C94" s="46"/>
      <c r="D94" s="47"/>
      <c r="E94" s="48"/>
      <c r="F94" s="22">
        <f>ROUND(G94/(1+E94)*E94,2)</f>
        <v>0</v>
      </c>
      <c r="G94" s="33"/>
      <c r="H94" s="57">
        <v>43986</v>
      </c>
      <c r="I94" s="119">
        <v>50</v>
      </c>
      <c r="J94" s="118" t="s">
        <v>79</v>
      </c>
      <c r="K94" s="113" t="s">
        <v>89</v>
      </c>
      <c r="L94" s="58"/>
      <c r="M94" s="67"/>
      <c r="N94" s="67"/>
      <c r="O94" s="58"/>
    </row>
    <row r="95" s="1" customFormat="1" ht="18" customHeight="1" spans="1:15">
      <c r="A95" s="35"/>
      <c r="B95" s="22">
        <f>ROUND(G95/(1+E95),2)</f>
        <v>0</v>
      </c>
      <c r="C95" s="46"/>
      <c r="D95" s="47"/>
      <c r="E95" s="48"/>
      <c r="F95" s="22">
        <f>ROUND(G95/(1+E95)*E95,2)</f>
        <v>0</v>
      </c>
      <c r="G95" s="33"/>
      <c r="H95" s="57">
        <v>43984</v>
      </c>
      <c r="I95" s="119">
        <v>50</v>
      </c>
      <c r="J95" s="118" t="s">
        <v>79</v>
      </c>
      <c r="K95" s="113" t="s">
        <v>89</v>
      </c>
      <c r="L95" s="58"/>
      <c r="M95" s="67"/>
      <c r="N95" s="67"/>
      <c r="O95" s="58"/>
    </row>
    <row r="96" s="1" customFormat="1" ht="18" customHeight="1" spans="1:15">
      <c r="A96" s="35"/>
      <c r="B96" s="22">
        <f>ROUND(G96/(1+E96),2)</f>
        <v>0</v>
      </c>
      <c r="C96" s="46"/>
      <c r="D96" s="47"/>
      <c r="E96" s="48"/>
      <c r="F96" s="22">
        <f>ROUND(G96/(1+E96)*E96,2)</f>
        <v>0</v>
      </c>
      <c r="G96" s="33"/>
      <c r="H96" s="34">
        <v>43978</v>
      </c>
      <c r="I96" s="20">
        <v>50</v>
      </c>
      <c r="J96" s="44" t="s">
        <v>79</v>
      </c>
      <c r="K96" s="47" t="s">
        <v>89</v>
      </c>
      <c r="L96" s="58"/>
      <c r="M96" s="67"/>
      <c r="N96" s="67"/>
      <c r="O96" s="58"/>
    </row>
    <row r="97" ht="18" customHeight="1" spans="1:15">
      <c r="A97" s="39" t="s">
        <v>23</v>
      </c>
      <c r="B97" s="40">
        <f>SUM(B17:B96)</f>
        <v>3945606.37</v>
      </c>
      <c r="C97" s="40">
        <f>SUM(C26:C96)</f>
        <v>68</v>
      </c>
      <c r="D97" s="40">
        <f>SUM(D26:D96)</f>
        <v>0</v>
      </c>
      <c r="E97" s="40">
        <f>SUM(E26:E96)</f>
        <v>1.52</v>
      </c>
      <c r="F97" s="40">
        <f>SUM(F17:F96)</f>
        <v>166003.52</v>
      </c>
      <c r="G97" s="86">
        <f>SUM(G18:G96)</f>
        <v>4111609.89</v>
      </c>
      <c r="H97" s="27"/>
      <c r="I97" s="25">
        <f>SUM(I17:I96)</f>
        <v>3864712.62488073</v>
      </c>
      <c r="J97" s="120"/>
      <c r="K97" s="121"/>
      <c r="L97" s="93"/>
      <c r="M97" s="44"/>
      <c r="N97" s="44"/>
      <c r="O97" s="93"/>
    </row>
    <row r="98" ht="18" customHeight="1" spans="1:14">
      <c r="A98" s="87" t="s">
        <v>90</v>
      </c>
      <c r="B98" s="88">
        <f>B14*0.92</f>
        <v>3352640.36697248</v>
      </c>
      <c r="C98" s="89"/>
      <c r="D98" s="90"/>
      <c r="E98" s="90"/>
      <c r="F98" s="88"/>
      <c r="G98" s="88">
        <f>G14-G97</f>
        <v>-139459.89</v>
      </c>
      <c r="H98" s="27" t="s">
        <v>91</v>
      </c>
      <c r="I98" s="25">
        <f>I14-I97</f>
        <v>10733.3751192666</v>
      </c>
      <c r="J98" s="9"/>
      <c r="K98" s="122"/>
      <c r="M98" s="9"/>
      <c r="N98" s="9"/>
    </row>
    <row r="99" ht="18" customHeight="1" spans="1:14">
      <c r="A99" s="87" t="s">
        <v>92</v>
      </c>
      <c r="B99" s="88">
        <f>B98-B97</f>
        <v>-592966.00302752</v>
      </c>
      <c r="C99" s="89"/>
      <c r="D99" s="90"/>
      <c r="E99" s="90"/>
      <c r="F99" s="88"/>
      <c r="G99" s="88"/>
      <c r="H99" s="91"/>
      <c r="I99" s="123"/>
      <c r="J99" s="9"/>
      <c r="K99" s="122"/>
      <c r="M99" s="9"/>
      <c r="N99" s="9"/>
    </row>
    <row r="100" ht="18" customHeight="1" spans="1:3">
      <c r="A100" s="3" t="s">
        <v>93</v>
      </c>
      <c r="C100" s="92"/>
    </row>
    <row r="101" ht="18" customHeight="1" spans="1:15">
      <c r="A101" s="24" t="s">
        <v>94</v>
      </c>
      <c r="B101" s="25" t="s">
        <v>95</v>
      </c>
      <c r="C101" s="93"/>
      <c r="D101" s="27" t="s">
        <v>94</v>
      </c>
      <c r="E101" s="26" t="s">
        <v>16</v>
      </c>
      <c r="F101" s="94" t="s">
        <v>95</v>
      </c>
      <c r="G101" s="25" t="s">
        <v>114</v>
      </c>
      <c r="H101" s="95" t="s">
        <v>116</v>
      </c>
      <c r="I101" s="44" t="s">
        <v>147</v>
      </c>
      <c r="J101" s="44"/>
      <c r="K101" s="98" t="s">
        <v>148</v>
      </c>
      <c r="L101" s="124" t="s">
        <v>36</v>
      </c>
      <c r="M101" s="124"/>
      <c r="N101" s="124"/>
      <c r="O101" s="124"/>
    </row>
    <row r="102" ht="18" customHeight="1" spans="1:15">
      <c r="A102" s="14" t="s">
        <v>96</v>
      </c>
      <c r="B102" s="22">
        <f>(B98-B97)*0.25</f>
        <v>-148241.50075688</v>
      </c>
      <c r="C102" s="93"/>
      <c r="D102" s="96" t="s">
        <v>97</v>
      </c>
      <c r="E102" s="27" t="s">
        <v>98</v>
      </c>
      <c r="F102" s="97">
        <f>F14-F97</f>
        <v>89088.681834862</v>
      </c>
      <c r="G102" s="10">
        <f>F7-F19</f>
        <v>53549.3793577982</v>
      </c>
      <c r="H102" s="98">
        <f>F8-F33-F35-F37-F38-F39-F40-F41-F43-F44-F45</f>
        <v>-7742.8097247706</v>
      </c>
      <c r="I102" s="98">
        <f>F9-F46-F47-F48-F50+H102</f>
        <v>15658.0746788991</v>
      </c>
      <c r="J102" s="98"/>
      <c r="K102" s="98">
        <f>F10-F51-F52-F53-F54-F58</f>
        <v>19881.2277981651</v>
      </c>
      <c r="L102" s="124" t="s">
        <v>149</v>
      </c>
      <c r="M102" s="124"/>
      <c r="N102" s="124"/>
      <c r="O102" s="124"/>
    </row>
    <row r="103" ht="18" customHeight="1" spans="1:15">
      <c r="A103" s="14" t="s">
        <v>99</v>
      </c>
      <c r="B103" s="99" t="s">
        <v>100</v>
      </c>
      <c r="C103" s="93"/>
      <c r="D103" s="100" t="s">
        <v>101</v>
      </c>
      <c r="E103" s="18">
        <v>0.07</v>
      </c>
      <c r="F103" s="31">
        <f>F102*E103</f>
        <v>6236.20772844034</v>
      </c>
      <c r="G103" s="20">
        <f>G102*E103</f>
        <v>3748.45655504587</v>
      </c>
      <c r="H103" s="98">
        <v>0</v>
      </c>
      <c r="I103" s="98">
        <f>I102*0.07</f>
        <v>1096.06522752294</v>
      </c>
      <c r="J103" s="98"/>
      <c r="K103" s="98">
        <f>K102*0.07</f>
        <v>1391.68594587156</v>
      </c>
      <c r="L103" s="125"/>
      <c r="M103" s="125"/>
      <c r="N103" s="125"/>
      <c r="O103" s="125"/>
    </row>
    <row r="104" ht="18" customHeight="1" spans="1:11">
      <c r="A104" s="14" t="s">
        <v>102</v>
      </c>
      <c r="B104" s="99">
        <f>B14*0.0006</f>
        <v>2186.50458715596</v>
      </c>
      <c r="C104" s="93"/>
      <c r="D104" s="100" t="s">
        <v>103</v>
      </c>
      <c r="E104" s="18">
        <v>0.03</v>
      </c>
      <c r="F104" s="31">
        <f>F102*E104</f>
        <v>2672.66045504586</v>
      </c>
      <c r="G104" s="20">
        <f>G102*E104</f>
        <v>1606.48138073395</v>
      </c>
      <c r="H104" s="98">
        <v>0</v>
      </c>
      <c r="I104" s="98">
        <f>I102*E104</f>
        <v>469.742240366973</v>
      </c>
      <c r="J104" s="98"/>
      <c r="K104" s="98">
        <f>K102*E104</f>
        <v>596.436833944953</v>
      </c>
    </row>
    <row r="105" ht="18" customHeight="1" spans="1:11">
      <c r="A105" s="14"/>
      <c r="B105" s="29"/>
      <c r="C105" s="93"/>
      <c r="D105" s="100" t="s">
        <v>104</v>
      </c>
      <c r="E105" s="18">
        <v>0.02</v>
      </c>
      <c r="F105" s="31">
        <f>F102*E105</f>
        <v>1781.77363669724</v>
      </c>
      <c r="G105" s="20">
        <f>G102*E105</f>
        <v>1070.98758715596</v>
      </c>
      <c r="H105" s="98">
        <v>0</v>
      </c>
      <c r="I105" s="98">
        <f>I102*E105</f>
        <v>313.161493577982</v>
      </c>
      <c r="J105" s="98"/>
      <c r="K105" s="98">
        <f>K102*E105</f>
        <v>397.624555963302</v>
      </c>
    </row>
    <row r="106" ht="18" customHeight="1" spans="1:11">
      <c r="A106" s="39" t="s">
        <v>105</v>
      </c>
      <c r="B106" s="40">
        <f t="shared" ref="B106:G106" si="8">SUM(B102:B105)</f>
        <v>-146054.996169724</v>
      </c>
      <c r="C106" s="93"/>
      <c r="D106" s="101" t="s">
        <v>105</v>
      </c>
      <c r="E106" s="96"/>
      <c r="F106" s="97">
        <f t="shared" si="8"/>
        <v>99779.3236550455</v>
      </c>
      <c r="G106" s="25">
        <f t="shared" si="8"/>
        <v>59975.304880734</v>
      </c>
      <c r="H106" s="25">
        <v>0</v>
      </c>
      <c r="I106" s="94">
        <f>SUM(I102:I105)</f>
        <v>17537.043640367</v>
      </c>
      <c r="J106" s="126"/>
      <c r="K106" s="25">
        <f>SUM(K102:K105)</f>
        <v>22266.9751339449</v>
      </c>
    </row>
    <row r="107" ht="18" customHeight="1" spans="3:11">
      <c r="C107" s="92"/>
      <c r="D107" s="16" t="s">
        <v>99</v>
      </c>
      <c r="E107" s="102">
        <v>0.0003</v>
      </c>
      <c r="F107" s="29"/>
      <c r="G107" s="20"/>
      <c r="H107" s="98"/>
      <c r="I107" s="98"/>
      <c r="J107" s="98"/>
      <c r="K107" s="98"/>
    </row>
    <row r="108" ht="18" customHeight="1" spans="3:11">
      <c r="C108" s="92"/>
      <c r="D108" s="16" t="s">
        <v>102</v>
      </c>
      <c r="E108" s="102">
        <v>0.0006</v>
      </c>
      <c r="F108" s="29">
        <f>E108*B14</f>
        <v>2186.50458715597</v>
      </c>
      <c r="G108" s="20"/>
      <c r="H108" s="98">
        <f>(B7+B8)*E108</f>
        <v>901.899082568807</v>
      </c>
      <c r="I108" s="98">
        <f>E108*B9</f>
        <v>619.21100917431</v>
      </c>
      <c r="J108" s="98"/>
      <c r="K108" s="98">
        <f>B10*E108</f>
        <v>665.394495412842</v>
      </c>
    </row>
    <row r="109" ht="18" customHeight="1" spans="3:11">
      <c r="C109" s="92"/>
      <c r="D109" s="26" t="s">
        <v>105</v>
      </c>
      <c r="E109" s="103"/>
      <c r="F109" s="42">
        <f>F108+F107</f>
        <v>2186.50458715597</v>
      </c>
      <c r="G109" s="42">
        <f>G108+G107</f>
        <v>0</v>
      </c>
      <c r="H109" s="42">
        <f>H108+H107</f>
        <v>901.899082568807</v>
      </c>
      <c r="I109" s="94">
        <f>I108+I107</f>
        <v>619.21100917431</v>
      </c>
      <c r="J109" s="126"/>
      <c r="K109" s="42">
        <f>K108+K107</f>
        <v>665.394495412842</v>
      </c>
    </row>
    <row r="110" ht="18" customHeight="1" spans="3:11">
      <c r="C110" s="92"/>
      <c r="D110" s="104" t="s">
        <v>23</v>
      </c>
      <c r="E110" s="105"/>
      <c r="F110" s="43">
        <f>F106+F109</f>
        <v>101965.828242201</v>
      </c>
      <c r="G110" s="43">
        <f>G106+G109</f>
        <v>59975.304880734</v>
      </c>
      <c r="H110" s="43">
        <f>H106+H109</f>
        <v>901.899082568807</v>
      </c>
      <c r="I110" s="127">
        <f>I106+I109</f>
        <v>18156.2546495413</v>
      </c>
      <c r="J110" s="128"/>
      <c r="K110" s="43">
        <f>K106+K109</f>
        <v>22932.3696293578</v>
      </c>
    </row>
    <row r="111" ht="18" customHeight="1" spans="3:11">
      <c r="C111" s="92"/>
      <c r="D111" s="105" t="s">
        <v>96</v>
      </c>
      <c r="E111" s="106">
        <v>0.02</v>
      </c>
      <c r="F111" s="43">
        <f>G14*E111</f>
        <v>79443</v>
      </c>
      <c r="G111" s="107">
        <f>E111*G7</f>
        <v>17653.4</v>
      </c>
      <c r="H111" s="108">
        <f>E111*G8</f>
        <v>15115.6</v>
      </c>
      <c r="I111" s="108">
        <f>G9*E111</f>
        <v>22498</v>
      </c>
      <c r="J111" s="108"/>
      <c r="K111" s="108">
        <f>E111*G10</f>
        <v>24176</v>
      </c>
    </row>
    <row r="112" ht="18" customHeight="1" spans="3:7">
      <c r="C112" s="92"/>
      <c r="F112" s="26" t="s">
        <v>115</v>
      </c>
      <c r="G112" s="26"/>
    </row>
    <row r="113" ht="18" customHeight="1" spans="3:7">
      <c r="C113" s="92"/>
      <c r="F113" s="18">
        <f>(B7*0.96-(SUM(B26:B44)+B88+B89))*0.25</f>
        <v>1932.3702981651</v>
      </c>
      <c r="G113" s="20" t="s">
        <v>117</v>
      </c>
    </row>
    <row r="114" ht="18" customHeight="1" spans="3:7">
      <c r="C114" s="92"/>
      <c r="F114" s="18">
        <f>I90</f>
        <v>181283.32</v>
      </c>
      <c r="G114" s="20" t="s">
        <v>118</v>
      </c>
    </row>
    <row r="115" spans="3:7">
      <c r="C115" s="92"/>
      <c r="F115" s="26">
        <f>F114-F113</f>
        <v>179350.949701835</v>
      </c>
      <c r="G115" s="20" t="s">
        <v>119</v>
      </c>
    </row>
    <row r="116" spans="3:7">
      <c r="C116" s="92"/>
      <c r="F116" s="6"/>
      <c r="G116" s="7"/>
    </row>
    <row r="117" spans="3:7">
      <c r="C117" s="92"/>
      <c r="F117" s="6"/>
      <c r="G117" s="7"/>
    </row>
    <row r="118" spans="3:7">
      <c r="C118" s="92"/>
      <c r="F118" s="6"/>
      <c r="G118" s="7"/>
    </row>
    <row r="119" spans="3:7">
      <c r="C119" s="92"/>
      <c r="F119" s="6"/>
      <c r="G119" s="7"/>
    </row>
    <row r="120" spans="3:7">
      <c r="C120" s="92"/>
      <c r="F120" s="6"/>
      <c r="G120" s="7"/>
    </row>
    <row r="121" spans="3:3">
      <c r="C121" s="92"/>
    </row>
    <row r="122" spans="3:3">
      <c r="C122" s="92"/>
    </row>
    <row r="123" spans="3:3">
      <c r="C123" s="92"/>
    </row>
    <row r="124" spans="3:3">
      <c r="C124" s="92"/>
    </row>
    <row r="125" spans="3:3">
      <c r="C125" s="92"/>
    </row>
    <row r="126" spans="3:3">
      <c r="C126" s="92"/>
    </row>
    <row r="127" spans="3:3">
      <c r="C127" s="92"/>
    </row>
    <row r="128" spans="3:3">
      <c r="C128" s="92"/>
    </row>
    <row r="129" spans="3:3">
      <c r="C129" s="92"/>
    </row>
    <row r="130" spans="3:3">
      <c r="C130" s="92"/>
    </row>
  </sheetData>
  <autoFilter ref="A16:P115">
    <extLst/>
  </autoFilter>
  <mergeCells count="20">
    <mergeCell ref="A1:J1"/>
    <mergeCell ref="H2:J2"/>
    <mergeCell ref="C5:D5"/>
    <mergeCell ref="E5:F5"/>
    <mergeCell ref="H5:J5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F112:G112"/>
    <mergeCell ref="A5:A6"/>
    <mergeCell ref="B5:B6"/>
    <mergeCell ref="G5:G6"/>
  </mergeCells>
  <pageMargins left="0.236111111111111" right="0.236111111111111" top="0.314583333333333" bottom="0.156944444444444" header="0.314583333333333" footer="0.314583333333333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第1次</vt:lpstr>
      <vt:lpstr>第6次</vt:lpstr>
      <vt:lpstr>第6次 (2)</vt:lpstr>
      <vt:lpstr>第7次</vt:lpstr>
      <vt:lpstr>第9次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若脂含梅</cp:lastModifiedBy>
  <dcterms:created xsi:type="dcterms:W3CDTF">2016-07-12T06:03:00Z</dcterms:created>
  <cp:lastPrinted>2016-11-23T10:22:00Z</cp:lastPrinted>
  <dcterms:modified xsi:type="dcterms:W3CDTF">2021-05-21T03:18:03Z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