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1次" sheetId="1" r:id="rId1"/>
    <sheet name="2次" sheetId="2" r:id="rId2"/>
    <sheet name="新" sheetId="3" r:id="rId3"/>
    <sheet name="汇总表" sheetId="4" r:id="rId4"/>
    <sheet name="Sheet1" sheetId="5" r:id="rId5"/>
  </sheets>
  <definedNames>
    <definedName name="_xlnm._FilterDatabase" localSheetId="2" hidden="1">新!$A$26:$XFC$73</definedName>
    <definedName name="_xlnm._FilterDatabase" localSheetId="1" hidden="1">'2次'!$A$18:$T$81</definedName>
    <definedName name="_xlnm._FilterDatabase" localSheetId="3" hidden="1">汇总表!$A$1:$G$11</definedName>
  </definedNames>
  <calcPr calcId="144525" concurrentCalc="0"/>
</workbook>
</file>

<file path=xl/comments1.xml><?xml version="1.0" encoding="utf-8"?>
<comments xmlns="http://schemas.openxmlformats.org/spreadsheetml/2006/main">
  <authors>
    <author>cw05</author>
    <author>cw09</author>
  </authors>
  <commentList>
    <comment ref="A44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45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48" authorId="1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2.xml><?xml version="1.0" encoding="utf-8"?>
<comments xmlns="http://schemas.openxmlformats.org/spreadsheetml/2006/main">
  <authors>
    <author>cw09</author>
    <author>cw05</author>
  </authors>
  <commentList>
    <comment ref="H74" authorId="0">
      <text>
        <r>
          <rPr>
            <sz val="9"/>
            <rFont val="宋体"/>
            <charset val="134"/>
          </rPr>
          <t xml:space="preserve">cw09:
印花水利已交 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77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E80" authorId="0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3.xml><?xml version="1.0" encoding="utf-8"?>
<comments xmlns="http://schemas.openxmlformats.org/spreadsheetml/2006/main">
  <authors>
    <author>qyr</author>
    <author>cw09</author>
    <author>cw05</author>
    <author>Administrator</author>
  </authors>
  <commentList>
    <comment ref="I50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当时审批通过支付30万，实际支付394490元，补差额部分</t>
        </r>
      </text>
    </comment>
    <comment ref="H141" authorId="1">
      <text>
        <r>
          <rPr>
            <sz val="9"/>
            <rFont val="宋体"/>
            <charset val="134"/>
          </rPr>
          <t xml:space="preserve">cw09:
印花水利已交 </t>
        </r>
      </text>
    </comment>
    <comment ref="A142" authorId="2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H142" authorId="3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当时是按0.05扣</t>
        </r>
      </text>
    </comment>
    <comment ref="L143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异地预缴附加税：城建税137.61元、地方教育费附加55.04、教育费附加82.57元（按5%*0.5）缴纳</t>
        </r>
      </text>
    </comment>
    <comment ref="A144" authorId="2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J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异地已预缴229.36，应该预缴275.23，少交45.87元</t>
        </r>
      </text>
    </comment>
    <comment ref="K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异地已预缴水利1376.15元
</t>
        </r>
      </text>
    </comment>
    <comment ref="L147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异地已预缴137.61元</t>
        </r>
      </text>
    </comment>
    <comment ref="J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印花税异地已预缴150元</t>
        </r>
      </text>
    </comment>
    <comment ref="K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异地已预缴90元</t>
        </r>
      </text>
    </comment>
    <comment ref="L148" authorId="2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异地已预缴90元印花税</t>
        </r>
      </text>
    </comment>
    <comment ref="E149" authorId="1">
      <text>
        <r>
          <rPr>
            <sz val="9"/>
            <rFont val="宋体"/>
            <charset val="134"/>
          </rPr>
          <t>cw09:
企税一个点，齐亮亮，吴总</t>
        </r>
      </text>
    </comment>
  </commentList>
</comments>
</file>

<file path=xl/comments4.xml><?xml version="1.0" encoding="utf-8"?>
<comments xmlns="http://schemas.openxmlformats.org/spreadsheetml/2006/main">
  <authors>
    <author>qyr</author>
  </authors>
  <commentList>
    <comment ref="F23" authorId="0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当时审批通过支付30万，实际支付394490元，补差额部分</t>
        </r>
      </text>
    </comment>
  </commentList>
</comments>
</file>

<file path=xl/sharedStrings.xml><?xml version="1.0" encoding="utf-8"?>
<sst xmlns="http://schemas.openxmlformats.org/spreadsheetml/2006/main" count="909" uniqueCount="202">
  <si>
    <t>石泉县池河镇金蚕大道建设工程</t>
  </si>
  <si>
    <t>中标日期</t>
  </si>
  <si>
    <t>中标价</t>
  </si>
  <si>
    <t>负责人</t>
  </si>
  <si>
    <t>易冬明</t>
  </si>
  <si>
    <t>建设单位</t>
  </si>
  <si>
    <t>石泉县交通运输局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</si>
  <si>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</si>
  <si>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</si>
  <si>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</si>
  <si>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</si>
  <si>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</si>
  <si>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</si>
  <si>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</si>
  <si>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</si>
  <si>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</si>
  <si>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</si>
  <si>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</si>
  <si>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</si>
  <si>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</si>
  <si>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</si>
  <si>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</si>
  <si>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陕西石泉农村商业银行金元支</t>
  </si>
  <si>
    <t>农民工工资专户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</si>
  <si>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</si>
  <si>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</si>
  <si>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</si>
  <si>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</si>
  <si>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</si>
  <si>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</si>
  <si>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</si>
  <si>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</si>
  <si>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</si>
  <si>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</si>
  <si>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</si>
  <si>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</si>
  <si>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</si>
  <si>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</si>
  <si>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徽行</t>
  </si>
  <si>
    <t>魏涛</t>
  </si>
  <si>
    <t>收魏涛材料款</t>
  </si>
  <si>
    <t>中国石油天然气股份有限公司陕西安康销售分公司</t>
  </si>
  <si>
    <t>付天然气材料款</t>
  </si>
  <si>
    <t>2020-3-</t>
  </si>
  <si>
    <t>陕西省石泉县秦峰水泥有限公司</t>
  </si>
  <si>
    <t>专</t>
  </si>
  <si>
    <t>安康海石花建筑工程有限公司</t>
  </si>
  <si>
    <t>机械租赁费</t>
  </si>
  <si>
    <t xml:space="preserve">  </t>
  </si>
  <si>
    <t>2020-238#</t>
  </si>
  <si>
    <t>汉阴汇美康劳务有限公司</t>
  </si>
  <si>
    <t>毛石</t>
  </si>
  <si>
    <t>2020-454#</t>
  </si>
  <si>
    <t>普</t>
  </si>
  <si>
    <t>汉阴聚贤劳务有限公司</t>
  </si>
  <si>
    <t>石块</t>
  </si>
  <si>
    <t>2020-464#</t>
  </si>
  <si>
    <t>2020-453#</t>
  </si>
  <si>
    <t>劳务</t>
  </si>
  <si>
    <t>2020-396#  合同金额326369.34元</t>
  </si>
  <si>
    <t xml:space="preserve"> </t>
  </si>
  <si>
    <t>2019-646#   总金额24w</t>
  </si>
  <si>
    <t xml:space="preserve"> 中国石油天然气股份有限公司陕西安康销售分公司</t>
  </si>
  <si>
    <t>2020-396#</t>
  </si>
  <si>
    <t>2次</t>
  </si>
  <si>
    <t>退</t>
  </si>
  <si>
    <t>之前暂扣企税</t>
  </si>
  <si>
    <t>扣</t>
  </si>
  <si>
    <t>管理费</t>
  </si>
  <si>
    <t>1次</t>
  </si>
  <si>
    <t>手续费</t>
  </si>
  <si>
    <t>暂扣</t>
  </si>
  <si>
    <t>企税（成本不够）（20.4月开票）</t>
  </si>
  <si>
    <t>代办费</t>
  </si>
  <si>
    <t>企税</t>
  </si>
  <si>
    <t>增值税及附加</t>
  </si>
  <si>
    <t>应提供成本</t>
  </si>
  <si>
    <t>可支付金额</t>
  </si>
  <si>
    <t>尚需提供成本</t>
  </si>
  <si>
    <t>公司代缴税金：</t>
  </si>
  <si>
    <t>税种</t>
  </si>
  <si>
    <t>税额</t>
  </si>
  <si>
    <t>20.4月开票扣税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</si>
  <si>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</si>
  <si>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</si>
  <si>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</si>
  <si>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</si>
  <si>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</si>
  <si>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</si>
  <si>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</si>
  <si>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</si>
  <si>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</si>
  <si>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</si>
  <si>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供应商</t>
  </si>
  <si>
    <t>农民工工资专户（转账支票）</t>
  </si>
  <si>
    <t>劳务费</t>
  </si>
  <si>
    <t>材料</t>
  </si>
  <si>
    <t>油费</t>
  </si>
  <si>
    <t>水泥</t>
  </si>
  <si>
    <t>2019-739#</t>
  </si>
  <si>
    <t>块石</t>
  </si>
  <si>
    <t>陕西坤腾商贸有限公司</t>
  </si>
  <si>
    <t>碎石</t>
  </si>
  <si>
    <t>2020-465#</t>
  </si>
  <si>
    <t>陕西远振道路工程有限责任公司</t>
  </si>
  <si>
    <t xml:space="preserve">沥青摊铺工程服务 </t>
  </si>
  <si>
    <t>2020-701#</t>
  </si>
  <si>
    <t>陕西汉阴宏江实业有限责任公司</t>
  </si>
  <si>
    <t xml:space="preserve">2021-018#  360000元 </t>
  </si>
  <si>
    <t>3次</t>
  </si>
  <si>
    <t>企税（成本不够）（21.2月开票扣税）</t>
  </si>
  <si>
    <t>企税（21.2月开票扣税）</t>
  </si>
  <si>
    <t>增值税及附加（21.2月开票扣税）</t>
  </si>
  <si>
    <t>21.2月开票扣税</t>
  </si>
  <si>
    <t>企业所得税（成本不够）</t>
  </si>
  <si>
    <t>C11300  石泉县池河镇金蚕大道建设工程</t>
  </si>
  <si>
    <r>
      <rPr>
        <sz val="9"/>
        <rFont val="宋体"/>
        <charset val="134"/>
        <scheme val="minor"/>
      </rPr>
      <t>2020-238#</t>
    </r>
    <r>
      <rPr>
        <b/>
        <sz val="9"/>
        <rFont val="宋体"/>
        <charset val="134"/>
        <scheme val="minor"/>
      </rPr>
      <t>1696000</t>
    </r>
  </si>
  <si>
    <t>合同价169.6万</t>
  </si>
  <si>
    <t>2020-464#20W</t>
  </si>
  <si>
    <t xml:space="preserve">2020-396# </t>
  </si>
  <si>
    <t>合同金额326369.34元</t>
  </si>
  <si>
    <t xml:space="preserve">2019-646#   </t>
  </si>
  <si>
    <t xml:space="preserve"> 总金额24w</t>
  </si>
  <si>
    <t xml:space="preserve">2019-646#  </t>
  </si>
  <si>
    <t>总金额24w</t>
  </si>
  <si>
    <t>2020-798#41000</t>
  </si>
  <si>
    <t>2020-465#1088000</t>
  </si>
  <si>
    <t>2020-701#合同价1145452.9</t>
  </si>
  <si>
    <t>2021-18#合同价36万</t>
  </si>
  <si>
    <t>合同价36万</t>
  </si>
  <si>
    <t>4份</t>
  </si>
  <si>
    <t>2份</t>
  </si>
  <si>
    <t>水泥460吨</t>
  </si>
  <si>
    <t>有</t>
  </si>
  <si>
    <t>1份</t>
  </si>
  <si>
    <t>运输费</t>
  </si>
  <si>
    <t>5份</t>
  </si>
  <si>
    <t>机械</t>
  </si>
  <si>
    <t>陕西华南建筑安装工程有限公司</t>
  </si>
  <si>
    <t>3份</t>
  </si>
  <si>
    <t>11份</t>
  </si>
  <si>
    <t>滞纳金</t>
  </si>
  <si>
    <t>补扣</t>
  </si>
  <si>
    <t>第一次开票城建税差额部分</t>
  </si>
  <si>
    <t>水利基金、印花税</t>
  </si>
  <si>
    <t>企税0.01</t>
  </si>
  <si>
    <t>外经证</t>
  </si>
  <si>
    <t>管理费（到账工程款1%）</t>
  </si>
  <si>
    <t>企税0.01（23.1月开票）</t>
  </si>
  <si>
    <t>水利基金（23.1月开票）</t>
  </si>
  <si>
    <t>水利基金（22.5月开票）</t>
  </si>
  <si>
    <t>异地少预缴增值税附加税（22.5月开票）</t>
  </si>
  <si>
    <t>企税0.01（22.5月开票）</t>
  </si>
  <si>
    <t>水利基金（22.1月开票）</t>
  </si>
  <si>
    <t>暂扣企税</t>
  </si>
  <si>
    <t>企税0.01（22.1月开票）</t>
  </si>
  <si>
    <t>2021.8.30王童去办理农民工工资及账户变更补助4天</t>
  </si>
  <si>
    <t>代垫</t>
  </si>
  <si>
    <t>管理费（到账工程款1%）21/2月补扣</t>
  </si>
  <si>
    <t>差旅费姚明高翔处理私刻印章</t>
  </si>
  <si>
    <t>财务手续费+王童2021.8.31出场费</t>
  </si>
  <si>
    <t>企税0.01（21.8月开票）</t>
  </si>
  <si>
    <t>企税（成本不够）</t>
  </si>
  <si>
    <t>中行可支付</t>
  </si>
  <si>
    <t>专户可支付</t>
  </si>
  <si>
    <t>2021年2月开票税金</t>
  </si>
  <si>
    <t>2021年8月开票税金</t>
  </si>
  <si>
    <t>2022年01月开票税金</t>
  </si>
  <si>
    <t>2022年05月开票税金</t>
  </si>
  <si>
    <t>2023年1月开票税金</t>
  </si>
  <si>
    <t>2023年10月开票税金</t>
  </si>
  <si>
    <t>合同额</t>
  </si>
  <si>
    <t>开票额</t>
  </si>
  <si>
    <t>已支付</t>
  </si>
  <si>
    <t>开票-已支付</t>
  </si>
  <si>
    <t>合同-已支付</t>
  </si>
  <si>
    <t>合同编号 2020-238</t>
  </si>
  <si>
    <t>汉阴汇美康劳务有限公司（劳务）</t>
  </si>
  <si>
    <t>合同编号 2020-396/2020-453/2020-454/2020-596</t>
  </si>
  <si>
    <t>汉阴汇美康劳务有限公司（石子）</t>
  </si>
  <si>
    <t>合同编号 2020-464</t>
  </si>
  <si>
    <t>合同编号 2021-018                            合同金额以实际结算量为准，剩余可支付金额用开票额-已支付</t>
  </si>
  <si>
    <t xml:space="preserve">合同编号 2021-249 </t>
  </si>
  <si>
    <t>合同编号 2020-465</t>
  </si>
  <si>
    <t>合同编号 2020-798</t>
  </si>
  <si>
    <t>合同编号 2020-701/2020-786</t>
  </si>
  <si>
    <t>无合同</t>
  </si>
  <si>
    <t>款项来源：工程款到账</t>
  </si>
  <si>
    <t>款项支出：付材料款</t>
  </si>
  <si>
    <t>时间</t>
  </si>
  <si>
    <t>到款银行</t>
  </si>
  <si>
    <t>基本户合计</t>
  </si>
  <si>
    <t>工资专户合计</t>
  </si>
  <si>
    <t>款项来源：周转金</t>
  </si>
  <si>
    <t>基本户支付合计：</t>
  </si>
  <si>
    <t>专户支付合计：</t>
  </si>
  <si>
    <t>款项支出：公司扣款</t>
  </si>
  <si>
    <t>项目</t>
  </si>
  <si>
    <t>基本户剩余可支付：</t>
  </si>
  <si>
    <t>专户可支付：</t>
  </si>
  <si>
    <t>合计：</t>
  </si>
  <si>
    <t>公司扣款合计：</t>
  </si>
</sst>
</file>

<file path=xl/styles.xml><?xml version="1.0" encoding="utf-8"?>
<styleSheet xmlns="http://schemas.openxmlformats.org/spreadsheetml/2006/main" xmlns:xr9="http://schemas.microsoft.com/office/spreadsheetml/2016/revision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/m/d;@"/>
    <numFmt numFmtId="179" formatCode="0.00_ "/>
    <numFmt numFmtId="180" formatCode="yyyy&quot;年&quot;m&quot;月&quot;;@"/>
    <numFmt numFmtId="181" formatCode="#,##0_ "/>
  </numFmts>
  <fonts count="4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sz val="9"/>
      <color rgb="FFFF0000"/>
      <name val="宋体"/>
      <charset val="134"/>
    </font>
    <font>
      <sz val="10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0" borderId="11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>
      <protection locked="0"/>
    </xf>
  </cellStyleXfs>
  <cellXfs count="147">
    <xf numFmtId="0" fontId="0" fillId="0" borderId="0" xfId="0"/>
    <xf numFmtId="0" fontId="1" fillId="0" borderId="0" xfId="0" applyFont="1"/>
    <xf numFmtId="0" fontId="2" fillId="0" borderId="0" xfId="0" applyFont="1"/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0" fontId="0" fillId="0" borderId="1" xfId="0" applyBorder="1"/>
    <xf numFmtId="178" fontId="3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 applyAlignment="1"/>
    <xf numFmtId="178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vertical="center"/>
    </xf>
    <xf numFmtId="177" fontId="6" fillId="2" borderId="1" xfId="49" applyNumberFormat="1" applyFont="1" applyFill="1" applyBorder="1" applyAlignment="1" applyProtection="1">
      <alignment horizontal="right" vertical="center" shrinkToFit="1"/>
    </xf>
    <xf numFmtId="177" fontId="3" fillId="3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/>
    <xf numFmtId="177" fontId="2" fillId="0" borderId="1" xfId="0" applyNumberFormat="1" applyFont="1" applyBorder="1"/>
    <xf numFmtId="177" fontId="3" fillId="0" borderId="1" xfId="0" applyNumberFormat="1" applyFont="1" applyFill="1" applyBorder="1" applyAlignment="1">
      <alignment horizontal="right" vertical="center"/>
    </xf>
    <xf numFmtId="177" fontId="0" fillId="0" borderId="1" xfId="0" applyNumberFormat="1" applyBorder="1"/>
    <xf numFmtId="0" fontId="7" fillId="0" borderId="0" xfId="0" applyFont="1"/>
    <xf numFmtId="0" fontId="8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wrapText="1"/>
    </xf>
    <xf numFmtId="0" fontId="2" fillId="0" borderId="1" xfId="0" applyFont="1" applyBorder="1"/>
    <xf numFmtId="177" fontId="0" fillId="0" borderId="1" xfId="0" applyNumberFormat="1" applyFont="1" applyBorder="1" applyAlignment="1">
      <alignment horizontal="left"/>
    </xf>
    <xf numFmtId="177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9" fontId="3" fillId="0" borderId="0" xfId="0" applyNumberFormat="1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9" fontId="2" fillId="0" borderId="4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77" fontId="10" fillId="0" borderId="0" xfId="0" applyNumberFormat="1" applyFont="1"/>
    <xf numFmtId="177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79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left" vertical="center" wrapText="1"/>
    </xf>
    <xf numFmtId="179" fontId="4" fillId="0" borderId="1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3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9" fontId="3" fillId="0" borderId="1" xfId="3" applyNumberFormat="1" applyFont="1" applyBorder="1" applyAlignment="1">
      <alignment horizontal="center" vertical="center"/>
    </xf>
    <xf numFmtId="177" fontId="3" fillId="5" borderId="1" xfId="0" applyNumberFormat="1" applyFont="1" applyFill="1" applyBorder="1" applyAlignment="1">
      <alignment vertical="center"/>
    </xf>
    <xf numFmtId="177" fontId="4" fillId="6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7" fontId="5" fillId="5" borderId="1" xfId="0" applyNumberFormat="1" applyFont="1" applyFill="1" applyBorder="1" applyAlignment="1">
      <alignment vertical="center"/>
    </xf>
    <xf numFmtId="177" fontId="5" fillId="7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9" fontId="4" fillId="8" borderId="1" xfId="3" applyNumberFormat="1" applyFont="1" applyFill="1" applyBorder="1" applyAlignment="1">
      <alignment horizontal="center" vertical="center"/>
    </xf>
    <xf numFmtId="180" fontId="4" fillId="0" borderId="1" xfId="0" applyNumberFormat="1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9" fontId="4" fillId="8" borderId="1" xfId="3" applyFont="1" applyFill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9" fontId="9" fillId="8" borderId="1" xfId="3" applyNumberFormat="1" applyFont="1" applyFill="1" applyBorder="1" applyAlignment="1">
      <alignment horizontal="center" vertical="center"/>
    </xf>
    <xf numFmtId="177" fontId="9" fillId="6" borderId="1" xfId="0" applyNumberFormat="1" applyFont="1" applyFill="1" applyBorder="1" applyAlignment="1">
      <alignment vertical="center"/>
    </xf>
    <xf numFmtId="179" fontId="3" fillId="0" borderId="6" xfId="0" applyNumberFormat="1" applyFont="1" applyBorder="1" applyAlignment="1">
      <alignment horizontal="left" vertical="center"/>
    </xf>
    <xf numFmtId="176" fontId="3" fillId="0" borderId="7" xfId="0" applyNumberFormat="1" applyFont="1" applyBorder="1" applyAlignment="1">
      <alignment horizontal="left" vertical="center"/>
    </xf>
    <xf numFmtId="179" fontId="2" fillId="0" borderId="0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0" fontId="3" fillId="0" borderId="1" xfId="0" applyFont="1" applyBorder="1"/>
    <xf numFmtId="0" fontId="5" fillId="0" borderId="7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79" fontId="9" fillId="6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/>
    <xf numFmtId="177" fontId="13" fillId="3" borderId="1" xfId="49" applyNumberFormat="1" applyFont="1" applyFill="1" applyBorder="1" applyAlignment="1" applyProtection="1">
      <alignment horizontal="right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177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>
      <alignment vertical="center"/>
    </xf>
    <xf numFmtId="177" fontId="4" fillId="5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4" fillId="0" borderId="1" xfId="0" applyFont="1" applyBorder="1"/>
    <xf numFmtId="0" fontId="5" fillId="0" borderId="1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179" fontId="3" fillId="0" borderId="1" xfId="0" applyNumberFormat="1" applyFont="1" applyBorder="1" applyAlignment="1">
      <alignment vertical="center"/>
    </xf>
    <xf numFmtId="179" fontId="5" fillId="5" borderId="1" xfId="0" applyNumberFormat="1" applyFont="1" applyFill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179" fontId="5" fillId="5" borderId="0" xfId="0" applyNumberFormat="1" applyFont="1" applyFill="1" applyBorder="1" applyAlignment="1">
      <alignment vertical="center"/>
    </xf>
    <xf numFmtId="177" fontId="5" fillId="7" borderId="5" xfId="0" applyNumberFormat="1" applyFont="1" applyFill="1" applyBorder="1" applyAlignment="1">
      <alignment vertical="center"/>
    </xf>
    <xf numFmtId="177" fontId="5" fillId="0" borderId="5" xfId="0" applyNumberFormat="1" applyFont="1" applyBorder="1" applyAlignment="1">
      <alignment horizontal="center" vertical="center"/>
    </xf>
    <xf numFmtId="177" fontId="3" fillId="3" borderId="1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10" fontId="5" fillId="0" borderId="0" xfId="0" applyNumberFormat="1" applyFont="1" applyBorder="1" applyAlignment="1">
      <alignment vertical="center"/>
    </xf>
    <xf numFmtId="179" fontId="5" fillId="0" borderId="1" xfId="0" applyNumberFormat="1" applyFont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0" fontId="10" fillId="0" borderId="0" xfId="0" applyFont="1"/>
    <xf numFmtId="179" fontId="3" fillId="0" borderId="1" xfId="0" applyNumberFormat="1" applyFont="1" applyFill="1" applyBorder="1" applyAlignment="1">
      <alignment vertical="center"/>
    </xf>
    <xf numFmtId="179" fontId="4" fillId="6" borderId="1" xfId="0" applyNumberFormat="1" applyFont="1" applyFill="1" applyBorder="1" applyAlignment="1">
      <alignment vertical="center"/>
    </xf>
    <xf numFmtId="179" fontId="5" fillId="7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/>
    <xf numFmtId="0" fontId="4" fillId="0" borderId="7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right" vertical="center"/>
    </xf>
    <xf numFmtId="0" fontId="14" fillId="0" borderId="1" xfId="0" applyFont="1" applyFill="1" applyBorder="1" applyAlignment="1"/>
    <xf numFmtId="177" fontId="15" fillId="2" borderId="1" xfId="49" applyNumberFormat="1" applyFont="1" applyFill="1" applyBorder="1" applyAlignment="1" applyProtection="1">
      <alignment horizontal="center" vertical="center" shrinkToFit="1"/>
    </xf>
    <xf numFmtId="0" fontId="9" fillId="0" borderId="1" xfId="0" applyNumberFormat="1" applyFont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/>
    <xf numFmtId="179" fontId="5" fillId="0" borderId="5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4" fillId="0" borderId="0" xfId="0" applyFont="1" applyFill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50</xdr:row>
      <xdr:rowOff>133985</xdr:rowOff>
    </xdr:from>
    <xdr:to>
      <xdr:col>5</xdr:col>
      <xdr:colOff>963295</xdr:colOff>
      <xdr:row>58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16141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58</xdr:row>
      <xdr:rowOff>133350</xdr:rowOff>
    </xdr:from>
    <xdr:to>
      <xdr:col>5</xdr:col>
      <xdr:colOff>920115</xdr:colOff>
      <xdr:row>66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128422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67</xdr:row>
      <xdr:rowOff>66675</xdr:rowOff>
    </xdr:from>
    <xdr:to>
      <xdr:col>6</xdr:col>
      <xdr:colOff>118745</xdr:colOff>
      <xdr:row>70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140614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87050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82</xdr:row>
      <xdr:rowOff>133985</xdr:rowOff>
    </xdr:from>
    <xdr:to>
      <xdr:col>5</xdr:col>
      <xdr:colOff>963295</xdr:colOff>
      <xdr:row>90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57625" y="189293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90</xdr:row>
      <xdr:rowOff>133350</xdr:rowOff>
    </xdr:from>
    <xdr:to>
      <xdr:col>5</xdr:col>
      <xdr:colOff>920115</xdr:colOff>
      <xdr:row>98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62375" y="201574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99</xdr:row>
      <xdr:rowOff>66675</xdr:rowOff>
    </xdr:from>
    <xdr:to>
      <xdr:col>6</xdr:col>
      <xdr:colOff>118745</xdr:colOff>
      <xdr:row>102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33800" y="213766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200025</xdr:colOff>
      <xdr:row>2</xdr:row>
      <xdr:rowOff>75565</xdr:rowOff>
    </xdr:from>
    <xdr:to>
      <xdr:col>11</xdr:col>
      <xdr:colOff>610235</xdr:colOff>
      <xdr:row>2</xdr:row>
      <xdr:rowOff>205740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458575" y="582930"/>
          <a:ext cx="410210" cy="1301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104775</xdr:colOff>
      <xdr:row>151</xdr:row>
      <xdr:rowOff>133985</xdr:rowOff>
    </xdr:from>
    <xdr:to>
      <xdr:col>5</xdr:col>
      <xdr:colOff>963295</xdr:colOff>
      <xdr:row>159</xdr:row>
      <xdr:rowOff>60325</xdr:rowOff>
    </xdr:to>
    <xdr:pic>
      <xdr:nvPicPr>
        <xdr:cNvPr id="2" name="图片 1" descr="9MB_B18)H$]F(_@{O`6BK%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24425" y="35248850"/>
          <a:ext cx="858520" cy="115506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159</xdr:row>
      <xdr:rowOff>133350</xdr:rowOff>
    </xdr:from>
    <xdr:to>
      <xdr:col>5</xdr:col>
      <xdr:colOff>920115</xdr:colOff>
      <xdr:row>167</xdr:row>
      <xdr:rowOff>31115</xdr:rowOff>
    </xdr:to>
    <xdr:pic>
      <xdr:nvPicPr>
        <xdr:cNvPr id="3" name="图片 2" descr="8f8094f9058b73f0b5b539b05f5134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829175" y="36476940"/>
          <a:ext cx="910590" cy="1040765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168</xdr:row>
      <xdr:rowOff>66675</xdr:rowOff>
    </xdr:from>
    <xdr:to>
      <xdr:col>6</xdr:col>
      <xdr:colOff>118745</xdr:colOff>
      <xdr:row>171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00600" y="37696140"/>
          <a:ext cx="1137920" cy="40957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  <xdr:twoCellAnchor>
    <xdr:from>
      <xdr:col>11</xdr:col>
      <xdr:colOff>228600</xdr:colOff>
      <xdr:row>8</xdr:row>
      <xdr:rowOff>209550</xdr:rowOff>
    </xdr:from>
    <xdr:to>
      <xdr:col>16</xdr:col>
      <xdr:colOff>638810</xdr:colOff>
      <xdr:row>11</xdr:row>
      <xdr:rowOff>227330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839700" y="2088515"/>
          <a:ext cx="6649085" cy="703580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topLeftCell="A28" workbookViewId="0">
      <selection activeCell="K9" sqref="K9"/>
    </sheetView>
  </sheetViews>
  <sheetFormatPr defaultColWidth="9" defaultRowHeight="11.25"/>
  <cols>
    <col min="1" max="1" width="10.75" style="34" customWidth="1"/>
    <col min="2" max="2" width="13.125" style="35" customWidth="1"/>
    <col min="3" max="3" width="6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9.625" style="33" customWidth="1"/>
    <col min="9" max="9" width="13.875" style="35" customWidth="1"/>
    <col min="10" max="10" width="6.125" style="36" customWidth="1"/>
    <col min="11" max="11" width="31.5" style="30" customWidth="1"/>
    <col min="12" max="12" width="12.75" style="30" customWidth="1"/>
    <col min="13" max="13" width="6" style="30" customWidth="1"/>
    <col min="14" max="14" width="5.625" style="30" customWidth="1"/>
    <col min="15" max="18" width="9" style="30"/>
    <col min="19" max="19" width="9.625" style="30"/>
    <col min="20" max="16384" width="9" style="30"/>
  </cols>
  <sheetData>
    <row r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ht="18" customHeight="1" spans="1:12">
      <c r="A2" s="40" t="s">
        <v>1</v>
      </c>
      <c r="B2" s="41">
        <v>43693</v>
      </c>
      <c r="C2" s="4" t="s">
        <v>2</v>
      </c>
      <c r="D2" s="130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</row>
    <row r="3" ht="18" customHeight="1" spans="1:12">
      <c r="A3" s="40" t="s">
        <v>7</v>
      </c>
      <c r="B3" s="47"/>
      <c r="C3" s="4" t="s">
        <v>8</v>
      </c>
      <c r="D3" s="4"/>
      <c r="H3" s="48"/>
      <c r="I3" s="74"/>
      <c r="J3" s="48"/>
      <c r="K3" s="48"/>
      <c r="L3" s="48"/>
    </row>
    <row r="4" ht="18" customHeight="1" spans="1:12">
      <c r="A4" s="34" t="s">
        <v>9</v>
      </c>
      <c r="H4" s="48"/>
      <c r="I4" s="74"/>
      <c r="J4" s="48"/>
      <c r="K4" s="48"/>
      <c r="L4" s="48"/>
    </row>
    <row r="5" ht="18" customHeight="1" spans="1:10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</row>
    <row r="6" ht="18" customHeight="1" spans="1:10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</row>
    <row r="7" ht="18" customHeight="1" spans="1:10">
      <c r="A7" s="3">
        <v>43936</v>
      </c>
      <c r="B7" s="119">
        <f t="shared" ref="B7:B8" si="0">G7/(1+C7+E7)</f>
        <v>1834862.3853211</v>
      </c>
      <c r="C7" s="52">
        <v>0.02</v>
      </c>
      <c r="D7" s="131">
        <f t="shared" ref="D7:D8" si="1">G7/(1+E7+C7)*C7</f>
        <v>36697.247706422</v>
      </c>
      <c r="E7" s="54">
        <v>0.07</v>
      </c>
      <c r="F7" s="119">
        <f t="shared" ref="F7:F8" si="2">G7/(1+C7+E7)*E7</f>
        <v>128440.366972477</v>
      </c>
      <c r="G7" s="132">
        <v>2000000</v>
      </c>
      <c r="H7" s="3">
        <v>43944</v>
      </c>
      <c r="I7" s="119">
        <v>800000</v>
      </c>
      <c r="J7" s="100" t="s">
        <v>21</v>
      </c>
    </row>
    <row r="8" ht="18" customHeight="1" spans="1:11">
      <c r="A8" s="3"/>
      <c r="B8" s="119">
        <f t="shared" si="0"/>
        <v>0</v>
      </c>
      <c r="C8" s="52">
        <v>0.02</v>
      </c>
      <c r="D8" s="131">
        <f t="shared" si="1"/>
        <v>0</v>
      </c>
      <c r="E8" s="52"/>
      <c r="F8" s="119">
        <f t="shared" si="2"/>
        <v>0</v>
      </c>
      <c r="G8" s="132"/>
      <c r="H8" s="3">
        <v>43944</v>
      </c>
      <c r="I8" s="119">
        <v>200000</v>
      </c>
      <c r="J8" s="100" t="s">
        <v>22</v>
      </c>
      <c r="K8" s="30" t="s">
        <v>23</v>
      </c>
    </row>
    <row r="9" ht="18" customHeight="1" spans="1:19">
      <c r="A9" s="3"/>
      <c r="B9" s="119">
        <f t="shared" ref="B8:B10" si="3">G9/(1+C9+E9)</f>
        <v>0</v>
      </c>
      <c r="C9" s="52">
        <v>0.02</v>
      </c>
      <c r="D9" s="131">
        <f t="shared" ref="D8:D10" si="4">G9/(1+E9+C9)*C9</f>
        <v>0</v>
      </c>
      <c r="E9" s="52"/>
      <c r="F9" s="119">
        <f t="shared" ref="F8:F10" si="5">G9/(1+C9+E9)*E9</f>
        <v>0</v>
      </c>
      <c r="G9" s="132"/>
      <c r="H9" s="3">
        <v>44090</v>
      </c>
      <c r="I9" s="119">
        <v>800000</v>
      </c>
      <c r="J9" s="100" t="s">
        <v>21</v>
      </c>
      <c r="S9" s="30">
        <f>F7*1.1</f>
        <v>141284.403669725</v>
      </c>
    </row>
    <row r="10" ht="18" customHeight="1" spans="1:10">
      <c r="A10" s="3"/>
      <c r="B10" s="119">
        <f t="shared" si="3"/>
        <v>0</v>
      </c>
      <c r="C10" s="52">
        <v>0.02</v>
      </c>
      <c r="D10" s="131">
        <f t="shared" si="4"/>
        <v>0</v>
      </c>
      <c r="E10" s="52"/>
      <c r="F10" s="119">
        <f t="shared" si="5"/>
        <v>0</v>
      </c>
      <c r="G10" s="132"/>
      <c r="H10" s="3"/>
      <c r="I10" s="119"/>
      <c r="J10" s="100"/>
    </row>
    <row r="11" ht="18" customHeight="1" spans="1:10">
      <c r="A11" s="57" t="s">
        <v>24</v>
      </c>
      <c r="B11" s="120">
        <f>SUM(B7:B10)</f>
        <v>1834862.3853211</v>
      </c>
      <c r="C11" s="13"/>
      <c r="D11" s="128">
        <f t="shared" ref="D11:G11" si="6">SUM(D7:D10)</f>
        <v>36697.247706422</v>
      </c>
      <c r="E11" s="13"/>
      <c r="F11" s="133">
        <f t="shared" si="6"/>
        <v>128440.366972477</v>
      </c>
      <c r="G11" s="128">
        <f t="shared" si="6"/>
        <v>2000000</v>
      </c>
      <c r="H11" s="60"/>
      <c r="I11" s="128">
        <f>SUM(I7:I10)</f>
        <v>1800000</v>
      </c>
      <c r="J11" s="60"/>
    </row>
    <row r="12" ht="18" customHeight="1" spans="1:12">
      <c r="A12" s="34" t="s">
        <v>25</v>
      </c>
      <c r="J12" s="33"/>
      <c r="K12" s="33"/>
      <c r="L12" s="36"/>
    </row>
    <row r="13" ht="18" customHeight="1" spans="1:15">
      <c r="A13" s="12" t="s">
        <v>26</v>
      </c>
      <c r="B13" s="50" t="s">
        <v>27</v>
      </c>
      <c r="C13" s="49" t="s">
        <v>28</v>
      </c>
      <c r="D13" s="49" t="s">
        <v>29</v>
      </c>
      <c r="E13" s="49" t="s">
        <v>16</v>
      </c>
      <c r="F13" s="50" t="s">
        <v>30</v>
      </c>
      <c r="G13" s="50" t="s">
        <v>14</v>
      </c>
      <c r="H13" s="49" t="s">
        <v>31</v>
      </c>
      <c r="I13" s="50" t="s">
        <v>32</v>
      </c>
      <c r="J13" s="49" t="s">
        <v>20</v>
      </c>
      <c r="K13" s="144" t="s">
        <v>33</v>
      </c>
      <c r="L13" s="76" t="s">
        <v>34</v>
      </c>
      <c r="M13" s="51" t="s">
        <v>35</v>
      </c>
      <c r="N13" s="51" t="s">
        <v>36</v>
      </c>
      <c r="O13" s="51" t="s">
        <v>37</v>
      </c>
    </row>
    <row r="14" customFormat="1" ht="18" customHeight="1" spans="1:15">
      <c r="A14" s="12"/>
      <c r="B14" s="134">
        <f t="shared" ref="B14:B17" si="7">ROUND(G14/(1+E14),2)</f>
        <v>0</v>
      </c>
      <c r="C14" s="49"/>
      <c r="D14" s="49"/>
      <c r="E14" s="62"/>
      <c r="F14" s="134">
        <f t="shared" ref="F14:F17" si="8">ROUND(G14/(1+E14)*E14,2)</f>
        <v>0</v>
      </c>
      <c r="G14" s="132"/>
      <c r="H14" s="6">
        <v>43790</v>
      </c>
      <c r="I14" s="45">
        <v>-50000</v>
      </c>
      <c r="J14" s="77" t="s">
        <v>38</v>
      </c>
      <c r="K14" s="135" t="s">
        <v>39</v>
      </c>
      <c r="L14" s="5" t="s">
        <v>40</v>
      </c>
      <c r="M14" s="79"/>
      <c r="N14" s="51"/>
      <c r="O14" s="51"/>
    </row>
    <row r="15" customFormat="1" ht="18" customHeight="1" spans="1:15">
      <c r="A15" s="12"/>
      <c r="B15" s="134">
        <f t="shared" si="7"/>
        <v>0</v>
      </c>
      <c r="C15" s="49"/>
      <c r="D15" s="49"/>
      <c r="E15" s="62"/>
      <c r="F15" s="134">
        <f t="shared" si="8"/>
        <v>0</v>
      </c>
      <c r="G15" s="132"/>
      <c r="H15" s="6">
        <v>43825</v>
      </c>
      <c r="I15" s="45">
        <v>50000</v>
      </c>
      <c r="J15" s="77" t="s">
        <v>21</v>
      </c>
      <c r="K15" s="135" t="s">
        <v>41</v>
      </c>
      <c r="L15" s="5" t="s">
        <v>42</v>
      </c>
      <c r="M15" s="79"/>
      <c r="N15" s="51"/>
      <c r="O15" s="51"/>
    </row>
    <row r="16" customFormat="1" ht="18" customHeight="1" spans="1:15">
      <c r="A16" s="12"/>
      <c r="B16" s="134">
        <f t="shared" si="7"/>
        <v>0</v>
      </c>
      <c r="C16" s="49"/>
      <c r="D16" s="49"/>
      <c r="E16" s="62"/>
      <c r="F16" s="134">
        <f t="shared" si="8"/>
        <v>0</v>
      </c>
      <c r="G16" s="132"/>
      <c r="H16" s="6" t="s">
        <v>43</v>
      </c>
      <c r="I16" s="45">
        <v>-41000</v>
      </c>
      <c r="J16" s="77" t="s">
        <v>38</v>
      </c>
      <c r="K16" s="135" t="s">
        <v>39</v>
      </c>
      <c r="L16" s="5"/>
      <c r="M16" s="79"/>
      <c r="N16" s="51"/>
      <c r="O16" s="51"/>
    </row>
    <row r="17" customFormat="1" ht="18" customHeight="1" spans="1:15">
      <c r="A17" s="12"/>
      <c r="B17" s="134">
        <f t="shared" si="7"/>
        <v>0</v>
      </c>
      <c r="C17" s="49"/>
      <c r="D17" s="49"/>
      <c r="E17" s="62"/>
      <c r="F17" s="134">
        <f t="shared" si="8"/>
        <v>0</v>
      </c>
      <c r="G17" s="132"/>
      <c r="H17" s="6" t="s">
        <v>43</v>
      </c>
      <c r="I17" s="45">
        <v>41000</v>
      </c>
      <c r="J17" s="77" t="s">
        <v>21</v>
      </c>
      <c r="K17" s="135" t="s">
        <v>44</v>
      </c>
      <c r="L17" s="5"/>
      <c r="M17" s="79"/>
      <c r="N17" s="51"/>
      <c r="O17" s="51"/>
    </row>
    <row r="18" s="31" customFormat="1" ht="18" customHeight="1" spans="1:15">
      <c r="A18" s="63">
        <v>43941</v>
      </c>
      <c r="B18" s="134">
        <f t="shared" ref="B18:B26" si="9">ROUND(G18/(1+E18),2)</f>
        <v>990099.01</v>
      </c>
      <c r="C18" s="64">
        <v>11</v>
      </c>
      <c r="D18" s="65" t="s">
        <v>45</v>
      </c>
      <c r="E18" s="62">
        <v>0.01</v>
      </c>
      <c r="F18" s="134">
        <f t="shared" ref="F18:F26" si="10">ROUND(G18/(1+E18)*E18,2)</f>
        <v>9900.99</v>
      </c>
      <c r="G18" s="132">
        <v>1000000</v>
      </c>
      <c r="H18" s="6"/>
      <c r="I18" s="45"/>
      <c r="J18" s="81"/>
      <c r="K18" s="135" t="s">
        <v>46</v>
      </c>
      <c r="L18" s="5" t="s">
        <v>47</v>
      </c>
      <c r="M18" s="136" t="s">
        <v>48</v>
      </c>
      <c r="N18" s="82"/>
      <c r="O18" s="83" t="s">
        <v>49</v>
      </c>
    </row>
    <row r="19" s="31" customFormat="1" ht="18" customHeight="1" spans="1:15">
      <c r="A19" s="63">
        <v>43941</v>
      </c>
      <c r="B19" s="134">
        <f t="shared" si="9"/>
        <v>297029.7</v>
      </c>
      <c r="C19" s="64"/>
      <c r="D19" s="65" t="s">
        <v>45</v>
      </c>
      <c r="E19" s="62">
        <v>0.01</v>
      </c>
      <c r="F19" s="134">
        <f t="shared" si="10"/>
        <v>2970.3</v>
      </c>
      <c r="G19" s="132">
        <f>75000+80000+75000+70000</f>
        <v>300000</v>
      </c>
      <c r="H19" s="9"/>
      <c r="I19" s="145"/>
      <c r="J19" s="82"/>
      <c r="K19" s="146" t="s">
        <v>50</v>
      </c>
      <c r="L19" s="84" t="s">
        <v>51</v>
      </c>
      <c r="M19" s="82"/>
      <c r="N19" s="82"/>
      <c r="O19" s="83" t="s">
        <v>52</v>
      </c>
    </row>
    <row r="20" s="31" customFormat="1" ht="18" customHeight="1" spans="1:15">
      <c r="A20" s="63">
        <v>43922</v>
      </c>
      <c r="B20" s="134">
        <f t="shared" si="9"/>
        <v>200000</v>
      </c>
      <c r="C20" s="64"/>
      <c r="D20" s="65" t="s">
        <v>53</v>
      </c>
      <c r="E20" s="62"/>
      <c r="F20" s="134">
        <f t="shared" si="10"/>
        <v>0</v>
      </c>
      <c r="G20" s="132">
        <v>200000</v>
      </c>
      <c r="H20" s="9"/>
      <c r="I20" s="145"/>
      <c r="J20" s="82"/>
      <c r="K20" s="10" t="s">
        <v>54</v>
      </c>
      <c r="L20" s="10" t="s">
        <v>55</v>
      </c>
      <c r="M20" s="82"/>
      <c r="N20" s="82"/>
      <c r="O20" s="83" t="s">
        <v>56</v>
      </c>
    </row>
    <row r="21" s="31" customFormat="1" ht="18" customHeight="1" spans="1:15">
      <c r="A21" s="63">
        <v>43922</v>
      </c>
      <c r="B21" s="134">
        <f t="shared" si="9"/>
        <v>200000</v>
      </c>
      <c r="C21" s="64"/>
      <c r="D21" s="65" t="s">
        <v>53</v>
      </c>
      <c r="E21" s="62"/>
      <c r="F21" s="134">
        <f t="shared" si="10"/>
        <v>0</v>
      </c>
      <c r="G21" s="132">
        <v>200000</v>
      </c>
      <c r="H21" s="9"/>
      <c r="I21" s="145"/>
      <c r="J21" s="82"/>
      <c r="K21" s="10" t="s">
        <v>50</v>
      </c>
      <c r="L21" s="10" t="s">
        <v>55</v>
      </c>
      <c r="M21" s="82"/>
      <c r="N21" s="82"/>
      <c r="O21" s="83" t="s">
        <v>57</v>
      </c>
    </row>
    <row r="22" s="31" customFormat="1" ht="18" customHeight="1" spans="1:15">
      <c r="A22" s="63">
        <v>44002</v>
      </c>
      <c r="B22" s="134">
        <f t="shared" si="9"/>
        <v>198019.8</v>
      </c>
      <c r="C22" s="64"/>
      <c r="D22" s="65" t="s">
        <v>53</v>
      </c>
      <c r="E22" s="62">
        <v>0.01</v>
      </c>
      <c r="F22" s="134">
        <f t="shared" si="10"/>
        <v>1980.2</v>
      </c>
      <c r="G22" s="132">
        <v>200000</v>
      </c>
      <c r="H22" s="9"/>
      <c r="I22" s="145"/>
      <c r="J22" s="82"/>
      <c r="K22" s="10" t="s">
        <v>50</v>
      </c>
      <c r="L22" s="10" t="s">
        <v>58</v>
      </c>
      <c r="M22" s="82" t="s">
        <v>59</v>
      </c>
      <c r="N22" s="82"/>
      <c r="O22" s="83" t="s">
        <v>60</v>
      </c>
    </row>
    <row r="23" s="31" customFormat="1" ht="18" customHeight="1" spans="1:15">
      <c r="A23" s="63"/>
      <c r="B23" s="134">
        <f t="shared" si="9"/>
        <v>0</v>
      </c>
      <c r="C23" s="64"/>
      <c r="D23" s="65"/>
      <c r="E23" s="62"/>
      <c r="F23" s="134">
        <f t="shared" si="10"/>
        <v>0</v>
      </c>
      <c r="G23" s="132"/>
      <c r="H23" s="6">
        <v>43960</v>
      </c>
      <c r="I23" s="47">
        <v>500000</v>
      </c>
      <c r="J23" s="82" t="s">
        <v>21</v>
      </c>
      <c r="K23" s="138" t="s">
        <v>46</v>
      </c>
      <c r="L23" s="107" t="s">
        <v>47</v>
      </c>
      <c r="M23" s="82"/>
      <c r="N23" s="82"/>
      <c r="O23" s="83"/>
    </row>
    <row r="24" s="31" customFormat="1" ht="18" customHeight="1" spans="1:15">
      <c r="A24" s="63"/>
      <c r="B24" s="134">
        <f t="shared" si="9"/>
        <v>0</v>
      </c>
      <c r="C24" s="64"/>
      <c r="D24" s="65"/>
      <c r="E24" s="62"/>
      <c r="F24" s="134">
        <f t="shared" si="10"/>
        <v>0</v>
      </c>
      <c r="G24" s="132"/>
      <c r="H24" s="9">
        <v>43970</v>
      </c>
      <c r="I24" s="47">
        <v>50000</v>
      </c>
      <c r="J24" s="82" t="s">
        <v>21</v>
      </c>
      <c r="K24" s="10" t="s">
        <v>41</v>
      </c>
      <c r="L24" s="83"/>
      <c r="M24" s="82"/>
      <c r="N24" s="82"/>
      <c r="O24" s="83" t="s">
        <v>61</v>
      </c>
    </row>
    <row r="25" s="31" customFormat="1" ht="18" customHeight="1" spans="1:15">
      <c r="A25" s="63"/>
      <c r="B25" s="134">
        <f t="shared" si="9"/>
        <v>0</v>
      </c>
      <c r="C25" s="64"/>
      <c r="D25" s="65"/>
      <c r="E25" s="66"/>
      <c r="F25" s="134">
        <f t="shared" si="10"/>
        <v>0</v>
      </c>
      <c r="G25" s="132"/>
      <c r="H25" s="6">
        <v>44005</v>
      </c>
      <c r="I25" s="47">
        <v>70000</v>
      </c>
      <c r="J25" s="82" t="s">
        <v>21</v>
      </c>
      <c r="K25" s="10" t="s">
        <v>62</v>
      </c>
      <c r="L25" s="83"/>
      <c r="M25" s="82"/>
      <c r="N25" s="82"/>
      <c r="O25" s="83" t="s">
        <v>61</v>
      </c>
    </row>
    <row r="26" s="31" customFormat="1" ht="18" customHeight="1" spans="1:15">
      <c r="A26" s="63"/>
      <c r="B26" s="134">
        <f t="shared" si="9"/>
        <v>0</v>
      </c>
      <c r="C26" s="64"/>
      <c r="D26" s="65"/>
      <c r="E26" s="66"/>
      <c r="F26" s="134">
        <f t="shared" si="10"/>
        <v>0</v>
      </c>
      <c r="G26" s="132"/>
      <c r="H26" s="9">
        <v>44006</v>
      </c>
      <c r="I26" s="47">
        <v>200000</v>
      </c>
      <c r="J26" s="31" t="s">
        <v>23</v>
      </c>
      <c r="K26" s="10" t="s">
        <v>50</v>
      </c>
      <c r="L26" s="83"/>
      <c r="M26" s="82" t="s">
        <v>63</v>
      </c>
      <c r="N26" s="82"/>
      <c r="O26" s="83"/>
    </row>
    <row r="27" s="31" customFormat="1" ht="18" customHeight="1" spans="1:15">
      <c r="A27" s="63"/>
      <c r="B27" s="134"/>
      <c r="C27" s="64"/>
      <c r="D27" s="65"/>
      <c r="E27" s="66"/>
      <c r="F27" s="134"/>
      <c r="G27" s="132"/>
      <c r="H27" s="6" t="s">
        <v>64</v>
      </c>
      <c r="I27" s="47">
        <v>-16085</v>
      </c>
      <c r="J27" s="100" t="s">
        <v>65</v>
      </c>
      <c r="K27" s="10" t="s">
        <v>66</v>
      </c>
      <c r="L27" s="83"/>
      <c r="M27" s="82"/>
      <c r="N27" s="82"/>
      <c r="O27" s="83"/>
    </row>
    <row r="28" s="31" customFormat="1" ht="18" customHeight="1" spans="1:15">
      <c r="A28" s="63"/>
      <c r="B28" s="134">
        <f t="shared" ref="B28:B33" si="11">ROUND(G28/(1+E28),2)</f>
        <v>8000</v>
      </c>
      <c r="C28" s="64"/>
      <c r="D28" s="65"/>
      <c r="E28" s="66"/>
      <c r="F28" s="134">
        <f t="shared" ref="F28:F37" si="12">ROUND(G28/(1+E28)*E28,2)</f>
        <v>0</v>
      </c>
      <c r="G28" s="132">
        <f>I28</f>
        <v>8000</v>
      </c>
      <c r="H28" s="6" t="s">
        <v>64</v>
      </c>
      <c r="I28" s="119">
        <v>8000</v>
      </c>
      <c r="J28" s="100" t="s">
        <v>67</v>
      </c>
      <c r="K28" s="10" t="s">
        <v>68</v>
      </c>
      <c r="L28" s="83" t="s">
        <v>60</v>
      </c>
      <c r="M28" s="82"/>
      <c r="N28" s="82"/>
      <c r="O28" s="83"/>
    </row>
    <row r="29" s="31" customFormat="1" ht="18" customHeight="1" spans="1:15">
      <c r="A29" s="63"/>
      <c r="B29" s="134">
        <f t="shared" si="11"/>
        <v>0</v>
      </c>
      <c r="C29" s="64"/>
      <c r="D29" s="65"/>
      <c r="E29" s="66"/>
      <c r="F29" s="134">
        <f t="shared" si="12"/>
        <v>0</v>
      </c>
      <c r="G29" s="132"/>
      <c r="H29" s="94" t="s">
        <v>69</v>
      </c>
      <c r="I29" s="119">
        <v>100</v>
      </c>
      <c r="J29" s="100" t="s">
        <v>67</v>
      </c>
      <c r="K29" s="10" t="s">
        <v>70</v>
      </c>
      <c r="L29" s="83"/>
      <c r="M29" s="82"/>
      <c r="N29" s="82"/>
      <c r="O29" s="83"/>
    </row>
    <row r="30" s="31" customFormat="1" ht="18" customHeight="1" spans="1:15">
      <c r="A30" s="63"/>
      <c r="B30" s="134">
        <f t="shared" si="11"/>
        <v>0</v>
      </c>
      <c r="C30" s="64"/>
      <c r="D30" s="65"/>
      <c r="E30" s="66"/>
      <c r="F30" s="134">
        <f t="shared" si="12"/>
        <v>0</v>
      </c>
      <c r="G30" s="132"/>
      <c r="H30" s="94" t="s">
        <v>69</v>
      </c>
      <c r="I30" s="119">
        <v>50</v>
      </c>
      <c r="J30" s="100" t="s">
        <v>67</v>
      </c>
      <c r="K30" s="10" t="s">
        <v>70</v>
      </c>
      <c r="L30" s="83"/>
      <c r="M30" s="82"/>
      <c r="N30" s="82"/>
      <c r="O30" s="83"/>
    </row>
    <row r="31" s="31" customFormat="1" ht="18" customHeight="1" spans="1:15">
      <c r="A31" s="63"/>
      <c r="B31" s="134">
        <f t="shared" si="11"/>
        <v>0</v>
      </c>
      <c r="C31" s="64"/>
      <c r="D31" s="65"/>
      <c r="E31" s="66"/>
      <c r="F31" s="134">
        <f t="shared" si="12"/>
        <v>0</v>
      </c>
      <c r="G31" s="132"/>
      <c r="H31" s="94" t="s">
        <v>69</v>
      </c>
      <c r="I31" s="119">
        <v>50</v>
      </c>
      <c r="J31" s="100" t="s">
        <v>67</v>
      </c>
      <c r="K31" s="10" t="s">
        <v>70</v>
      </c>
      <c r="L31" s="83"/>
      <c r="M31" s="82"/>
      <c r="N31" s="82"/>
      <c r="O31" s="83"/>
    </row>
    <row r="32" s="31" customFormat="1" ht="18" customHeight="1" spans="1:15">
      <c r="A32" s="63"/>
      <c r="B32" s="134">
        <f t="shared" si="11"/>
        <v>0</v>
      </c>
      <c r="C32" s="64"/>
      <c r="D32" s="65"/>
      <c r="E32" s="66"/>
      <c r="F32" s="134">
        <f t="shared" si="12"/>
        <v>0</v>
      </c>
      <c r="G32" s="132"/>
      <c r="H32" s="3" t="s">
        <v>69</v>
      </c>
      <c r="I32" s="119">
        <v>16085</v>
      </c>
      <c r="J32" s="100" t="s">
        <v>71</v>
      </c>
      <c r="K32" s="10" t="s">
        <v>72</v>
      </c>
      <c r="L32" s="83"/>
      <c r="M32" s="82"/>
      <c r="N32" s="82"/>
      <c r="O32" s="83"/>
    </row>
    <row r="33" s="31" customFormat="1" ht="18" customHeight="1" spans="1:15">
      <c r="A33" s="63"/>
      <c r="B33" s="47">
        <f t="shared" si="11"/>
        <v>0</v>
      </c>
      <c r="C33" s="64"/>
      <c r="D33" s="65"/>
      <c r="E33" s="66"/>
      <c r="F33" s="134">
        <f t="shared" si="12"/>
        <v>0</v>
      </c>
      <c r="G33" s="132"/>
      <c r="H33" s="3" t="s">
        <v>69</v>
      </c>
      <c r="I33" s="119">
        <v>100</v>
      </c>
      <c r="J33" s="100" t="s">
        <v>67</v>
      </c>
      <c r="K33" s="10" t="s">
        <v>70</v>
      </c>
      <c r="L33" s="83"/>
      <c r="M33" s="82"/>
      <c r="N33" s="82"/>
      <c r="O33" s="83"/>
    </row>
    <row r="34" s="31" customFormat="1" ht="18" customHeight="1" spans="1:15">
      <c r="A34" s="63"/>
      <c r="B34" s="47">
        <f t="shared" ref="B28:B37" si="13">ROUND(G34/(1+E34),2)</f>
        <v>0</v>
      </c>
      <c r="C34" s="64"/>
      <c r="D34" s="65"/>
      <c r="E34" s="66"/>
      <c r="F34" s="134">
        <f t="shared" si="12"/>
        <v>0</v>
      </c>
      <c r="G34" s="132"/>
      <c r="H34" s="3" t="s">
        <v>69</v>
      </c>
      <c r="I34" s="119">
        <v>500</v>
      </c>
      <c r="J34" s="100" t="s">
        <v>67</v>
      </c>
      <c r="K34" s="10" t="s">
        <v>73</v>
      </c>
      <c r="L34" s="83"/>
      <c r="M34" s="82"/>
      <c r="N34" s="82"/>
      <c r="O34" s="83"/>
    </row>
    <row r="35" s="31" customFormat="1" ht="18" customHeight="1" spans="1:15">
      <c r="A35" s="63"/>
      <c r="B35" s="47">
        <f t="shared" si="13"/>
        <v>10000</v>
      </c>
      <c r="C35" s="64"/>
      <c r="D35" s="65"/>
      <c r="E35" s="66"/>
      <c r="F35" s="134">
        <f t="shared" si="12"/>
        <v>0</v>
      </c>
      <c r="G35" s="132">
        <v>10000</v>
      </c>
      <c r="H35" s="3" t="s">
        <v>69</v>
      </c>
      <c r="I35" s="119">
        <f>G35</f>
        <v>10000</v>
      </c>
      <c r="J35" s="100" t="s">
        <v>67</v>
      </c>
      <c r="K35" s="10" t="s">
        <v>68</v>
      </c>
      <c r="L35" s="83"/>
      <c r="M35" s="82"/>
      <c r="N35" s="82"/>
      <c r="O35" s="83"/>
    </row>
    <row r="36" s="31" customFormat="1" ht="18" customHeight="1" spans="1:15">
      <c r="A36" s="63"/>
      <c r="B36" s="47">
        <f t="shared" si="13"/>
        <v>0</v>
      </c>
      <c r="C36" s="64"/>
      <c r="D36" s="65"/>
      <c r="E36" s="66"/>
      <c r="F36" s="47">
        <f t="shared" si="12"/>
        <v>0</v>
      </c>
      <c r="G36" s="132"/>
      <c r="H36" s="3" t="s">
        <v>69</v>
      </c>
      <c r="I36" s="119">
        <v>20000</v>
      </c>
      <c r="J36" s="100" t="s">
        <v>67</v>
      </c>
      <c r="K36" s="10" t="s">
        <v>74</v>
      </c>
      <c r="L36" s="83"/>
      <c r="M36" s="82"/>
      <c r="N36" s="82"/>
      <c r="O36" s="83"/>
    </row>
    <row r="37" s="31" customFormat="1" ht="18" customHeight="1" spans="1:18">
      <c r="A37" s="63"/>
      <c r="B37" s="47">
        <f t="shared" si="13"/>
        <v>0</v>
      </c>
      <c r="C37" s="64"/>
      <c r="D37" s="65"/>
      <c r="E37" s="66"/>
      <c r="F37" s="47">
        <f t="shared" si="12"/>
        <v>0</v>
      </c>
      <c r="G37" s="132"/>
      <c r="H37" s="3" t="s">
        <v>69</v>
      </c>
      <c r="I37" s="119">
        <v>127126</v>
      </c>
      <c r="J37" s="100" t="s">
        <v>67</v>
      </c>
      <c r="K37" s="31" t="s">
        <v>75</v>
      </c>
      <c r="L37" s="83"/>
      <c r="M37" s="82"/>
      <c r="N37" s="82"/>
      <c r="O37" s="83"/>
      <c r="R37" s="31" t="s">
        <v>60</v>
      </c>
    </row>
    <row r="38" ht="18" customHeight="1" spans="1:15">
      <c r="A38" s="13" t="s">
        <v>24</v>
      </c>
      <c r="B38" s="120">
        <f t="shared" ref="B38:G38" si="14">SUM(B18:B37)</f>
        <v>1903148.51</v>
      </c>
      <c r="C38" s="13"/>
      <c r="D38" s="108"/>
      <c r="E38" s="108"/>
      <c r="F38" s="133">
        <f t="shared" si="14"/>
        <v>14851.49</v>
      </c>
      <c r="G38" s="143">
        <f t="shared" si="14"/>
        <v>1918000</v>
      </c>
      <c r="H38" s="110"/>
      <c r="I38" s="128">
        <f>SUM(I18:I37)</f>
        <v>985926</v>
      </c>
      <c r="J38" s="126"/>
      <c r="K38" s="10"/>
      <c r="L38" s="60"/>
      <c r="M38" s="100"/>
      <c r="N38" s="100"/>
      <c r="O38" s="60"/>
    </row>
    <row r="39" ht="18" customHeight="1" spans="1:14">
      <c r="A39" s="111" t="s">
        <v>76</v>
      </c>
      <c r="B39" s="113">
        <f>B11*0.96</f>
        <v>1761467.88990826</v>
      </c>
      <c r="C39" s="111"/>
      <c r="D39" s="112"/>
      <c r="E39" s="112"/>
      <c r="F39" s="113"/>
      <c r="G39" s="113">
        <f>G11-G38</f>
        <v>82000</v>
      </c>
      <c r="H39" s="51" t="s">
        <v>77</v>
      </c>
      <c r="I39" s="128">
        <f>I11-I38</f>
        <v>814074</v>
      </c>
      <c r="J39" s="30"/>
      <c r="K39" s="127"/>
      <c r="M39" s="37"/>
      <c r="N39" s="37"/>
    </row>
    <row r="40" ht="18" customHeight="1" spans="1:14">
      <c r="A40" s="111" t="s">
        <v>78</v>
      </c>
      <c r="B40" s="113">
        <f>B39-B38</f>
        <v>-141680.62009174</v>
      </c>
      <c r="C40" s="111"/>
      <c r="D40" s="112"/>
      <c r="E40" s="112"/>
      <c r="F40" s="113"/>
      <c r="G40" s="113"/>
      <c r="H40" s="114"/>
      <c r="I40" s="113"/>
      <c r="J40" s="30"/>
      <c r="K40" s="127"/>
      <c r="M40" s="37"/>
      <c r="N40" s="37"/>
    </row>
    <row r="41" ht="18" customHeight="1" spans="1:3">
      <c r="A41" s="34" t="s">
        <v>79</v>
      </c>
      <c r="C41" s="34"/>
    </row>
    <row r="42" ht="18" customHeight="1" spans="1:10">
      <c r="A42" s="51" t="s">
        <v>80</v>
      </c>
      <c r="B42" s="50" t="s">
        <v>81</v>
      </c>
      <c r="C42" s="60"/>
      <c r="D42" s="51" t="s">
        <v>80</v>
      </c>
      <c r="E42" s="49" t="s">
        <v>16</v>
      </c>
      <c r="F42" s="50" t="s">
        <v>81</v>
      </c>
      <c r="G42" s="50" t="s">
        <v>82</v>
      </c>
      <c r="J42" s="36" t="s">
        <v>48</v>
      </c>
    </row>
    <row r="43" ht="18" customHeight="1" spans="1:7">
      <c r="A43" s="60" t="s">
        <v>83</v>
      </c>
      <c r="B43" s="47">
        <f>(B39-B38)*0.25</f>
        <v>-35420.155022935</v>
      </c>
      <c r="C43" s="60"/>
      <c r="D43" s="57" t="s">
        <v>84</v>
      </c>
      <c r="E43" s="51" t="s">
        <v>85</v>
      </c>
      <c r="F43" s="133">
        <f>F11-F38</f>
        <v>113588.876972477</v>
      </c>
      <c r="G43" s="133">
        <f>F7-F18-F19</f>
        <v>115569.076972477</v>
      </c>
    </row>
    <row r="44" ht="18" customHeight="1" spans="1:11">
      <c r="A44" s="60" t="s">
        <v>86</v>
      </c>
      <c r="B44" s="115" t="s">
        <v>87</v>
      </c>
      <c r="C44" s="60"/>
      <c r="D44" s="118" t="s">
        <v>88</v>
      </c>
      <c r="E44" s="43">
        <v>0.05</v>
      </c>
      <c r="F44" s="119">
        <f>F43*E44</f>
        <v>5679.44384862385</v>
      </c>
      <c r="G44" s="119">
        <f>G43*E44</f>
        <v>5778.45384862385</v>
      </c>
      <c r="K44" s="30" t="s">
        <v>60</v>
      </c>
    </row>
    <row r="45" ht="18" customHeight="1" spans="1:7">
      <c r="A45" s="60" t="s">
        <v>89</v>
      </c>
      <c r="B45" s="115" t="s">
        <v>87</v>
      </c>
      <c r="C45" s="60"/>
      <c r="D45" s="118" t="s">
        <v>90</v>
      </c>
      <c r="E45" s="43">
        <v>0.03</v>
      </c>
      <c r="F45" s="119">
        <f>F43*E45</f>
        <v>3407.66630917431</v>
      </c>
      <c r="G45" s="119">
        <f>G43*E45</f>
        <v>3467.07230917431</v>
      </c>
    </row>
    <row r="46" ht="18" customHeight="1" spans="1:7">
      <c r="A46" s="60"/>
      <c r="B46" s="119"/>
      <c r="C46" s="60"/>
      <c r="D46" s="118" t="s">
        <v>91</v>
      </c>
      <c r="E46" s="43">
        <v>0.02</v>
      </c>
      <c r="F46" s="119">
        <f>F43*E46</f>
        <v>2271.77753944954</v>
      </c>
      <c r="G46" s="119">
        <f>G43*E46</f>
        <v>2311.38153944954</v>
      </c>
    </row>
    <row r="47" ht="18" customHeight="1" spans="1:7">
      <c r="A47" s="57" t="s">
        <v>92</v>
      </c>
      <c r="B47" s="120">
        <f t="shared" ref="B47:G47" si="15">SUM(B43:B46)</f>
        <v>-35420.155022935</v>
      </c>
      <c r="C47" s="60"/>
      <c r="D47" s="12" t="s">
        <v>92</v>
      </c>
      <c r="E47" s="57"/>
      <c r="F47" s="133">
        <f t="shared" si="15"/>
        <v>124947.764669725</v>
      </c>
      <c r="G47" s="133">
        <f t="shared" si="15"/>
        <v>127125.984669725</v>
      </c>
    </row>
    <row r="48" ht="18" customHeight="1" spans="3:7">
      <c r="C48" s="34"/>
      <c r="D48" s="13" t="s">
        <v>83</v>
      </c>
      <c r="E48" s="108">
        <v>0.01</v>
      </c>
      <c r="F48" s="128">
        <f>G11*E48</f>
        <v>20000</v>
      </c>
      <c r="G48" s="128">
        <f>G7*E48</f>
        <v>20000</v>
      </c>
    </row>
    <row r="49" ht="18" customHeight="1" spans="3:3">
      <c r="C49" s="34"/>
    </row>
    <row r="50" ht="18" customHeight="1" spans="3:3">
      <c r="C50" s="34"/>
    </row>
    <row r="51" ht="18" customHeight="1" spans="3:3">
      <c r="C51" s="34"/>
    </row>
    <row r="52" spans="3:3">
      <c r="C52" s="34"/>
    </row>
    <row r="53" spans="3:3">
      <c r="C53" s="34"/>
    </row>
    <row r="54" spans="3:3">
      <c r="C54" s="34"/>
    </row>
    <row r="55" spans="3:3">
      <c r="C55" s="34"/>
    </row>
    <row r="56" spans="3:3">
      <c r="C56" s="34"/>
    </row>
    <row r="57" spans="3:3">
      <c r="C57" s="34"/>
    </row>
    <row r="58" spans="3:3">
      <c r="C58" s="34"/>
    </row>
    <row r="59" spans="3:3">
      <c r="C59" s="34"/>
    </row>
    <row r="60" spans="3:3">
      <c r="C60" s="34"/>
    </row>
    <row r="61" spans="3:3">
      <c r="C61" s="34"/>
    </row>
    <row r="62" spans="3:3">
      <c r="C62" s="34"/>
    </row>
    <row r="63" spans="3:3">
      <c r="C63" s="34"/>
    </row>
    <row r="64" spans="3:3">
      <c r="C64" s="34"/>
    </row>
    <row r="65" spans="3:3">
      <c r="C65" s="34"/>
    </row>
    <row r="66" spans="3:3">
      <c r="C66" s="34"/>
    </row>
    <row r="67" spans="3:3">
      <c r="C67" s="34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9"/>
  <sheetViews>
    <sheetView topLeftCell="A26" workbookViewId="0">
      <selection activeCell="F34" sqref="F34:F43"/>
    </sheetView>
  </sheetViews>
  <sheetFormatPr defaultColWidth="9" defaultRowHeight="11.25"/>
  <cols>
    <col min="1" max="1" width="10.75" style="34" customWidth="1"/>
    <col min="2" max="2" width="13.125" style="35" customWidth="1"/>
    <col min="3" max="3" width="6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16.25" style="33" customWidth="1"/>
    <col min="9" max="9" width="13.875" style="35" customWidth="1"/>
    <col min="10" max="10" width="9.625" style="36" customWidth="1"/>
    <col min="11" max="11" width="31.5" style="30" customWidth="1"/>
    <col min="12" max="12" width="12.75" style="30" customWidth="1"/>
    <col min="13" max="13" width="6" style="30" customWidth="1"/>
    <col min="14" max="14" width="5.625" style="30" customWidth="1"/>
    <col min="15" max="16" width="9" style="30"/>
    <col min="17" max="17" width="9.625" style="30"/>
    <col min="18" max="18" width="9" style="30"/>
    <col min="19" max="19" width="9.625" style="30"/>
    <col min="20" max="16384" width="9" style="34"/>
  </cols>
  <sheetData>
    <row r="1" s="30" customFormat="1" ht="21.95" customHeight="1" spans="1:12">
      <c r="A1" s="38" t="s">
        <v>0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</row>
    <row r="2" s="30" customFormat="1" ht="18" customHeight="1" spans="1:12">
      <c r="A2" s="40" t="s">
        <v>1</v>
      </c>
      <c r="B2" s="41">
        <v>43693</v>
      </c>
      <c r="C2" s="4" t="s">
        <v>2</v>
      </c>
      <c r="D2" s="130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</row>
    <row r="3" s="30" customFormat="1" ht="18" customHeight="1" spans="1:12">
      <c r="A3" s="40" t="s">
        <v>7</v>
      </c>
      <c r="B3" s="47"/>
      <c r="C3" s="4" t="s">
        <v>8</v>
      </c>
      <c r="D3" s="4"/>
      <c r="E3" s="33"/>
      <c r="F3" s="35"/>
      <c r="G3" s="35"/>
      <c r="H3" s="48"/>
      <c r="I3" s="74"/>
      <c r="J3" s="48"/>
      <c r="K3" s="48"/>
      <c r="L3" s="48"/>
    </row>
    <row r="4" s="30" customFormat="1" ht="18" customHeight="1" spans="1:12">
      <c r="A4" s="34" t="s">
        <v>9</v>
      </c>
      <c r="B4" s="35"/>
      <c r="C4" s="33"/>
      <c r="D4" s="33"/>
      <c r="E4" s="33"/>
      <c r="F4" s="35"/>
      <c r="G4" s="35"/>
      <c r="H4" s="48"/>
      <c r="I4" s="74"/>
      <c r="J4" s="48"/>
      <c r="K4" s="48"/>
      <c r="L4" s="48"/>
    </row>
    <row r="5" s="30" customFormat="1" ht="18" customHeight="1" spans="1:10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</row>
    <row r="6" s="30" customFormat="1" ht="18" customHeight="1" spans="1:10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</row>
    <row r="7" s="30" customFormat="1" ht="18" customHeight="1" spans="1:10">
      <c r="A7" s="3">
        <v>43936</v>
      </c>
      <c r="B7" s="119">
        <f t="shared" ref="B7:B10" si="0">G7/(1+C7+E7)</f>
        <v>1834862.3853211</v>
      </c>
      <c r="C7" s="52">
        <v>0.02</v>
      </c>
      <c r="D7" s="131">
        <f t="shared" ref="D7:D10" si="1">G7/(1+E7+C7)*C7</f>
        <v>36697.247706422</v>
      </c>
      <c r="E7" s="54">
        <v>0.07</v>
      </c>
      <c r="F7" s="119">
        <f t="shared" ref="F7:F10" si="2">G7/(1+C7+E7)*E7</f>
        <v>128440.366972477</v>
      </c>
      <c r="G7" s="132">
        <v>2000000</v>
      </c>
      <c r="H7" s="3">
        <v>43944</v>
      </c>
      <c r="I7" s="119">
        <v>800000</v>
      </c>
      <c r="J7" s="100" t="s">
        <v>21</v>
      </c>
    </row>
    <row r="8" s="30" customFormat="1" ht="18" customHeight="1" spans="1:11">
      <c r="A8" s="3">
        <v>44232</v>
      </c>
      <c r="B8" s="119">
        <f t="shared" si="0"/>
        <v>2752293.57798165</v>
      </c>
      <c r="C8" s="52">
        <v>0.02</v>
      </c>
      <c r="D8" s="131">
        <f t="shared" si="1"/>
        <v>55045.871559633</v>
      </c>
      <c r="E8" s="54">
        <v>0.07</v>
      </c>
      <c r="F8" s="119">
        <f t="shared" si="2"/>
        <v>192660.550458716</v>
      </c>
      <c r="G8" s="132">
        <v>3000000</v>
      </c>
      <c r="H8" s="3">
        <v>43944</v>
      </c>
      <c r="I8" s="119">
        <v>200000</v>
      </c>
      <c r="J8" s="100" t="s">
        <v>22</v>
      </c>
      <c r="K8" s="30" t="s">
        <v>23</v>
      </c>
    </row>
    <row r="9" s="30" customFormat="1" ht="18" customHeight="1" spans="1:19">
      <c r="A9" s="3"/>
      <c r="B9" s="119">
        <f t="shared" si="0"/>
        <v>0</v>
      </c>
      <c r="C9" s="52">
        <v>0.02</v>
      </c>
      <c r="D9" s="131">
        <f t="shared" si="1"/>
        <v>0</v>
      </c>
      <c r="E9" s="52"/>
      <c r="F9" s="119">
        <f t="shared" si="2"/>
        <v>0</v>
      </c>
      <c r="G9" s="132"/>
      <c r="H9" s="3">
        <v>44090</v>
      </c>
      <c r="I9" s="119">
        <v>800000</v>
      </c>
      <c r="J9" s="100" t="s">
        <v>21</v>
      </c>
      <c r="S9" s="30">
        <f>F7*1.1</f>
        <v>141284.403669725</v>
      </c>
    </row>
    <row r="10" s="30" customFormat="1" ht="18" customHeight="1" spans="1:11">
      <c r="A10" s="3"/>
      <c r="B10" s="119">
        <f t="shared" si="0"/>
        <v>0</v>
      </c>
      <c r="C10" s="52">
        <v>0.02</v>
      </c>
      <c r="D10" s="131">
        <f t="shared" si="1"/>
        <v>0</v>
      </c>
      <c r="E10" s="52"/>
      <c r="F10" s="119">
        <f t="shared" si="2"/>
        <v>0</v>
      </c>
      <c r="G10" s="132"/>
      <c r="H10" s="3">
        <v>44099</v>
      </c>
      <c r="I10" s="119">
        <v>200000</v>
      </c>
      <c r="J10" s="100" t="s">
        <v>22</v>
      </c>
      <c r="K10" s="30" t="s">
        <v>23</v>
      </c>
    </row>
    <row r="11" s="30" customFormat="1" ht="18" customHeight="1" spans="1:10">
      <c r="A11" s="3"/>
      <c r="B11" s="119"/>
      <c r="C11" s="52"/>
      <c r="D11" s="131"/>
      <c r="E11" s="52"/>
      <c r="F11" s="119"/>
      <c r="G11" s="132"/>
      <c r="H11" s="3">
        <v>44235</v>
      </c>
      <c r="I11" s="119">
        <v>1200000</v>
      </c>
      <c r="J11" s="100" t="s">
        <v>21</v>
      </c>
    </row>
    <row r="12" s="30" customFormat="1" ht="18" customHeight="1" spans="1:11">
      <c r="A12" s="3"/>
      <c r="B12" s="119"/>
      <c r="C12" s="52"/>
      <c r="D12" s="131"/>
      <c r="E12" s="52"/>
      <c r="F12" s="119"/>
      <c r="G12" s="132"/>
      <c r="H12" s="3">
        <v>44235</v>
      </c>
      <c r="I12" s="119">
        <v>300000</v>
      </c>
      <c r="J12" s="100" t="s">
        <v>22</v>
      </c>
      <c r="K12" s="30" t="s">
        <v>23</v>
      </c>
    </row>
    <row r="13" s="30" customFormat="1" ht="18" customHeight="1" spans="1:10">
      <c r="A13" s="3"/>
      <c r="B13" s="119"/>
      <c r="C13" s="52"/>
      <c r="D13" s="131"/>
      <c r="E13" s="52"/>
      <c r="F13" s="119"/>
      <c r="G13" s="132"/>
      <c r="H13" s="3">
        <v>44237</v>
      </c>
      <c r="I13" s="119">
        <v>800000</v>
      </c>
      <c r="J13" s="100" t="s">
        <v>21</v>
      </c>
    </row>
    <row r="14" s="30" customFormat="1" ht="18" customHeight="1" spans="1:10">
      <c r="A14" s="3"/>
      <c r="B14" s="119"/>
      <c r="C14" s="52"/>
      <c r="D14" s="131"/>
      <c r="E14" s="52"/>
      <c r="F14" s="119"/>
      <c r="G14" s="132"/>
      <c r="H14" s="3"/>
      <c r="I14" s="119"/>
      <c r="J14" s="100"/>
    </row>
    <row r="15" s="30" customFormat="1" ht="18" customHeight="1" spans="1:10">
      <c r="A15" s="3"/>
      <c r="B15" s="119"/>
      <c r="C15" s="52"/>
      <c r="D15" s="131"/>
      <c r="E15" s="52"/>
      <c r="F15" s="119"/>
      <c r="G15" s="132"/>
      <c r="H15" s="3"/>
      <c r="I15" s="119"/>
      <c r="J15" s="100"/>
    </row>
    <row r="16" s="30" customFormat="1" ht="18" customHeight="1" spans="1:10">
      <c r="A16" s="57" t="s">
        <v>24</v>
      </c>
      <c r="B16" s="120">
        <f t="shared" ref="B16:G16" si="3">SUM(B7:B10)</f>
        <v>4587155.96330275</v>
      </c>
      <c r="C16" s="13"/>
      <c r="D16" s="128">
        <f t="shared" si="3"/>
        <v>91743.119266055</v>
      </c>
      <c r="E16" s="13"/>
      <c r="F16" s="133">
        <f t="shared" si="3"/>
        <v>321100.917431193</v>
      </c>
      <c r="G16" s="128">
        <f t="shared" si="3"/>
        <v>5000000</v>
      </c>
      <c r="H16" s="60"/>
      <c r="I16" s="128">
        <f>SUM(I7:I15)</f>
        <v>4300000</v>
      </c>
      <c r="J16" s="60"/>
    </row>
    <row r="17" s="30" customFormat="1" ht="18" customHeight="1" spans="1:12">
      <c r="A17" s="34" t="s">
        <v>25</v>
      </c>
      <c r="B17" s="35"/>
      <c r="C17" s="33"/>
      <c r="D17" s="33"/>
      <c r="E17" s="33"/>
      <c r="F17" s="35"/>
      <c r="G17" s="35"/>
      <c r="H17" s="33"/>
      <c r="I17" s="35"/>
      <c r="J17" s="33"/>
      <c r="K17" s="33"/>
      <c r="L17" s="36"/>
    </row>
    <row r="18" s="30" customFormat="1" ht="18" customHeight="1" spans="1:15">
      <c r="A18" s="12" t="s">
        <v>26</v>
      </c>
      <c r="B18" s="50" t="s">
        <v>27</v>
      </c>
      <c r="C18" s="49" t="s">
        <v>28</v>
      </c>
      <c r="D18" s="49" t="s">
        <v>29</v>
      </c>
      <c r="E18" s="49" t="s">
        <v>16</v>
      </c>
      <c r="F18" s="50" t="s">
        <v>30</v>
      </c>
      <c r="G18" s="50" t="s">
        <v>14</v>
      </c>
      <c r="H18" s="49" t="s">
        <v>31</v>
      </c>
      <c r="I18" s="50" t="s">
        <v>32</v>
      </c>
      <c r="J18" s="49" t="s">
        <v>20</v>
      </c>
      <c r="K18" s="49" t="s">
        <v>93</v>
      </c>
      <c r="L18" s="76" t="s">
        <v>34</v>
      </c>
      <c r="M18" s="51" t="s">
        <v>35</v>
      </c>
      <c r="N18" s="51" t="s">
        <v>36</v>
      </c>
      <c r="O18" s="51" t="s">
        <v>37</v>
      </c>
    </row>
    <row r="19" customFormat="1" ht="18" customHeight="1" spans="1:15">
      <c r="A19" s="12"/>
      <c r="B19" s="134">
        <f t="shared" ref="B19:B53" si="4">ROUND(G19/(1+E19),2)</f>
        <v>0</v>
      </c>
      <c r="C19" s="49"/>
      <c r="D19" s="49"/>
      <c r="E19" s="62"/>
      <c r="F19" s="134">
        <f t="shared" ref="F19:F57" si="5">ROUND(G19/(1+E19)*E19,2)</f>
        <v>0</v>
      </c>
      <c r="G19" s="132"/>
      <c r="H19" s="6">
        <v>43790</v>
      </c>
      <c r="I19" s="115">
        <v>-50000</v>
      </c>
      <c r="J19" s="77" t="s">
        <v>38</v>
      </c>
      <c r="K19" s="135" t="s">
        <v>39</v>
      </c>
      <c r="L19" s="5" t="s">
        <v>40</v>
      </c>
      <c r="M19" s="79"/>
      <c r="N19" s="51"/>
      <c r="O19" s="51"/>
    </row>
    <row r="20" customFormat="1" ht="18" customHeight="1" spans="1:20">
      <c r="A20" s="12"/>
      <c r="B20" s="134">
        <f t="shared" si="4"/>
        <v>0</v>
      </c>
      <c r="C20" s="49"/>
      <c r="D20" s="49"/>
      <c r="E20" s="62"/>
      <c r="F20" s="134">
        <f t="shared" si="5"/>
        <v>0</v>
      </c>
      <c r="G20" s="132"/>
      <c r="H20" s="6">
        <v>43825</v>
      </c>
      <c r="I20" s="115">
        <v>50000</v>
      </c>
      <c r="J20" s="77" t="s">
        <v>21</v>
      </c>
      <c r="K20" s="135" t="s">
        <v>41</v>
      </c>
      <c r="L20" s="5" t="s">
        <v>42</v>
      </c>
      <c r="M20" s="79"/>
      <c r="N20" s="51"/>
      <c r="O20" s="51"/>
      <c r="T20" t="s">
        <v>60</v>
      </c>
    </row>
    <row r="21" customFormat="1" ht="18" customHeight="1" spans="1:15">
      <c r="A21" s="12"/>
      <c r="B21" s="134">
        <f t="shared" si="4"/>
        <v>0</v>
      </c>
      <c r="C21" s="49"/>
      <c r="D21" s="49"/>
      <c r="E21" s="62"/>
      <c r="F21" s="134">
        <f t="shared" si="5"/>
        <v>0</v>
      </c>
      <c r="G21" s="132"/>
      <c r="H21" s="6" t="s">
        <v>43</v>
      </c>
      <c r="I21" s="115">
        <v>-41000</v>
      </c>
      <c r="J21" s="77" t="s">
        <v>38</v>
      </c>
      <c r="K21" s="135" t="s">
        <v>39</v>
      </c>
      <c r="L21" s="5"/>
      <c r="M21" s="79"/>
      <c r="N21" s="51"/>
      <c r="O21" s="51"/>
    </row>
    <row r="22" customFormat="1" ht="18" customHeight="1" spans="1:15">
      <c r="A22" s="12"/>
      <c r="B22" s="134">
        <f t="shared" si="4"/>
        <v>0</v>
      </c>
      <c r="C22" s="49"/>
      <c r="D22" s="49"/>
      <c r="E22" s="62"/>
      <c r="F22" s="134">
        <f t="shared" si="5"/>
        <v>0</v>
      </c>
      <c r="G22" s="132"/>
      <c r="H22" s="6" t="s">
        <v>43</v>
      </c>
      <c r="I22" s="115">
        <v>41000</v>
      </c>
      <c r="J22" s="77" t="s">
        <v>21</v>
      </c>
      <c r="K22" s="135" t="s">
        <v>44</v>
      </c>
      <c r="L22" s="5"/>
      <c r="M22" s="79"/>
      <c r="N22" s="51"/>
      <c r="O22" s="51"/>
    </row>
    <row r="23" s="31" customFormat="1" ht="18" customHeight="1" spans="1:15">
      <c r="A23" s="63">
        <v>43941</v>
      </c>
      <c r="B23" s="134">
        <f t="shared" si="4"/>
        <v>990099.01</v>
      </c>
      <c r="C23" s="64">
        <v>11</v>
      </c>
      <c r="D23" s="65" t="s">
        <v>45</v>
      </c>
      <c r="E23" s="62">
        <v>0.01</v>
      </c>
      <c r="F23" s="134">
        <f t="shared" si="5"/>
        <v>9900.99</v>
      </c>
      <c r="G23" s="132">
        <v>1000000</v>
      </c>
      <c r="H23" s="6"/>
      <c r="I23" s="115"/>
      <c r="J23" s="81"/>
      <c r="K23" s="135" t="s">
        <v>46</v>
      </c>
      <c r="L23" s="5" t="s">
        <v>47</v>
      </c>
      <c r="M23" s="136" t="s">
        <v>48</v>
      </c>
      <c r="N23" s="82"/>
      <c r="O23" s="83" t="s">
        <v>49</v>
      </c>
    </row>
    <row r="24" s="31" customFormat="1" ht="18" customHeight="1" spans="1:15">
      <c r="A24" s="63">
        <v>43941</v>
      </c>
      <c r="B24" s="134">
        <f t="shared" si="4"/>
        <v>297029.7</v>
      </c>
      <c r="C24" s="64"/>
      <c r="D24" s="65" t="s">
        <v>45</v>
      </c>
      <c r="E24" s="62">
        <v>0.01</v>
      </c>
      <c r="F24" s="134">
        <f t="shared" si="5"/>
        <v>2970.3</v>
      </c>
      <c r="G24" s="132">
        <f>75000+80000+75000+70000</f>
        <v>300000</v>
      </c>
      <c r="H24" s="9"/>
      <c r="I24" s="137"/>
      <c r="J24" s="82"/>
      <c r="K24" s="10" t="s">
        <v>54</v>
      </c>
      <c r="L24" s="84" t="s">
        <v>51</v>
      </c>
      <c r="M24" s="82"/>
      <c r="N24" s="82"/>
      <c r="O24" s="83" t="s">
        <v>52</v>
      </c>
    </row>
    <row r="25" s="31" customFormat="1" ht="18" customHeight="1" spans="1:15">
      <c r="A25" s="63">
        <v>43922</v>
      </c>
      <c r="B25" s="134">
        <f t="shared" si="4"/>
        <v>200000</v>
      </c>
      <c r="C25" s="64"/>
      <c r="D25" s="65" t="s">
        <v>53</v>
      </c>
      <c r="E25" s="62"/>
      <c r="F25" s="134">
        <f t="shared" si="5"/>
        <v>0</v>
      </c>
      <c r="G25" s="132">
        <v>200000</v>
      </c>
      <c r="H25" s="9"/>
      <c r="I25" s="137"/>
      <c r="J25" s="82"/>
      <c r="K25" s="10" t="s">
        <v>54</v>
      </c>
      <c r="L25" s="10" t="s">
        <v>55</v>
      </c>
      <c r="M25" s="82"/>
      <c r="N25" s="82"/>
      <c r="O25" s="83" t="s">
        <v>56</v>
      </c>
    </row>
    <row r="26" s="31" customFormat="1" ht="18" customHeight="1" spans="1:15">
      <c r="A26" s="63">
        <v>43922</v>
      </c>
      <c r="B26" s="134">
        <f t="shared" si="4"/>
        <v>200000</v>
      </c>
      <c r="C26" s="64"/>
      <c r="D26" s="65" t="s">
        <v>53</v>
      </c>
      <c r="E26" s="62"/>
      <c r="F26" s="134">
        <f t="shared" si="5"/>
        <v>0</v>
      </c>
      <c r="G26" s="132">
        <v>200000</v>
      </c>
      <c r="H26" s="9"/>
      <c r="I26" s="137"/>
      <c r="J26" s="82"/>
      <c r="K26" s="10" t="s">
        <v>50</v>
      </c>
      <c r="L26" s="10" t="s">
        <v>55</v>
      </c>
      <c r="M26" s="82"/>
      <c r="N26" s="82"/>
      <c r="O26" s="83" t="s">
        <v>57</v>
      </c>
    </row>
    <row r="27" s="31" customFormat="1" ht="18" customHeight="1" spans="1:15">
      <c r="A27" s="63">
        <v>44002</v>
      </c>
      <c r="B27" s="134">
        <f t="shared" si="4"/>
        <v>198019.8</v>
      </c>
      <c r="C27" s="64"/>
      <c r="D27" s="65" t="s">
        <v>45</v>
      </c>
      <c r="E27" s="62">
        <v>0.01</v>
      </c>
      <c r="F27" s="134">
        <f t="shared" si="5"/>
        <v>1980.2</v>
      </c>
      <c r="G27" s="132">
        <v>200000</v>
      </c>
      <c r="H27" s="9"/>
      <c r="I27" s="137"/>
      <c r="J27" s="82"/>
      <c r="K27" s="10" t="s">
        <v>50</v>
      </c>
      <c r="L27" s="10" t="s">
        <v>58</v>
      </c>
      <c r="M27" s="82" t="s">
        <v>59</v>
      </c>
      <c r="N27" s="82"/>
      <c r="O27" s="83" t="s">
        <v>60</v>
      </c>
    </row>
    <row r="28" s="31" customFormat="1" ht="18" customHeight="1" spans="1:15">
      <c r="A28" s="63"/>
      <c r="B28" s="134">
        <f t="shared" si="4"/>
        <v>0</v>
      </c>
      <c r="C28" s="64"/>
      <c r="D28" s="65"/>
      <c r="E28" s="62"/>
      <c r="F28" s="134">
        <f t="shared" si="5"/>
        <v>0</v>
      </c>
      <c r="G28" s="132"/>
      <c r="H28" s="6">
        <v>43960</v>
      </c>
      <c r="I28" s="137">
        <v>500000</v>
      </c>
      <c r="J28" s="82" t="s">
        <v>21</v>
      </c>
      <c r="K28" s="138" t="s">
        <v>46</v>
      </c>
      <c r="L28" s="107" t="s">
        <v>47</v>
      </c>
      <c r="M28" s="82"/>
      <c r="N28" s="82"/>
      <c r="O28" s="83"/>
    </row>
    <row r="29" s="31" customFormat="1" ht="18" customHeight="1" spans="1:15">
      <c r="A29" s="63"/>
      <c r="B29" s="134">
        <f t="shared" si="4"/>
        <v>0</v>
      </c>
      <c r="C29" s="64"/>
      <c r="D29" s="65"/>
      <c r="E29" s="62"/>
      <c r="F29" s="134">
        <f t="shared" si="5"/>
        <v>0</v>
      </c>
      <c r="G29" s="132"/>
      <c r="H29" s="9">
        <v>43970</v>
      </c>
      <c r="I29" s="137">
        <v>50000</v>
      </c>
      <c r="J29" s="82" t="s">
        <v>21</v>
      </c>
      <c r="K29" s="10" t="s">
        <v>41</v>
      </c>
      <c r="L29" s="83"/>
      <c r="M29" s="82"/>
      <c r="N29" s="82"/>
      <c r="O29" s="83" t="s">
        <v>61</v>
      </c>
    </row>
    <row r="30" s="31" customFormat="1" ht="18" customHeight="1" spans="1:15">
      <c r="A30" s="63"/>
      <c r="B30" s="134">
        <f t="shared" si="4"/>
        <v>0</v>
      </c>
      <c r="C30" s="64"/>
      <c r="D30" s="65"/>
      <c r="E30" s="66"/>
      <c r="F30" s="134">
        <f t="shared" si="5"/>
        <v>0</v>
      </c>
      <c r="G30" s="132"/>
      <c r="H30" s="6">
        <v>44005</v>
      </c>
      <c r="I30" s="137">
        <v>70000</v>
      </c>
      <c r="J30" s="82" t="s">
        <v>21</v>
      </c>
      <c r="K30" s="10" t="s">
        <v>41</v>
      </c>
      <c r="L30" s="83"/>
      <c r="M30" s="82"/>
      <c r="N30" s="82"/>
      <c r="O30" s="83" t="s">
        <v>61</v>
      </c>
    </row>
    <row r="31" s="31" customFormat="1" ht="18" customHeight="1" spans="1:15">
      <c r="A31" s="63"/>
      <c r="B31" s="134">
        <f t="shared" si="4"/>
        <v>0</v>
      </c>
      <c r="C31" s="64"/>
      <c r="D31" s="65"/>
      <c r="E31" s="66"/>
      <c r="F31" s="134">
        <f t="shared" si="5"/>
        <v>0</v>
      </c>
      <c r="G31" s="132"/>
      <c r="H31" s="9">
        <v>44006</v>
      </c>
      <c r="I31" s="137">
        <v>200000</v>
      </c>
      <c r="J31" s="31" t="s">
        <v>94</v>
      </c>
      <c r="K31" s="10" t="s">
        <v>50</v>
      </c>
      <c r="L31" s="83"/>
      <c r="M31" s="82" t="s">
        <v>63</v>
      </c>
      <c r="N31" s="82"/>
      <c r="O31" s="83"/>
    </row>
    <row r="32" s="31" customFormat="1" ht="18" customHeight="1" spans="1:15">
      <c r="A32" s="63"/>
      <c r="B32" s="134">
        <f t="shared" si="4"/>
        <v>0</v>
      </c>
      <c r="C32" s="64"/>
      <c r="D32" s="65"/>
      <c r="E32" s="66"/>
      <c r="F32" s="134">
        <f t="shared" si="5"/>
        <v>0</v>
      </c>
      <c r="G32" s="132"/>
      <c r="H32" s="9">
        <v>44097</v>
      </c>
      <c r="I32" s="137">
        <v>300000</v>
      </c>
      <c r="J32" s="82" t="s">
        <v>21</v>
      </c>
      <c r="K32" s="138" t="s">
        <v>46</v>
      </c>
      <c r="L32" s="107" t="s">
        <v>47</v>
      </c>
      <c r="M32" s="82"/>
      <c r="N32" s="82"/>
      <c r="O32" s="83"/>
    </row>
    <row r="33" s="32" customFormat="1" ht="18" customHeight="1" spans="1:15">
      <c r="A33" s="63">
        <v>44094</v>
      </c>
      <c r="B33" s="134">
        <f t="shared" si="4"/>
        <v>125118.16</v>
      </c>
      <c r="C33" s="64">
        <v>2</v>
      </c>
      <c r="D33" s="65" t="s">
        <v>45</v>
      </c>
      <c r="E33" s="62">
        <v>0.01</v>
      </c>
      <c r="F33" s="134">
        <f t="shared" si="5"/>
        <v>1251.18</v>
      </c>
      <c r="G33" s="132">
        <f>57369.34+69000</f>
        <v>126369.34</v>
      </c>
      <c r="H33" s="9">
        <v>44099</v>
      </c>
      <c r="I33" s="47">
        <v>126369.34</v>
      </c>
      <c r="J33" s="31" t="s">
        <v>94</v>
      </c>
      <c r="K33" s="10" t="s">
        <v>50</v>
      </c>
      <c r="L33" s="83" t="s">
        <v>95</v>
      </c>
      <c r="M33" s="82" t="s">
        <v>63</v>
      </c>
      <c r="N33" s="86"/>
      <c r="O33" s="87"/>
    </row>
    <row r="34" s="32" customFormat="1" ht="18" customHeight="1" spans="1:15">
      <c r="A34" s="63"/>
      <c r="B34" s="134">
        <f t="shared" si="4"/>
        <v>0</v>
      </c>
      <c r="C34" s="64"/>
      <c r="D34" s="65"/>
      <c r="E34" s="62"/>
      <c r="F34" s="134">
        <f t="shared" si="5"/>
        <v>0</v>
      </c>
      <c r="G34" s="132"/>
      <c r="H34" s="9">
        <v>44099</v>
      </c>
      <c r="I34" s="47">
        <v>200000</v>
      </c>
      <c r="J34" s="82" t="s">
        <v>21</v>
      </c>
      <c r="K34" s="10" t="s">
        <v>50</v>
      </c>
      <c r="L34" s="83" t="s">
        <v>96</v>
      </c>
      <c r="M34" s="82"/>
      <c r="N34" s="86"/>
      <c r="O34" s="87"/>
    </row>
    <row r="35" s="31" customFormat="1" ht="18" customHeight="1" spans="1:15">
      <c r="A35" s="63">
        <v>44124</v>
      </c>
      <c r="B35" s="134">
        <f t="shared" si="4"/>
        <v>72901.64</v>
      </c>
      <c r="C35" s="64">
        <v>1</v>
      </c>
      <c r="D35" s="65" t="s">
        <v>45</v>
      </c>
      <c r="E35" s="62">
        <v>0.01</v>
      </c>
      <c r="F35" s="134">
        <f t="shared" si="5"/>
        <v>729.02</v>
      </c>
      <c r="G35" s="132">
        <v>73630.66</v>
      </c>
      <c r="H35" s="9">
        <v>44120</v>
      </c>
      <c r="I35" s="47">
        <v>73630.66</v>
      </c>
      <c r="J35" s="31" t="s">
        <v>94</v>
      </c>
      <c r="K35" s="10" t="s">
        <v>50</v>
      </c>
      <c r="L35" s="83" t="s">
        <v>95</v>
      </c>
      <c r="M35" s="82" t="s">
        <v>63</v>
      </c>
      <c r="N35" s="82"/>
      <c r="O35" s="83"/>
    </row>
    <row r="36" s="31" customFormat="1" ht="18" customHeight="1" spans="1:18">
      <c r="A36" s="63"/>
      <c r="B36" s="134">
        <f t="shared" si="4"/>
        <v>0</v>
      </c>
      <c r="C36" s="64"/>
      <c r="D36" s="65"/>
      <c r="E36" s="66"/>
      <c r="F36" s="134">
        <f t="shared" si="5"/>
        <v>0</v>
      </c>
      <c r="G36" s="132"/>
      <c r="H36" s="9">
        <v>44103</v>
      </c>
      <c r="I36" s="47">
        <v>30000</v>
      </c>
      <c r="J36" s="82" t="s">
        <v>21</v>
      </c>
      <c r="K36" s="10" t="s">
        <v>41</v>
      </c>
      <c r="L36" s="83" t="s">
        <v>97</v>
      </c>
      <c r="M36" s="82"/>
      <c r="N36" s="82"/>
      <c r="O36" s="83"/>
      <c r="R36" s="31" t="s">
        <v>60</v>
      </c>
    </row>
    <row r="37" s="31" customFormat="1" ht="18" customHeight="1" spans="2:15">
      <c r="B37" s="134">
        <f t="shared" si="4"/>
        <v>0</v>
      </c>
      <c r="C37" s="64"/>
      <c r="D37" s="65"/>
      <c r="E37" s="66"/>
      <c r="F37" s="134">
        <f t="shared" si="5"/>
        <v>0</v>
      </c>
      <c r="G37" s="132"/>
      <c r="H37" s="9">
        <v>44103</v>
      </c>
      <c r="I37" s="47">
        <v>100000</v>
      </c>
      <c r="J37" s="82" t="s">
        <v>21</v>
      </c>
      <c r="K37" s="10" t="s">
        <v>50</v>
      </c>
      <c r="L37" s="83" t="s">
        <v>51</v>
      </c>
      <c r="M37" s="82"/>
      <c r="N37" s="82"/>
      <c r="O37" s="83"/>
    </row>
    <row r="38" s="31" customFormat="1" ht="18" customHeight="1" spans="1:15">
      <c r="A38" s="63">
        <v>44124</v>
      </c>
      <c r="B38" s="134">
        <f t="shared" si="4"/>
        <v>36283.19</v>
      </c>
      <c r="C38" s="64">
        <v>1</v>
      </c>
      <c r="D38" s="65" t="s">
        <v>45</v>
      </c>
      <c r="E38" s="62">
        <v>0.13</v>
      </c>
      <c r="F38" s="134">
        <f t="shared" si="5"/>
        <v>4716.81</v>
      </c>
      <c r="G38" s="132">
        <v>41000</v>
      </c>
      <c r="H38" s="9"/>
      <c r="I38" s="47"/>
      <c r="K38" s="10" t="s">
        <v>44</v>
      </c>
      <c r="L38" s="83" t="s">
        <v>98</v>
      </c>
      <c r="M38" s="82"/>
      <c r="N38" s="82"/>
      <c r="O38" s="89" t="s">
        <v>99</v>
      </c>
    </row>
    <row r="39" s="31" customFormat="1" ht="18" customHeight="1" spans="1:17">
      <c r="A39" s="67"/>
      <c r="B39" s="134">
        <f t="shared" si="4"/>
        <v>0</v>
      </c>
      <c r="C39" s="68"/>
      <c r="D39" s="69"/>
      <c r="E39" s="70"/>
      <c r="F39" s="134">
        <f t="shared" si="5"/>
        <v>0</v>
      </c>
      <c r="G39" s="92"/>
      <c r="H39" s="9">
        <v>44130</v>
      </c>
      <c r="I39" s="47">
        <v>180000</v>
      </c>
      <c r="J39" s="82" t="s">
        <v>21</v>
      </c>
      <c r="K39" s="138" t="s">
        <v>54</v>
      </c>
      <c r="L39" s="83" t="s">
        <v>100</v>
      </c>
      <c r="M39" s="82"/>
      <c r="N39" s="82"/>
      <c r="O39" s="83"/>
      <c r="Q39" s="92">
        <v>1088000</v>
      </c>
    </row>
    <row r="40" s="31" customFormat="1" ht="18" customHeight="1" spans="1:15">
      <c r="A40" s="63">
        <v>44228</v>
      </c>
      <c r="B40" s="134">
        <f t="shared" si="4"/>
        <v>1077227.72</v>
      </c>
      <c r="C40" s="64">
        <v>12</v>
      </c>
      <c r="D40" s="65" t="s">
        <v>45</v>
      </c>
      <c r="E40" s="62">
        <v>0.01</v>
      </c>
      <c r="F40" s="134">
        <f t="shared" si="5"/>
        <v>10772.28</v>
      </c>
      <c r="G40" s="132">
        <f>95200+62560+91120+92480+93840+95200+95200+95200+95200+95200+88400+88400</f>
        <v>1088000</v>
      </c>
      <c r="H40" s="9">
        <v>44236</v>
      </c>
      <c r="I40" s="47">
        <v>880000</v>
      </c>
      <c r="J40" s="82" t="s">
        <v>21</v>
      </c>
      <c r="K40" s="138" t="s">
        <v>101</v>
      </c>
      <c r="L40" s="83" t="s">
        <v>102</v>
      </c>
      <c r="M40" s="82" t="s">
        <v>103</v>
      </c>
      <c r="N40" s="82"/>
      <c r="O40" s="87"/>
    </row>
    <row r="41" s="31" customFormat="1" ht="18" customHeight="1" spans="1:15">
      <c r="A41" s="63"/>
      <c r="B41" s="134">
        <f t="shared" si="4"/>
        <v>0</v>
      </c>
      <c r="C41" s="64"/>
      <c r="D41" s="65"/>
      <c r="E41" s="62"/>
      <c r="F41" s="134">
        <f t="shared" si="5"/>
        <v>0</v>
      </c>
      <c r="G41" s="132"/>
      <c r="H41" s="9">
        <v>44236</v>
      </c>
      <c r="I41" s="47">
        <v>300000</v>
      </c>
      <c r="J41" s="31" t="s">
        <v>94</v>
      </c>
      <c r="K41" s="10" t="s">
        <v>50</v>
      </c>
      <c r="L41" s="83" t="s">
        <v>95</v>
      </c>
      <c r="M41" s="82" t="s">
        <v>63</v>
      </c>
      <c r="N41" s="82"/>
      <c r="O41" s="83"/>
    </row>
    <row r="42" s="31" customFormat="1" ht="18" customHeight="1" spans="1:15">
      <c r="A42" s="63">
        <v>44228</v>
      </c>
      <c r="B42" s="134">
        <f t="shared" si="4"/>
        <v>435897.25</v>
      </c>
      <c r="C42" s="64">
        <v>5</v>
      </c>
      <c r="D42" s="65" t="s">
        <v>45</v>
      </c>
      <c r="E42" s="62">
        <v>0.09</v>
      </c>
      <c r="F42" s="134">
        <f t="shared" si="5"/>
        <v>39230.75</v>
      </c>
      <c r="G42" s="132">
        <f>95000*3+95064*2</f>
        <v>475128</v>
      </c>
      <c r="H42" s="9"/>
      <c r="I42" s="47"/>
      <c r="J42" s="82"/>
      <c r="K42" s="10" t="s">
        <v>104</v>
      </c>
      <c r="L42" s="83" t="s">
        <v>105</v>
      </c>
      <c r="M42" s="82" t="s">
        <v>106</v>
      </c>
      <c r="N42" s="82"/>
      <c r="O42" s="87"/>
    </row>
    <row r="43" s="31" customFormat="1" ht="18" customHeight="1" spans="1:15">
      <c r="A43" s="63">
        <v>44228</v>
      </c>
      <c r="B43" s="134">
        <f t="shared" si="4"/>
        <v>364884.96</v>
      </c>
      <c r="C43" s="64">
        <v>4</v>
      </c>
      <c r="D43" s="65" t="s">
        <v>45</v>
      </c>
      <c r="E43" s="62">
        <v>0.13</v>
      </c>
      <c r="F43" s="134">
        <f t="shared" si="5"/>
        <v>47435.04</v>
      </c>
      <c r="G43" s="132">
        <f>109440+89760+108000+105120</f>
        <v>412320</v>
      </c>
      <c r="H43" s="9"/>
      <c r="I43" s="139">
        <v>107680</v>
      </c>
      <c r="J43" s="86" t="s">
        <v>21</v>
      </c>
      <c r="K43" s="140" t="s">
        <v>107</v>
      </c>
      <c r="L43" s="87" t="s">
        <v>98</v>
      </c>
      <c r="M43" s="141" t="s">
        <v>108</v>
      </c>
      <c r="N43" s="82"/>
      <c r="O43" s="87"/>
    </row>
    <row r="44" s="31" customFormat="1" ht="18" customHeight="1" spans="1:15">
      <c r="A44" s="63"/>
      <c r="B44" s="134">
        <f t="shared" si="4"/>
        <v>0</v>
      </c>
      <c r="C44" s="64"/>
      <c r="D44" s="65"/>
      <c r="E44" s="62"/>
      <c r="F44" s="134">
        <f t="shared" si="5"/>
        <v>0</v>
      </c>
      <c r="G44" s="132"/>
      <c r="H44" s="9"/>
      <c r="I44" s="139">
        <v>412320</v>
      </c>
      <c r="J44" s="86" t="s">
        <v>21</v>
      </c>
      <c r="K44" s="142" t="s">
        <v>101</v>
      </c>
      <c r="L44" s="87" t="s">
        <v>102</v>
      </c>
      <c r="M44" s="82"/>
      <c r="N44" s="82"/>
      <c r="O44" s="87"/>
    </row>
    <row r="45" s="31" customFormat="1" ht="18" customHeight="1" spans="1:15">
      <c r="A45" s="67"/>
      <c r="B45" s="134">
        <f t="shared" si="4"/>
        <v>0</v>
      </c>
      <c r="C45" s="68"/>
      <c r="D45" s="69"/>
      <c r="E45" s="70"/>
      <c r="F45" s="134">
        <f t="shared" si="5"/>
        <v>0</v>
      </c>
      <c r="G45" s="132"/>
      <c r="H45" s="6"/>
      <c r="I45" s="47">
        <v>200</v>
      </c>
      <c r="J45" s="100" t="s">
        <v>67</v>
      </c>
      <c r="K45" s="10" t="s">
        <v>70</v>
      </c>
      <c r="L45" s="83"/>
      <c r="M45" s="82"/>
      <c r="N45" s="82"/>
      <c r="O45" s="87"/>
    </row>
    <row r="46" s="31" customFormat="1" ht="18" customHeight="1" spans="1:15">
      <c r="A46" s="67"/>
      <c r="B46" s="134">
        <f t="shared" si="4"/>
        <v>8000</v>
      </c>
      <c r="C46" s="68"/>
      <c r="D46" s="69"/>
      <c r="E46" s="70"/>
      <c r="F46" s="134">
        <f t="shared" si="5"/>
        <v>0</v>
      </c>
      <c r="G46" s="132">
        <v>8000</v>
      </c>
      <c r="H46" s="6"/>
      <c r="I46" s="47">
        <f>G46</f>
        <v>8000</v>
      </c>
      <c r="J46" s="100" t="s">
        <v>67</v>
      </c>
      <c r="K46" s="10" t="s">
        <v>68</v>
      </c>
      <c r="L46" s="83"/>
      <c r="M46" s="82"/>
      <c r="N46" s="82"/>
      <c r="O46" s="87"/>
    </row>
    <row r="47" s="31" customFormat="1" ht="18" customHeight="1" spans="1:15">
      <c r="A47" s="67"/>
      <c r="B47" s="134">
        <f t="shared" si="4"/>
        <v>0</v>
      </c>
      <c r="C47" s="68"/>
      <c r="D47" s="69"/>
      <c r="E47" s="70"/>
      <c r="F47" s="134">
        <f t="shared" si="5"/>
        <v>0</v>
      </c>
      <c r="G47" s="132"/>
      <c r="H47" s="93" t="s">
        <v>109</v>
      </c>
      <c r="I47" s="47">
        <v>200</v>
      </c>
      <c r="J47" s="100" t="s">
        <v>67</v>
      </c>
      <c r="K47" s="10" t="s">
        <v>70</v>
      </c>
      <c r="L47" s="83"/>
      <c r="M47" s="82"/>
      <c r="N47" s="82"/>
      <c r="O47" s="83"/>
    </row>
    <row r="48" s="31" customFormat="1" ht="18" customHeight="1" spans="1:15">
      <c r="A48" s="67"/>
      <c r="B48" s="134">
        <f t="shared" si="4"/>
        <v>15000</v>
      </c>
      <c r="C48" s="68"/>
      <c r="D48" s="69"/>
      <c r="E48" s="70"/>
      <c r="F48" s="134">
        <f t="shared" si="5"/>
        <v>0</v>
      </c>
      <c r="G48" s="132">
        <v>15000</v>
      </c>
      <c r="H48" s="93" t="s">
        <v>109</v>
      </c>
      <c r="I48" s="47">
        <f>G48</f>
        <v>15000</v>
      </c>
      <c r="J48" s="100" t="s">
        <v>67</v>
      </c>
      <c r="K48" s="10" t="s">
        <v>68</v>
      </c>
      <c r="L48" s="83"/>
      <c r="M48" s="82"/>
      <c r="N48" s="82"/>
      <c r="O48" s="83"/>
    </row>
    <row r="49" s="31" customFormat="1" ht="18" customHeight="1" spans="1:15">
      <c r="A49" s="67"/>
      <c r="B49" s="134">
        <f t="shared" si="4"/>
        <v>0</v>
      </c>
      <c r="C49" s="68"/>
      <c r="D49" s="69"/>
      <c r="E49" s="70"/>
      <c r="F49" s="134">
        <f t="shared" si="5"/>
        <v>0</v>
      </c>
      <c r="G49" s="132"/>
      <c r="H49" s="93" t="s">
        <v>109</v>
      </c>
      <c r="I49" s="47">
        <v>566054.55619266</v>
      </c>
      <c r="J49" s="100" t="s">
        <v>71</v>
      </c>
      <c r="K49" s="10" t="s">
        <v>110</v>
      </c>
      <c r="L49" s="83"/>
      <c r="M49" s="82"/>
      <c r="N49" s="82"/>
      <c r="O49" s="83"/>
    </row>
    <row r="50" s="31" customFormat="1" ht="18" customHeight="1" spans="1:15">
      <c r="A50" s="67"/>
      <c r="B50" s="134">
        <f t="shared" si="4"/>
        <v>0</v>
      </c>
      <c r="C50" s="68"/>
      <c r="D50" s="69"/>
      <c r="E50" s="70"/>
      <c r="F50" s="134">
        <f t="shared" si="5"/>
        <v>0</v>
      </c>
      <c r="G50" s="132"/>
      <c r="H50" s="93" t="s">
        <v>109</v>
      </c>
      <c r="I50" s="47">
        <v>30000</v>
      </c>
      <c r="J50" s="100" t="s">
        <v>67</v>
      </c>
      <c r="K50" s="10" t="s">
        <v>111</v>
      </c>
      <c r="L50" s="83"/>
      <c r="M50" s="82"/>
      <c r="N50" s="82"/>
      <c r="O50" s="83"/>
    </row>
    <row r="51" s="31" customFormat="1" ht="18" customHeight="1" spans="1:15">
      <c r="A51" s="67"/>
      <c r="B51" s="134">
        <f t="shared" si="4"/>
        <v>0</v>
      </c>
      <c r="C51" s="68"/>
      <c r="D51" s="69"/>
      <c r="E51" s="70"/>
      <c r="F51" s="134">
        <f t="shared" si="5"/>
        <v>0</v>
      </c>
      <c r="G51" s="132"/>
      <c r="H51" s="6" t="s">
        <v>109</v>
      </c>
      <c r="I51" s="47">
        <v>206061.341313762</v>
      </c>
      <c r="J51" s="100" t="s">
        <v>67</v>
      </c>
      <c r="K51" s="31" t="s">
        <v>112</v>
      </c>
      <c r="L51" s="83"/>
      <c r="M51" s="82"/>
      <c r="N51" s="82"/>
      <c r="O51" s="83">
        <v>0</v>
      </c>
    </row>
    <row r="52" s="31" customFormat="1" ht="18" customHeight="1" spans="1:15">
      <c r="A52" s="67"/>
      <c r="B52" s="134">
        <f t="shared" si="4"/>
        <v>0</v>
      </c>
      <c r="C52" s="68"/>
      <c r="D52" s="69"/>
      <c r="E52" s="70"/>
      <c r="F52" s="134">
        <f t="shared" si="5"/>
        <v>0</v>
      </c>
      <c r="G52" s="132"/>
      <c r="H52" s="6" t="s">
        <v>64</v>
      </c>
      <c r="I52" s="47">
        <v>100</v>
      </c>
      <c r="J52" s="82" t="s">
        <v>67</v>
      </c>
      <c r="K52" s="10" t="s">
        <v>70</v>
      </c>
      <c r="L52" s="83"/>
      <c r="M52" s="82"/>
      <c r="N52" s="82"/>
      <c r="O52" s="83"/>
    </row>
    <row r="53" s="31" customFormat="1" ht="18" customHeight="1" spans="1:15">
      <c r="A53" s="67"/>
      <c r="B53" s="134">
        <f t="shared" si="4"/>
        <v>0</v>
      </c>
      <c r="C53" s="68"/>
      <c r="D53" s="69"/>
      <c r="E53" s="70"/>
      <c r="F53" s="134">
        <f t="shared" si="5"/>
        <v>0</v>
      </c>
      <c r="G53" s="92"/>
      <c r="H53" s="6" t="s">
        <v>64</v>
      </c>
      <c r="I53" s="47">
        <v>50</v>
      </c>
      <c r="J53" s="82" t="s">
        <v>67</v>
      </c>
      <c r="K53" s="10" t="s">
        <v>70</v>
      </c>
      <c r="L53" s="83"/>
      <c r="M53" s="82"/>
      <c r="N53" s="82"/>
      <c r="O53" s="83"/>
    </row>
    <row r="54" s="31" customFormat="1" ht="18" customHeight="1" spans="1:15">
      <c r="A54" s="63"/>
      <c r="B54" s="134">
        <f t="shared" ref="B52:B56" si="6">ROUND(G54/(1+E54),2)</f>
        <v>0</v>
      </c>
      <c r="C54" s="64"/>
      <c r="D54" s="65"/>
      <c r="E54" s="66"/>
      <c r="F54" s="134">
        <f t="shared" si="5"/>
        <v>0</v>
      </c>
      <c r="G54" s="132"/>
      <c r="H54" s="6" t="s">
        <v>64</v>
      </c>
      <c r="I54" s="47">
        <v>100</v>
      </c>
      <c r="J54" s="82" t="s">
        <v>67</v>
      </c>
      <c r="K54" s="10" t="s">
        <v>70</v>
      </c>
      <c r="L54" s="87"/>
      <c r="M54" s="82"/>
      <c r="N54" s="82"/>
      <c r="O54" s="83"/>
    </row>
    <row r="55" s="31" customFormat="1" ht="18" customHeight="1" spans="1:16">
      <c r="A55" s="63"/>
      <c r="B55" s="134">
        <f t="shared" si="6"/>
        <v>0</v>
      </c>
      <c r="C55" s="64"/>
      <c r="D55" s="65"/>
      <c r="E55" s="66"/>
      <c r="F55" s="134">
        <f t="shared" si="5"/>
        <v>0</v>
      </c>
      <c r="G55" s="132"/>
      <c r="H55" s="6" t="s">
        <v>64</v>
      </c>
      <c r="I55" s="47">
        <v>50</v>
      </c>
      <c r="J55" s="82" t="s">
        <v>67</v>
      </c>
      <c r="K55" s="10" t="s">
        <v>70</v>
      </c>
      <c r="L55" s="87" t="s">
        <v>60</v>
      </c>
      <c r="M55" s="82"/>
      <c r="N55" s="82"/>
      <c r="O55" s="83"/>
      <c r="P55" s="31" t="s">
        <v>60</v>
      </c>
    </row>
    <row r="56" s="31" customFormat="1" ht="18" customHeight="1" spans="1:15">
      <c r="A56" s="63"/>
      <c r="B56" s="134">
        <f t="shared" si="6"/>
        <v>0</v>
      </c>
      <c r="C56" s="64"/>
      <c r="D56" s="65"/>
      <c r="E56" s="66"/>
      <c r="F56" s="134">
        <f t="shared" si="5"/>
        <v>0</v>
      </c>
      <c r="G56" s="132"/>
      <c r="H56" s="6" t="s">
        <v>64</v>
      </c>
      <c r="I56" s="47">
        <v>200</v>
      </c>
      <c r="J56" s="100" t="s">
        <v>67</v>
      </c>
      <c r="K56" s="10" t="s">
        <v>70</v>
      </c>
      <c r="L56" s="107"/>
      <c r="M56" s="82"/>
      <c r="N56" s="82"/>
      <c r="O56" s="83"/>
    </row>
    <row r="57" s="31" customFormat="1" ht="18" customHeight="1" spans="1:15">
      <c r="A57" s="63"/>
      <c r="B57" s="134">
        <f t="shared" ref="B54:B61" si="7">ROUND(G57/(1+E57),2)</f>
        <v>0</v>
      </c>
      <c r="C57" s="64"/>
      <c r="D57" s="65"/>
      <c r="E57" s="66"/>
      <c r="F57" s="134">
        <f t="shared" si="5"/>
        <v>0</v>
      </c>
      <c r="G57" s="132"/>
      <c r="H57" s="6" t="s">
        <v>64</v>
      </c>
      <c r="I57" s="47">
        <v>-16085</v>
      </c>
      <c r="J57" s="100" t="s">
        <v>65</v>
      </c>
      <c r="K57" s="10" t="s">
        <v>66</v>
      </c>
      <c r="L57" s="83"/>
      <c r="M57" s="82"/>
      <c r="N57" s="82"/>
      <c r="O57" s="83"/>
    </row>
    <row r="58" s="31" customFormat="1" ht="18" customHeight="1" spans="1:15">
      <c r="A58" s="63"/>
      <c r="B58" s="134">
        <f t="shared" si="7"/>
        <v>0</v>
      </c>
      <c r="C58" s="64"/>
      <c r="D58" s="65"/>
      <c r="E58" s="66"/>
      <c r="F58" s="134">
        <f t="shared" ref="F56:F63" si="8">ROUND(G58/(1+E58)*E58,2)</f>
        <v>0</v>
      </c>
      <c r="G58" s="132"/>
      <c r="H58" s="6" t="s">
        <v>64</v>
      </c>
      <c r="I58" s="119">
        <v>100</v>
      </c>
      <c r="J58" s="100" t="s">
        <v>67</v>
      </c>
      <c r="K58" s="10" t="s">
        <v>70</v>
      </c>
      <c r="L58" s="83"/>
      <c r="M58" s="82"/>
      <c r="N58" s="82"/>
      <c r="O58" s="83"/>
    </row>
    <row r="59" s="31" customFormat="1" ht="18" customHeight="1" spans="1:15">
      <c r="A59" s="63"/>
      <c r="B59" s="134">
        <f t="shared" si="7"/>
        <v>10000</v>
      </c>
      <c r="C59" s="64"/>
      <c r="D59" s="65"/>
      <c r="E59" s="66"/>
      <c r="F59" s="134">
        <f t="shared" si="8"/>
        <v>0</v>
      </c>
      <c r="G59" s="132">
        <v>10000</v>
      </c>
      <c r="H59" s="6" t="s">
        <v>64</v>
      </c>
      <c r="I59" s="119">
        <f>G59</f>
        <v>10000</v>
      </c>
      <c r="J59" s="100" t="s">
        <v>67</v>
      </c>
      <c r="K59" s="10" t="s">
        <v>68</v>
      </c>
      <c r="L59" s="83" t="s">
        <v>60</v>
      </c>
      <c r="M59" s="82"/>
      <c r="N59" s="82"/>
      <c r="O59" s="83"/>
    </row>
    <row r="60" s="31" customFormat="1" ht="18" customHeight="1" spans="1:15">
      <c r="A60" s="63"/>
      <c r="B60" s="134">
        <f t="shared" si="7"/>
        <v>0</v>
      </c>
      <c r="C60" s="64"/>
      <c r="D60" s="65"/>
      <c r="E60" s="66"/>
      <c r="F60" s="134">
        <f t="shared" si="8"/>
        <v>0</v>
      </c>
      <c r="G60" s="132"/>
      <c r="H60" s="94" t="s">
        <v>69</v>
      </c>
      <c r="I60" s="119">
        <v>100</v>
      </c>
      <c r="J60" s="100" t="s">
        <v>67</v>
      </c>
      <c r="K60" s="10" t="s">
        <v>70</v>
      </c>
      <c r="L60" s="83"/>
      <c r="M60" s="82"/>
      <c r="N60" s="82"/>
      <c r="O60" s="83"/>
    </row>
    <row r="61" s="31" customFormat="1" ht="18" customHeight="1" spans="1:15">
      <c r="A61" s="63"/>
      <c r="B61" s="134">
        <f t="shared" si="7"/>
        <v>0</v>
      </c>
      <c r="C61" s="64"/>
      <c r="D61" s="65"/>
      <c r="E61" s="66"/>
      <c r="F61" s="134">
        <f t="shared" si="8"/>
        <v>0</v>
      </c>
      <c r="G61" s="132"/>
      <c r="H61" s="94" t="s">
        <v>69</v>
      </c>
      <c r="I61" s="119">
        <v>50</v>
      </c>
      <c r="J61" s="100" t="s">
        <v>67</v>
      </c>
      <c r="K61" s="10" t="s">
        <v>70</v>
      </c>
      <c r="L61" s="83"/>
      <c r="M61" s="82"/>
      <c r="N61" s="82"/>
      <c r="O61" s="83"/>
    </row>
    <row r="62" s="31" customFormat="1" ht="18" customHeight="1" spans="1:15">
      <c r="A62" s="63"/>
      <c r="B62" s="134">
        <f t="shared" ref="B59:B68" si="9">ROUND(G62/(1+E62),2)</f>
        <v>0</v>
      </c>
      <c r="C62" s="64"/>
      <c r="D62" s="65"/>
      <c r="E62" s="66"/>
      <c r="F62" s="134">
        <f t="shared" si="8"/>
        <v>0</v>
      </c>
      <c r="G62" s="132"/>
      <c r="H62" s="94" t="s">
        <v>69</v>
      </c>
      <c r="I62" s="119">
        <v>50</v>
      </c>
      <c r="J62" s="100" t="s">
        <v>67</v>
      </c>
      <c r="K62" s="10" t="s">
        <v>70</v>
      </c>
      <c r="L62" s="83"/>
      <c r="M62" s="82"/>
      <c r="N62" s="82"/>
      <c r="O62" s="83"/>
    </row>
    <row r="63" s="31" customFormat="1" ht="18" customHeight="1" spans="1:15">
      <c r="A63" s="63"/>
      <c r="B63" s="134">
        <f t="shared" si="9"/>
        <v>0</v>
      </c>
      <c r="C63" s="64"/>
      <c r="D63" s="65"/>
      <c r="E63" s="66"/>
      <c r="F63" s="134">
        <f t="shared" si="8"/>
        <v>0</v>
      </c>
      <c r="G63" s="132"/>
      <c r="H63" s="3" t="s">
        <v>69</v>
      </c>
      <c r="I63" s="119">
        <v>16085</v>
      </c>
      <c r="J63" s="100" t="s">
        <v>71</v>
      </c>
      <c r="K63" s="10" t="s">
        <v>72</v>
      </c>
      <c r="L63" s="83"/>
      <c r="M63" s="82"/>
      <c r="N63" s="82"/>
      <c r="O63" s="83"/>
    </row>
    <row r="64" s="31" customFormat="1" ht="18" customHeight="1" spans="1:15">
      <c r="A64" s="63"/>
      <c r="B64" s="47">
        <f t="shared" si="9"/>
        <v>0</v>
      </c>
      <c r="C64" s="64"/>
      <c r="D64" s="65"/>
      <c r="E64" s="66"/>
      <c r="F64" s="134">
        <f t="shared" ref="F59:F68" si="10">ROUND(G64/(1+E64)*E64,2)</f>
        <v>0</v>
      </c>
      <c r="G64" s="132"/>
      <c r="H64" s="3" t="s">
        <v>69</v>
      </c>
      <c r="I64" s="119">
        <v>100</v>
      </c>
      <c r="J64" s="100" t="s">
        <v>67</v>
      </c>
      <c r="K64" s="10" t="s">
        <v>70</v>
      </c>
      <c r="L64" s="83"/>
      <c r="M64" s="82"/>
      <c r="N64" s="82"/>
      <c r="O64" s="83"/>
    </row>
    <row r="65" s="31" customFormat="1" ht="18" customHeight="1" spans="1:15">
      <c r="A65" s="63"/>
      <c r="B65" s="47">
        <f t="shared" si="9"/>
        <v>0</v>
      </c>
      <c r="C65" s="64"/>
      <c r="D65" s="65"/>
      <c r="E65" s="66"/>
      <c r="F65" s="134">
        <f t="shared" si="10"/>
        <v>0</v>
      </c>
      <c r="G65" s="132"/>
      <c r="H65" s="3" t="s">
        <v>69</v>
      </c>
      <c r="I65" s="119">
        <v>500</v>
      </c>
      <c r="J65" s="100" t="s">
        <v>67</v>
      </c>
      <c r="K65" s="10" t="s">
        <v>73</v>
      </c>
      <c r="L65" s="83"/>
      <c r="M65" s="82"/>
      <c r="N65" s="82"/>
      <c r="O65" s="83"/>
    </row>
    <row r="66" s="31" customFormat="1" ht="18" customHeight="1" spans="1:15">
      <c r="A66" s="63"/>
      <c r="B66" s="47">
        <f t="shared" si="9"/>
        <v>10000</v>
      </c>
      <c r="C66" s="64"/>
      <c r="D66" s="65"/>
      <c r="E66" s="66"/>
      <c r="F66" s="134">
        <f t="shared" si="10"/>
        <v>0</v>
      </c>
      <c r="G66" s="132">
        <v>10000</v>
      </c>
      <c r="H66" s="3" t="s">
        <v>69</v>
      </c>
      <c r="I66" s="119">
        <f>G66</f>
        <v>10000</v>
      </c>
      <c r="J66" s="100" t="s">
        <v>67</v>
      </c>
      <c r="K66" s="10" t="s">
        <v>68</v>
      </c>
      <c r="L66" s="83"/>
      <c r="M66" s="82"/>
      <c r="N66" s="82"/>
      <c r="O66" s="83"/>
    </row>
    <row r="67" s="31" customFormat="1" ht="18" customHeight="1" spans="1:15">
      <c r="A67" s="63"/>
      <c r="B67" s="47">
        <f t="shared" si="9"/>
        <v>0</v>
      </c>
      <c r="C67" s="64"/>
      <c r="D67" s="65"/>
      <c r="E67" s="66"/>
      <c r="F67" s="47">
        <f t="shared" si="10"/>
        <v>0</v>
      </c>
      <c r="G67" s="132"/>
      <c r="H67" s="3" t="s">
        <v>69</v>
      </c>
      <c r="I67" s="119">
        <v>20000</v>
      </c>
      <c r="J67" s="100" t="s">
        <v>67</v>
      </c>
      <c r="K67" s="10" t="s">
        <v>74</v>
      </c>
      <c r="L67" s="83"/>
      <c r="M67" s="82"/>
      <c r="N67" s="82"/>
      <c r="O67" s="83"/>
    </row>
    <row r="68" s="31" customFormat="1" ht="18" customHeight="1" spans="1:18">
      <c r="A68" s="63"/>
      <c r="B68" s="47">
        <f t="shared" si="9"/>
        <v>0</v>
      </c>
      <c r="C68" s="64"/>
      <c r="D68" s="65"/>
      <c r="E68" s="66"/>
      <c r="F68" s="47">
        <f t="shared" si="10"/>
        <v>0</v>
      </c>
      <c r="G68" s="132"/>
      <c r="H68" s="3" t="s">
        <v>69</v>
      </c>
      <c r="I68" s="119">
        <v>127126</v>
      </c>
      <c r="J68" s="100" t="s">
        <v>67</v>
      </c>
      <c r="K68" s="31" t="s">
        <v>75</v>
      </c>
      <c r="L68" s="83"/>
      <c r="M68" s="82"/>
      <c r="N68" s="82"/>
      <c r="O68" s="83"/>
      <c r="R68" s="31" t="s">
        <v>60</v>
      </c>
    </row>
    <row r="69" s="30" customFormat="1" ht="18" customHeight="1" spans="1:15">
      <c r="A69" s="13" t="s">
        <v>24</v>
      </c>
      <c r="B69" s="120">
        <f t="shared" ref="B69:G69" si="11">SUM(B23:B68)</f>
        <v>4040461.43</v>
      </c>
      <c r="C69" s="13"/>
      <c r="D69" s="108"/>
      <c r="E69" s="108"/>
      <c r="F69" s="133">
        <f t="shared" si="11"/>
        <v>118986.57</v>
      </c>
      <c r="G69" s="143">
        <f t="shared" si="11"/>
        <v>4159448</v>
      </c>
      <c r="H69" s="110"/>
      <c r="I69" s="128">
        <f>SUM(I23:I68)</f>
        <v>4524041.89750642</v>
      </c>
      <c r="J69" s="126"/>
      <c r="K69" s="10"/>
      <c r="L69" s="60"/>
      <c r="M69" s="100"/>
      <c r="N69" s="100"/>
      <c r="O69" s="60"/>
    </row>
    <row r="70" s="30" customFormat="1" ht="18" customHeight="1" spans="1:14">
      <c r="A70" s="111" t="s">
        <v>76</v>
      </c>
      <c r="B70" s="113">
        <f>B16*0.96</f>
        <v>4403669.72477064</v>
      </c>
      <c r="C70" s="111"/>
      <c r="D70" s="112"/>
      <c r="E70" s="112"/>
      <c r="F70" s="113"/>
      <c r="G70" s="113">
        <f>G16-G69</f>
        <v>840552</v>
      </c>
      <c r="H70" s="51" t="s">
        <v>77</v>
      </c>
      <c r="I70" s="128">
        <f>I16-I69</f>
        <v>-224041.897506421</v>
      </c>
      <c r="K70" s="127"/>
      <c r="M70" s="37"/>
      <c r="N70" s="37"/>
    </row>
    <row r="71" s="30" customFormat="1" ht="18" customHeight="1" spans="1:14">
      <c r="A71" s="111" t="s">
        <v>78</v>
      </c>
      <c r="B71" s="113">
        <f>B70-B69</f>
        <v>363208.29477064</v>
      </c>
      <c r="C71" s="111"/>
      <c r="D71" s="112"/>
      <c r="E71" s="112"/>
      <c r="F71" s="113"/>
      <c r="G71" s="113"/>
      <c r="H71" s="114"/>
      <c r="I71" s="113"/>
      <c r="K71" s="127"/>
      <c r="M71" s="37"/>
      <c r="N71" s="37"/>
    </row>
    <row r="72" s="33" customFormat="1" ht="18" customHeight="1" spans="1:19">
      <c r="A72" s="34" t="s">
        <v>79</v>
      </c>
      <c r="B72" s="35"/>
      <c r="C72" s="34"/>
      <c r="F72" s="35"/>
      <c r="G72" s="35"/>
      <c r="I72" s="35"/>
      <c r="J72" s="36"/>
      <c r="K72" s="30"/>
      <c r="L72" s="30"/>
      <c r="M72" s="30"/>
      <c r="N72" s="30"/>
      <c r="O72" s="30"/>
      <c r="P72" s="30"/>
      <c r="Q72" s="30"/>
      <c r="R72" s="30"/>
      <c r="S72" s="30"/>
    </row>
    <row r="73" s="30" customFormat="1" ht="18" customHeight="1" spans="1:10">
      <c r="A73" s="51"/>
      <c r="B73" s="50" t="s">
        <v>81</v>
      </c>
      <c r="C73" s="60"/>
      <c r="D73" s="51" t="s">
        <v>80</v>
      </c>
      <c r="E73" s="49" t="s">
        <v>16</v>
      </c>
      <c r="F73" s="50" t="s">
        <v>81</v>
      </c>
      <c r="G73" s="50" t="s">
        <v>82</v>
      </c>
      <c r="H73" s="50" t="s">
        <v>113</v>
      </c>
      <c r="I73" s="35"/>
      <c r="J73" s="36" t="s">
        <v>48</v>
      </c>
    </row>
    <row r="74" s="33" customFormat="1" ht="18" customHeight="1" spans="1:19">
      <c r="A74" s="60" t="s">
        <v>83</v>
      </c>
      <c r="B74" s="47">
        <f>(B70-B69)*0.25</f>
        <v>90802.0736926601</v>
      </c>
      <c r="C74" s="60"/>
      <c r="D74" s="57" t="s">
        <v>84</v>
      </c>
      <c r="E74" s="51" t="s">
        <v>85</v>
      </c>
      <c r="F74" s="133">
        <f>F16-F69</f>
        <v>202114.347431193</v>
      </c>
      <c r="G74" s="133">
        <f>F7-F23-F24</f>
        <v>115569.076972477</v>
      </c>
      <c r="H74" s="133">
        <f>F74-G74</f>
        <v>86545.270458716</v>
      </c>
      <c r="I74" s="35"/>
      <c r="J74" s="36"/>
      <c r="K74" s="30"/>
      <c r="L74" s="30"/>
      <c r="M74" s="30"/>
      <c r="N74" s="30"/>
      <c r="O74" s="30"/>
      <c r="P74" s="30"/>
      <c r="Q74" s="30"/>
      <c r="R74" s="30"/>
      <c r="S74" s="30"/>
    </row>
    <row r="75" s="30" customFormat="1" ht="18" customHeight="1" spans="1:11">
      <c r="A75" s="60" t="s">
        <v>86</v>
      </c>
      <c r="B75" s="115" t="s">
        <v>87</v>
      </c>
      <c r="C75" s="60"/>
      <c r="D75" s="116" t="s">
        <v>88</v>
      </c>
      <c r="E75" s="43">
        <v>0.05</v>
      </c>
      <c r="F75" s="119">
        <f>F74*E75</f>
        <v>10105.7173715597</v>
      </c>
      <c r="G75" s="119">
        <f>G74*E75</f>
        <v>5778.45384862385</v>
      </c>
      <c r="H75" s="119"/>
      <c r="I75" s="35"/>
      <c r="J75" s="36"/>
      <c r="K75" s="30" t="s">
        <v>60</v>
      </c>
    </row>
    <row r="76" s="30" customFormat="1" ht="18" customHeight="1" spans="1:11">
      <c r="A76" s="60"/>
      <c r="B76" s="115"/>
      <c r="C76" s="60"/>
      <c r="D76" s="117"/>
      <c r="E76" s="43">
        <v>0.07</v>
      </c>
      <c r="F76" s="119"/>
      <c r="G76" s="119"/>
      <c r="H76" s="119">
        <f>H74*E76</f>
        <v>6058.16893211012</v>
      </c>
      <c r="I76" s="35"/>
      <c r="J76" s="36"/>
      <c r="K76" s="30" t="s">
        <v>60</v>
      </c>
    </row>
    <row r="77" s="33" customFormat="1" ht="18" customHeight="1" spans="1:19">
      <c r="A77" s="60" t="s">
        <v>89</v>
      </c>
      <c r="B77" s="115" t="s">
        <v>87</v>
      </c>
      <c r="C77" s="60"/>
      <c r="D77" s="118" t="s">
        <v>90</v>
      </c>
      <c r="E77" s="43">
        <v>0.03</v>
      </c>
      <c r="F77" s="119">
        <f>F74*E77</f>
        <v>6063.43042293579</v>
      </c>
      <c r="G77" s="119">
        <f>G74*E77</f>
        <v>3467.07230917431</v>
      </c>
      <c r="H77" s="119">
        <f>H74*E77</f>
        <v>2596.35811376148</v>
      </c>
      <c r="I77" s="35"/>
      <c r="J77" s="36"/>
      <c r="K77" s="30"/>
      <c r="L77" s="30"/>
      <c r="M77" s="30"/>
      <c r="N77" s="30"/>
      <c r="O77" s="30"/>
      <c r="P77" s="30"/>
      <c r="Q77" s="30"/>
      <c r="R77" s="30"/>
      <c r="S77" s="30"/>
    </row>
    <row r="78" s="33" customFormat="1" ht="18" customHeight="1" spans="1:19">
      <c r="A78" s="60"/>
      <c r="B78" s="119"/>
      <c r="C78" s="60"/>
      <c r="D78" s="118" t="s">
        <v>91</v>
      </c>
      <c r="E78" s="43">
        <v>0.02</v>
      </c>
      <c r="F78" s="119">
        <f>F74*E78</f>
        <v>4042.28694862386</v>
      </c>
      <c r="G78" s="119">
        <f>G74*E78</f>
        <v>2311.38153944954</v>
      </c>
      <c r="H78" s="119">
        <f>H74*E78</f>
        <v>1730.90540917432</v>
      </c>
      <c r="I78" s="35"/>
      <c r="J78" s="36"/>
      <c r="K78" s="30"/>
      <c r="L78" s="30"/>
      <c r="M78" s="30"/>
      <c r="N78" s="30"/>
      <c r="O78" s="30"/>
      <c r="P78" s="30"/>
      <c r="Q78" s="30"/>
      <c r="R78" s="30"/>
      <c r="S78" s="30"/>
    </row>
    <row r="79" s="33" customFormat="1" ht="18" customHeight="1" spans="1:19">
      <c r="A79" s="57" t="s">
        <v>92</v>
      </c>
      <c r="B79" s="120">
        <f t="shared" ref="B79:H79" si="12">SUM(B74:B78)</f>
        <v>90802.0736926601</v>
      </c>
      <c r="C79" s="60"/>
      <c r="D79" s="12" t="s">
        <v>92</v>
      </c>
      <c r="E79" s="57"/>
      <c r="F79" s="133">
        <f t="shared" si="12"/>
        <v>222325.782174312</v>
      </c>
      <c r="G79" s="133">
        <f t="shared" si="12"/>
        <v>127125.984669725</v>
      </c>
      <c r="H79" s="133">
        <f t="shared" si="12"/>
        <v>96930.7029137619</v>
      </c>
      <c r="I79" s="35"/>
      <c r="J79" s="36"/>
      <c r="K79" s="30"/>
      <c r="L79" s="30"/>
      <c r="M79" s="30"/>
      <c r="N79" s="30"/>
      <c r="O79" s="30"/>
      <c r="P79" s="30"/>
      <c r="Q79" s="30"/>
      <c r="R79" s="30"/>
      <c r="S79" s="30"/>
    </row>
    <row r="80" s="33" customFormat="1" ht="18" customHeight="1" spans="1:19">
      <c r="A80" s="34"/>
      <c r="B80" s="35"/>
      <c r="C80" s="34"/>
      <c r="D80" s="13" t="s">
        <v>83</v>
      </c>
      <c r="E80" s="108">
        <v>0.01</v>
      </c>
      <c r="F80" s="128">
        <f>G16*E80</f>
        <v>50000</v>
      </c>
      <c r="G80" s="128">
        <f>G7*E80</f>
        <v>20000</v>
      </c>
      <c r="H80" s="128">
        <f>G8*E80</f>
        <v>30000</v>
      </c>
      <c r="I80" s="35"/>
      <c r="J80" s="36"/>
      <c r="K80" s="30"/>
      <c r="L80" s="30"/>
      <c r="M80" s="30"/>
      <c r="N80" s="30"/>
      <c r="O80" s="30"/>
      <c r="P80" s="30"/>
      <c r="Q80" s="30"/>
      <c r="R80" s="30"/>
      <c r="S80" s="30"/>
    </row>
    <row r="81" s="33" customFormat="1" ht="18" customHeight="1" spans="1:19">
      <c r="A81" s="34"/>
      <c r="B81" s="35"/>
      <c r="C81" s="34"/>
      <c r="D81" s="13" t="s">
        <v>114</v>
      </c>
      <c r="E81" s="108">
        <v>0.25</v>
      </c>
      <c r="F81" s="128"/>
      <c r="G81" s="128"/>
      <c r="H81" s="128">
        <v>566054.55619266</v>
      </c>
      <c r="I81" s="35"/>
      <c r="J81" s="36"/>
      <c r="K81" s="30"/>
      <c r="L81" s="30"/>
      <c r="M81" s="30"/>
      <c r="N81" s="30"/>
      <c r="O81" s="30"/>
      <c r="P81" s="30"/>
      <c r="Q81" s="30"/>
      <c r="R81" s="30"/>
      <c r="S81" s="30"/>
    </row>
    <row r="82" s="33" customFormat="1" ht="18" customHeight="1" spans="1:19">
      <c r="A82" s="34"/>
      <c r="B82" s="35"/>
      <c r="C82" s="34"/>
      <c r="F82" s="35"/>
      <c r="G82" s="35"/>
      <c r="I82" s="35"/>
      <c r="J82" s="36"/>
      <c r="K82" s="30"/>
      <c r="L82" s="30"/>
      <c r="M82" s="30"/>
      <c r="N82" s="30"/>
      <c r="O82" s="30"/>
      <c r="P82" s="30"/>
      <c r="Q82" s="30"/>
      <c r="R82" s="30"/>
      <c r="S82" s="30"/>
    </row>
    <row r="83" s="33" customFormat="1" ht="18" customHeight="1" spans="1:19">
      <c r="A83" s="34"/>
      <c r="B83" s="35"/>
      <c r="C83" s="34"/>
      <c r="F83" s="35"/>
      <c r="G83" s="35"/>
      <c r="I83" s="35"/>
      <c r="J83" s="36"/>
      <c r="K83" s="30"/>
      <c r="L83" s="30"/>
      <c r="M83" s="30"/>
      <c r="N83" s="30"/>
      <c r="O83" s="30"/>
      <c r="P83" s="30"/>
      <c r="Q83" s="30"/>
      <c r="R83" s="30"/>
      <c r="S83" s="30"/>
    </row>
    <row r="84" s="33" customFormat="1" spans="1:19">
      <c r="A84" s="34"/>
      <c r="B84" s="35"/>
      <c r="C84" s="34"/>
      <c r="F84" s="35"/>
      <c r="G84" s="35"/>
      <c r="I84" s="35"/>
      <c r="J84" s="36"/>
      <c r="K84" s="30"/>
      <c r="L84" s="30"/>
      <c r="M84" s="30"/>
      <c r="N84" s="30"/>
      <c r="O84" s="30"/>
      <c r="P84" s="30"/>
      <c r="Q84" s="30"/>
      <c r="R84" s="30"/>
      <c r="S84" s="30"/>
    </row>
    <row r="85" s="33" customFormat="1" spans="1:19">
      <c r="A85" s="34"/>
      <c r="B85" s="35"/>
      <c r="C85" s="34"/>
      <c r="F85" s="35"/>
      <c r="G85" s="35"/>
      <c r="I85" s="35"/>
      <c r="J85" s="36"/>
      <c r="K85" s="30"/>
      <c r="L85" s="30"/>
      <c r="M85" s="30"/>
      <c r="N85" s="30"/>
      <c r="O85" s="30"/>
      <c r="P85" s="30"/>
      <c r="Q85" s="30"/>
      <c r="R85" s="30"/>
      <c r="S85" s="30"/>
    </row>
    <row r="86" s="33" customFormat="1" spans="1:19">
      <c r="A86" s="34"/>
      <c r="B86" s="35"/>
      <c r="C86" s="34"/>
      <c r="F86" s="35"/>
      <c r="G86" s="35"/>
      <c r="I86" s="35"/>
      <c r="J86" s="36"/>
      <c r="K86" s="30"/>
      <c r="L86" s="30"/>
      <c r="M86" s="30"/>
      <c r="N86" s="30"/>
      <c r="O86" s="30"/>
      <c r="P86" s="30"/>
      <c r="Q86" s="30"/>
      <c r="R86" s="30"/>
      <c r="S86" s="30"/>
    </row>
    <row r="87" s="33" customFormat="1" spans="1:19">
      <c r="A87" s="34"/>
      <c r="B87" s="35"/>
      <c r="C87" s="34"/>
      <c r="F87" s="35"/>
      <c r="G87" s="35"/>
      <c r="I87" s="35"/>
      <c r="J87" s="36"/>
      <c r="K87" s="30"/>
      <c r="L87" s="30"/>
      <c r="M87" s="30"/>
      <c r="N87" s="30"/>
      <c r="O87" s="30"/>
      <c r="P87" s="30"/>
      <c r="Q87" s="30"/>
      <c r="R87" s="30"/>
      <c r="S87" s="30"/>
    </row>
    <row r="88" s="33" customFormat="1" spans="1:19">
      <c r="A88" s="34"/>
      <c r="B88" s="35"/>
      <c r="C88" s="34"/>
      <c r="F88" s="35"/>
      <c r="G88" s="35"/>
      <c r="I88" s="35"/>
      <c r="J88" s="36"/>
      <c r="K88" s="30"/>
      <c r="L88" s="30"/>
      <c r="M88" s="30"/>
      <c r="N88" s="30"/>
      <c r="O88" s="30"/>
      <c r="P88" s="30"/>
      <c r="Q88" s="30"/>
      <c r="R88" s="30"/>
      <c r="S88" s="30"/>
    </row>
    <row r="89" s="33" customFormat="1" spans="1:19">
      <c r="A89" s="34"/>
      <c r="B89" s="35"/>
      <c r="C89" s="34"/>
      <c r="F89" s="35"/>
      <c r="G89" s="35"/>
      <c r="I89" s="35"/>
      <c r="J89" s="36"/>
      <c r="K89" s="30"/>
      <c r="L89" s="30"/>
      <c r="M89" s="30"/>
      <c r="N89" s="30"/>
      <c r="O89" s="30"/>
      <c r="P89" s="30"/>
      <c r="Q89" s="30"/>
      <c r="R89" s="30"/>
      <c r="S89" s="30"/>
    </row>
    <row r="90" s="33" customFormat="1" spans="1:19">
      <c r="A90" s="34"/>
      <c r="B90" s="35"/>
      <c r="C90" s="34"/>
      <c r="F90" s="35"/>
      <c r="G90" s="35"/>
      <c r="I90" s="35"/>
      <c r="J90" s="36"/>
      <c r="K90" s="30"/>
      <c r="L90" s="30"/>
      <c r="M90" s="30"/>
      <c r="N90" s="30"/>
      <c r="O90" s="30"/>
      <c r="P90" s="30"/>
      <c r="Q90" s="30"/>
      <c r="R90" s="30"/>
      <c r="S90" s="30"/>
    </row>
    <row r="91" s="33" customFormat="1" spans="1:19">
      <c r="A91" s="34"/>
      <c r="B91" s="35"/>
      <c r="C91" s="34"/>
      <c r="F91" s="35"/>
      <c r="G91" s="35"/>
      <c r="I91" s="35"/>
      <c r="J91" s="36"/>
      <c r="K91" s="30"/>
      <c r="L91" s="30"/>
      <c r="M91" s="30"/>
      <c r="N91" s="30"/>
      <c r="O91" s="30"/>
      <c r="P91" s="30"/>
      <c r="Q91" s="30"/>
      <c r="R91" s="30"/>
      <c r="S91" s="30"/>
    </row>
    <row r="92" s="33" customFormat="1" spans="1:19">
      <c r="A92" s="34"/>
      <c r="B92" s="35"/>
      <c r="C92" s="34"/>
      <c r="F92" s="35"/>
      <c r="G92" s="35"/>
      <c r="I92" s="35"/>
      <c r="J92" s="36"/>
      <c r="K92" s="30"/>
      <c r="L92" s="30"/>
      <c r="M92" s="30"/>
      <c r="N92" s="30"/>
      <c r="O92" s="30"/>
      <c r="P92" s="30"/>
      <c r="Q92" s="30"/>
      <c r="R92" s="30"/>
      <c r="S92" s="30"/>
    </row>
    <row r="93" s="33" customFormat="1" spans="1:19">
      <c r="A93" s="34"/>
      <c r="B93" s="35"/>
      <c r="C93" s="34"/>
      <c r="F93" s="35"/>
      <c r="G93" s="35"/>
      <c r="I93" s="35"/>
      <c r="J93" s="36"/>
      <c r="K93" s="30"/>
      <c r="L93" s="30"/>
      <c r="M93" s="30"/>
      <c r="N93" s="30"/>
      <c r="O93" s="30"/>
      <c r="P93" s="30"/>
      <c r="Q93" s="30"/>
      <c r="R93" s="30"/>
      <c r="S93" s="30"/>
    </row>
    <row r="94" s="33" customFormat="1" spans="1:19">
      <c r="A94" s="34"/>
      <c r="B94" s="35"/>
      <c r="C94" s="34"/>
      <c r="F94" s="35"/>
      <c r="G94" s="35"/>
      <c r="I94" s="35"/>
      <c r="J94" s="36"/>
      <c r="K94" s="30"/>
      <c r="L94" s="30"/>
      <c r="M94" s="30"/>
      <c r="N94" s="30"/>
      <c r="O94" s="30"/>
      <c r="P94" s="30"/>
      <c r="Q94" s="30"/>
      <c r="R94" s="30"/>
      <c r="S94" s="30"/>
    </row>
    <row r="95" s="33" customFormat="1" spans="1:19">
      <c r="A95" s="34"/>
      <c r="B95" s="35"/>
      <c r="C95" s="34"/>
      <c r="F95" s="35"/>
      <c r="G95" s="35"/>
      <c r="I95" s="35"/>
      <c r="J95" s="36"/>
      <c r="K95" s="30"/>
      <c r="L95" s="30"/>
      <c r="M95" s="30"/>
      <c r="N95" s="30"/>
      <c r="O95" s="30"/>
      <c r="P95" s="30"/>
      <c r="Q95" s="30"/>
      <c r="R95" s="30"/>
      <c r="S95" s="30"/>
    </row>
    <row r="96" s="33" customFormat="1" spans="1:19">
      <c r="A96" s="34"/>
      <c r="B96" s="35"/>
      <c r="C96" s="34"/>
      <c r="F96" s="35"/>
      <c r="G96" s="35"/>
      <c r="I96" s="35"/>
      <c r="J96" s="36"/>
      <c r="K96" s="30"/>
      <c r="L96" s="30"/>
      <c r="M96" s="30"/>
      <c r="N96" s="30"/>
      <c r="O96" s="30"/>
      <c r="P96" s="30"/>
      <c r="Q96" s="30"/>
      <c r="R96" s="30"/>
      <c r="S96" s="30"/>
    </row>
    <row r="97" s="33" customFormat="1" spans="1:19">
      <c r="A97" s="34"/>
      <c r="B97" s="35"/>
      <c r="C97" s="34"/>
      <c r="F97" s="35"/>
      <c r="G97" s="35"/>
      <c r="I97" s="35"/>
      <c r="J97" s="36"/>
      <c r="K97" s="30"/>
      <c r="L97" s="30"/>
      <c r="M97" s="30"/>
      <c r="N97" s="30"/>
      <c r="O97" s="30"/>
      <c r="P97" s="30"/>
      <c r="Q97" s="30"/>
      <c r="R97" s="30"/>
      <c r="S97" s="30"/>
    </row>
    <row r="98" s="33" customFormat="1" spans="1:19">
      <c r="A98" s="34"/>
      <c r="B98" s="35"/>
      <c r="C98" s="34"/>
      <c r="F98" s="35"/>
      <c r="G98" s="35"/>
      <c r="I98" s="35"/>
      <c r="J98" s="36"/>
      <c r="K98" s="30"/>
      <c r="L98" s="30"/>
      <c r="M98" s="30"/>
      <c r="N98" s="30"/>
      <c r="O98" s="30"/>
      <c r="P98" s="30"/>
      <c r="Q98" s="30"/>
      <c r="R98" s="30"/>
      <c r="S98" s="30"/>
    </row>
    <row r="99" s="33" customFormat="1" spans="1:19">
      <c r="A99" s="34"/>
      <c r="B99" s="35"/>
      <c r="C99" s="34"/>
      <c r="F99" s="35"/>
      <c r="G99" s="35"/>
      <c r="I99" s="35"/>
      <c r="J99" s="36"/>
      <c r="K99" s="30"/>
      <c r="L99" s="30"/>
      <c r="M99" s="30"/>
      <c r="N99" s="30"/>
      <c r="O99" s="30"/>
      <c r="P99" s="30"/>
      <c r="Q99" s="30"/>
      <c r="R99" s="30"/>
      <c r="S99" s="30"/>
    </row>
  </sheetData>
  <mergeCells count="9">
    <mergeCell ref="A1:J1"/>
    <mergeCell ref="H2:J2"/>
    <mergeCell ref="C5:D5"/>
    <mergeCell ref="E5:F5"/>
    <mergeCell ref="H5:J5"/>
    <mergeCell ref="A5:A6"/>
    <mergeCell ref="B5:B6"/>
    <mergeCell ref="D75:D76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8"/>
  <sheetViews>
    <sheetView tabSelected="1" topLeftCell="A60" workbookViewId="0">
      <selection activeCell="J85" sqref="J85"/>
    </sheetView>
  </sheetViews>
  <sheetFormatPr defaultColWidth="9" defaultRowHeight="11.25"/>
  <cols>
    <col min="1" max="1" width="10.75" style="34" customWidth="1"/>
    <col min="2" max="2" width="13.125" style="35" customWidth="1"/>
    <col min="3" max="3" width="20" style="33" customWidth="1"/>
    <col min="4" max="4" width="13.375" style="33" customWidth="1"/>
    <col min="5" max="5" width="6" style="33" customWidth="1"/>
    <col min="6" max="6" width="13.125" style="35" customWidth="1"/>
    <col min="7" max="7" width="14.125" style="35" customWidth="1"/>
    <col min="8" max="8" width="12.25" style="33" customWidth="1"/>
    <col min="9" max="9" width="16.875" style="35" customWidth="1"/>
    <col min="10" max="10" width="16.625" style="36" customWidth="1"/>
    <col min="11" max="11" width="29.25" style="30" customWidth="1"/>
    <col min="12" max="12" width="18" style="30" customWidth="1"/>
    <col min="13" max="13" width="25.75" style="37" customWidth="1"/>
    <col min="14" max="14" width="12.875" style="30" customWidth="1"/>
    <col min="15" max="15" width="16.25" style="30" customWidth="1"/>
    <col min="16" max="16" width="9" style="30"/>
    <col min="17" max="17" width="9.625" style="30"/>
    <col min="18" max="18" width="9" style="30"/>
    <col min="19" max="19" width="9.625" style="30"/>
    <col min="20" max="16383" width="9" style="34"/>
  </cols>
  <sheetData>
    <row r="1" s="30" customFormat="1" ht="21.95" customHeight="1" spans="1:13">
      <c r="A1" s="38" t="s">
        <v>115</v>
      </c>
      <c r="B1" s="38"/>
      <c r="C1" s="38"/>
      <c r="D1" s="38"/>
      <c r="E1" s="38"/>
      <c r="F1" s="39"/>
      <c r="G1" s="39"/>
      <c r="H1" s="38"/>
      <c r="I1" s="39"/>
      <c r="J1" s="38"/>
      <c r="K1" s="48"/>
      <c r="L1" s="48"/>
      <c r="M1" s="37"/>
    </row>
    <row r="2" s="30" customFormat="1" ht="18" customHeight="1" spans="1:13">
      <c r="A2" s="40" t="s">
        <v>1</v>
      </c>
      <c r="B2" s="41">
        <v>43693</v>
      </c>
      <c r="C2" s="4" t="s">
        <v>2</v>
      </c>
      <c r="D2" s="42">
        <v>19501960.91</v>
      </c>
      <c r="E2" s="43" t="s">
        <v>3</v>
      </c>
      <c r="F2" s="44" t="s">
        <v>4</v>
      </c>
      <c r="G2" s="45" t="s">
        <v>5</v>
      </c>
      <c r="H2" s="46" t="s">
        <v>6</v>
      </c>
      <c r="I2" s="72"/>
      <c r="J2" s="73"/>
      <c r="K2" s="48"/>
      <c r="L2" s="48"/>
      <c r="M2" s="37"/>
    </row>
    <row r="3" s="30" customFormat="1" ht="18" customHeight="1" spans="1:13">
      <c r="A3" s="40" t="s">
        <v>7</v>
      </c>
      <c r="B3" s="47"/>
      <c r="C3" s="4" t="s">
        <v>8</v>
      </c>
      <c r="D3" s="4"/>
      <c r="E3" s="33"/>
      <c r="F3" s="35"/>
      <c r="G3" s="35"/>
      <c r="H3" s="48"/>
      <c r="I3" s="74"/>
      <c r="J3" s="48"/>
      <c r="K3" s="48"/>
      <c r="L3" s="48"/>
      <c r="M3" s="37"/>
    </row>
    <row r="4" s="30" customFormat="1" ht="18" customHeight="1" spans="1:13">
      <c r="A4" s="34" t="s">
        <v>9</v>
      </c>
      <c r="B4" s="35"/>
      <c r="C4" s="33"/>
      <c r="D4" s="33"/>
      <c r="E4" s="33"/>
      <c r="F4" s="35">
        <f>D2*0.01</f>
        <v>195019.6091</v>
      </c>
      <c r="G4" s="35"/>
      <c r="H4" s="48"/>
      <c r="I4" s="74"/>
      <c r="J4" s="48"/>
      <c r="K4" s="48"/>
      <c r="L4" s="48"/>
      <c r="M4" s="37"/>
    </row>
    <row r="5" s="30" customFormat="1" ht="18" customHeight="1" spans="1:13">
      <c r="A5" s="49" t="s">
        <v>10</v>
      </c>
      <c r="B5" s="50" t="s">
        <v>11</v>
      </c>
      <c r="C5" s="49" t="s">
        <v>12</v>
      </c>
      <c r="D5" s="49"/>
      <c r="E5" s="49" t="s">
        <v>13</v>
      </c>
      <c r="F5" s="50"/>
      <c r="G5" s="50" t="s">
        <v>14</v>
      </c>
      <c r="H5" s="51" t="s">
        <v>15</v>
      </c>
      <c r="I5" s="50"/>
      <c r="J5" s="51"/>
      <c r="L5" s="48"/>
      <c r="M5" s="37"/>
    </row>
    <row r="6" s="30" customFormat="1" ht="18" customHeight="1" spans="1:13">
      <c r="A6" s="49"/>
      <c r="B6" s="50"/>
      <c r="C6" s="49" t="s">
        <v>16</v>
      </c>
      <c r="D6" s="49" t="s">
        <v>17</v>
      </c>
      <c r="E6" s="49" t="s">
        <v>16</v>
      </c>
      <c r="F6" s="50" t="s">
        <v>17</v>
      </c>
      <c r="G6" s="50"/>
      <c r="H6" s="51" t="s">
        <v>18</v>
      </c>
      <c r="I6" s="50" t="s">
        <v>19</v>
      </c>
      <c r="J6" s="51" t="s">
        <v>20</v>
      </c>
      <c r="K6" s="33"/>
      <c r="L6" s="48"/>
      <c r="M6" s="37"/>
    </row>
    <row r="7" s="30" customFormat="1" ht="18" customHeight="1" spans="1:13">
      <c r="A7" s="3">
        <v>43936</v>
      </c>
      <c r="B7" s="4">
        <f t="shared" ref="B7:B13" si="0">G7/(1+C7+E7)</f>
        <v>1834862.3853211</v>
      </c>
      <c r="C7" s="52">
        <v>0.02</v>
      </c>
      <c r="D7" s="53">
        <f t="shared" ref="D7:D13" si="1">G7/(1+E7+C7)*C7</f>
        <v>36697.247706422</v>
      </c>
      <c r="E7" s="54">
        <v>0.07</v>
      </c>
      <c r="F7" s="55">
        <f t="shared" ref="F7:F13" si="2">G7/(1+C7+E7)*E7</f>
        <v>128440.366972477</v>
      </c>
      <c r="G7" s="56">
        <v>2000000</v>
      </c>
      <c r="H7" s="3">
        <v>43944</v>
      </c>
      <c r="I7" s="4">
        <v>800000</v>
      </c>
      <c r="J7" s="75" t="s">
        <v>21</v>
      </c>
      <c r="L7" s="48"/>
      <c r="M7" s="37"/>
    </row>
    <row r="8" s="30" customFormat="1" ht="18" customHeight="1" spans="1:13">
      <c r="A8" s="3">
        <v>44232</v>
      </c>
      <c r="B8" s="4">
        <f t="shared" si="0"/>
        <v>2752293.57798165</v>
      </c>
      <c r="C8" s="52">
        <v>0.02</v>
      </c>
      <c r="D8" s="53">
        <f t="shared" si="1"/>
        <v>55045.871559633</v>
      </c>
      <c r="E8" s="54">
        <v>0.07</v>
      </c>
      <c r="F8" s="55">
        <f t="shared" si="2"/>
        <v>192660.550458716</v>
      </c>
      <c r="G8" s="56">
        <v>3000000</v>
      </c>
      <c r="H8" s="3">
        <v>43944</v>
      </c>
      <c r="I8" s="4">
        <v>200000</v>
      </c>
      <c r="J8" s="75" t="s">
        <v>22</v>
      </c>
      <c r="K8" s="30" t="s">
        <v>23</v>
      </c>
      <c r="L8" s="48"/>
      <c r="M8" s="37"/>
    </row>
    <row r="9" s="30" customFormat="1" ht="18" customHeight="1" spans="1:19">
      <c r="A9" s="3">
        <v>44433</v>
      </c>
      <c r="B9" s="4">
        <f t="shared" si="0"/>
        <v>458715.596330275</v>
      </c>
      <c r="C9" s="52">
        <v>0.02</v>
      </c>
      <c r="D9" s="53">
        <f t="shared" si="1"/>
        <v>9174.3119266055</v>
      </c>
      <c r="E9" s="54">
        <v>0.07</v>
      </c>
      <c r="F9" s="4">
        <f t="shared" si="2"/>
        <v>32110.0917431193</v>
      </c>
      <c r="G9" s="56">
        <v>500000</v>
      </c>
      <c r="H9" s="3">
        <v>44090</v>
      </c>
      <c r="I9" s="4">
        <v>800000</v>
      </c>
      <c r="J9" s="75" t="s">
        <v>21</v>
      </c>
      <c r="L9" s="48"/>
      <c r="M9" s="37"/>
      <c r="S9" s="30">
        <f>F7*1.1</f>
        <v>141284.403669725</v>
      </c>
    </row>
    <row r="10" s="30" customFormat="1" ht="18" customHeight="1" spans="1:13">
      <c r="A10" s="3">
        <v>44585</v>
      </c>
      <c r="B10" s="4">
        <f t="shared" si="0"/>
        <v>917431.19266055</v>
      </c>
      <c r="C10" s="52">
        <v>0.02</v>
      </c>
      <c r="D10" s="53">
        <f t="shared" si="1"/>
        <v>18348.623853211</v>
      </c>
      <c r="E10" s="54">
        <v>0.07</v>
      </c>
      <c r="F10" s="4">
        <f t="shared" si="2"/>
        <v>64220.1834862385</v>
      </c>
      <c r="G10" s="56">
        <v>1000000</v>
      </c>
      <c r="H10" s="3">
        <v>44099</v>
      </c>
      <c r="I10" s="4">
        <v>200000</v>
      </c>
      <c r="J10" s="75" t="s">
        <v>22</v>
      </c>
      <c r="K10" s="30" t="s">
        <v>23</v>
      </c>
      <c r="L10" s="48"/>
      <c r="M10" s="37"/>
    </row>
    <row r="11" s="30" customFormat="1" ht="18" customHeight="1" spans="1:13">
      <c r="A11" s="3">
        <v>44694</v>
      </c>
      <c r="B11" s="4">
        <f t="shared" si="0"/>
        <v>275229.357798165</v>
      </c>
      <c r="C11" s="52">
        <v>0.02</v>
      </c>
      <c r="D11" s="53">
        <f t="shared" si="1"/>
        <v>5504.5871559633</v>
      </c>
      <c r="E11" s="54">
        <v>0.07</v>
      </c>
      <c r="F11" s="4">
        <f t="shared" si="2"/>
        <v>19266.0550458716</v>
      </c>
      <c r="G11" s="56">
        <v>300000</v>
      </c>
      <c r="H11" s="3">
        <v>44235</v>
      </c>
      <c r="I11" s="4">
        <v>1200000</v>
      </c>
      <c r="J11" s="75" t="s">
        <v>21</v>
      </c>
      <c r="L11" s="48"/>
      <c r="M11" s="37"/>
    </row>
    <row r="12" s="30" customFormat="1" ht="18" customHeight="1" spans="1:13">
      <c r="A12" s="3">
        <v>44945</v>
      </c>
      <c r="B12" s="4">
        <f t="shared" si="0"/>
        <v>1834862.3853211</v>
      </c>
      <c r="C12" s="52">
        <v>0.02</v>
      </c>
      <c r="D12" s="53">
        <f t="shared" si="1"/>
        <v>36697.247706422</v>
      </c>
      <c r="E12" s="54">
        <v>0.07</v>
      </c>
      <c r="F12" s="4">
        <f t="shared" si="2"/>
        <v>128440.366972477</v>
      </c>
      <c r="G12" s="56">
        <v>2000000</v>
      </c>
      <c r="H12" s="3">
        <v>44235</v>
      </c>
      <c r="I12" s="4">
        <v>300000</v>
      </c>
      <c r="J12" s="75" t="s">
        <v>22</v>
      </c>
      <c r="K12" s="30" t="s">
        <v>23</v>
      </c>
      <c r="L12" s="48"/>
      <c r="M12" s="37"/>
    </row>
    <row r="13" s="30" customFormat="1" ht="18" customHeight="1" spans="1:13">
      <c r="A13" s="3">
        <v>45182</v>
      </c>
      <c r="B13" s="4">
        <f t="shared" si="0"/>
        <v>1834862.3853211</v>
      </c>
      <c r="C13" s="52">
        <v>0.02</v>
      </c>
      <c r="D13" s="53">
        <f t="shared" si="1"/>
        <v>36697.247706422</v>
      </c>
      <c r="E13" s="54">
        <v>0.07</v>
      </c>
      <c r="F13" s="4">
        <f t="shared" si="2"/>
        <v>128440.366972477</v>
      </c>
      <c r="G13" s="56">
        <v>2000000</v>
      </c>
      <c r="H13" s="3">
        <v>44237</v>
      </c>
      <c r="I13" s="4">
        <v>800000</v>
      </c>
      <c r="J13" s="75" t="s">
        <v>21</v>
      </c>
      <c r="L13" s="48"/>
      <c r="M13" s="37"/>
    </row>
    <row r="14" s="30" customFormat="1" ht="18" customHeight="1" spans="1:13">
      <c r="A14" s="3"/>
      <c r="B14" s="4"/>
      <c r="C14" s="52"/>
      <c r="D14" s="53"/>
      <c r="E14" s="52"/>
      <c r="F14" s="4"/>
      <c r="G14" s="56"/>
      <c r="H14" s="3">
        <v>44237</v>
      </c>
      <c r="I14" s="4">
        <v>200000</v>
      </c>
      <c r="J14" s="75" t="s">
        <v>22</v>
      </c>
      <c r="K14" s="30" t="s">
        <v>23</v>
      </c>
      <c r="L14" s="48"/>
      <c r="M14" s="37"/>
    </row>
    <row r="15" s="30" customFormat="1" ht="18" customHeight="1" spans="1:13">
      <c r="A15" s="3"/>
      <c r="B15" s="4"/>
      <c r="C15" s="52"/>
      <c r="D15" s="53"/>
      <c r="E15" s="52"/>
      <c r="F15" s="4"/>
      <c r="G15" s="56"/>
      <c r="H15" s="3">
        <v>44438</v>
      </c>
      <c r="I15" s="4">
        <v>800000</v>
      </c>
      <c r="J15" s="75" t="s">
        <v>21</v>
      </c>
      <c r="M15" s="37"/>
    </row>
    <row r="16" s="30" customFormat="1" ht="18" customHeight="1" spans="1:13">
      <c r="A16" s="3"/>
      <c r="B16" s="4"/>
      <c r="C16" s="52"/>
      <c r="D16" s="53"/>
      <c r="E16" s="52"/>
      <c r="F16" s="4"/>
      <c r="G16" s="56"/>
      <c r="H16" s="3">
        <v>44438</v>
      </c>
      <c r="I16" s="4">
        <v>200000</v>
      </c>
      <c r="J16" s="75" t="s">
        <v>22</v>
      </c>
      <c r="K16" s="30" t="s">
        <v>23</v>
      </c>
      <c r="M16" s="37"/>
    </row>
    <row r="17" s="30" customFormat="1" ht="18" customHeight="1" spans="1:13">
      <c r="A17" s="3"/>
      <c r="B17" s="4"/>
      <c r="C17" s="52"/>
      <c r="D17" s="53"/>
      <c r="E17" s="52"/>
      <c r="F17" s="4"/>
      <c r="G17" s="56"/>
      <c r="H17" s="3">
        <v>44589</v>
      </c>
      <c r="I17" s="4">
        <v>800000</v>
      </c>
      <c r="J17" s="75" t="s">
        <v>21</v>
      </c>
      <c r="M17" s="37"/>
    </row>
    <row r="18" s="30" customFormat="1" ht="18" customHeight="1" spans="1:13">
      <c r="A18" s="3"/>
      <c r="B18" s="4"/>
      <c r="C18" s="52"/>
      <c r="D18" s="53"/>
      <c r="E18" s="52"/>
      <c r="F18" s="4"/>
      <c r="G18" s="56"/>
      <c r="H18" s="3">
        <v>44589</v>
      </c>
      <c r="I18" s="4">
        <v>200000</v>
      </c>
      <c r="J18" s="75" t="s">
        <v>22</v>
      </c>
      <c r="K18" s="30" t="s">
        <v>23</v>
      </c>
      <c r="M18" s="37"/>
    </row>
    <row r="19" s="30" customFormat="1" ht="18" customHeight="1" spans="1:13">
      <c r="A19" s="3"/>
      <c r="B19" s="4"/>
      <c r="C19" s="52"/>
      <c r="D19" s="53"/>
      <c r="E19" s="52"/>
      <c r="F19" s="4"/>
      <c r="G19" s="56"/>
      <c r="H19" s="3">
        <v>44704</v>
      </c>
      <c r="I19" s="4">
        <v>300000</v>
      </c>
      <c r="J19" s="75" t="s">
        <v>21</v>
      </c>
      <c r="M19" s="37"/>
    </row>
    <row r="20" s="30" customFormat="1" ht="18" customHeight="1" spans="1:13">
      <c r="A20" s="3"/>
      <c r="B20" s="4"/>
      <c r="C20" s="52"/>
      <c r="D20" s="53"/>
      <c r="E20" s="52"/>
      <c r="F20" s="4"/>
      <c r="G20" s="56"/>
      <c r="H20" s="3">
        <v>44955</v>
      </c>
      <c r="I20" s="4">
        <v>800000</v>
      </c>
      <c r="J20" s="75" t="s">
        <v>21</v>
      </c>
      <c r="M20" s="37"/>
    </row>
    <row r="21" s="30" customFormat="1" ht="18" customHeight="1" spans="1:13">
      <c r="A21" s="3"/>
      <c r="B21" s="4"/>
      <c r="C21" s="52"/>
      <c r="D21" s="53"/>
      <c r="E21" s="52"/>
      <c r="F21" s="4"/>
      <c r="G21" s="56"/>
      <c r="H21" s="3">
        <v>44955</v>
      </c>
      <c r="I21" s="4">
        <v>200000</v>
      </c>
      <c r="J21" s="75" t="s">
        <v>22</v>
      </c>
      <c r="K21" s="30" t="s">
        <v>23</v>
      </c>
      <c r="M21" s="37"/>
    </row>
    <row r="22" s="30" customFormat="1" ht="18" customHeight="1" spans="1:13">
      <c r="A22" s="3"/>
      <c r="B22" s="4"/>
      <c r="C22" s="52"/>
      <c r="D22" s="53"/>
      <c r="E22" s="52"/>
      <c r="F22" s="4"/>
      <c r="G22" s="56"/>
      <c r="H22" s="3">
        <v>45197</v>
      </c>
      <c r="I22" s="4">
        <v>2000000</v>
      </c>
      <c r="J22" s="75" t="s">
        <v>21</v>
      </c>
      <c r="M22" s="37"/>
    </row>
    <row r="23" s="30" customFormat="1" ht="18" customHeight="1" spans="1:13">
      <c r="A23" s="3"/>
      <c r="B23" s="4"/>
      <c r="C23" s="52"/>
      <c r="D23" s="53"/>
      <c r="E23" s="52"/>
      <c r="F23" s="4"/>
      <c r="G23" s="56"/>
      <c r="H23" s="3"/>
      <c r="I23" s="4"/>
      <c r="J23" s="75"/>
      <c r="K23" s="30">
        <f>I22*0.01</f>
        <v>20000</v>
      </c>
      <c r="M23" s="37"/>
    </row>
    <row r="24" s="30" customFormat="1" ht="18" customHeight="1" spans="1:13">
      <c r="A24" s="57" t="s">
        <v>24</v>
      </c>
      <c r="B24" s="58">
        <f>SUM(B7:B17)</f>
        <v>9908256.88073394</v>
      </c>
      <c r="C24" s="13"/>
      <c r="D24" s="13">
        <f>SUM(D7:D16)</f>
        <v>198165.137614679</v>
      </c>
      <c r="E24" s="13"/>
      <c r="F24" s="59">
        <f>SUM(F7:F14)</f>
        <v>693577.981651376</v>
      </c>
      <c r="G24" s="13">
        <f>SUM(G7:G14)</f>
        <v>10800000</v>
      </c>
      <c r="H24" s="60"/>
      <c r="I24" s="13">
        <f>SUM(I7:I22)</f>
        <v>9800000</v>
      </c>
      <c r="J24" s="60"/>
      <c r="M24" s="37"/>
    </row>
    <row r="25" s="30" customFormat="1" ht="15" customHeight="1" spans="1:13">
      <c r="A25" s="34" t="s">
        <v>25</v>
      </c>
      <c r="B25" s="35"/>
      <c r="C25" s="33"/>
      <c r="D25" s="33"/>
      <c r="E25" s="33"/>
      <c r="F25" s="35"/>
      <c r="G25" s="35"/>
      <c r="H25" s="33"/>
      <c r="I25" s="35">
        <f>I13+I11+I9+I7+I15+I17+I19+I20</f>
        <v>6300000</v>
      </c>
      <c r="J25" s="33">
        <f>I14+I12+I10+I8+I16+I18+I21</f>
        <v>1500000</v>
      </c>
      <c r="K25" s="33"/>
      <c r="L25" s="36"/>
      <c r="M25" s="37"/>
    </row>
    <row r="26" s="30" customFormat="1" ht="29" customHeight="1" spans="1:15">
      <c r="A26" s="12" t="s">
        <v>26</v>
      </c>
      <c r="B26" s="50" t="s">
        <v>27</v>
      </c>
      <c r="C26" s="49" t="s">
        <v>28</v>
      </c>
      <c r="D26" s="49" t="s">
        <v>29</v>
      </c>
      <c r="E26" s="49" t="s">
        <v>16</v>
      </c>
      <c r="F26" s="50" t="s">
        <v>30</v>
      </c>
      <c r="G26" s="50" t="s">
        <v>14</v>
      </c>
      <c r="H26" s="49" t="s">
        <v>31</v>
      </c>
      <c r="I26" s="50" t="s">
        <v>32</v>
      </c>
      <c r="J26" s="49" t="s">
        <v>20</v>
      </c>
      <c r="K26" s="49" t="s">
        <v>93</v>
      </c>
      <c r="L26" s="76" t="s">
        <v>34</v>
      </c>
      <c r="M26" s="51" t="s">
        <v>35</v>
      </c>
      <c r="N26" s="51" t="s">
        <v>36</v>
      </c>
      <c r="O26" s="51" t="s">
        <v>37</v>
      </c>
    </row>
    <row r="27" customFormat="1" ht="18" customHeight="1" spans="1:15">
      <c r="A27" s="12"/>
      <c r="B27" s="61">
        <f t="shared" ref="B27:B49" si="3">ROUND(G27/(1+E27),2)</f>
        <v>0</v>
      </c>
      <c r="C27" s="49"/>
      <c r="D27" s="49"/>
      <c r="E27" s="62"/>
      <c r="F27" s="61">
        <f t="shared" ref="F27:F49" si="4">ROUND(G27/(1+E27)*E27,2)</f>
        <v>0</v>
      </c>
      <c r="G27" s="56"/>
      <c r="H27" s="6">
        <v>43790</v>
      </c>
      <c r="I27" s="15">
        <v>-50000</v>
      </c>
      <c r="J27" s="77" t="s">
        <v>38</v>
      </c>
      <c r="K27" s="16" t="s">
        <v>39</v>
      </c>
      <c r="L27" s="78" t="s">
        <v>40</v>
      </c>
      <c r="M27" s="79"/>
      <c r="N27" s="51"/>
      <c r="O27" s="51"/>
    </row>
    <row r="28" customFormat="1" ht="18" customHeight="1" spans="1:20">
      <c r="A28" s="12"/>
      <c r="B28" s="61">
        <f t="shared" si="3"/>
        <v>0</v>
      </c>
      <c r="C28" s="49"/>
      <c r="D28" s="49"/>
      <c r="E28" s="62"/>
      <c r="F28" s="61">
        <f t="shared" si="4"/>
        <v>0</v>
      </c>
      <c r="G28" s="56"/>
      <c r="H28" s="6">
        <v>43825</v>
      </c>
      <c r="I28" s="15">
        <v>50000</v>
      </c>
      <c r="J28" s="77" t="s">
        <v>21</v>
      </c>
      <c r="K28" s="16" t="s">
        <v>41</v>
      </c>
      <c r="L28" s="78" t="s">
        <v>42</v>
      </c>
      <c r="M28" s="79"/>
      <c r="N28" s="51"/>
      <c r="O28" s="51"/>
      <c r="T28" t="s">
        <v>60</v>
      </c>
    </row>
    <row r="29" customFormat="1" ht="18" customHeight="1" spans="1:15">
      <c r="A29" s="12"/>
      <c r="B29" s="61">
        <f t="shared" si="3"/>
        <v>0</v>
      </c>
      <c r="C29" s="49"/>
      <c r="D29" s="49"/>
      <c r="E29" s="62"/>
      <c r="F29" s="61">
        <f t="shared" si="4"/>
        <v>0</v>
      </c>
      <c r="G29" s="56"/>
      <c r="H29" s="6" t="s">
        <v>43</v>
      </c>
      <c r="I29" s="15">
        <v>-41000</v>
      </c>
      <c r="J29" s="77" t="s">
        <v>38</v>
      </c>
      <c r="K29" s="16" t="s">
        <v>39</v>
      </c>
      <c r="L29" s="78"/>
      <c r="M29" s="79"/>
      <c r="N29" s="51"/>
      <c r="O29" s="51"/>
    </row>
    <row r="30" customFormat="1" ht="18" customHeight="1" spans="1:15">
      <c r="A30" s="12"/>
      <c r="B30" s="61">
        <f t="shared" si="3"/>
        <v>0</v>
      </c>
      <c r="C30" s="49"/>
      <c r="D30" s="49"/>
      <c r="E30" s="62"/>
      <c r="F30" s="61">
        <f t="shared" si="4"/>
        <v>0</v>
      </c>
      <c r="G30" s="56"/>
      <c r="H30" s="6" t="s">
        <v>43</v>
      </c>
      <c r="I30" s="15">
        <v>41000</v>
      </c>
      <c r="J30" s="77" t="s">
        <v>21</v>
      </c>
      <c r="K30" s="16" t="s">
        <v>44</v>
      </c>
      <c r="L30" s="78"/>
      <c r="M30" s="79"/>
      <c r="N30" s="51"/>
      <c r="O30" s="51"/>
    </row>
    <row r="31" s="31" customFormat="1" ht="18" customHeight="1" spans="1:15">
      <c r="A31" s="63">
        <v>43941</v>
      </c>
      <c r="B31" s="61">
        <f t="shared" si="3"/>
        <v>990099.01</v>
      </c>
      <c r="C31" s="64">
        <v>11</v>
      </c>
      <c r="D31" s="65" t="s">
        <v>45</v>
      </c>
      <c r="E31" s="62">
        <v>0.01</v>
      </c>
      <c r="F31" s="61">
        <f t="shared" si="4"/>
        <v>9900.99</v>
      </c>
      <c r="G31" s="56">
        <v>1000000</v>
      </c>
      <c r="H31" s="6"/>
      <c r="I31" s="80"/>
      <c r="J31" s="81"/>
      <c r="K31" s="16" t="s">
        <v>46</v>
      </c>
      <c r="L31" s="78" t="s">
        <v>47</v>
      </c>
      <c r="M31" s="82" t="s">
        <v>116</v>
      </c>
      <c r="N31" s="82"/>
      <c r="O31" s="83" t="s">
        <v>117</v>
      </c>
    </row>
    <row r="32" s="31" customFormat="1" ht="18" customHeight="1" spans="1:15">
      <c r="A32" s="63">
        <v>43941</v>
      </c>
      <c r="B32" s="61">
        <f t="shared" si="3"/>
        <v>297029.7</v>
      </c>
      <c r="C32" s="64"/>
      <c r="D32" s="65" t="s">
        <v>45</v>
      </c>
      <c r="E32" s="62">
        <v>0.01</v>
      </c>
      <c r="F32" s="61">
        <f t="shared" si="4"/>
        <v>2970.3</v>
      </c>
      <c r="G32" s="56">
        <f>75000+80000+75000+70000</f>
        <v>300000</v>
      </c>
      <c r="H32" s="9"/>
      <c r="I32" s="7"/>
      <c r="J32" s="82"/>
      <c r="K32" s="10" t="s">
        <v>50</v>
      </c>
      <c r="L32" s="84" t="s">
        <v>51</v>
      </c>
      <c r="M32" s="82" t="s">
        <v>118</v>
      </c>
      <c r="N32" s="82"/>
      <c r="O32" s="83"/>
    </row>
    <row r="33" s="31" customFormat="1" ht="18" customHeight="1" spans="1:15">
      <c r="A33" s="63">
        <v>43922</v>
      </c>
      <c r="B33" s="61">
        <f t="shared" si="3"/>
        <v>200000</v>
      </c>
      <c r="C33" s="64"/>
      <c r="D33" s="65" t="s">
        <v>53</v>
      </c>
      <c r="E33" s="62"/>
      <c r="F33" s="61">
        <f t="shared" si="4"/>
        <v>0</v>
      </c>
      <c r="G33" s="56">
        <v>200000</v>
      </c>
      <c r="H33" s="9"/>
      <c r="I33" s="7"/>
      <c r="J33" s="82"/>
      <c r="K33" s="10" t="s">
        <v>54</v>
      </c>
      <c r="L33" s="10" t="s">
        <v>55</v>
      </c>
      <c r="M33" s="82" t="s">
        <v>118</v>
      </c>
      <c r="N33" s="82"/>
      <c r="O33" s="83"/>
    </row>
    <row r="34" s="31" customFormat="1" ht="18" customHeight="1" spans="1:15">
      <c r="A34" s="63">
        <v>43922</v>
      </c>
      <c r="B34" s="61">
        <f t="shared" si="3"/>
        <v>200000</v>
      </c>
      <c r="C34" s="64"/>
      <c r="D34" s="65" t="s">
        <v>53</v>
      </c>
      <c r="E34" s="62"/>
      <c r="F34" s="61">
        <f t="shared" si="4"/>
        <v>0</v>
      </c>
      <c r="G34" s="56">
        <v>200000</v>
      </c>
      <c r="H34" s="9"/>
      <c r="I34" s="7"/>
      <c r="J34" s="82"/>
      <c r="K34" s="10" t="s">
        <v>50</v>
      </c>
      <c r="L34" s="10" t="s">
        <v>55</v>
      </c>
      <c r="M34" s="82" t="s">
        <v>57</v>
      </c>
      <c r="N34" s="82"/>
      <c r="O34" s="83"/>
    </row>
    <row r="35" s="31" customFormat="1" ht="18" customHeight="1" spans="1:15">
      <c r="A35" s="63">
        <v>44002</v>
      </c>
      <c r="B35" s="61">
        <f t="shared" si="3"/>
        <v>198019.8</v>
      </c>
      <c r="C35" s="64"/>
      <c r="D35" s="65" t="s">
        <v>45</v>
      </c>
      <c r="E35" s="62">
        <v>0.01</v>
      </c>
      <c r="F35" s="61">
        <f t="shared" si="4"/>
        <v>1980.2</v>
      </c>
      <c r="G35" s="56">
        <v>200000</v>
      </c>
      <c r="H35" s="9"/>
      <c r="I35" s="7"/>
      <c r="J35" s="82"/>
      <c r="K35" s="10" t="s">
        <v>50</v>
      </c>
      <c r="L35" s="10" t="s">
        <v>58</v>
      </c>
      <c r="M35" s="82" t="s">
        <v>119</v>
      </c>
      <c r="N35" s="82"/>
      <c r="O35" s="83" t="s">
        <v>120</v>
      </c>
    </row>
    <row r="36" s="31" customFormat="1" ht="18" customHeight="1" spans="1:15">
      <c r="A36" s="63"/>
      <c r="B36" s="61">
        <f t="shared" si="3"/>
        <v>0</v>
      </c>
      <c r="C36" s="64"/>
      <c r="D36" s="65"/>
      <c r="E36" s="62"/>
      <c r="F36" s="61">
        <f t="shared" si="4"/>
        <v>0</v>
      </c>
      <c r="G36" s="56"/>
      <c r="H36" s="6">
        <v>43960</v>
      </c>
      <c r="I36" s="7">
        <v>500000</v>
      </c>
      <c r="J36" s="82" t="s">
        <v>21</v>
      </c>
      <c r="K36" s="8" t="s">
        <v>46</v>
      </c>
      <c r="L36" s="85" t="s">
        <v>47</v>
      </c>
      <c r="M36" s="82"/>
      <c r="N36" s="82"/>
      <c r="O36" s="83"/>
    </row>
    <row r="37" s="31" customFormat="1" ht="18" customHeight="1" spans="1:15">
      <c r="A37" s="63"/>
      <c r="B37" s="61">
        <f t="shared" si="3"/>
        <v>0</v>
      </c>
      <c r="C37" s="64"/>
      <c r="D37" s="65"/>
      <c r="E37" s="62"/>
      <c r="F37" s="61">
        <f t="shared" si="4"/>
        <v>0</v>
      </c>
      <c r="G37" s="56"/>
      <c r="H37" s="9">
        <v>43970</v>
      </c>
      <c r="I37" s="7">
        <v>50000</v>
      </c>
      <c r="J37" s="82" t="s">
        <v>21</v>
      </c>
      <c r="K37" s="10" t="s">
        <v>41</v>
      </c>
      <c r="L37" s="83"/>
      <c r="M37" s="82" t="s">
        <v>121</v>
      </c>
      <c r="N37" s="82"/>
      <c r="O37" s="83" t="s">
        <v>122</v>
      </c>
    </row>
    <row r="38" s="31" customFormat="1" ht="18" customHeight="1" spans="1:15">
      <c r="A38" s="63"/>
      <c r="B38" s="61">
        <f t="shared" si="3"/>
        <v>0</v>
      </c>
      <c r="C38" s="64"/>
      <c r="D38" s="65"/>
      <c r="E38" s="66"/>
      <c r="F38" s="61">
        <f t="shared" si="4"/>
        <v>0</v>
      </c>
      <c r="G38" s="56"/>
      <c r="H38" s="6">
        <v>44005</v>
      </c>
      <c r="I38" s="7">
        <v>70000</v>
      </c>
      <c r="J38" s="82" t="s">
        <v>21</v>
      </c>
      <c r="K38" s="10" t="s">
        <v>41</v>
      </c>
      <c r="L38" s="83"/>
      <c r="M38" s="82" t="s">
        <v>123</v>
      </c>
      <c r="N38" s="82"/>
      <c r="O38" s="83" t="s">
        <v>124</v>
      </c>
    </row>
    <row r="39" s="31" customFormat="1" ht="18" customHeight="1" spans="1:15">
      <c r="A39" s="63"/>
      <c r="B39" s="61">
        <f t="shared" si="3"/>
        <v>0</v>
      </c>
      <c r="C39" s="64"/>
      <c r="D39" s="65"/>
      <c r="E39" s="66"/>
      <c r="F39" s="61">
        <f t="shared" si="4"/>
        <v>0</v>
      </c>
      <c r="G39" s="56"/>
      <c r="H39" s="9">
        <v>44006</v>
      </c>
      <c r="I39" s="7">
        <v>200000</v>
      </c>
      <c r="J39" s="31" t="s">
        <v>94</v>
      </c>
      <c r="K39" s="10" t="s">
        <v>50</v>
      </c>
      <c r="L39" s="83"/>
      <c r="M39" s="82" t="s">
        <v>63</v>
      </c>
      <c r="N39" s="82"/>
      <c r="O39" s="83"/>
    </row>
    <row r="40" s="31" customFormat="1" ht="18" customHeight="1" spans="1:15">
      <c r="A40" s="63"/>
      <c r="B40" s="61">
        <f t="shared" si="3"/>
        <v>0</v>
      </c>
      <c r="C40" s="64"/>
      <c r="D40" s="65"/>
      <c r="E40" s="66"/>
      <c r="F40" s="61">
        <f t="shared" si="4"/>
        <v>0</v>
      </c>
      <c r="G40" s="56"/>
      <c r="H40" s="9">
        <v>44097</v>
      </c>
      <c r="I40" s="7">
        <v>300000</v>
      </c>
      <c r="J40" s="82" t="s">
        <v>21</v>
      </c>
      <c r="K40" s="8" t="s">
        <v>46</v>
      </c>
      <c r="L40" s="85" t="s">
        <v>47</v>
      </c>
      <c r="M40" s="82"/>
      <c r="N40" s="82"/>
      <c r="O40" s="83"/>
    </row>
    <row r="41" s="32" customFormat="1" ht="18" customHeight="1" spans="1:15">
      <c r="A41" s="63">
        <v>44094</v>
      </c>
      <c r="B41" s="61">
        <f t="shared" si="3"/>
        <v>125118.16</v>
      </c>
      <c r="C41" s="64">
        <v>2</v>
      </c>
      <c r="D41" s="65" t="s">
        <v>45</v>
      </c>
      <c r="E41" s="62">
        <v>0.01</v>
      </c>
      <c r="F41" s="61">
        <f t="shared" si="4"/>
        <v>1251.18</v>
      </c>
      <c r="G41" s="56">
        <f>57369.34+69000</f>
        <v>126369.34</v>
      </c>
      <c r="H41" s="9">
        <v>44099</v>
      </c>
      <c r="I41" s="11">
        <v>126369.34</v>
      </c>
      <c r="J41" s="31" t="s">
        <v>94</v>
      </c>
      <c r="K41" s="10" t="s">
        <v>50</v>
      </c>
      <c r="L41" s="83" t="s">
        <v>95</v>
      </c>
      <c r="M41" s="82" t="s">
        <v>63</v>
      </c>
      <c r="N41" s="86"/>
      <c r="O41" s="87"/>
    </row>
    <row r="42" s="32" customFormat="1" ht="18" customHeight="1" spans="1:15">
      <c r="A42" s="63"/>
      <c r="B42" s="61">
        <f t="shared" si="3"/>
        <v>0</v>
      </c>
      <c r="C42" s="64"/>
      <c r="D42" s="65"/>
      <c r="E42" s="62"/>
      <c r="F42" s="61">
        <f t="shared" si="4"/>
        <v>0</v>
      </c>
      <c r="G42" s="56"/>
      <c r="H42" s="9">
        <v>44099</v>
      </c>
      <c r="I42" s="11">
        <v>200000</v>
      </c>
      <c r="J42" s="82" t="s">
        <v>21</v>
      </c>
      <c r="K42" s="10" t="s">
        <v>50</v>
      </c>
      <c r="L42" s="83" t="s">
        <v>96</v>
      </c>
      <c r="M42" s="82"/>
      <c r="N42" s="86"/>
      <c r="O42" s="87"/>
    </row>
    <row r="43" s="31" customFormat="1" ht="18" customHeight="1" spans="1:15">
      <c r="A43" s="63">
        <v>44124</v>
      </c>
      <c r="B43" s="61">
        <f t="shared" si="3"/>
        <v>72901.64</v>
      </c>
      <c r="C43" s="64">
        <v>1</v>
      </c>
      <c r="D43" s="65" t="s">
        <v>45</v>
      </c>
      <c r="E43" s="62">
        <v>0.01</v>
      </c>
      <c r="F43" s="61">
        <f t="shared" si="4"/>
        <v>729.02</v>
      </c>
      <c r="G43" s="56">
        <v>73630.66</v>
      </c>
      <c r="H43" s="9">
        <v>44120</v>
      </c>
      <c r="I43" s="11">
        <v>73630.66</v>
      </c>
      <c r="J43" s="31" t="s">
        <v>94</v>
      </c>
      <c r="K43" s="10" t="s">
        <v>50</v>
      </c>
      <c r="L43" s="83" t="s">
        <v>95</v>
      </c>
      <c r="M43" s="82" t="s">
        <v>63</v>
      </c>
      <c r="N43" s="82"/>
      <c r="O43" s="83"/>
    </row>
    <row r="44" s="31" customFormat="1" ht="18" customHeight="1" spans="1:18">
      <c r="A44" s="63"/>
      <c r="B44" s="61">
        <f t="shared" si="3"/>
        <v>0</v>
      </c>
      <c r="C44" s="64"/>
      <c r="D44" s="65"/>
      <c r="E44" s="66"/>
      <c r="F44" s="61">
        <f t="shared" si="4"/>
        <v>0</v>
      </c>
      <c r="G44" s="56"/>
      <c r="H44" s="9">
        <v>44103</v>
      </c>
      <c r="I44" s="11">
        <v>30000</v>
      </c>
      <c r="J44" s="82" t="s">
        <v>21</v>
      </c>
      <c r="K44" s="10" t="s">
        <v>41</v>
      </c>
      <c r="L44" s="83" t="s">
        <v>97</v>
      </c>
      <c r="M44" s="82"/>
      <c r="N44" s="82"/>
      <c r="O44" s="83"/>
      <c r="R44" s="31" t="s">
        <v>60</v>
      </c>
    </row>
    <row r="45" s="31" customFormat="1" ht="18" customHeight="1" spans="2:15">
      <c r="B45" s="61">
        <f t="shared" si="3"/>
        <v>0</v>
      </c>
      <c r="C45" s="64"/>
      <c r="D45" s="65"/>
      <c r="E45" s="66"/>
      <c r="F45" s="61">
        <f t="shared" si="4"/>
        <v>0</v>
      </c>
      <c r="G45" s="56"/>
      <c r="H45" s="9">
        <v>44103</v>
      </c>
      <c r="I45" s="11">
        <v>100000</v>
      </c>
      <c r="J45" s="82" t="s">
        <v>21</v>
      </c>
      <c r="K45" s="10" t="s">
        <v>50</v>
      </c>
      <c r="L45" s="83" t="s">
        <v>51</v>
      </c>
      <c r="M45" s="82"/>
      <c r="N45" s="82"/>
      <c r="O45" s="83"/>
    </row>
    <row r="46" s="31" customFormat="1" ht="18" customHeight="1" spans="1:15">
      <c r="A46" s="63">
        <v>44124</v>
      </c>
      <c r="B46" s="61">
        <f t="shared" si="3"/>
        <v>36283.19</v>
      </c>
      <c r="C46" s="64">
        <v>1</v>
      </c>
      <c r="D46" s="65" t="s">
        <v>45</v>
      </c>
      <c r="E46" s="62">
        <v>0.13</v>
      </c>
      <c r="F46" s="61">
        <f t="shared" si="4"/>
        <v>4716.81</v>
      </c>
      <c r="G46" s="56">
        <v>41000</v>
      </c>
      <c r="H46" s="9"/>
      <c r="I46" s="11"/>
      <c r="K46" s="10" t="s">
        <v>44</v>
      </c>
      <c r="L46" s="83" t="s">
        <v>98</v>
      </c>
      <c r="M46" s="88" t="s">
        <v>125</v>
      </c>
      <c r="N46" s="82"/>
      <c r="O46" s="89"/>
    </row>
    <row r="47" s="31" customFormat="1" ht="18" customHeight="1" spans="1:17">
      <c r="A47" s="67"/>
      <c r="B47" s="61">
        <f t="shared" si="3"/>
        <v>0</v>
      </c>
      <c r="C47" s="68"/>
      <c r="D47" s="69"/>
      <c r="E47" s="70"/>
      <c r="F47" s="61">
        <f t="shared" si="4"/>
        <v>0</v>
      </c>
      <c r="G47" s="71"/>
      <c r="H47" s="9">
        <v>44130</v>
      </c>
      <c r="I47" s="11">
        <v>180000</v>
      </c>
      <c r="J47" s="82" t="s">
        <v>21</v>
      </c>
      <c r="K47" s="8" t="s">
        <v>54</v>
      </c>
      <c r="L47" s="83" t="s">
        <v>100</v>
      </c>
      <c r="M47" s="82"/>
      <c r="N47" s="82"/>
      <c r="O47" s="83"/>
      <c r="Q47" s="92">
        <v>1088000</v>
      </c>
    </row>
    <row r="48" s="31" customFormat="1" ht="18" customHeight="1" spans="1:15">
      <c r="A48" s="63">
        <v>44228</v>
      </c>
      <c r="B48" s="61">
        <f t="shared" si="3"/>
        <v>1077227.72</v>
      </c>
      <c r="C48" s="64">
        <v>12</v>
      </c>
      <c r="D48" s="65" t="s">
        <v>45</v>
      </c>
      <c r="E48" s="62">
        <v>0.01</v>
      </c>
      <c r="F48" s="61">
        <f t="shared" si="4"/>
        <v>10772.28</v>
      </c>
      <c r="G48" s="56">
        <f>95200+62560+91120+92480+93840+95200+95200+95200+95200+95200+88400+88400</f>
        <v>1088000</v>
      </c>
      <c r="H48" s="9">
        <v>44236</v>
      </c>
      <c r="I48" s="11">
        <v>880000</v>
      </c>
      <c r="J48" s="82" t="s">
        <v>21</v>
      </c>
      <c r="K48" s="8" t="s">
        <v>101</v>
      </c>
      <c r="L48" s="83" t="s">
        <v>102</v>
      </c>
      <c r="M48" s="82" t="s">
        <v>126</v>
      </c>
      <c r="N48" s="82"/>
      <c r="O48" s="87"/>
    </row>
    <row r="49" s="31" customFormat="1" ht="18" customHeight="1" spans="1:15">
      <c r="A49" s="63"/>
      <c r="B49" s="61">
        <f t="shared" si="3"/>
        <v>0</v>
      </c>
      <c r="C49" s="64"/>
      <c r="D49" s="65"/>
      <c r="E49" s="62"/>
      <c r="F49" s="61">
        <f t="shared" si="4"/>
        <v>0</v>
      </c>
      <c r="G49" s="56"/>
      <c r="H49" s="9">
        <v>44236</v>
      </c>
      <c r="I49" s="11">
        <v>300000</v>
      </c>
      <c r="J49" s="83" t="s">
        <v>94</v>
      </c>
      <c r="K49" s="10" t="s">
        <v>50</v>
      </c>
      <c r="L49" s="83" t="s">
        <v>95</v>
      </c>
      <c r="M49" s="82" t="s">
        <v>63</v>
      </c>
      <c r="N49" s="82"/>
      <c r="O49" s="83"/>
    </row>
    <row r="50" s="31" customFormat="1" ht="18" customHeight="1" spans="1:15">
      <c r="A50" s="63"/>
      <c r="B50" s="61"/>
      <c r="C50" s="64"/>
      <c r="D50" s="65"/>
      <c r="E50" s="62"/>
      <c r="F50" s="61"/>
      <c r="G50" s="56"/>
      <c r="H50" s="9">
        <v>44238</v>
      </c>
      <c r="I50" s="11">
        <v>94490</v>
      </c>
      <c r="J50" s="83" t="s">
        <v>94</v>
      </c>
      <c r="K50" s="10" t="s">
        <v>50</v>
      </c>
      <c r="L50" s="83" t="s">
        <v>95</v>
      </c>
      <c r="M50" s="82"/>
      <c r="N50" s="82"/>
      <c r="O50" s="83"/>
    </row>
    <row r="51" s="31" customFormat="1" ht="18" customHeight="1" spans="1:15">
      <c r="A51" s="63">
        <v>44228</v>
      </c>
      <c r="B51" s="61">
        <f t="shared" ref="B51:B56" si="5">ROUND(G51/(1+E51),2)</f>
        <v>435897.25</v>
      </c>
      <c r="C51" s="64">
        <v>5</v>
      </c>
      <c r="D51" s="65" t="s">
        <v>45</v>
      </c>
      <c r="E51" s="62">
        <v>0.09</v>
      </c>
      <c r="F51" s="61">
        <f t="shared" ref="F51:F56" si="6">ROUND(G51/(1+E51)*E51,2)</f>
        <v>39230.75</v>
      </c>
      <c r="G51" s="56">
        <f>95000*3+95064*2</f>
        <v>475128</v>
      </c>
      <c r="H51" s="9"/>
      <c r="I51" s="11"/>
      <c r="J51" s="82"/>
      <c r="K51" s="10" t="s">
        <v>104</v>
      </c>
      <c r="L51" s="83" t="s">
        <v>105</v>
      </c>
      <c r="M51" s="82" t="s">
        <v>127</v>
      </c>
      <c r="N51" s="82"/>
      <c r="O51" s="87"/>
    </row>
    <row r="52" s="31" customFormat="1" ht="18" customHeight="1" spans="1:15">
      <c r="A52" s="63">
        <v>44228</v>
      </c>
      <c r="B52" s="61">
        <f t="shared" si="5"/>
        <v>364884.96</v>
      </c>
      <c r="C52" s="64">
        <v>4</v>
      </c>
      <c r="D52" s="65" t="s">
        <v>45</v>
      </c>
      <c r="E52" s="62">
        <v>0.13</v>
      </c>
      <c r="F52" s="61">
        <f t="shared" si="6"/>
        <v>47435.04</v>
      </c>
      <c r="G52" s="56">
        <f>109440+89760+108000+105120</f>
        <v>412320</v>
      </c>
      <c r="H52" s="9"/>
      <c r="I52" s="11"/>
      <c r="J52" s="86"/>
      <c r="K52" s="90" t="s">
        <v>107</v>
      </c>
      <c r="L52" s="87"/>
      <c r="M52" s="82" t="s">
        <v>128</v>
      </c>
      <c r="N52" s="82"/>
      <c r="O52" s="60" t="s">
        <v>129</v>
      </c>
    </row>
    <row r="53" s="31" customFormat="1" ht="18" customHeight="1" spans="1:15">
      <c r="A53" s="63">
        <v>44256</v>
      </c>
      <c r="B53" s="61">
        <f t="shared" si="5"/>
        <v>332673.27</v>
      </c>
      <c r="C53" s="64" t="s">
        <v>130</v>
      </c>
      <c r="D53" s="65" t="s">
        <v>45</v>
      </c>
      <c r="E53" s="62">
        <v>0.01</v>
      </c>
      <c r="F53" s="61">
        <f t="shared" si="6"/>
        <v>3326.73</v>
      </c>
      <c r="G53" s="56">
        <v>336000</v>
      </c>
      <c r="H53" s="9"/>
      <c r="I53" s="11"/>
      <c r="J53" s="86"/>
      <c r="K53" s="16" t="s">
        <v>46</v>
      </c>
      <c r="L53" s="78" t="s">
        <v>47</v>
      </c>
      <c r="M53" s="82" t="s">
        <v>116</v>
      </c>
      <c r="N53" s="82"/>
      <c r="O53" s="87"/>
    </row>
    <row r="54" s="31" customFormat="1" ht="18" customHeight="1" spans="1:15">
      <c r="A54" s="63">
        <v>44256</v>
      </c>
      <c r="B54" s="61">
        <f t="shared" si="5"/>
        <v>146548.67</v>
      </c>
      <c r="C54" s="64" t="s">
        <v>131</v>
      </c>
      <c r="D54" s="65" t="s">
        <v>45</v>
      </c>
      <c r="E54" s="62">
        <v>0.13</v>
      </c>
      <c r="F54" s="61">
        <f t="shared" si="6"/>
        <v>19051.33</v>
      </c>
      <c r="G54" s="56">
        <v>165600</v>
      </c>
      <c r="H54" s="9"/>
      <c r="I54" s="11"/>
      <c r="J54" s="86"/>
      <c r="K54" s="16" t="s">
        <v>107</v>
      </c>
      <c r="L54" s="78" t="s">
        <v>132</v>
      </c>
      <c r="M54" s="82" t="s">
        <v>128</v>
      </c>
      <c r="N54" s="82" t="s">
        <v>133</v>
      </c>
      <c r="O54" s="87"/>
    </row>
    <row r="55" s="31" customFormat="1" ht="18" customHeight="1" spans="1:15">
      <c r="A55" s="63">
        <v>44256</v>
      </c>
      <c r="B55" s="61">
        <f t="shared" si="5"/>
        <v>50642.2</v>
      </c>
      <c r="C55" s="64" t="s">
        <v>134</v>
      </c>
      <c r="D55" s="65" t="s">
        <v>45</v>
      </c>
      <c r="E55" s="62">
        <v>0.09</v>
      </c>
      <c r="F55" s="61">
        <f t="shared" si="6"/>
        <v>4557.8</v>
      </c>
      <c r="G55" s="56">
        <v>55200</v>
      </c>
      <c r="H55" s="9"/>
      <c r="I55" s="11"/>
      <c r="J55" s="86"/>
      <c r="K55" s="16" t="s">
        <v>107</v>
      </c>
      <c r="L55" s="78" t="s">
        <v>135</v>
      </c>
      <c r="M55" s="82" t="s">
        <v>128</v>
      </c>
      <c r="N55" s="82"/>
      <c r="O55" s="87"/>
    </row>
    <row r="56" s="31" customFormat="1" ht="18" customHeight="1" spans="1:15">
      <c r="A56" s="63">
        <v>44256</v>
      </c>
      <c r="B56" s="61">
        <f t="shared" si="5"/>
        <v>303243.14</v>
      </c>
      <c r="C56" s="64" t="s">
        <v>136</v>
      </c>
      <c r="D56" s="65" t="s">
        <v>45</v>
      </c>
      <c r="E56" s="62">
        <v>0.09</v>
      </c>
      <c r="F56" s="61">
        <f t="shared" si="6"/>
        <v>27291.88</v>
      </c>
      <c r="G56" s="56">
        <v>330535.02</v>
      </c>
      <c r="H56" s="9"/>
      <c r="I56" s="11"/>
      <c r="J56" s="86"/>
      <c r="K56" s="10" t="s">
        <v>104</v>
      </c>
      <c r="L56" s="83" t="s">
        <v>105</v>
      </c>
      <c r="M56" s="82" t="s">
        <v>127</v>
      </c>
      <c r="N56" s="82"/>
      <c r="O56" s="87"/>
    </row>
    <row r="57" s="31" customFormat="1" ht="18" customHeight="1" spans="1:15">
      <c r="A57" s="63"/>
      <c r="B57" s="61"/>
      <c r="C57" s="64"/>
      <c r="D57" s="65"/>
      <c r="E57" s="62"/>
      <c r="F57" s="61"/>
      <c r="G57" s="56"/>
      <c r="H57" s="9">
        <v>44271</v>
      </c>
      <c r="I57" s="11">
        <v>67680</v>
      </c>
      <c r="J57" s="82" t="s">
        <v>21</v>
      </c>
      <c r="K57" s="8" t="s">
        <v>101</v>
      </c>
      <c r="L57" s="60" t="s">
        <v>102</v>
      </c>
      <c r="M57" s="82"/>
      <c r="N57" s="82"/>
      <c r="O57" s="87"/>
    </row>
    <row r="58" s="31" customFormat="1" ht="18" customHeight="1" spans="1:15">
      <c r="A58" s="63"/>
      <c r="B58" s="61"/>
      <c r="C58" s="64"/>
      <c r="D58" s="65"/>
      <c r="E58" s="62"/>
      <c r="F58" s="61"/>
      <c r="G58" s="56"/>
      <c r="H58" s="9">
        <v>44271</v>
      </c>
      <c r="I58" s="11">
        <v>40000</v>
      </c>
      <c r="J58" s="82" t="s">
        <v>21</v>
      </c>
      <c r="K58" s="8" t="s">
        <v>41</v>
      </c>
      <c r="L58" s="60"/>
      <c r="M58" s="82"/>
      <c r="N58" s="82"/>
      <c r="O58" s="87"/>
    </row>
    <row r="59" s="31" customFormat="1" ht="18" customHeight="1" spans="1:15">
      <c r="A59" s="63"/>
      <c r="B59" s="61"/>
      <c r="C59" s="64"/>
      <c r="D59" s="65"/>
      <c r="E59" s="62"/>
      <c r="F59" s="61"/>
      <c r="G59" s="56"/>
      <c r="H59" s="9">
        <v>44271</v>
      </c>
      <c r="I59" s="11">
        <v>412320</v>
      </c>
      <c r="J59" s="82" t="s">
        <v>21</v>
      </c>
      <c r="K59" s="8" t="s">
        <v>107</v>
      </c>
      <c r="L59" s="60" t="s">
        <v>98</v>
      </c>
      <c r="M59" s="82"/>
      <c r="N59" s="82"/>
      <c r="O59" s="87"/>
    </row>
    <row r="60" s="31" customFormat="1" ht="18" customHeight="1" spans="1:15">
      <c r="A60" s="63"/>
      <c r="B60" s="61"/>
      <c r="C60" s="64"/>
      <c r="D60" s="65"/>
      <c r="E60" s="62"/>
      <c r="F60" s="61"/>
      <c r="G60" s="56"/>
      <c r="H60" s="9">
        <v>44273</v>
      </c>
      <c r="I60" s="11">
        <v>336000</v>
      </c>
      <c r="J60" s="82" t="s">
        <v>21</v>
      </c>
      <c r="K60" s="8" t="s">
        <v>46</v>
      </c>
      <c r="L60" s="60" t="s">
        <v>137</v>
      </c>
      <c r="M60" s="82"/>
      <c r="N60" s="82"/>
      <c r="O60" s="87"/>
    </row>
    <row r="61" s="31" customFormat="1" ht="23" customHeight="1" spans="1:15">
      <c r="A61" s="63"/>
      <c r="B61" s="61"/>
      <c r="C61" s="64"/>
      <c r="D61" s="65"/>
      <c r="E61" s="62"/>
      <c r="F61" s="61"/>
      <c r="G61" s="56"/>
      <c r="H61" s="9">
        <v>44328</v>
      </c>
      <c r="I61" s="11">
        <v>105000</v>
      </c>
      <c r="J61" s="91" t="s">
        <v>94</v>
      </c>
      <c r="K61" s="8" t="s">
        <v>138</v>
      </c>
      <c r="L61" s="83" t="s">
        <v>95</v>
      </c>
      <c r="M61" s="82"/>
      <c r="N61" s="82"/>
      <c r="O61" s="87"/>
    </row>
    <row r="62" s="31" customFormat="1" ht="18" customHeight="1" spans="1:15">
      <c r="A62" s="63"/>
      <c r="B62" s="61"/>
      <c r="C62" s="64"/>
      <c r="D62" s="65"/>
      <c r="E62" s="62"/>
      <c r="F62" s="61"/>
      <c r="G62" s="56"/>
      <c r="H62" s="9">
        <v>44440</v>
      </c>
      <c r="I62" s="11">
        <v>200000</v>
      </c>
      <c r="J62" s="83" t="s">
        <v>94</v>
      </c>
      <c r="K62" s="8" t="s">
        <v>138</v>
      </c>
      <c r="L62" s="83" t="s">
        <v>95</v>
      </c>
      <c r="M62" s="82"/>
      <c r="N62" s="82"/>
      <c r="O62" s="87"/>
    </row>
    <row r="63" s="31" customFormat="1" ht="18" customHeight="1" spans="1:15">
      <c r="A63" s="63">
        <v>44447</v>
      </c>
      <c r="B63" s="61">
        <f>ROUND(G63/(1+E63),2)</f>
        <v>356435.64</v>
      </c>
      <c r="C63" s="64" t="s">
        <v>136</v>
      </c>
      <c r="D63" s="65" t="s">
        <v>45</v>
      </c>
      <c r="E63" s="62">
        <v>0.01</v>
      </c>
      <c r="F63" s="61">
        <f>ROUND(G63/(1+E63)*E63,2)</f>
        <v>3564.36</v>
      </c>
      <c r="G63" s="56">
        <v>360000</v>
      </c>
      <c r="H63" s="9">
        <v>44447</v>
      </c>
      <c r="I63" s="11">
        <v>560000</v>
      </c>
      <c r="J63" s="82" t="s">
        <v>21</v>
      </c>
      <c r="K63" s="8" t="s">
        <v>46</v>
      </c>
      <c r="L63" s="83" t="s">
        <v>47</v>
      </c>
      <c r="M63" s="82" t="s">
        <v>116</v>
      </c>
      <c r="N63" s="82"/>
      <c r="O63" s="87"/>
    </row>
    <row r="64" s="31" customFormat="1" ht="18" customHeight="1" spans="1:15">
      <c r="A64" s="63"/>
      <c r="B64" s="61"/>
      <c r="C64" s="64"/>
      <c r="D64" s="65"/>
      <c r="E64" s="62"/>
      <c r="F64" s="61"/>
      <c r="G64" s="56"/>
      <c r="H64" s="9">
        <v>44448</v>
      </c>
      <c r="I64" s="11">
        <v>84000</v>
      </c>
      <c r="J64" s="82" t="s">
        <v>21</v>
      </c>
      <c r="K64" s="10" t="s">
        <v>50</v>
      </c>
      <c r="L64" s="83" t="s">
        <v>51</v>
      </c>
      <c r="M64" s="82"/>
      <c r="N64" s="82"/>
      <c r="O64" s="87"/>
    </row>
    <row r="65" s="31" customFormat="1" ht="18" customHeight="1" spans="1:15">
      <c r="A65" s="63"/>
      <c r="B65" s="61"/>
      <c r="C65" s="64"/>
      <c r="D65" s="65"/>
      <c r="E65" s="62"/>
      <c r="F65" s="61"/>
      <c r="G65" s="56"/>
      <c r="H65" s="9">
        <v>44448</v>
      </c>
      <c r="I65" s="11">
        <v>140320</v>
      </c>
      <c r="J65" s="82" t="s">
        <v>21</v>
      </c>
      <c r="K65" s="8" t="s">
        <v>101</v>
      </c>
      <c r="L65" s="83"/>
      <c r="M65" s="82"/>
      <c r="N65" s="82"/>
      <c r="O65" s="87"/>
    </row>
    <row r="66" s="31" customFormat="1" ht="18" customHeight="1" spans="1:15">
      <c r="A66" s="63">
        <v>44452</v>
      </c>
      <c r="B66" s="61">
        <f>ROUND(G66/(1+E66),2)</f>
        <v>279763</v>
      </c>
      <c r="C66" s="64" t="s">
        <v>139</v>
      </c>
      <c r="D66" s="65" t="s">
        <v>53</v>
      </c>
      <c r="E66" s="62"/>
      <c r="F66" s="61"/>
      <c r="G66" s="56">
        <f>100000*2+79763</f>
        <v>279763</v>
      </c>
      <c r="H66" s="9"/>
      <c r="I66" s="11"/>
      <c r="J66" s="82"/>
      <c r="K66" s="8" t="s">
        <v>50</v>
      </c>
      <c r="L66" s="83" t="s">
        <v>95</v>
      </c>
      <c r="M66" s="82"/>
      <c r="N66" s="82"/>
      <c r="O66" s="87"/>
    </row>
    <row r="67" s="31" customFormat="1" ht="18" customHeight="1" spans="1:15">
      <c r="A67" s="63"/>
      <c r="B67" s="61"/>
      <c r="C67" s="64"/>
      <c r="D67" s="65"/>
      <c r="E67" s="62"/>
      <c r="F67" s="61"/>
      <c r="G67" s="56"/>
      <c r="H67" s="9">
        <v>44590</v>
      </c>
      <c r="I67" s="11">
        <v>20000</v>
      </c>
      <c r="J67" s="82" t="s">
        <v>21</v>
      </c>
      <c r="K67" s="8" t="s">
        <v>54</v>
      </c>
      <c r="L67" s="83" t="s">
        <v>55</v>
      </c>
      <c r="M67" s="82"/>
      <c r="N67" s="82"/>
      <c r="O67" s="87"/>
    </row>
    <row r="68" s="31" customFormat="1" ht="19" customHeight="1" spans="1:15">
      <c r="A68" s="63"/>
      <c r="B68" s="61"/>
      <c r="C68" s="64"/>
      <c r="D68" s="65"/>
      <c r="E68" s="62"/>
      <c r="F68" s="61"/>
      <c r="G68" s="56"/>
      <c r="H68" s="9">
        <v>44590</v>
      </c>
      <c r="I68" s="11">
        <v>200000</v>
      </c>
      <c r="J68" s="83" t="s">
        <v>94</v>
      </c>
      <c r="K68" s="8" t="s">
        <v>138</v>
      </c>
      <c r="L68" s="83" t="s">
        <v>58</v>
      </c>
      <c r="M68" s="82"/>
      <c r="N68" s="82"/>
      <c r="O68" s="87"/>
    </row>
    <row r="69" s="31" customFormat="1" ht="19" customHeight="1" spans="1:15">
      <c r="A69" s="63"/>
      <c r="B69" s="61"/>
      <c r="C69" s="64"/>
      <c r="D69" s="65"/>
      <c r="E69" s="62"/>
      <c r="F69" s="61"/>
      <c r="G69" s="56"/>
      <c r="H69" s="9">
        <v>44590</v>
      </c>
      <c r="I69" s="11">
        <v>584000</v>
      </c>
      <c r="J69" s="82" t="s">
        <v>21</v>
      </c>
      <c r="K69" s="8" t="s">
        <v>138</v>
      </c>
      <c r="L69" s="83" t="s">
        <v>58</v>
      </c>
      <c r="M69" s="82"/>
      <c r="N69" s="82"/>
      <c r="O69" s="87"/>
    </row>
    <row r="70" s="31" customFormat="1" ht="19" customHeight="1" spans="1:15">
      <c r="A70" s="63"/>
      <c r="B70" s="61"/>
      <c r="C70" s="64"/>
      <c r="D70" s="65"/>
      <c r="E70" s="62"/>
      <c r="F70" s="61"/>
      <c r="G70" s="56"/>
      <c r="H70" s="9">
        <v>44590</v>
      </c>
      <c r="I70" s="11">
        <v>116000</v>
      </c>
      <c r="J70" s="82" t="s">
        <v>21</v>
      </c>
      <c r="K70" s="8" t="s">
        <v>50</v>
      </c>
      <c r="L70" s="83" t="s">
        <v>51</v>
      </c>
      <c r="M70" s="82"/>
      <c r="N70" s="82"/>
      <c r="O70" s="87"/>
    </row>
    <row r="71" s="31" customFormat="1" ht="19" customHeight="1" spans="1:15">
      <c r="A71" s="63">
        <v>44608</v>
      </c>
      <c r="B71" s="61">
        <f>ROUND(G71/(1+E71),2)+0.01</f>
        <v>999082.58</v>
      </c>
      <c r="C71" s="64" t="s">
        <v>140</v>
      </c>
      <c r="D71" s="65" t="s">
        <v>45</v>
      </c>
      <c r="E71" s="62">
        <v>0.09</v>
      </c>
      <c r="F71" s="61">
        <f>ROUND(G71/(1+E71)*E71,2)-0.01</f>
        <v>89917.42</v>
      </c>
      <c r="G71" s="56">
        <v>1089000</v>
      </c>
      <c r="H71" s="9">
        <v>44704</v>
      </c>
      <c r="I71" s="11">
        <v>300000</v>
      </c>
      <c r="J71" s="82" t="s">
        <v>21</v>
      </c>
      <c r="K71" s="8" t="s">
        <v>138</v>
      </c>
      <c r="L71" s="83" t="s">
        <v>58</v>
      </c>
      <c r="M71" s="82">
        <v>2607497.74</v>
      </c>
      <c r="N71" s="82"/>
      <c r="O71" s="87"/>
    </row>
    <row r="72" s="31" customFormat="1" ht="19" customHeight="1" spans="1:15">
      <c r="A72" s="63">
        <v>44706</v>
      </c>
      <c r="B72" s="61">
        <f>ROUND(G72/(1+E72),2)</f>
        <v>275229.36</v>
      </c>
      <c r="C72" s="64"/>
      <c r="D72" s="65" t="s">
        <v>45</v>
      </c>
      <c r="E72" s="62">
        <v>0.09</v>
      </c>
      <c r="F72" s="61">
        <f>ROUND(G72/(1+E72)*E72,2)</f>
        <v>24770.64</v>
      </c>
      <c r="G72" s="56">
        <v>300000</v>
      </c>
      <c r="H72" s="9">
        <v>44959</v>
      </c>
      <c r="I72" s="11">
        <v>770000</v>
      </c>
      <c r="J72" s="82" t="s">
        <v>21</v>
      </c>
      <c r="K72" s="8" t="s">
        <v>138</v>
      </c>
      <c r="L72" s="83" t="s">
        <v>58</v>
      </c>
      <c r="M72" s="82">
        <v>2607497.74</v>
      </c>
      <c r="N72" s="82"/>
      <c r="O72" s="87"/>
    </row>
    <row r="73" s="31" customFormat="1" ht="19" customHeight="1" spans="1:15">
      <c r="A73" s="63">
        <v>44960</v>
      </c>
      <c r="B73" s="61">
        <f>ROUND(G73/(1+E73),2)</f>
        <v>706422.02</v>
      </c>
      <c r="C73" s="64"/>
      <c r="D73" s="65" t="s">
        <v>45</v>
      </c>
      <c r="E73" s="62">
        <v>0.09</v>
      </c>
      <c r="F73" s="61">
        <f>ROUND(G73/(1+E73)*E73,2)</f>
        <v>63577.98</v>
      </c>
      <c r="G73" s="56">
        <v>770000</v>
      </c>
      <c r="H73" s="9">
        <v>44994</v>
      </c>
      <c r="I73" s="11">
        <v>200000</v>
      </c>
      <c r="J73" s="83" t="s">
        <v>94</v>
      </c>
      <c r="K73" s="8" t="s">
        <v>138</v>
      </c>
      <c r="L73" s="83" t="s">
        <v>58</v>
      </c>
      <c r="M73" s="82"/>
      <c r="N73" s="82"/>
      <c r="O73" s="87"/>
    </row>
    <row r="74" s="31" customFormat="1" ht="19" customHeight="1" spans="1:15">
      <c r="A74" s="63"/>
      <c r="B74" s="61"/>
      <c r="C74" s="64"/>
      <c r="D74" s="65"/>
      <c r="E74" s="62"/>
      <c r="F74" s="61"/>
      <c r="G74" s="56"/>
      <c r="H74" s="9"/>
      <c r="I74" s="11"/>
      <c r="J74" s="82"/>
      <c r="K74" s="8"/>
      <c r="L74" s="83"/>
      <c r="M74" s="82"/>
      <c r="N74" s="82"/>
      <c r="O74" s="87"/>
    </row>
    <row r="75" s="31" customFormat="1" ht="19" customHeight="1" spans="1:15">
      <c r="A75" s="63"/>
      <c r="B75" s="61"/>
      <c r="C75" s="64"/>
      <c r="D75" s="65"/>
      <c r="E75" s="62"/>
      <c r="F75" s="61"/>
      <c r="G75" s="56"/>
      <c r="H75" s="9"/>
      <c r="I75" s="11"/>
      <c r="J75" s="82"/>
      <c r="K75" s="8"/>
      <c r="L75" s="83"/>
      <c r="M75" s="82"/>
      <c r="N75" s="82"/>
      <c r="O75" s="87"/>
    </row>
    <row r="76" s="31" customFormat="1" ht="19" customHeight="1" spans="1:15">
      <c r="A76" s="63"/>
      <c r="B76" s="61"/>
      <c r="C76" s="64"/>
      <c r="D76" s="65"/>
      <c r="E76" s="62"/>
      <c r="F76" s="61"/>
      <c r="G76" s="56"/>
      <c r="H76" s="9"/>
      <c r="I76" s="11"/>
      <c r="J76" s="82"/>
      <c r="K76" s="8"/>
      <c r="L76" s="83"/>
      <c r="M76" s="82"/>
      <c r="N76" s="82"/>
      <c r="O76" s="87"/>
    </row>
    <row r="77" s="31" customFormat="1" ht="19" customHeight="1" spans="1:15">
      <c r="A77" s="63"/>
      <c r="B77" s="61"/>
      <c r="C77" s="64"/>
      <c r="D77" s="65"/>
      <c r="E77" s="62"/>
      <c r="F77" s="61"/>
      <c r="G77" s="56"/>
      <c r="H77" s="9"/>
      <c r="I77" s="11"/>
      <c r="J77" s="82"/>
      <c r="K77" s="8"/>
      <c r="L77" s="83"/>
      <c r="M77" s="82"/>
      <c r="N77" s="82"/>
      <c r="O77" s="87"/>
    </row>
    <row r="78" s="31" customFormat="1" ht="19" customHeight="1" spans="1:15">
      <c r="A78" s="63"/>
      <c r="B78" s="61"/>
      <c r="C78" s="64"/>
      <c r="D78" s="65"/>
      <c r="E78" s="62"/>
      <c r="F78" s="61"/>
      <c r="G78" s="56"/>
      <c r="H78" s="9">
        <v>45217</v>
      </c>
      <c r="I78" s="11">
        <v>50</v>
      </c>
      <c r="J78" s="82" t="s">
        <v>67</v>
      </c>
      <c r="K78" s="8" t="s">
        <v>70</v>
      </c>
      <c r="L78" s="83"/>
      <c r="M78" s="82"/>
      <c r="N78" s="82"/>
      <c r="O78" s="87"/>
    </row>
    <row r="79" s="31" customFormat="1" ht="19" customHeight="1" spans="1:15">
      <c r="A79" s="63"/>
      <c r="B79" s="61"/>
      <c r="C79" s="64"/>
      <c r="D79" s="65"/>
      <c r="E79" s="62"/>
      <c r="F79" s="61"/>
      <c r="G79" s="56"/>
      <c r="H79" s="9">
        <v>45217</v>
      </c>
      <c r="I79" s="11">
        <v>1309.76</v>
      </c>
      <c r="J79" s="82" t="s">
        <v>67</v>
      </c>
      <c r="K79" s="8" t="s">
        <v>141</v>
      </c>
      <c r="L79" s="83"/>
      <c r="M79" s="82"/>
      <c r="N79" s="82"/>
      <c r="O79" s="87"/>
    </row>
    <row r="80" s="31" customFormat="1" ht="19" customHeight="1" spans="1:15">
      <c r="A80" s="63"/>
      <c r="B80" s="61"/>
      <c r="C80" s="64"/>
      <c r="D80" s="65"/>
      <c r="E80" s="62"/>
      <c r="F80" s="61"/>
      <c r="G80" s="56"/>
      <c r="H80" s="9">
        <v>45217</v>
      </c>
      <c r="I80" s="95">
        <f>G146-I135</f>
        <v>2311.36620917426</v>
      </c>
      <c r="J80" s="86" t="s">
        <v>142</v>
      </c>
      <c r="K80" s="96" t="s">
        <v>143</v>
      </c>
      <c r="L80" s="83"/>
      <c r="M80" s="82"/>
      <c r="N80" s="82"/>
      <c r="O80" s="87"/>
    </row>
    <row r="81" s="31" customFormat="1" ht="19" customHeight="1" spans="1:15">
      <c r="A81" s="63"/>
      <c r="B81" s="61"/>
      <c r="C81" s="64"/>
      <c r="D81" s="65"/>
      <c r="E81" s="62"/>
      <c r="F81" s="61"/>
      <c r="G81" s="56"/>
      <c r="H81" s="9">
        <v>45217</v>
      </c>
      <c r="I81" s="11">
        <v>43658.54</v>
      </c>
      <c r="J81" s="82" t="s">
        <v>67</v>
      </c>
      <c r="K81" s="8" t="s">
        <v>75</v>
      </c>
      <c r="L81" s="83"/>
      <c r="M81" s="82"/>
      <c r="N81" s="82"/>
      <c r="O81" s="87"/>
    </row>
    <row r="82" s="31" customFormat="1" ht="19" customHeight="1" spans="1:15">
      <c r="A82" s="63"/>
      <c r="B82" s="61"/>
      <c r="C82" s="64"/>
      <c r="D82" s="65"/>
      <c r="E82" s="62"/>
      <c r="F82" s="61"/>
      <c r="G82" s="56"/>
      <c r="H82" s="9">
        <v>45217</v>
      </c>
      <c r="I82" s="11">
        <v>2618.36</v>
      </c>
      <c r="J82" s="82" t="s">
        <v>67</v>
      </c>
      <c r="K82" s="8" t="s">
        <v>144</v>
      </c>
      <c r="L82" s="83"/>
      <c r="M82" s="82"/>
      <c r="N82" s="82"/>
      <c r="O82" s="87"/>
    </row>
    <row r="83" s="31" customFormat="1" ht="19" customHeight="1" spans="1:15">
      <c r="A83" s="63"/>
      <c r="B83" s="61"/>
      <c r="C83" s="64"/>
      <c r="D83" s="65"/>
      <c r="E83" s="62"/>
      <c r="F83" s="61"/>
      <c r="G83" s="56"/>
      <c r="H83" s="9">
        <v>45217</v>
      </c>
      <c r="I83" s="11">
        <v>20000</v>
      </c>
      <c r="J83" s="82" t="s">
        <v>67</v>
      </c>
      <c r="K83" s="8" t="s">
        <v>68</v>
      </c>
      <c r="L83" s="83"/>
      <c r="M83" s="82"/>
      <c r="N83" s="82"/>
      <c r="O83" s="87"/>
    </row>
    <row r="84" s="31" customFormat="1" ht="19" customHeight="1" spans="1:15">
      <c r="A84" s="63"/>
      <c r="B84" s="61"/>
      <c r="C84" s="64"/>
      <c r="D84" s="65"/>
      <c r="E84" s="62"/>
      <c r="F84" s="61"/>
      <c r="G84" s="56"/>
      <c r="H84" s="9">
        <v>45217</v>
      </c>
      <c r="I84" s="11">
        <v>20000</v>
      </c>
      <c r="J84" s="82" t="s">
        <v>67</v>
      </c>
      <c r="K84" s="8" t="s">
        <v>145</v>
      </c>
      <c r="L84" s="83"/>
      <c r="M84" s="82"/>
      <c r="N84" s="82"/>
      <c r="O84" s="87"/>
    </row>
    <row r="85" s="31" customFormat="1" ht="19" customHeight="1" spans="1:15">
      <c r="A85" s="63"/>
      <c r="B85" s="61"/>
      <c r="C85" s="64"/>
      <c r="D85" s="65"/>
      <c r="E85" s="62"/>
      <c r="F85" s="61"/>
      <c r="G85" s="56"/>
      <c r="H85" s="9">
        <v>44994</v>
      </c>
      <c r="I85" s="11">
        <v>100</v>
      </c>
      <c r="J85" s="82" t="s">
        <v>67</v>
      </c>
      <c r="K85" s="8" t="s">
        <v>70</v>
      </c>
      <c r="L85" s="83"/>
      <c r="M85" s="82"/>
      <c r="N85" s="82"/>
      <c r="O85" s="87"/>
    </row>
    <row r="86" s="31" customFormat="1" ht="19" customHeight="1" spans="1:15">
      <c r="A86" s="63"/>
      <c r="B86" s="61"/>
      <c r="C86" s="64"/>
      <c r="D86" s="65"/>
      <c r="E86" s="62"/>
      <c r="F86" s="61"/>
      <c r="G86" s="56"/>
      <c r="H86" s="9">
        <v>44959</v>
      </c>
      <c r="I86" s="11">
        <v>500</v>
      </c>
      <c r="J86" s="82" t="s">
        <v>142</v>
      </c>
      <c r="K86" s="8" t="s">
        <v>146</v>
      </c>
      <c r="L86" s="83"/>
      <c r="M86" s="82"/>
      <c r="N86" s="82"/>
      <c r="O86" s="87"/>
    </row>
    <row r="87" s="31" customFormat="1" ht="19" customHeight="1" spans="1:15">
      <c r="A87" s="63"/>
      <c r="B87" s="61"/>
      <c r="C87" s="64"/>
      <c r="D87" s="65"/>
      <c r="E87" s="62"/>
      <c r="F87" s="61"/>
      <c r="G87" s="56"/>
      <c r="H87" s="9">
        <v>44959</v>
      </c>
      <c r="I87" s="11">
        <v>100</v>
      </c>
      <c r="J87" s="82" t="s">
        <v>67</v>
      </c>
      <c r="K87" s="8" t="s">
        <v>70</v>
      </c>
      <c r="L87" s="83"/>
      <c r="M87" s="82"/>
      <c r="N87" s="82"/>
      <c r="O87" s="87"/>
    </row>
    <row r="88" s="31" customFormat="1" ht="19" customHeight="1" spans="1:15">
      <c r="A88" s="63"/>
      <c r="B88" s="61"/>
      <c r="C88" s="64"/>
      <c r="D88" s="65"/>
      <c r="E88" s="62"/>
      <c r="F88" s="61"/>
      <c r="G88" s="56"/>
      <c r="H88" s="9">
        <v>44945</v>
      </c>
      <c r="I88" s="11">
        <v>10000</v>
      </c>
      <c r="J88" s="82" t="s">
        <v>67</v>
      </c>
      <c r="K88" s="8" t="s">
        <v>147</v>
      </c>
      <c r="L88" s="83"/>
      <c r="M88" s="82"/>
      <c r="N88" s="82"/>
      <c r="O88" s="87"/>
    </row>
    <row r="89" s="31" customFormat="1" ht="19" customHeight="1" spans="1:15">
      <c r="A89" s="63"/>
      <c r="B89" s="61"/>
      <c r="C89" s="64"/>
      <c r="D89" s="65"/>
      <c r="E89" s="62"/>
      <c r="F89" s="61"/>
      <c r="G89" s="56"/>
      <c r="H89" s="9">
        <v>44945</v>
      </c>
      <c r="I89" s="11">
        <f>2000000*0.01</f>
        <v>20000</v>
      </c>
      <c r="J89" s="82" t="s">
        <v>67</v>
      </c>
      <c r="K89" s="8" t="s">
        <v>148</v>
      </c>
      <c r="L89" s="83"/>
      <c r="M89" s="82"/>
      <c r="N89" s="82"/>
      <c r="O89" s="87"/>
    </row>
    <row r="90" s="31" customFormat="1" ht="19" customHeight="1" spans="1:15">
      <c r="A90" s="63"/>
      <c r="B90" s="61"/>
      <c r="C90" s="64"/>
      <c r="D90" s="65"/>
      <c r="E90" s="62"/>
      <c r="F90" s="61"/>
      <c r="G90" s="56"/>
      <c r="H90" s="9">
        <v>44945</v>
      </c>
      <c r="I90" s="11">
        <v>183.49</v>
      </c>
      <c r="J90" s="82" t="s">
        <v>67</v>
      </c>
      <c r="K90" s="8" t="s">
        <v>149</v>
      </c>
      <c r="L90" s="83"/>
      <c r="M90" s="82"/>
      <c r="N90" s="82"/>
      <c r="O90" s="87"/>
    </row>
    <row r="91" s="31" customFormat="1" ht="19" customHeight="1" spans="1:15">
      <c r="A91" s="63"/>
      <c r="B91" s="61"/>
      <c r="C91" s="64"/>
      <c r="D91" s="65"/>
      <c r="E91" s="62"/>
      <c r="F91" s="61"/>
      <c r="G91" s="56"/>
      <c r="H91" s="9">
        <v>44704</v>
      </c>
      <c r="I91" s="11">
        <v>100</v>
      </c>
      <c r="J91" s="82" t="s">
        <v>67</v>
      </c>
      <c r="K91" s="8" t="s">
        <v>70</v>
      </c>
      <c r="L91" s="83"/>
      <c r="M91" s="82"/>
      <c r="N91" s="82"/>
      <c r="O91" s="87"/>
    </row>
    <row r="92" s="31" customFormat="1" ht="19" customHeight="1" spans="1:15">
      <c r="A92" s="63"/>
      <c r="B92" s="61"/>
      <c r="C92" s="64"/>
      <c r="D92" s="65"/>
      <c r="E92" s="62"/>
      <c r="F92" s="61"/>
      <c r="G92" s="56"/>
      <c r="H92" s="9">
        <v>44701</v>
      </c>
      <c r="I92" s="11">
        <v>3000</v>
      </c>
      <c r="J92" s="82" t="s">
        <v>67</v>
      </c>
      <c r="K92" s="8" t="s">
        <v>147</v>
      </c>
      <c r="L92" s="83"/>
      <c r="M92" s="82"/>
      <c r="N92" s="82"/>
      <c r="O92" s="87"/>
    </row>
    <row r="93" s="31" customFormat="1" ht="19" customHeight="1" spans="1:15">
      <c r="A93" s="63"/>
      <c r="B93" s="61"/>
      <c r="C93" s="64"/>
      <c r="D93" s="65"/>
      <c r="E93" s="62"/>
      <c r="F93" s="61"/>
      <c r="G93" s="56"/>
      <c r="H93" s="9">
        <v>44694</v>
      </c>
      <c r="I93" s="11">
        <v>27.53</v>
      </c>
      <c r="J93" s="82" t="s">
        <v>67</v>
      </c>
      <c r="K93" s="8" t="s">
        <v>150</v>
      </c>
      <c r="L93" s="83"/>
      <c r="M93" s="82"/>
      <c r="N93" s="82"/>
      <c r="O93" s="87"/>
    </row>
    <row r="94" s="31" customFormat="1" ht="19" customHeight="1" spans="1:15">
      <c r="A94" s="63"/>
      <c r="B94" s="61"/>
      <c r="C94" s="64"/>
      <c r="D94" s="65"/>
      <c r="E94" s="62"/>
      <c r="F94" s="61"/>
      <c r="G94" s="56"/>
      <c r="H94" s="9">
        <v>44694</v>
      </c>
      <c r="I94" s="11">
        <v>275.24</v>
      </c>
      <c r="J94" s="82" t="s">
        <v>67</v>
      </c>
      <c r="K94" s="8" t="s">
        <v>151</v>
      </c>
      <c r="L94" s="83"/>
      <c r="M94" s="82"/>
      <c r="N94" s="82"/>
      <c r="O94" s="87"/>
    </row>
    <row r="95" s="31" customFormat="1" ht="19" customHeight="1" spans="1:15">
      <c r="A95" s="63"/>
      <c r="B95" s="61"/>
      <c r="C95" s="64"/>
      <c r="D95" s="65"/>
      <c r="E95" s="62"/>
      <c r="F95" s="61"/>
      <c r="G95" s="56"/>
      <c r="H95" s="9">
        <v>44694</v>
      </c>
      <c r="I95" s="11">
        <v>3000</v>
      </c>
      <c r="J95" s="82" t="s">
        <v>67</v>
      </c>
      <c r="K95" s="8" t="s">
        <v>152</v>
      </c>
      <c r="L95" s="83"/>
      <c r="M95" s="82"/>
      <c r="N95" s="82"/>
      <c r="O95" s="87"/>
    </row>
    <row r="96" s="31" customFormat="1" ht="19" customHeight="1" spans="1:15">
      <c r="A96" s="63"/>
      <c r="B96" s="61"/>
      <c r="C96" s="64"/>
      <c r="D96" s="65"/>
      <c r="E96" s="62"/>
      <c r="F96" s="61"/>
      <c r="G96" s="56"/>
      <c r="H96" s="9">
        <v>44590</v>
      </c>
      <c r="I96" s="11">
        <v>100</v>
      </c>
      <c r="J96" s="82" t="s">
        <v>67</v>
      </c>
      <c r="K96" s="8" t="s">
        <v>70</v>
      </c>
      <c r="L96" s="83"/>
      <c r="M96" s="82"/>
      <c r="N96" s="82"/>
      <c r="O96" s="87"/>
    </row>
    <row r="97" s="31" customFormat="1" ht="19" customHeight="1" spans="1:15">
      <c r="A97" s="63"/>
      <c r="B97" s="61"/>
      <c r="C97" s="64"/>
      <c r="D97" s="65"/>
      <c r="E97" s="62"/>
      <c r="F97" s="61"/>
      <c r="G97" s="56"/>
      <c r="H97" s="9">
        <v>44590</v>
      </c>
      <c r="I97" s="11">
        <v>250</v>
      </c>
      <c r="J97" s="82" t="s">
        <v>67</v>
      </c>
      <c r="K97" s="8" t="s">
        <v>70</v>
      </c>
      <c r="L97" s="83"/>
      <c r="M97" s="82"/>
      <c r="N97" s="82"/>
      <c r="O97" s="87"/>
    </row>
    <row r="98" s="31" customFormat="1" ht="18" customHeight="1" spans="1:15">
      <c r="A98" s="63"/>
      <c r="B98" s="61"/>
      <c r="C98" s="64"/>
      <c r="D98" s="65"/>
      <c r="E98" s="62"/>
      <c r="F98" s="61"/>
      <c r="G98" s="56"/>
      <c r="H98" s="9">
        <v>44589</v>
      </c>
      <c r="I98" s="11">
        <v>185.23</v>
      </c>
      <c r="J98" s="82" t="s">
        <v>67</v>
      </c>
      <c r="K98" s="8" t="s">
        <v>153</v>
      </c>
      <c r="L98" s="83"/>
      <c r="M98" s="82"/>
      <c r="N98" s="82"/>
      <c r="O98" s="87"/>
    </row>
    <row r="99" s="31" customFormat="1" ht="18" customHeight="1" spans="1:15">
      <c r="A99" s="63"/>
      <c r="B99" s="61">
        <f>ROUND(G99/(1+E99),2)</f>
        <v>10000</v>
      </c>
      <c r="C99" s="64"/>
      <c r="D99" s="65"/>
      <c r="E99" s="62"/>
      <c r="F99" s="61"/>
      <c r="G99" s="14">
        <v>10000</v>
      </c>
      <c r="H99" s="9">
        <v>44589</v>
      </c>
      <c r="I99" s="11">
        <v>10000</v>
      </c>
      <c r="J99" s="82" t="s">
        <v>67</v>
      </c>
      <c r="K99" s="8" t="s">
        <v>68</v>
      </c>
      <c r="L99" s="83"/>
      <c r="M99" s="82"/>
      <c r="N99" s="82"/>
      <c r="O99" s="87"/>
    </row>
    <row r="100" s="31" customFormat="1" ht="18" customHeight="1" spans="1:15">
      <c r="A100" s="63"/>
      <c r="B100" s="61"/>
      <c r="C100" s="64"/>
      <c r="D100" s="65"/>
      <c r="E100" s="62"/>
      <c r="F100" s="61"/>
      <c r="G100" s="56"/>
      <c r="H100" s="9">
        <v>44589</v>
      </c>
      <c r="I100" s="11">
        <v>50750.82</v>
      </c>
      <c r="J100" s="82" t="s">
        <v>67</v>
      </c>
      <c r="K100" s="8" t="s">
        <v>154</v>
      </c>
      <c r="L100" s="83"/>
      <c r="M100" s="82"/>
      <c r="N100" s="82"/>
      <c r="O100" s="87"/>
    </row>
    <row r="101" s="31" customFormat="1" ht="18" customHeight="1" spans="1:15">
      <c r="A101" s="63"/>
      <c r="B101" s="61"/>
      <c r="C101" s="64"/>
      <c r="D101" s="65"/>
      <c r="E101" s="62"/>
      <c r="F101" s="61"/>
      <c r="G101" s="56"/>
      <c r="H101" s="9">
        <v>44589</v>
      </c>
      <c r="I101" s="11">
        <v>10000</v>
      </c>
      <c r="J101" s="82" t="s">
        <v>67</v>
      </c>
      <c r="K101" s="8" t="s">
        <v>155</v>
      </c>
      <c r="L101" s="83"/>
      <c r="M101" s="82"/>
      <c r="N101" s="82"/>
      <c r="O101" s="87"/>
    </row>
    <row r="102" s="31" customFormat="1" ht="18" customHeight="1" spans="1:15">
      <c r="A102" s="63"/>
      <c r="B102" s="61"/>
      <c r="C102" s="64"/>
      <c r="D102" s="65"/>
      <c r="E102" s="62"/>
      <c r="F102" s="61"/>
      <c r="G102" s="56"/>
      <c r="H102" s="9">
        <v>44448</v>
      </c>
      <c r="I102" s="11">
        <v>50</v>
      </c>
      <c r="J102" s="82" t="s">
        <v>67</v>
      </c>
      <c r="K102" s="8" t="s">
        <v>70</v>
      </c>
      <c r="L102" s="83"/>
      <c r="M102" s="82"/>
      <c r="N102" s="82"/>
      <c r="O102" s="87"/>
    </row>
    <row r="103" s="31" customFormat="1" ht="18" customHeight="1" spans="1:15">
      <c r="A103" s="63"/>
      <c r="B103" s="61"/>
      <c r="C103" s="64"/>
      <c r="D103" s="65"/>
      <c r="E103" s="62"/>
      <c r="F103" s="61"/>
      <c r="G103" s="56"/>
      <c r="H103" s="9">
        <v>44448</v>
      </c>
      <c r="I103" s="11">
        <v>100</v>
      </c>
      <c r="J103" s="82" t="s">
        <v>67</v>
      </c>
      <c r="K103" s="8" t="s">
        <v>70</v>
      </c>
      <c r="L103" s="83"/>
      <c r="M103" s="82"/>
      <c r="N103" s="82"/>
      <c r="O103" s="87"/>
    </row>
    <row r="104" s="31" customFormat="1" ht="18" customHeight="1" spans="1:15">
      <c r="A104" s="63"/>
      <c r="B104" s="61"/>
      <c r="C104" s="64"/>
      <c r="D104" s="65"/>
      <c r="E104" s="62"/>
      <c r="F104" s="61"/>
      <c r="G104" s="56"/>
      <c r="H104" s="9">
        <v>44441</v>
      </c>
      <c r="I104" s="11">
        <v>170</v>
      </c>
      <c r="J104" s="82" t="s">
        <v>67</v>
      </c>
      <c r="K104" s="8" t="s">
        <v>156</v>
      </c>
      <c r="L104" s="60" t="s">
        <v>157</v>
      </c>
      <c r="M104" s="82"/>
      <c r="N104" s="82"/>
      <c r="O104" s="87"/>
    </row>
    <row r="105" s="31" customFormat="1" ht="18" customHeight="1" spans="1:15">
      <c r="A105" s="63"/>
      <c r="B105" s="61"/>
      <c r="C105" s="64"/>
      <c r="D105" s="65"/>
      <c r="E105" s="62"/>
      <c r="F105" s="61"/>
      <c r="G105" s="56"/>
      <c r="H105" s="9">
        <v>44441</v>
      </c>
      <c r="I105" s="11">
        <v>100</v>
      </c>
      <c r="J105" s="82" t="s">
        <v>67</v>
      </c>
      <c r="K105" s="8" t="s">
        <v>70</v>
      </c>
      <c r="L105" s="60"/>
      <c r="M105" s="82"/>
      <c r="N105" s="82"/>
      <c r="O105" s="87"/>
    </row>
    <row r="106" s="31" customFormat="1" ht="18" customHeight="1" spans="1:15">
      <c r="A106" s="63"/>
      <c r="B106" s="61">
        <f>ROUND(G106/(1+E106),2)</f>
        <v>2000</v>
      </c>
      <c r="C106" s="64"/>
      <c r="D106" s="65"/>
      <c r="E106" s="62"/>
      <c r="F106" s="61">
        <f>ROUND(G106/(1+E106)*E106,2)</f>
        <v>0</v>
      </c>
      <c r="G106" s="56">
        <v>2000</v>
      </c>
      <c r="H106" s="9">
        <v>44439</v>
      </c>
      <c r="I106" s="11">
        <v>2000</v>
      </c>
      <c r="J106" s="82" t="s">
        <v>142</v>
      </c>
      <c r="K106" s="8" t="s">
        <v>158</v>
      </c>
      <c r="L106" s="60"/>
      <c r="M106" s="82"/>
      <c r="N106" s="82"/>
      <c r="O106" s="87"/>
    </row>
    <row r="107" s="31" customFormat="1" ht="18" customHeight="1" spans="1:15">
      <c r="A107" s="63"/>
      <c r="B107" s="61">
        <f>ROUND(G107/(1+E107),2)</f>
        <v>10000</v>
      </c>
      <c r="C107" s="64"/>
      <c r="D107" s="65"/>
      <c r="E107" s="62"/>
      <c r="F107" s="61">
        <f>ROUND(G107/(1+E107)*E107,2)</f>
        <v>0</v>
      </c>
      <c r="G107" s="56">
        <v>10000</v>
      </c>
      <c r="H107" s="9">
        <v>44439</v>
      </c>
      <c r="I107" s="11">
        <v>10000</v>
      </c>
      <c r="J107" s="82" t="s">
        <v>67</v>
      </c>
      <c r="K107" s="8" t="s">
        <v>147</v>
      </c>
      <c r="L107" s="60"/>
      <c r="M107" s="82"/>
      <c r="N107" s="82"/>
      <c r="O107" s="87"/>
    </row>
    <row r="108" s="31" customFormat="1" ht="18" customHeight="1" spans="1:15">
      <c r="A108" s="63"/>
      <c r="B108" s="61"/>
      <c r="C108" s="64"/>
      <c r="D108" s="65"/>
      <c r="E108" s="62"/>
      <c r="F108" s="61"/>
      <c r="G108" s="56"/>
      <c r="H108" s="9">
        <v>44439</v>
      </c>
      <c r="I108" s="11">
        <v>2169</v>
      </c>
      <c r="J108" s="82" t="s">
        <v>67</v>
      </c>
      <c r="K108" s="8" t="s">
        <v>159</v>
      </c>
      <c r="L108" s="60" t="s">
        <v>157</v>
      </c>
      <c r="M108" s="82"/>
      <c r="N108" s="82"/>
      <c r="O108" s="87"/>
    </row>
    <row r="109" s="31" customFormat="1" ht="18" customHeight="1" spans="1:15">
      <c r="A109" s="63"/>
      <c r="B109" s="61"/>
      <c r="C109" s="64"/>
      <c r="D109" s="65"/>
      <c r="E109" s="62"/>
      <c r="F109" s="61"/>
      <c r="G109" s="56"/>
      <c r="H109" s="9">
        <v>44439</v>
      </c>
      <c r="I109" s="11">
        <v>1150</v>
      </c>
      <c r="J109" s="82" t="s">
        <v>67</v>
      </c>
      <c r="K109" s="8" t="s">
        <v>160</v>
      </c>
      <c r="L109" s="60"/>
      <c r="M109" s="82"/>
      <c r="N109" s="82"/>
      <c r="O109" s="87"/>
    </row>
    <row r="110" s="31" customFormat="1" ht="18" customHeight="1" spans="1:15">
      <c r="A110" s="63"/>
      <c r="B110" s="61"/>
      <c r="C110" s="64"/>
      <c r="D110" s="65"/>
      <c r="E110" s="62"/>
      <c r="F110" s="61"/>
      <c r="G110" s="56"/>
      <c r="H110" s="9">
        <v>44439</v>
      </c>
      <c r="I110" s="11">
        <v>5000</v>
      </c>
      <c r="J110" s="82" t="s">
        <v>67</v>
      </c>
      <c r="K110" s="8" t="s">
        <v>161</v>
      </c>
      <c r="L110" s="60"/>
      <c r="M110" s="82"/>
      <c r="N110" s="82"/>
      <c r="O110" s="87"/>
    </row>
    <row r="111" s="31" customFormat="1" ht="18" customHeight="1" spans="1:15">
      <c r="A111" s="63"/>
      <c r="B111" s="61">
        <f t="shared" ref="B111:B135" si="7">ROUND(G111/(1+E111),2)</f>
        <v>0</v>
      </c>
      <c r="C111" s="64"/>
      <c r="D111" s="65"/>
      <c r="E111" s="62"/>
      <c r="F111" s="61">
        <f>ROUND(G111/(1+E111)*E111,2)</f>
        <v>0</v>
      </c>
      <c r="G111" s="56"/>
      <c r="H111" s="6">
        <v>44264</v>
      </c>
      <c r="I111" s="97">
        <v>-566054.56</v>
      </c>
      <c r="J111" s="98" t="s">
        <v>65</v>
      </c>
      <c r="K111" s="99" t="s">
        <v>162</v>
      </c>
      <c r="L111" s="87"/>
      <c r="M111" s="82"/>
      <c r="N111" s="82"/>
      <c r="O111" s="87"/>
    </row>
    <row r="112" s="31" customFormat="1" ht="18" customHeight="1" spans="1:15">
      <c r="A112" s="67"/>
      <c r="B112" s="61">
        <f t="shared" si="7"/>
        <v>0</v>
      </c>
      <c r="C112" s="68"/>
      <c r="D112" s="69"/>
      <c r="E112" s="70"/>
      <c r="F112" s="61">
        <f t="shared" ref="F111:F135" si="8">ROUND(G112/(1+E112)*E112,2)</f>
        <v>0</v>
      </c>
      <c r="G112" s="56"/>
      <c r="H112" s="6">
        <v>44264</v>
      </c>
      <c r="I112" s="11">
        <v>300</v>
      </c>
      <c r="J112" s="100" t="s">
        <v>67</v>
      </c>
      <c r="K112" s="10" t="s">
        <v>70</v>
      </c>
      <c r="L112" s="83"/>
      <c r="M112" s="82"/>
      <c r="N112" s="82"/>
      <c r="O112" s="87"/>
    </row>
    <row r="113" s="31" customFormat="1" ht="18" customHeight="1" spans="1:15">
      <c r="A113" s="67"/>
      <c r="B113" s="61">
        <f t="shared" si="7"/>
        <v>8000</v>
      </c>
      <c r="C113" s="68"/>
      <c r="D113" s="69"/>
      <c r="E113" s="70"/>
      <c r="F113" s="61">
        <f t="shared" si="8"/>
        <v>0</v>
      </c>
      <c r="G113" s="56">
        <v>8000</v>
      </c>
      <c r="H113" s="6">
        <v>44264</v>
      </c>
      <c r="I113" s="61">
        <f>G113</f>
        <v>8000</v>
      </c>
      <c r="J113" s="101" t="s">
        <v>67</v>
      </c>
      <c r="K113" s="102" t="s">
        <v>147</v>
      </c>
      <c r="L113" s="83"/>
      <c r="M113" s="82"/>
      <c r="N113" s="82"/>
      <c r="O113" s="87"/>
    </row>
    <row r="114" s="31" customFormat="1" ht="18" customHeight="1" spans="1:15">
      <c r="A114" s="67"/>
      <c r="B114" s="61">
        <f t="shared" si="7"/>
        <v>0</v>
      </c>
      <c r="C114" s="68"/>
      <c r="D114" s="69"/>
      <c r="E114" s="70"/>
      <c r="F114" s="61">
        <f t="shared" si="8"/>
        <v>0</v>
      </c>
      <c r="G114" s="56"/>
      <c r="H114" s="93" t="s">
        <v>109</v>
      </c>
      <c r="I114" s="61">
        <v>200</v>
      </c>
      <c r="J114" s="101" t="s">
        <v>67</v>
      </c>
      <c r="K114" s="102" t="s">
        <v>70</v>
      </c>
      <c r="L114" s="83"/>
      <c r="M114" s="82"/>
      <c r="N114" s="82"/>
      <c r="O114" s="83"/>
    </row>
    <row r="115" s="31" customFormat="1" ht="18" customHeight="1" spans="1:15">
      <c r="A115" s="67"/>
      <c r="B115" s="61">
        <f t="shared" si="7"/>
        <v>15000</v>
      </c>
      <c r="C115" s="68"/>
      <c r="D115" s="69"/>
      <c r="E115" s="70"/>
      <c r="F115" s="61">
        <f t="shared" si="8"/>
        <v>0</v>
      </c>
      <c r="G115" s="56">
        <v>15000</v>
      </c>
      <c r="H115" s="93" t="s">
        <v>109</v>
      </c>
      <c r="I115" s="61">
        <f>G115</f>
        <v>15000</v>
      </c>
      <c r="J115" s="101" t="s">
        <v>67</v>
      </c>
      <c r="K115" s="102" t="s">
        <v>147</v>
      </c>
      <c r="L115" s="83"/>
      <c r="M115" s="82"/>
      <c r="N115" s="82"/>
      <c r="O115" s="83"/>
    </row>
    <row r="116" s="31" customFormat="1" ht="18" customHeight="1" spans="1:15">
      <c r="A116" s="67"/>
      <c r="B116" s="61">
        <f t="shared" si="7"/>
        <v>0</v>
      </c>
      <c r="C116" s="68"/>
      <c r="D116" s="69"/>
      <c r="E116" s="70"/>
      <c r="F116" s="61">
        <f t="shared" si="8"/>
        <v>0</v>
      </c>
      <c r="G116" s="56"/>
      <c r="H116" s="93" t="s">
        <v>109</v>
      </c>
      <c r="I116" s="103">
        <v>566054.55619266</v>
      </c>
      <c r="J116" s="98" t="s">
        <v>71</v>
      </c>
      <c r="K116" s="104" t="s">
        <v>110</v>
      </c>
      <c r="L116" s="83"/>
      <c r="M116" s="82"/>
      <c r="N116" s="82"/>
      <c r="O116" s="83"/>
    </row>
    <row r="117" s="31" customFormat="1" ht="18" customHeight="1" spans="1:15">
      <c r="A117" s="67"/>
      <c r="B117" s="61">
        <f t="shared" si="7"/>
        <v>0</v>
      </c>
      <c r="C117" s="68"/>
      <c r="D117" s="69"/>
      <c r="E117" s="70"/>
      <c r="F117" s="61">
        <f t="shared" si="8"/>
        <v>0</v>
      </c>
      <c r="G117" s="56"/>
      <c r="H117" s="93" t="s">
        <v>109</v>
      </c>
      <c r="I117" s="105">
        <v>30000</v>
      </c>
      <c r="J117" s="101" t="s">
        <v>67</v>
      </c>
      <c r="K117" s="102" t="s">
        <v>111</v>
      </c>
      <c r="L117" s="83"/>
      <c r="M117" s="82"/>
      <c r="N117" s="82"/>
      <c r="O117" s="83"/>
    </row>
    <row r="118" s="31" customFormat="1" ht="18" customHeight="1" spans="1:15">
      <c r="A118" s="67"/>
      <c r="B118" s="61">
        <f t="shared" si="7"/>
        <v>0</v>
      </c>
      <c r="C118" s="68"/>
      <c r="D118" s="69"/>
      <c r="E118" s="70"/>
      <c r="F118" s="61">
        <f t="shared" si="8"/>
        <v>0</v>
      </c>
      <c r="G118" s="56"/>
      <c r="H118" s="6" t="s">
        <v>109</v>
      </c>
      <c r="I118" s="105">
        <v>206061.341313762</v>
      </c>
      <c r="J118" s="101" t="s">
        <v>67</v>
      </c>
      <c r="K118" s="106" t="s">
        <v>112</v>
      </c>
      <c r="L118" s="83"/>
      <c r="M118" s="82"/>
      <c r="N118" s="82"/>
      <c r="O118" s="83">
        <v>0</v>
      </c>
    </row>
    <row r="119" s="31" customFormat="1" ht="18" customHeight="1" spans="1:15">
      <c r="A119" s="67"/>
      <c r="B119" s="61">
        <f t="shared" si="7"/>
        <v>0</v>
      </c>
      <c r="C119" s="68"/>
      <c r="D119" s="69"/>
      <c r="E119" s="70"/>
      <c r="F119" s="61">
        <f t="shared" si="8"/>
        <v>0</v>
      </c>
      <c r="G119" s="56"/>
      <c r="H119" s="6" t="s">
        <v>64</v>
      </c>
      <c r="I119" s="11">
        <v>100</v>
      </c>
      <c r="J119" s="82" t="s">
        <v>67</v>
      </c>
      <c r="K119" s="10" t="s">
        <v>70</v>
      </c>
      <c r="L119" s="83"/>
      <c r="M119" s="82"/>
      <c r="N119" s="82"/>
      <c r="O119" s="83"/>
    </row>
    <row r="120" s="31" customFormat="1" ht="18" customHeight="1" spans="1:15">
      <c r="A120" s="67"/>
      <c r="B120" s="61">
        <f t="shared" si="7"/>
        <v>0</v>
      </c>
      <c r="C120" s="68"/>
      <c r="D120" s="69"/>
      <c r="E120" s="70"/>
      <c r="F120" s="61">
        <f t="shared" si="8"/>
        <v>0</v>
      </c>
      <c r="G120" s="71"/>
      <c r="H120" s="6" t="s">
        <v>64</v>
      </c>
      <c r="I120" s="11">
        <v>50</v>
      </c>
      <c r="J120" s="82" t="s">
        <v>67</v>
      </c>
      <c r="K120" s="10" t="s">
        <v>70</v>
      </c>
      <c r="L120" s="83"/>
      <c r="M120" s="82"/>
      <c r="N120" s="82"/>
      <c r="O120" s="83"/>
    </row>
    <row r="121" s="31" customFormat="1" ht="18" customHeight="1" spans="1:15">
      <c r="A121" s="63"/>
      <c r="B121" s="61">
        <f t="shared" si="7"/>
        <v>0</v>
      </c>
      <c r="C121" s="64"/>
      <c r="D121" s="65"/>
      <c r="E121" s="66"/>
      <c r="F121" s="61">
        <f t="shared" si="8"/>
        <v>0</v>
      </c>
      <c r="G121" s="56"/>
      <c r="H121" s="6" t="s">
        <v>64</v>
      </c>
      <c r="I121" s="11">
        <v>100</v>
      </c>
      <c r="J121" s="82" t="s">
        <v>67</v>
      </c>
      <c r="K121" s="10" t="s">
        <v>70</v>
      </c>
      <c r="L121" s="87"/>
      <c r="M121" s="82"/>
      <c r="N121" s="82"/>
      <c r="O121" s="83"/>
    </row>
    <row r="122" s="31" customFormat="1" ht="18" customHeight="1" spans="1:16">
      <c r="A122" s="63"/>
      <c r="B122" s="61">
        <f t="shared" si="7"/>
        <v>0</v>
      </c>
      <c r="C122" s="64"/>
      <c r="D122" s="65"/>
      <c r="E122" s="66"/>
      <c r="F122" s="61">
        <f t="shared" si="8"/>
        <v>0</v>
      </c>
      <c r="G122" s="56"/>
      <c r="H122" s="6" t="s">
        <v>64</v>
      </c>
      <c r="I122" s="11">
        <v>50</v>
      </c>
      <c r="J122" s="82" t="s">
        <v>67</v>
      </c>
      <c r="K122" s="10" t="s">
        <v>70</v>
      </c>
      <c r="L122" s="87" t="s">
        <v>60</v>
      </c>
      <c r="M122" s="82"/>
      <c r="N122" s="82"/>
      <c r="O122" s="83"/>
      <c r="P122" s="31" t="s">
        <v>60</v>
      </c>
    </row>
    <row r="123" s="31" customFormat="1" ht="18" customHeight="1" spans="1:15">
      <c r="A123" s="63"/>
      <c r="B123" s="61">
        <f t="shared" si="7"/>
        <v>0</v>
      </c>
      <c r="C123" s="64"/>
      <c r="D123" s="65"/>
      <c r="E123" s="66"/>
      <c r="F123" s="61">
        <f t="shared" si="8"/>
        <v>0</v>
      </c>
      <c r="G123" s="56"/>
      <c r="H123" s="6" t="s">
        <v>64</v>
      </c>
      <c r="I123" s="11">
        <v>200</v>
      </c>
      <c r="J123" s="100" t="s">
        <v>67</v>
      </c>
      <c r="K123" s="10" t="s">
        <v>70</v>
      </c>
      <c r="L123" s="107"/>
      <c r="M123" s="82"/>
      <c r="N123" s="82"/>
      <c r="O123" s="83"/>
    </row>
    <row r="124" s="31" customFormat="1" ht="18" customHeight="1" spans="1:15">
      <c r="A124" s="63"/>
      <c r="B124" s="61">
        <f t="shared" si="7"/>
        <v>0</v>
      </c>
      <c r="C124" s="64"/>
      <c r="D124" s="65"/>
      <c r="E124" s="66"/>
      <c r="F124" s="61">
        <f t="shared" si="8"/>
        <v>0</v>
      </c>
      <c r="G124" s="56"/>
      <c r="H124" s="6" t="s">
        <v>64</v>
      </c>
      <c r="I124" s="103">
        <v>-16085</v>
      </c>
      <c r="J124" s="98" t="s">
        <v>65</v>
      </c>
      <c r="K124" s="104" t="s">
        <v>66</v>
      </c>
      <c r="L124" s="83"/>
      <c r="M124" s="82"/>
      <c r="N124" s="82"/>
      <c r="O124" s="83"/>
    </row>
    <row r="125" s="31" customFormat="1" ht="18" customHeight="1" spans="1:15">
      <c r="A125" s="63"/>
      <c r="B125" s="61">
        <f t="shared" si="7"/>
        <v>0</v>
      </c>
      <c r="C125" s="64"/>
      <c r="D125" s="65"/>
      <c r="E125" s="66"/>
      <c r="F125" s="61">
        <f t="shared" si="8"/>
        <v>0</v>
      </c>
      <c r="G125" s="56"/>
      <c r="H125" s="6" t="s">
        <v>64</v>
      </c>
      <c r="I125" s="4">
        <v>100</v>
      </c>
      <c r="J125" s="100" t="s">
        <v>67</v>
      </c>
      <c r="K125" s="10" t="s">
        <v>70</v>
      </c>
      <c r="L125" s="83"/>
      <c r="M125" s="82"/>
      <c r="N125" s="82"/>
      <c r="O125" s="83"/>
    </row>
    <row r="126" s="31" customFormat="1" ht="18" customHeight="1" spans="1:15">
      <c r="A126" s="63"/>
      <c r="B126" s="61">
        <f t="shared" si="7"/>
        <v>10000</v>
      </c>
      <c r="C126" s="64"/>
      <c r="D126" s="65"/>
      <c r="E126" s="66"/>
      <c r="F126" s="61">
        <f t="shared" si="8"/>
        <v>0</v>
      </c>
      <c r="G126" s="56">
        <v>10000</v>
      </c>
      <c r="H126" s="6" t="s">
        <v>64</v>
      </c>
      <c r="I126" s="53">
        <f>G126</f>
        <v>10000</v>
      </c>
      <c r="J126" s="101" t="s">
        <v>67</v>
      </c>
      <c r="K126" s="102" t="s">
        <v>147</v>
      </c>
      <c r="L126" s="83" t="s">
        <v>60</v>
      </c>
      <c r="M126" s="82"/>
      <c r="N126" s="82"/>
      <c r="O126" s="83"/>
    </row>
    <row r="127" s="31" customFormat="1" ht="18" customHeight="1" spans="1:15">
      <c r="A127" s="63"/>
      <c r="B127" s="61">
        <f t="shared" si="7"/>
        <v>0</v>
      </c>
      <c r="C127" s="64"/>
      <c r="D127" s="65"/>
      <c r="E127" s="66"/>
      <c r="F127" s="61">
        <f t="shared" si="8"/>
        <v>0</v>
      </c>
      <c r="G127" s="56"/>
      <c r="H127" s="94" t="s">
        <v>69</v>
      </c>
      <c r="I127" s="4">
        <v>100</v>
      </c>
      <c r="J127" s="100" t="s">
        <v>67</v>
      </c>
      <c r="K127" s="10" t="s">
        <v>70</v>
      </c>
      <c r="L127" s="83"/>
      <c r="M127" s="82"/>
      <c r="N127" s="82"/>
      <c r="O127" s="83"/>
    </row>
    <row r="128" s="31" customFormat="1" ht="18" customHeight="1" spans="1:15">
      <c r="A128" s="63"/>
      <c r="B128" s="61">
        <f t="shared" si="7"/>
        <v>0</v>
      </c>
      <c r="C128" s="64"/>
      <c r="D128" s="65"/>
      <c r="E128" s="66"/>
      <c r="F128" s="61">
        <f t="shared" si="8"/>
        <v>0</v>
      </c>
      <c r="G128" s="56"/>
      <c r="H128" s="94" t="s">
        <v>69</v>
      </c>
      <c r="I128" s="4">
        <v>50</v>
      </c>
      <c r="J128" s="100" t="s">
        <v>67</v>
      </c>
      <c r="K128" s="10" t="s">
        <v>70</v>
      </c>
      <c r="L128" s="83"/>
      <c r="M128" s="82"/>
      <c r="N128" s="82"/>
      <c r="O128" s="83"/>
    </row>
    <row r="129" s="31" customFormat="1" ht="18" customHeight="1" spans="1:15">
      <c r="A129" s="63"/>
      <c r="B129" s="61">
        <f t="shared" si="7"/>
        <v>0</v>
      </c>
      <c r="C129" s="64"/>
      <c r="D129" s="65"/>
      <c r="E129" s="66"/>
      <c r="F129" s="61">
        <f t="shared" si="8"/>
        <v>0</v>
      </c>
      <c r="G129" s="56"/>
      <c r="H129" s="94" t="s">
        <v>69</v>
      </c>
      <c r="I129" s="4">
        <v>50</v>
      </c>
      <c r="J129" s="100" t="s">
        <v>67</v>
      </c>
      <c r="K129" s="10" t="s">
        <v>70</v>
      </c>
      <c r="L129" s="83"/>
      <c r="M129" s="82"/>
      <c r="N129" s="82"/>
      <c r="O129" s="83"/>
    </row>
    <row r="130" s="31" customFormat="1" ht="18" customHeight="1" spans="1:15">
      <c r="A130" s="63"/>
      <c r="B130" s="61">
        <f t="shared" si="7"/>
        <v>0</v>
      </c>
      <c r="C130" s="64"/>
      <c r="D130" s="65"/>
      <c r="E130" s="66"/>
      <c r="F130" s="61">
        <f t="shared" si="8"/>
        <v>0</v>
      </c>
      <c r="G130" s="56"/>
      <c r="H130" s="3" t="s">
        <v>69</v>
      </c>
      <c r="I130" s="125">
        <v>16085</v>
      </c>
      <c r="J130" s="98" t="s">
        <v>71</v>
      </c>
      <c r="K130" s="104" t="s">
        <v>72</v>
      </c>
      <c r="L130" s="83"/>
      <c r="M130" s="82"/>
      <c r="N130" s="82"/>
      <c r="O130" s="83"/>
    </row>
    <row r="131" s="31" customFormat="1" ht="18" customHeight="1" spans="1:15">
      <c r="A131" s="63"/>
      <c r="B131" s="11">
        <f t="shared" si="7"/>
        <v>0</v>
      </c>
      <c r="C131" s="64"/>
      <c r="D131" s="65"/>
      <c r="E131" s="66"/>
      <c r="F131" s="61">
        <f t="shared" si="8"/>
        <v>0</v>
      </c>
      <c r="G131" s="56"/>
      <c r="H131" s="3" t="s">
        <v>69</v>
      </c>
      <c r="I131" s="4">
        <v>100</v>
      </c>
      <c r="J131" s="100" t="s">
        <v>67</v>
      </c>
      <c r="K131" s="10" t="s">
        <v>70</v>
      </c>
      <c r="L131" s="83"/>
      <c r="M131" s="82"/>
      <c r="N131" s="82"/>
      <c r="O131" s="83"/>
    </row>
    <row r="132" s="31" customFormat="1" ht="18" customHeight="1" spans="1:15">
      <c r="A132" s="63"/>
      <c r="B132" s="11">
        <f t="shared" si="7"/>
        <v>0</v>
      </c>
      <c r="C132" s="64"/>
      <c r="D132" s="65"/>
      <c r="E132" s="66"/>
      <c r="F132" s="61">
        <f t="shared" si="8"/>
        <v>0</v>
      </c>
      <c r="G132" s="56"/>
      <c r="H132" s="3" t="s">
        <v>69</v>
      </c>
      <c r="I132" s="4">
        <v>500</v>
      </c>
      <c r="J132" s="100" t="s">
        <v>67</v>
      </c>
      <c r="K132" s="10" t="s">
        <v>73</v>
      </c>
      <c r="L132" s="83"/>
      <c r="M132" s="82"/>
      <c r="N132" s="82"/>
      <c r="O132" s="83"/>
    </row>
    <row r="133" s="31" customFormat="1" ht="18" customHeight="1" spans="1:15">
      <c r="A133" s="63"/>
      <c r="B133" s="11">
        <f t="shared" si="7"/>
        <v>10000</v>
      </c>
      <c r="C133" s="64"/>
      <c r="D133" s="65"/>
      <c r="E133" s="66"/>
      <c r="F133" s="61">
        <f t="shared" si="8"/>
        <v>0</v>
      </c>
      <c r="G133" s="56">
        <v>10000</v>
      </c>
      <c r="H133" s="3" t="s">
        <v>69</v>
      </c>
      <c r="I133" s="53">
        <f>G133</f>
        <v>10000</v>
      </c>
      <c r="J133" s="101" t="s">
        <v>67</v>
      </c>
      <c r="K133" s="102" t="s">
        <v>147</v>
      </c>
      <c r="L133" s="83"/>
      <c r="M133" s="82"/>
      <c r="N133" s="82"/>
      <c r="O133" s="83"/>
    </row>
    <row r="134" s="31" customFormat="1" ht="18" customHeight="1" spans="1:15">
      <c r="A134" s="63"/>
      <c r="B134" s="11">
        <f t="shared" si="7"/>
        <v>0</v>
      </c>
      <c r="C134" s="64"/>
      <c r="D134" s="65"/>
      <c r="E134" s="66"/>
      <c r="F134" s="11">
        <f t="shared" si="8"/>
        <v>0</v>
      </c>
      <c r="G134" s="56"/>
      <c r="H134" s="3" t="s">
        <v>69</v>
      </c>
      <c r="I134" s="55">
        <v>20000</v>
      </c>
      <c r="J134" s="101" t="s">
        <v>67</v>
      </c>
      <c r="K134" s="102" t="s">
        <v>74</v>
      </c>
      <c r="L134" s="83"/>
      <c r="M134" s="82"/>
      <c r="N134" s="82"/>
      <c r="O134" s="83"/>
    </row>
    <row r="135" s="31" customFormat="1" ht="18" customHeight="1" spans="1:18">
      <c r="A135" s="63"/>
      <c r="B135" s="11">
        <f t="shared" si="7"/>
        <v>0</v>
      </c>
      <c r="C135" s="64"/>
      <c r="D135" s="65"/>
      <c r="E135" s="66"/>
      <c r="F135" s="11">
        <f t="shared" si="8"/>
        <v>0</v>
      </c>
      <c r="G135" s="56"/>
      <c r="H135" s="3" t="s">
        <v>69</v>
      </c>
      <c r="I135" s="55">
        <v>127126</v>
      </c>
      <c r="J135" s="101" t="s">
        <v>67</v>
      </c>
      <c r="K135" s="106" t="s">
        <v>75</v>
      </c>
      <c r="L135" s="83"/>
      <c r="M135" s="82"/>
      <c r="N135" s="82"/>
      <c r="O135" s="83"/>
      <c r="R135" s="31" t="s">
        <v>60</v>
      </c>
    </row>
    <row r="136" s="30" customFormat="1" ht="18" customHeight="1" spans="1:15">
      <c r="A136" s="13" t="s">
        <v>24</v>
      </c>
      <c r="B136" s="58">
        <f>SUM(B27:B135)</f>
        <v>7512501.31</v>
      </c>
      <c r="C136" s="13"/>
      <c r="D136" s="108"/>
      <c r="E136" s="108"/>
      <c r="F136" s="59">
        <f>SUM(F27:F135)</f>
        <v>355044.71</v>
      </c>
      <c r="G136" s="109">
        <f>SUM(G31:G135)</f>
        <v>7867546.02</v>
      </c>
      <c r="H136" s="110"/>
      <c r="I136" s="13">
        <f>SUM(I27:I135)</f>
        <v>7887156.6737156</v>
      </c>
      <c r="J136" s="126"/>
      <c r="K136" s="10"/>
      <c r="L136" s="60"/>
      <c r="M136" s="100"/>
      <c r="N136" s="100"/>
      <c r="O136" s="60"/>
    </row>
    <row r="137" s="30" customFormat="1" ht="18" customHeight="1" spans="1:14">
      <c r="A137" s="111" t="s">
        <v>76</v>
      </c>
      <c r="B137" s="111">
        <f>B24*0.96</f>
        <v>9511926.60550459</v>
      </c>
      <c r="C137" s="111"/>
      <c r="D137" s="112"/>
      <c r="E137" s="112"/>
      <c r="F137" s="113"/>
      <c r="G137" s="111">
        <f>G24-G136</f>
        <v>2932453.98</v>
      </c>
      <c r="H137" s="51" t="s">
        <v>77</v>
      </c>
      <c r="I137" s="13">
        <f>I24-I136</f>
        <v>1912843.3262844</v>
      </c>
      <c r="K137" s="127"/>
      <c r="M137" s="37"/>
      <c r="N137" s="37"/>
    </row>
    <row r="138" s="30" customFormat="1" ht="18" customHeight="1" spans="1:14">
      <c r="A138" s="111" t="s">
        <v>78</v>
      </c>
      <c r="B138" s="111">
        <f>B137-B136</f>
        <v>1999425.29550459</v>
      </c>
      <c r="C138" s="111"/>
      <c r="D138" s="112"/>
      <c r="E138" s="112"/>
      <c r="F138" s="113"/>
      <c r="G138" s="113"/>
      <c r="H138" s="114" t="s">
        <v>163</v>
      </c>
      <c r="I138" s="113">
        <f>I25-SUM(I36:I38)-I40-I42-I44-I45-I47-I48-I57-I58-I59-I60-I71-SUM(I85:I135)-I63-I64-I65-I67-I69-I70-I72</f>
        <v>2281.3524935781</v>
      </c>
      <c r="K138" s="30" t="e">
        <f>I134+I110+I117+K84I101+I95+I89+I101</f>
        <v>#NAME?</v>
      </c>
      <c r="M138" s="37"/>
      <c r="N138" s="37"/>
    </row>
    <row r="139" s="33" customFormat="1" ht="18" customHeight="1" spans="1:19">
      <c r="A139" s="34" t="s">
        <v>79</v>
      </c>
      <c r="B139" s="35"/>
      <c r="C139" s="34"/>
      <c r="F139" s="35"/>
      <c r="G139" s="35"/>
      <c r="H139" s="114" t="s">
        <v>164</v>
      </c>
      <c r="I139" s="113">
        <f>J25-I39-I41-I43-I49-I50-I61-I62-I68-I73</f>
        <v>510</v>
      </c>
      <c r="J139" s="36"/>
      <c r="K139" s="30"/>
      <c r="L139" s="30"/>
      <c r="M139" s="37"/>
      <c r="N139" s="30"/>
      <c r="O139" s="30"/>
      <c r="P139" s="30"/>
      <c r="Q139" s="30"/>
      <c r="R139" s="30"/>
      <c r="S139" s="30"/>
    </row>
    <row r="140" s="30" customFormat="1" ht="18" customHeight="1" spans="1:14">
      <c r="A140" s="51"/>
      <c r="B140" s="50" t="s">
        <v>81</v>
      </c>
      <c r="C140" s="60"/>
      <c r="D140" s="51" t="s">
        <v>80</v>
      </c>
      <c r="E140" s="49" t="s">
        <v>16</v>
      </c>
      <c r="F140" s="50" t="s">
        <v>81</v>
      </c>
      <c r="G140" s="50" t="s">
        <v>82</v>
      </c>
      <c r="H140" s="50"/>
      <c r="I140" s="128" t="s">
        <v>165</v>
      </c>
      <c r="J140" s="128" t="s">
        <v>166</v>
      </c>
      <c r="K140" s="128" t="s">
        <v>167</v>
      </c>
      <c r="L140" s="128" t="s">
        <v>168</v>
      </c>
      <c r="M140" s="128" t="s">
        <v>169</v>
      </c>
      <c r="N140" s="128" t="s">
        <v>170</v>
      </c>
    </row>
    <row r="141" s="33" customFormat="1" ht="18" customHeight="1" spans="1:19">
      <c r="A141" s="60" t="s">
        <v>83</v>
      </c>
      <c r="B141" s="47">
        <f>(B137-B136)*0.25</f>
        <v>499856.323876148</v>
      </c>
      <c r="C141" s="60"/>
      <c r="D141" s="57" t="s">
        <v>84</v>
      </c>
      <c r="E141" s="51" t="s">
        <v>85</v>
      </c>
      <c r="F141" s="59">
        <f>F24-F136</f>
        <v>338533.271651376</v>
      </c>
      <c r="G141" s="59">
        <f>F7-SUM(F27:F34)</f>
        <v>115569.076972477</v>
      </c>
      <c r="H141" s="59"/>
      <c r="I141" s="59">
        <f>F8-SUM(F35:F47)</f>
        <v>183983.340458716</v>
      </c>
      <c r="J141" s="59">
        <f>F9-SUM(F48:F61)</f>
        <v>-119555.718256881</v>
      </c>
      <c r="K141" s="59">
        <f>F10-F63+J141</f>
        <v>-58899.8947706422</v>
      </c>
      <c r="L141" s="59">
        <f>F11-F71-F72+K141</f>
        <v>-154321.899724771</v>
      </c>
      <c r="M141" s="59">
        <f>F12+L141</f>
        <v>-25881.5327522936</v>
      </c>
      <c r="N141" s="59">
        <f>F13-F73+M141</f>
        <v>38980.8542201834</v>
      </c>
      <c r="O141" s="30"/>
      <c r="P141" s="30"/>
      <c r="Q141" s="30"/>
      <c r="R141" s="30"/>
      <c r="S141" s="30"/>
    </row>
    <row r="142" s="30" customFormat="1" ht="18" customHeight="1" spans="1:14">
      <c r="A142" s="60" t="s">
        <v>86</v>
      </c>
      <c r="B142" s="115" t="s">
        <v>87</v>
      </c>
      <c r="C142" s="60"/>
      <c r="D142" s="116" t="s">
        <v>88</v>
      </c>
      <c r="E142" s="43"/>
      <c r="F142" s="4"/>
      <c r="G142" s="4"/>
      <c r="H142" s="4">
        <v>5778.45384862385</v>
      </c>
      <c r="I142" s="4"/>
      <c r="J142" s="4"/>
      <c r="K142" s="4" t="s">
        <v>60</v>
      </c>
      <c r="L142" s="4"/>
      <c r="M142" s="4"/>
      <c r="N142" s="4"/>
    </row>
    <row r="143" s="30" customFormat="1" ht="18" customHeight="1" spans="1:14">
      <c r="A143" s="60"/>
      <c r="B143" s="115"/>
      <c r="C143" s="60"/>
      <c r="D143" s="117"/>
      <c r="E143" s="43">
        <v>0.07</v>
      </c>
      <c r="F143" s="4">
        <f>F141*E143</f>
        <v>23697.3290155963</v>
      </c>
      <c r="G143" s="4">
        <f>G141*E143</f>
        <v>8089.83538807339</v>
      </c>
      <c r="H143" s="4"/>
      <c r="I143" s="4">
        <f>I141*E143</f>
        <v>12878.8338321101</v>
      </c>
      <c r="J143" s="4">
        <f>J141*E143</f>
        <v>-8368.90027798165</v>
      </c>
      <c r="K143" s="4">
        <f>K141*E143</f>
        <v>-4122.99263394495</v>
      </c>
      <c r="L143" s="4">
        <v>137.62</v>
      </c>
      <c r="M143" s="4"/>
      <c r="N143" s="4">
        <f>N141*E143</f>
        <v>2728.65979541284</v>
      </c>
    </row>
    <row r="144" s="33" customFormat="1" ht="18" customHeight="1" spans="1:19">
      <c r="A144" s="60" t="s">
        <v>89</v>
      </c>
      <c r="B144" s="115" t="s">
        <v>87</v>
      </c>
      <c r="C144" s="60"/>
      <c r="D144" s="118" t="s">
        <v>90</v>
      </c>
      <c r="E144" s="43">
        <v>0.03</v>
      </c>
      <c r="F144" s="4">
        <f>F141*E144</f>
        <v>10155.9981495413</v>
      </c>
      <c r="G144" s="4">
        <f>G141*E144</f>
        <v>3467.07230917431</v>
      </c>
      <c r="H144" s="4"/>
      <c r="I144" s="4">
        <f>I141*E144</f>
        <v>5519.50021376148</v>
      </c>
      <c r="J144" s="4">
        <f>J141*E144</f>
        <v>-3586.67154770642</v>
      </c>
      <c r="K144" s="4">
        <f>K141*E144</f>
        <v>-1766.99684311927</v>
      </c>
      <c r="L144" s="4">
        <v>55.05</v>
      </c>
      <c r="M144" s="4"/>
      <c r="N144" s="4">
        <f>N141*E144</f>
        <v>1169.4256266055</v>
      </c>
      <c r="O144" s="30"/>
      <c r="P144" s="30"/>
      <c r="Q144" s="30"/>
      <c r="R144" s="30"/>
      <c r="S144" s="30"/>
    </row>
    <row r="145" s="33" customFormat="1" ht="18" customHeight="1" spans="1:19">
      <c r="A145" s="60"/>
      <c r="B145" s="119"/>
      <c r="C145" s="60"/>
      <c r="D145" s="118" t="s">
        <v>91</v>
      </c>
      <c r="E145" s="43">
        <v>0.02</v>
      </c>
      <c r="F145" s="4">
        <f>F141*E145</f>
        <v>6770.66543302752</v>
      </c>
      <c r="G145" s="4">
        <f>G141*E145</f>
        <v>2311.38153944954</v>
      </c>
      <c r="H145" s="4"/>
      <c r="I145" s="4">
        <f>I141*E145</f>
        <v>3679.66680917432</v>
      </c>
      <c r="J145" s="4">
        <f>J141*E145</f>
        <v>-2391.11436513761</v>
      </c>
      <c r="K145" s="4">
        <f>K141*E145</f>
        <v>-1177.99789541284</v>
      </c>
      <c r="L145" s="4">
        <v>82.57</v>
      </c>
      <c r="M145" s="4"/>
      <c r="N145" s="4">
        <f>N141*E145</f>
        <v>779.617084403668</v>
      </c>
      <c r="O145" s="30"/>
      <c r="P145" s="30"/>
      <c r="Q145" s="30"/>
      <c r="R145" s="30"/>
      <c r="S145" s="30"/>
    </row>
    <row r="146" s="33" customFormat="1" ht="18" customHeight="1" spans="1:19">
      <c r="A146" s="57" t="s">
        <v>92</v>
      </c>
      <c r="B146" s="120">
        <f>SUM(B141:B145)</f>
        <v>499856.323876148</v>
      </c>
      <c r="C146" s="60"/>
      <c r="D146" s="12" t="s">
        <v>92</v>
      </c>
      <c r="E146" s="57"/>
      <c r="F146" s="59">
        <f>SUM(F141:F145)</f>
        <v>379157.264249541</v>
      </c>
      <c r="G146" s="59">
        <f>SUM(G141:G145)</f>
        <v>129437.366209174</v>
      </c>
      <c r="H146" s="59"/>
      <c r="I146" s="59">
        <f>SUM(I141:I145)</f>
        <v>206061.341313762</v>
      </c>
      <c r="J146" s="59">
        <f>SUM(J141:J145)</f>
        <v>-133902.404447706</v>
      </c>
      <c r="K146" s="59">
        <f>SUM(K141:K145)</f>
        <v>-65967.8821431193</v>
      </c>
      <c r="L146" s="59">
        <f>SUM(L143:L145)</f>
        <v>275.24</v>
      </c>
      <c r="M146" s="59">
        <v>0</v>
      </c>
      <c r="N146" s="59">
        <f>SUM(N141:N145)</f>
        <v>43658.5567266054</v>
      </c>
      <c r="O146" s="30"/>
      <c r="P146" s="30"/>
      <c r="Q146" s="30"/>
      <c r="R146" s="30"/>
      <c r="S146" s="30"/>
    </row>
    <row r="147" s="33" customFormat="1" ht="18" customHeight="1" spans="1:19">
      <c r="A147" s="121"/>
      <c r="B147" s="122"/>
      <c r="C147" s="30"/>
      <c r="D147" s="3" t="s">
        <v>89</v>
      </c>
      <c r="E147" s="90">
        <v>0.0006</v>
      </c>
      <c r="F147" s="59"/>
      <c r="G147" s="59"/>
      <c r="H147" s="123"/>
      <c r="I147" s="59"/>
      <c r="J147" s="59">
        <v>0</v>
      </c>
      <c r="K147" s="59">
        <f>G10*E147-1376.15</f>
        <v>-776.15</v>
      </c>
      <c r="L147" s="59">
        <v>27.53</v>
      </c>
      <c r="M147" s="59">
        <v>183.49</v>
      </c>
      <c r="N147" s="59"/>
      <c r="O147" s="30"/>
      <c r="P147" s="30"/>
      <c r="Q147" s="30"/>
      <c r="R147" s="30"/>
      <c r="S147" s="30"/>
    </row>
    <row r="148" s="33" customFormat="1" ht="18" customHeight="1" spans="1:19">
      <c r="A148" s="121"/>
      <c r="B148" s="122"/>
      <c r="C148" s="30"/>
      <c r="D148" s="3" t="s">
        <v>86</v>
      </c>
      <c r="E148" s="90">
        <v>0.0003</v>
      </c>
      <c r="F148" s="59"/>
      <c r="G148" s="59"/>
      <c r="H148" s="123"/>
      <c r="I148" s="59"/>
      <c r="J148" s="59">
        <v>0</v>
      </c>
      <c r="K148" s="59">
        <f>B10*E148-90</f>
        <v>185.229357798165</v>
      </c>
      <c r="L148" s="59">
        <v>0</v>
      </c>
      <c r="M148" s="59">
        <v>0</v>
      </c>
      <c r="N148" s="59"/>
      <c r="O148" s="30"/>
      <c r="P148" s="30"/>
      <c r="Q148" s="30"/>
      <c r="R148" s="30"/>
      <c r="S148" s="30"/>
    </row>
    <row r="149" s="33" customFormat="1" ht="18" customHeight="1" spans="1:19">
      <c r="A149" s="34"/>
      <c r="B149" s="35"/>
      <c r="C149" s="34"/>
      <c r="D149" s="13" t="s">
        <v>83</v>
      </c>
      <c r="E149" s="108">
        <v>0.01</v>
      </c>
      <c r="F149" s="13">
        <f>G24*E149</f>
        <v>108000</v>
      </c>
      <c r="G149" s="13">
        <f>G7*E149</f>
        <v>20000</v>
      </c>
      <c r="H149" s="124">
        <f>G8*E149</f>
        <v>30000</v>
      </c>
      <c r="I149" s="129"/>
      <c r="J149" s="13">
        <f>G9*E149</f>
        <v>5000</v>
      </c>
      <c r="K149" s="13">
        <f>G10*E149</f>
        <v>10000</v>
      </c>
      <c r="L149" s="13">
        <f>G11*E149</f>
        <v>3000</v>
      </c>
      <c r="M149" s="13"/>
      <c r="N149" s="13"/>
      <c r="O149" s="30"/>
      <c r="P149" s="30"/>
      <c r="Q149" s="30"/>
      <c r="R149" s="30"/>
      <c r="S149" s="30"/>
    </row>
    <row r="150" s="33" customFormat="1" ht="18" customHeight="1" spans="1:19">
      <c r="A150" s="34"/>
      <c r="B150" s="35"/>
      <c r="C150" s="34"/>
      <c r="D150" s="13" t="s">
        <v>114</v>
      </c>
      <c r="E150" s="108">
        <v>0.25</v>
      </c>
      <c r="F150" s="13">
        <f>B138*E150</f>
        <v>499856.323876148</v>
      </c>
      <c r="G150" s="13"/>
      <c r="H150" s="4"/>
      <c r="I150" s="4"/>
      <c r="J150" s="13">
        <v>0</v>
      </c>
      <c r="K150" s="13"/>
      <c r="L150" s="13"/>
      <c r="M150" s="13"/>
      <c r="N150" s="13"/>
      <c r="O150" s="30"/>
      <c r="P150" s="30"/>
      <c r="Q150" s="30"/>
      <c r="R150" s="30"/>
      <c r="S150" s="30"/>
    </row>
    <row r="151" s="33" customFormat="1" ht="18" customHeight="1" spans="1:19">
      <c r="A151" s="34"/>
      <c r="B151" s="35"/>
      <c r="C151" s="34"/>
      <c r="F151" s="35"/>
      <c r="G151" s="35"/>
      <c r="I151" s="35"/>
      <c r="J151" s="36"/>
      <c r="K151" s="30"/>
      <c r="L151" s="30"/>
      <c r="M151" s="37"/>
      <c r="N151" s="30"/>
      <c r="O151" s="30"/>
      <c r="P151" s="30"/>
      <c r="Q151" s="30"/>
      <c r="R151" s="30"/>
      <c r="S151" s="30"/>
    </row>
    <row r="152" s="33" customFormat="1" ht="18" customHeight="1" spans="1:19">
      <c r="A152" s="34"/>
      <c r="B152" s="35"/>
      <c r="C152" s="34"/>
      <c r="F152" s="35"/>
      <c r="G152" s="35"/>
      <c r="I152" s="35"/>
      <c r="J152" s="36"/>
      <c r="K152" s="30"/>
      <c r="L152" s="30"/>
      <c r="M152" s="37"/>
      <c r="N152" s="30"/>
      <c r="O152" s="30"/>
      <c r="P152" s="30"/>
      <c r="Q152" s="30"/>
      <c r="R152" s="30"/>
      <c r="S152" s="30"/>
    </row>
    <row r="153" s="33" customFormat="1" spans="1:19">
      <c r="A153" s="34"/>
      <c r="B153" s="35"/>
      <c r="C153" s="34"/>
      <c r="F153" s="35"/>
      <c r="G153" s="35"/>
      <c r="I153" s="35"/>
      <c r="J153" s="36"/>
      <c r="K153" s="30"/>
      <c r="L153" s="30"/>
      <c r="M153" s="37"/>
      <c r="N153" s="30"/>
      <c r="O153" s="30"/>
      <c r="P153" s="30"/>
      <c r="Q153" s="30"/>
      <c r="R153" s="30"/>
      <c r="S153" s="30"/>
    </row>
    <row r="154" s="33" customFormat="1" spans="1:19">
      <c r="A154" s="34"/>
      <c r="B154" s="35"/>
      <c r="C154" s="34"/>
      <c r="F154" s="35"/>
      <c r="G154" s="35"/>
      <c r="I154" s="35"/>
      <c r="J154" s="36"/>
      <c r="K154" s="30"/>
      <c r="L154" s="30"/>
      <c r="M154" s="37"/>
      <c r="N154" s="30"/>
      <c r="O154" s="30"/>
      <c r="P154" s="30"/>
      <c r="Q154" s="30"/>
      <c r="R154" s="30"/>
      <c r="S154" s="30"/>
    </row>
    <row r="155" s="33" customFormat="1" spans="1:19">
      <c r="A155" s="34"/>
      <c r="B155" s="35"/>
      <c r="C155" s="34"/>
      <c r="F155" s="35"/>
      <c r="G155" s="35"/>
      <c r="I155" s="35"/>
      <c r="J155" s="36"/>
      <c r="K155" s="30"/>
      <c r="L155" s="30"/>
      <c r="M155" s="37"/>
      <c r="N155" s="30"/>
      <c r="O155" s="30"/>
      <c r="P155" s="30"/>
      <c r="Q155" s="30"/>
      <c r="R155" s="30"/>
      <c r="S155" s="30"/>
    </row>
    <row r="156" s="33" customFormat="1" spans="1:19">
      <c r="A156" s="34"/>
      <c r="B156" s="35"/>
      <c r="C156" s="34"/>
      <c r="F156" s="35"/>
      <c r="G156" s="35"/>
      <c r="I156" s="35"/>
      <c r="J156" s="36"/>
      <c r="K156" s="30"/>
      <c r="L156" s="30"/>
      <c r="M156" s="37"/>
      <c r="N156" s="30"/>
      <c r="O156" s="30"/>
      <c r="P156" s="30"/>
      <c r="Q156" s="30"/>
      <c r="R156" s="30"/>
      <c r="S156" s="30"/>
    </row>
    <row r="157" s="33" customFormat="1" spans="1:19">
      <c r="A157" s="34"/>
      <c r="B157" s="35"/>
      <c r="C157" s="34"/>
      <c r="F157" s="35"/>
      <c r="G157" s="35"/>
      <c r="I157" s="35"/>
      <c r="J157" s="36"/>
      <c r="K157" s="30"/>
      <c r="L157" s="30"/>
      <c r="M157" s="37"/>
      <c r="N157" s="30"/>
      <c r="O157" s="30"/>
      <c r="P157" s="30"/>
      <c r="Q157" s="30"/>
      <c r="R157" s="30"/>
      <c r="S157" s="30"/>
    </row>
    <row r="158" s="33" customFormat="1" spans="1:19">
      <c r="A158" s="34"/>
      <c r="B158" s="35"/>
      <c r="C158" s="34"/>
      <c r="F158" s="35"/>
      <c r="G158" s="35"/>
      <c r="I158" s="35"/>
      <c r="J158" s="36"/>
      <c r="K158" s="30"/>
      <c r="L158" s="30"/>
      <c r="M158" s="37"/>
      <c r="N158" s="30"/>
      <c r="O158" s="30"/>
      <c r="P158" s="30"/>
      <c r="Q158" s="30"/>
      <c r="R158" s="30"/>
      <c r="S158" s="30"/>
    </row>
    <row r="159" s="33" customFormat="1" spans="1:19">
      <c r="A159" s="34"/>
      <c r="B159" s="35"/>
      <c r="C159" s="34"/>
      <c r="F159" s="35"/>
      <c r="G159" s="35"/>
      <c r="I159" s="35"/>
      <c r="J159" s="36"/>
      <c r="K159" s="30"/>
      <c r="L159" s="30"/>
      <c r="M159" s="37"/>
      <c r="N159" s="30"/>
      <c r="O159" s="30"/>
      <c r="P159" s="30"/>
      <c r="Q159" s="30"/>
      <c r="R159" s="30"/>
      <c r="S159" s="30"/>
    </row>
    <row r="160" s="33" customFormat="1" spans="1:19">
      <c r="A160" s="34"/>
      <c r="B160" s="35"/>
      <c r="C160" s="34"/>
      <c r="F160" s="35"/>
      <c r="G160" s="35"/>
      <c r="I160" s="35"/>
      <c r="J160" s="36"/>
      <c r="K160" s="30"/>
      <c r="L160" s="30"/>
      <c r="M160" s="37"/>
      <c r="N160" s="30"/>
      <c r="O160" s="30"/>
      <c r="P160" s="30"/>
      <c r="Q160" s="30"/>
      <c r="R160" s="30"/>
      <c r="S160" s="30"/>
    </row>
    <row r="161" s="33" customFormat="1" spans="1:19">
      <c r="A161" s="34"/>
      <c r="B161" s="35"/>
      <c r="C161" s="34"/>
      <c r="F161" s="35"/>
      <c r="G161" s="35"/>
      <c r="I161" s="35"/>
      <c r="J161" s="36"/>
      <c r="K161" s="30"/>
      <c r="L161" s="30"/>
      <c r="M161" s="37"/>
      <c r="N161" s="30"/>
      <c r="O161" s="30"/>
      <c r="P161" s="30"/>
      <c r="Q161" s="30"/>
      <c r="R161" s="30"/>
      <c r="S161" s="30"/>
    </row>
    <row r="162" s="33" customFormat="1" spans="1:19">
      <c r="A162" s="34"/>
      <c r="B162" s="35"/>
      <c r="C162" s="34"/>
      <c r="F162" s="35"/>
      <c r="G162" s="35"/>
      <c r="I162" s="35"/>
      <c r="J162" s="36"/>
      <c r="K162" s="30"/>
      <c r="L162" s="30"/>
      <c r="M162" s="37"/>
      <c r="N162" s="30"/>
      <c r="O162" s="30"/>
      <c r="P162" s="30"/>
      <c r="Q162" s="30"/>
      <c r="R162" s="30"/>
      <c r="S162" s="30"/>
    </row>
    <row r="163" s="33" customFormat="1" spans="1:19">
      <c r="A163" s="34"/>
      <c r="B163" s="35"/>
      <c r="C163" s="34"/>
      <c r="F163" s="35"/>
      <c r="G163" s="35"/>
      <c r="I163" s="35"/>
      <c r="J163" s="36"/>
      <c r="K163" s="30"/>
      <c r="L163" s="30"/>
      <c r="M163" s="37"/>
      <c r="N163" s="30"/>
      <c r="O163" s="30"/>
      <c r="P163" s="30"/>
      <c r="Q163" s="30"/>
      <c r="R163" s="30"/>
      <c r="S163" s="30"/>
    </row>
    <row r="164" s="33" customFormat="1" spans="1:19">
      <c r="A164" s="34"/>
      <c r="B164" s="35"/>
      <c r="C164" s="34"/>
      <c r="F164" s="35"/>
      <c r="G164" s="35"/>
      <c r="I164" s="35"/>
      <c r="J164" s="36"/>
      <c r="K164" s="30"/>
      <c r="L164" s="30"/>
      <c r="M164" s="37"/>
      <c r="N164" s="30"/>
      <c r="O164" s="30"/>
      <c r="P164" s="30"/>
      <c r="Q164" s="30"/>
      <c r="R164" s="30"/>
      <c r="S164" s="30"/>
    </row>
    <row r="165" s="33" customFormat="1" spans="1:19">
      <c r="A165" s="34"/>
      <c r="B165" s="35"/>
      <c r="C165" s="34"/>
      <c r="F165" s="35"/>
      <c r="G165" s="35"/>
      <c r="I165" s="35"/>
      <c r="J165" s="36"/>
      <c r="K165" s="30"/>
      <c r="L165" s="30"/>
      <c r="M165" s="37"/>
      <c r="N165" s="30"/>
      <c r="O165" s="30"/>
      <c r="P165" s="30"/>
      <c r="Q165" s="30"/>
      <c r="R165" s="30"/>
      <c r="S165" s="30"/>
    </row>
    <row r="166" s="33" customFormat="1" spans="1:19">
      <c r="A166" s="34"/>
      <c r="B166" s="35"/>
      <c r="C166" s="34"/>
      <c r="F166" s="35"/>
      <c r="G166" s="35"/>
      <c r="I166" s="35"/>
      <c r="J166" s="36"/>
      <c r="K166" s="30"/>
      <c r="L166" s="30"/>
      <c r="M166" s="37"/>
      <c r="N166" s="30"/>
      <c r="O166" s="30"/>
      <c r="P166" s="30"/>
      <c r="Q166" s="30"/>
      <c r="R166" s="30"/>
      <c r="S166" s="30"/>
    </row>
    <row r="167" s="33" customFormat="1" spans="1:19">
      <c r="A167" s="34"/>
      <c r="B167" s="35"/>
      <c r="C167" s="34"/>
      <c r="F167" s="35"/>
      <c r="G167" s="35"/>
      <c r="I167" s="35"/>
      <c r="J167" s="36"/>
      <c r="K167" s="30"/>
      <c r="L167" s="30"/>
      <c r="M167" s="37"/>
      <c r="N167" s="30"/>
      <c r="O167" s="30"/>
      <c r="P167" s="30"/>
      <c r="Q167" s="30"/>
      <c r="R167" s="30"/>
      <c r="S167" s="30"/>
    </row>
    <row r="168" s="33" customFormat="1" spans="1:19">
      <c r="A168" s="34"/>
      <c r="B168" s="35"/>
      <c r="C168" s="34"/>
      <c r="F168" s="35"/>
      <c r="G168" s="35"/>
      <c r="I168" s="35"/>
      <c r="J168" s="36"/>
      <c r="K168" s="30"/>
      <c r="L168" s="30"/>
      <c r="M168" s="37"/>
      <c r="N168" s="30"/>
      <c r="O168" s="30"/>
      <c r="P168" s="30"/>
      <c r="Q168" s="30"/>
      <c r="R168" s="30"/>
      <c r="S168" s="30"/>
    </row>
  </sheetData>
  <mergeCells count="10">
    <mergeCell ref="A1:J1"/>
    <mergeCell ref="H2:J2"/>
    <mergeCell ref="C5:D5"/>
    <mergeCell ref="E5:F5"/>
    <mergeCell ref="H5:J5"/>
    <mergeCell ref="H149:I149"/>
    <mergeCell ref="A5:A6"/>
    <mergeCell ref="B5:B6"/>
    <mergeCell ref="D142:D143"/>
    <mergeCell ref="G5:G6"/>
  </mergeCells>
  <pageMargins left="0.75" right="0.75" top="1" bottom="1" header="0.511805555555556" footer="0.511805555555556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workbookViewId="0">
      <selection activeCell="A1" sqref="$A1:$XFD1"/>
    </sheetView>
  </sheetViews>
  <sheetFormatPr defaultColWidth="9" defaultRowHeight="13.5" outlineLevelCol="6"/>
  <cols>
    <col min="1" max="1" width="46.5" customWidth="1"/>
    <col min="2" max="2" width="16" customWidth="1"/>
    <col min="3" max="3" width="15.125" customWidth="1"/>
    <col min="4" max="5" width="15.25" customWidth="1"/>
    <col min="6" max="6" width="27.625" customWidth="1"/>
    <col min="7" max="7" width="46.25" customWidth="1"/>
  </cols>
  <sheetData>
    <row r="1" s="21" customFormat="1" ht="30" customHeight="1" spans="1:7">
      <c r="A1" s="22" t="s">
        <v>93</v>
      </c>
      <c r="B1" s="22" t="s">
        <v>171</v>
      </c>
      <c r="C1" s="22" t="s">
        <v>172</v>
      </c>
      <c r="D1" s="22" t="s">
        <v>173</v>
      </c>
      <c r="E1" s="22" t="s">
        <v>174</v>
      </c>
      <c r="F1" s="23" t="s">
        <v>175</v>
      </c>
      <c r="G1" s="22" t="s">
        <v>37</v>
      </c>
    </row>
    <row r="2" ht="21" customHeight="1" spans="1:7">
      <c r="A2" s="24" t="s">
        <v>46</v>
      </c>
      <c r="B2" s="25">
        <v>1696000</v>
      </c>
      <c r="C2" s="25">
        <v>1696000</v>
      </c>
      <c r="D2" s="25">
        <v>1696000</v>
      </c>
      <c r="E2" s="26">
        <f t="shared" ref="E2:E11" si="0">C2-D2</f>
        <v>0</v>
      </c>
      <c r="F2" s="26">
        <f t="shared" ref="F2:F10" si="1">B2-D2</f>
        <v>0</v>
      </c>
      <c r="G2" s="5" t="s">
        <v>176</v>
      </c>
    </row>
    <row r="3" ht="21" customHeight="1" spans="1:7">
      <c r="A3" s="24" t="s">
        <v>177</v>
      </c>
      <c r="B3" s="26">
        <v>753394.34</v>
      </c>
      <c r="C3" s="26">
        <v>679763</v>
      </c>
      <c r="D3" s="26">
        <v>794490</v>
      </c>
      <c r="E3" s="26">
        <f t="shared" si="0"/>
        <v>-114727</v>
      </c>
      <c r="F3" s="26">
        <f t="shared" si="1"/>
        <v>-41095.66</v>
      </c>
      <c r="G3" s="27" t="s">
        <v>178</v>
      </c>
    </row>
    <row r="4" ht="21" customHeight="1" spans="1:7">
      <c r="A4" s="24" t="s">
        <v>179</v>
      </c>
      <c r="B4" s="26">
        <v>500000</v>
      </c>
      <c r="C4" s="26">
        <v>500000</v>
      </c>
      <c r="D4" s="26">
        <v>384000</v>
      </c>
      <c r="E4" s="26">
        <f t="shared" si="0"/>
        <v>116000</v>
      </c>
      <c r="F4" s="26">
        <f t="shared" si="1"/>
        <v>116000</v>
      </c>
      <c r="G4" s="28"/>
    </row>
    <row r="5" ht="21" customHeight="1" spans="1:7">
      <c r="A5" s="24" t="s">
        <v>54</v>
      </c>
      <c r="B5" s="25">
        <f>200000</f>
        <v>200000</v>
      </c>
      <c r="C5" s="26">
        <v>200000</v>
      </c>
      <c r="D5" s="26">
        <v>180000</v>
      </c>
      <c r="E5" s="26">
        <f t="shared" si="0"/>
        <v>20000</v>
      </c>
      <c r="F5" s="26">
        <f t="shared" si="1"/>
        <v>20000</v>
      </c>
      <c r="G5" s="5" t="s">
        <v>180</v>
      </c>
    </row>
    <row r="6" ht="57" customHeight="1" spans="1:7">
      <c r="A6" s="24" t="s">
        <v>107</v>
      </c>
      <c r="B6" s="25">
        <v>360000</v>
      </c>
      <c r="C6" s="26">
        <v>633120</v>
      </c>
      <c r="D6" s="26">
        <v>412320</v>
      </c>
      <c r="E6" s="26">
        <f t="shared" si="0"/>
        <v>220800</v>
      </c>
      <c r="F6" s="26">
        <f t="shared" si="1"/>
        <v>-52320</v>
      </c>
      <c r="G6" s="29" t="s">
        <v>181</v>
      </c>
    </row>
    <row r="7" ht="21" customHeight="1" spans="1:7">
      <c r="A7" s="24" t="s">
        <v>138</v>
      </c>
      <c r="B7" s="25">
        <v>2599646</v>
      </c>
      <c r="C7" s="26">
        <v>0</v>
      </c>
      <c r="D7" s="26">
        <v>305000</v>
      </c>
      <c r="E7" s="26">
        <f t="shared" si="0"/>
        <v>-305000</v>
      </c>
      <c r="F7" s="26">
        <f t="shared" si="1"/>
        <v>2294646</v>
      </c>
      <c r="G7" s="5" t="s">
        <v>182</v>
      </c>
    </row>
    <row r="8" ht="21" customHeight="1" spans="1:7">
      <c r="A8" s="24" t="s">
        <v>101</v>
      </c>
      <c r="B8" s="25">
        <v>1088000</v>
      </c>
      <c r="C8" s="26">
        <v>1088000</v>
      </c>
      <c r="D8" s="26">
        <v>1088000</v>
      </c>
      <c r="E8" s="26">
        <f t="shared" si="0"/>
        <v>0</v>
      </c>
      <c r="F8" s="26">
        <f t="shared" si="1"/>
        <v>0</v>
      </c>
      <c r="G8" s="5" t="s">
        <v>183</v>
      </c>
    </row>
    <row r="9" ht="21" customHeight="1" spans="1:7">
      <c r="A9" s="24" t="s">
        <v>44</v>
      </c>
      <c r="B9" s="26">
        <v>41000</v>
      </c>
      <c r="C9" s="26">
        <v>41000</v>
      </c>
      <c r="D9" s="26">
        <v>41000</v>
      </c>
      <c r="E9" s="26">
        <f t="shared" si="0"/>
        <v>0</v>
      </c>
      <c r="F9" s="26">
        <f t="shared" si="1"/>
        <v>0</v>
      </c>
      <c r="G9" s="5" t="s">
        <v>184</v>
      </c>
    </row>
    <row r="10" ht="21" customHeight="1" spans="1:7">
      <c r="A10" s="24" t="s">
        <v>104</v>
      </c>
      <c r="B10" s="25">
        <v>6078850.24</v>
      </c>
      <c r="C10" s="26">
        <v>805663.02</v>
      </c>
      <c r="D10" s="26">
        <v>0</v>
      </c>
      <c r="E10" s="26">
        <f t="shared" si="0"/>
        <v>805663.02</v>
      </c>
      <c r="F10" s="26">
        <f t="shared" si="1"/>
        <v>6078850.24</v>
      </c>
      <c r="G10" s="5" t="s">
        <v>185</v>
      </c>
    </row>
    <row r="11" ht="21" customHeight="1" spans="1:7">
      <c r="A11" s="24" t="s">
        <v>41</v>
      </c>
      <c r="B11" s="25" t="s">
        <v>186</v>
      </c>
      <c r="C11" s="26">
        <v>0</v>
      </c>
      <c r="D11" s="26">
        <v>240000</v>
      </c>
      <c r="E11" s="26">
        <f t="shared" si="0"/>
        <v>-240000</v>
      </c>
      <c r="F11" s="26"/>
      <c r="G11" s="5"/>
    </row>
    <row r="12" ht="21" customHeight="1" spans="1:7">
      <c r="A12" s="5"/>
      <c r="B12" s="25"/>
      <c r="C12" s="19"/>
      <c r="D12" s="19"/>
      <c r="E12" s="19"/>
      <c r="F12" s="26"/>
      <c r="G12" s="5"/>
    </row>
    <row r="13" ht="21" customHeight="1" spans="1:7">
      <c r="A13" s="5"/>
      <c r="B13" s="25"/>
      <c r="C13" s="19"/>
      <c r="D13" s="19"/>
      <c r="E13" s="19"/>
      <c r="F13" s="26"/>
      <c r="G13" s="5"/>
    </row>
    <row r="14" ht="21" customHeight="1" spans="1:7">
      <c r="A14" s="5"/>
      <c r="B14" s="25"/>
      <c r="C14" s="19"/>
      <c r="D14" s="19"/>
      <c r="E14" s="19"/>
      <c r="F14" s="26"/>
      <c r="G14" s="5"/>
    </row>
    <row r="15" ht="21" customHeight="1" spans="1:7">
      <c r="A15" s="5"/>
      <c r="B15" s="25"/>
      <c r="C15" s="19"/>
      <c r="D15" s="19"/>
      <c r="E15" s="19"/>
      <c r="F15" s="26"/>
      <c r="G15" s="5"/>
    </row>
    <row r="16" ht="21" customHeight="1" spans="1:7">
      <c r="A16" s="5"/>
      <c r="B16" s="25"/>
      <c r="C16" s="19"/>
      <c r="D16" s="19"/>
      <c r="E16" s="19"/>
      <c r="F16" s="26"/>
      <c r="G16" s="5"/>
    </row>
    <row r="17" ht="21" customHeight="1" spans="1:7">
      <c r="A17" s="5"/>
      <c r="B17" s="25"/>
      <c r="C17" s="19"/>
      <c r="D17" s="19"/>
      <c r="E17" s="19"/>
      <c r="F17" s="19"/>
      <c r="G17" s="5"/>
    </row>
    <row r="18" ht="21" customHeight="1" spans="1:7">
      <c r="A18" s="5"/>
      <c r="B18" s="25"/>
      <c r="C18" s="19"/>
      <c r="D18" s="19"/>
      <c r="E18" s="19"/>
      <c r="F18" s="19"/>
      <c r="G18" s="5"/>
    </row>
    <row r="19" ht="21" customHeight="1" spans="1:7">
      <c r="A19" s="5"/>
      <c r="B19" s="19"/>
      <c r="C19" s="19"/>
      <c r="D19" s="19"/>
      <c r="E19" s="19"/>
      <c r="F19" s="19"/>
      <c r="G19" s="5"/>
    </row>
    <row r="20" ht="21" customHeight="1" spans="1:7">
      <c r="A20" s="5"/>
      <c r="B20" s="19"/>
      <c r="C20" s="19"/>
      <c r="D20" s="19"/>
      <c r="E20" s="19"/>
      <c r="F20" s="19"/>
      <c r="G20" s="5"/>
    </row>
    <row r="21" ht="21" customHeight="1" spans="1:7">
      <c r="A21" s="5"/>
      <c r="B21" s="19"/>
      <c r="C21" s="19"/>
      <c r="D21" s="19"/>
      <c r="E21" s="19"/>
      <c r="F21" s="19"/>
      <c r="G21" s="5"/>
    </row>
    <row r="22" ht="21" customHeight="1" spans="1:7">
      <c r="A22" s="5"/>
      <c r="B22" s="5"/>
      <c r="C22" s="5"/>
      <c r="D22" s="5"/>
      <c r="E22" s="5"/>
      <c r="F22" s="5"/>
      <c r="G22" s="5"/>
    </row>
  </sheetData>
  <mergeCells count="1">
    <mergeCell ref="G3:G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workbookViewId="0">
      <selection activeCell="G21" sqref="G21"/>
    </sheetView>
  </sheetViews>
  <sheetFormatPr defaultColWidth="9" defaultRowHeight="13.5" outlineLevelCol="6"/>
  <cols>
    <col min="1" max="1" width="18.375" customWidth="1"/>
    <col min="2" max="2" width="18.125" customWidth="1"/>
    <col min="3" max="3" width="15.375" customWidth="1"/>
    <col min="4" max="4" width="16.125" customWidth="1"/>
    <col min="5" max="5" width="29.5" customWidth="1"/>
    <col min="6" max="6" width="21" customWidth="1"/>
    <col min="7" max="7" width="40.75" customWidth="1"/>
  </cols>
  <sheetData>
    <row r="1" ht="27" customHeight="1" spans="1:5">
      <c r="A1" s="1" t="s">
        <v>187</v>
      </c>
      <c r="E1" s="1" t="s">
        <v>188</v>
      </c>
    </row>
    <row r="2" ht="27" customHeight="1" spans="1:7">
      <c r="A2" s="1" t="s">
        <v>189</v>
      </c>
      <c r="B2" s="2" t="s">
        <v>19</v>
      </c>
      <c r="C2" s="2" t="s">
        <v>190</v>
      </c>
      <c r="E2" s="2" t="s">
        <v>189</v>
      </c>
      <c r="F2" s="2" t="s">
        <v>19</v>
      </c>
      <c r="G2" s="2" t="s">
        <v>93</v>
      </c>
    </row>
    <row r="3" ht="22" customHeight="1" spans="1:7">
      <c r="A3" s="3">
        <v>43944</v>
      </c>
      <c r="B3" s="4">
        <v>800000</v>
      </c>
      <c r="C3" s="5" t="s">
        <v>21</v>
      </c>
      <c r="E3" s="6">
        <v>43960</v>
      </c>
      <c r="F3" s="7">
        <v>500000</v>
      </c>
      <c r="G3" s="8" t="s">
        <v>46</v>
      </c>
    </row>
    <row r="4" ht="22" customHeight="1" spans="1:7">
      <c r="A4" s="3">
        <v>44090</v>
      </c>
      <c r="B4" s="4">
        <v>800000</v>
      </c>
      <c r="C4" s="5" t="s">
        <v>21</v>
      </c>
      <c r="E4" s="9">
        <v>43970</v>
      </c>
      <c r="F4" s="7">
        <v>50000</v>
      </c>
      <c r="G4" s="10" t="s">
        <v>41</v>
      </c>
    </row>
    <row r="5" ht="22" customHeight="1" spans="1:7">
      <c r="A5" s="3">
        <v>44235</v>
      </c>
      <c r="B5" s="4">
        <v>1200000</v>
      </c>
      <c r="C5" s="5" t="s">
        <v>21</v>
      </c>
      <c r="E5" s="6">
        <v>44005</v>
      </c>
      <c r="F5" s="7">
        <v>70000</v>
      </c>
      <c r="G5" s="10" t="s">
        <v>41</v>
      </c>
    </row>
    <row r="6" ht="22" customHeight="1" spans="1:7">
      <c r="A6" s="3">
        <v>44237</v>
      </c>
      <c r="B6" s="4">
        <v>800000</v>
      </c>
      <c r="C6" s="5" t="s">
        <v>21</v>
      </c>
      <c r="E6" s="9">
        <v>44097</v>
      </c>
      <c r="F6" s="7">
        <v>300000</v>
      </c>
      <c r="G6" s="8" t="s">
        <v>46</v>
      </c>
    </row>
    <row r="7" ht="22" customHeight="1" spans="1:7">
      <c r="A7" s="3">
        <v>43944</v>
      </c>
      <c r="B7" s="4">
        <v>200000</v>
      </c>
      <c r="C7" s="5" t="s">
        <v>23</v>
      </c>
      <c r="E7" s="9">
        <v>44099</v>
      </c>
      <c r="F7" s="11">
        <v>200000</v>
      </c>
      <c r="G7" s="10" t="s">
        <v>50</v>
      </c>
    </row>
    <row r="8" ht="22" customHeight="1" spans="1:7">
      <c r="A8" s="3">
        <v>44099</v>
      </c>
      <c r="B8" s="4">
        <v>200000</v>
      </c>
      <c r="C8" s="5" t="s">
        <v>23</v>
      </c>
      <c r="E8" s="9">
        <v>44103</v>
      </c>
      <c r="F8" s="11">
        <v>30000</v>
      </c>
      <c r="G8" s="10" t="s">
        <v>41</v>
      </c>
    </row>
    <row r="9" ht="22" customHeight="1" spans="1:7">
      <c r="A9" s="3">
        <v>44235</v>
      </c>
      <c r="B9" s="4">
        <v>300000</v>
      </c>
      <c r="C9" s="5" t="s">
        <v>23</v>
      </c>
      <c r="E9" s="9">
        <v>44103</v>
      </c>
      <c r="F9" s="11">
        <v>100000</v>
      </c>
      <c r="G9" s="10" t="s">
        <v>50</v>
      </c>
    </row>
    <row r="10" ht="22" customHeight="1" spans="1:7">
      <c r="A10" s="3">
        <v>44237</v>
      </c>
      <c r="B10" s="4">
        <v>200000</v>
      </c>
      <c r="C10" s="5" t="s">
        <v>23</v>
      </c>
      <c r="E10" s="9">
        <v>44130</v>
      </c>
      <c r="F10" s="11">
        <v>180000</v>
      </c>
      <c r="G10" s="8" t="s">
        <v>54</v>
      </c>
    </row>
    <row r="11" ht="22" customHeight="1" spans="1:7">
      <c r="A11" s="12" t="s">
        <v>191</v>
      </c>
      <c r="B11" s="13">
        <f>SUM(B3:B6)</f>
        <v>3600000</v>
      </c>
      <c r="C11" s="5"/>
      <c r="E11" s="9">
        <v>44236</v>
      </c>
      <c r="F11" s="11">
        <v>880000</v>
      </c>
      <c r="G11" s="8" t="s">
        <v>101</v>
      </c>
    </row>
    <row r="12" ht="22" customHeight="1" spans="1:7">
      <c r="A12" s="12" t="s">
        <v>192</v>
      </c>
      <c r="B12" s="13">
        <f>SUM(B7:B10)</f>
        <v>900000</v>
      </c>
      <c r="C12" s="5"/>
      <c r="E12" s="9">
        <v>44271</v>
      </c>
      <c r="F12" s="14">
        <v>67680</v>
      </c>
      <c r="G12" s="8" t="s">
        <v>101</v>
      </c>
    </row>
    <row r="13" ht="22" customHeight="1" spans="1:7">
      <c r="A13" s="12" t="s">
        <v>24</v>
      </c>
      <c r="B13" s="13">
        <f>B11+B12</f>
        <v>4500000</v>
      </c>
      <c r="C13" s="5"/>
      <c r="E13" s="9">
        <v>44271</v>
      </c>
      <c r="F13" s="14">
        <v>40000</v>
      </c>
      <c r="G13" s="8" t="s">
        <v>41</v>
      </c>
    </row>
    <row r="14" ht="27" customHeight="1" spans="1:7">
      <c r="A14" s="1"/>
      <c r="E14" s="9">
        <v>44271</v>
      </c>
      <c r="F14" s="14">
        <v>412320</v>
      </c>
      <c r="G14" s="8" t="s">
        <v>107</v>
      </c>
    </row>
    <row r="15" ht="24" customHeight="1" spans="1:7">
      <c r="A15" s="1"/>
      <c r="E15" s="9">
        <v>44273</v>
      </c>
      <c r="F15" s="14">
        <v>336000</v>
      </c>
      <c r="G15" s="8" t="s">
        <v>46</v>
      </c>
    </row>
    <row r="16" ht="24" customHeight="1" spans="1:7">
      <c r="A16" s="1"/>
      <c r="E16" s="6">
        <v>43825</v>
      </c>
      <c r="F16" s="15">
        <v>50000</v>
      </c>
      <c r="G16" s="16" t="s">
        <v>41</v>
      </c>
    </row>
    <row r="17" ht="24" customHeight="1" spans="1:7">
      <c r="A17" s="1" t="s">
        <v>193</v>
      </c>
      <c r="E17" s="6" t="s">
        <v>43</v>
      </c>
      <c r="F17" s="15">
        <v>41000</v>
      </c>
      <c r="G17" s="16" t="s">
        <v>44</v>
      </c>
    </row>
    <row r="18" ht="24" customHeight="1" spans="1:7">
      <c r="A18" s="1" t="s">
        <v>189</v>
      </c>
      <c r="B18" s="2" t="s">
        <v>19</v>
      </c>
      <c r="C18" s="2" t="s">
        <v>190</v>
      </c>
      <c r="E18" s="12" t="s">
        <v>194</v>
      </c>
      <c r="F18" s="17">
        <f>SUM(F3:F17)</f>
        <v>3257000</v>
      </c>
      <c r="G18" s="5"/>
    </row>
    <row r="19" ht="23" customHeight="1" spans="1:7">
      <c r="A19" s="6">
        <v>43790</v>
      </c>
      <c r="B19" s="18">
        <v>50000</v>
      </c>
      <c r="C19" s="5" t="s">
        <v>39</v>
      </c>
      <c r="E19" s="9">
        <v>44006</v>
      </c>
      <c r="F19" s="7">
        <v>200000</v>
      </c>
      <c r="G19" s="10" t="s">
        <v>50</v>
      </c>
    </row>
    <row r="20" ht="23" customHeight="1" spans="1:7">
      <c r="A20" s="6">
        <v>43891</v>
      </c>
      <c r="B20" s="18">
        <v>41000</v>
      </c>
      <c r="C20" s="5" t="s">
        <v>39</v>
      </c>
      <c r="E20" s="9">
        <v>44099</v>
      </c>
      <c r="F20" s="11">
        <v>126369.34</v>
      </c>
      <c r="G20" s="10" t="s">
        <v>50</v>
      </c>
    </row>
    <row r="21" ht="23" customHeight="1" spans="1:7">
      <c r="A21" s="12" t="s">
        <v>24</v>
      </c>
      <c r="B21" s="17">
        <f>B19+B20</f>
        <v>91000</v>
      </c>
      <c r="C21" s="5"/>
      <c r="E21" s="9">
        <v>44120</v>
      </c>
      <c r="F21" s="11">
        <v>73630.66</v>
      </c>
      <c r="G21" s="10" t="s">
        <v>50</v>
      </c>
    </row>
    <row r="22" ht="23" customHeight="1" spans="5:7">
      <c r="E22" s="9">
        <v>44236</v>
      </c>
      <c r="F22" s="11">
        <v>300000</v>
      </c>
      <c r="G22" s="10" t="s">
        <v>50</v>
      </c>
    </row>
    <row r="23" ht="23" customHeight="1" spans="1:7">
      <c r="A23" s="2"/>
      <c r="E23" s="9">
        <v>44238</v>
      </c>
      <c r="F23" s="11">
        <v>94490</v>
      </c>
      <c r="G23" s="10" t="s">
        <v>50</v>
      </c>
    </row>
    <row r="24" ht="26" customHeight="1" spans="5:7">
      <c r="E24" s="9">
        <v>44328</v>
      </c>
      <c r="F24" s="14">
        <v>105000</v>
      </c>
      <c r="G24" s="8" t="s">
        <v>138</v>
      </c>
    </row>
    <row r="25" ht="27" customHeight="1" spans="5:7">
      <c r="E25" s="12" t="s">
        <v>195</v>
      </c>
      <c r="F25" s="17">
        <f>SUM(F19:F24)</f>
        <v>899490</v>
      </c>
      <c r="G25" s="5"/>
    </row>
    <row r="26" ht="24" customHeight="1" spans="5:5">
      <c r="E26" s="1" t="s">
        <v>196</v>
      </c>
    </row>
    <row r="27" ht="21" customHeight="1" spans="5:7">
      <c r="E27" s="2" t="s">
        <v>197</v>
      </c>
      <c r="F27" s="2" t="s">
        <v>19</v>
      </c>
      <c r="G27" s="2" t="s">
        <v>37</v>
      </c>
    </row>
    <row r="28" ht="21" customHeight="1" spans="5:7">
      <c r="E28" s="5" t="s">
        <v>75</v>
      </c>
      <c r="F28" s="19">
        <f>127126+206061.34</f>
        <v>333187.34</v>
      </c>
      <c r="G28" s="5"/>
    </row>
    <row r="29" ht="21" customHeight="1" spans="5:7">
      <c r="E29" s="5" t="s">
        <v>145</v>
      </c>
      <c r="F29" s="19">
        <f>20000+30000</f>
        <v>50000</v>
      </c>
      <c r="G29" s="5"/>
    </row>
    <row r="30" ht="21" customHeight="1" spans="5:7">
      <c r="E30" s="5" t="s">
        <v>147</v>
      </c>
      <c r="F30" s="19">
        <f>10000+10000+15000+8000</f>
        <v>43000</v>
      </c>
      <c r="G30" s="5"/>
    </row>
    <row r="31" ht="21" customHeight="1" spans="1:7">
      <c r="A31" s="2" t="s">
        <v>198</v>
      </c>
      <c r="B31" s="2">
        <f>B11+B21-F18-F33</f>
        <v>5912.66000000003</v>
      </c>
      <c r="E31" s="5" t="s">
        <v>73</v>
      </c>
      <c r="F31" s="19">
        <v>500</v>
      </c>
      <c r="G31" s="5"/>
    </row>
    <row r="32" ht="21" customHeight="1" spans="1:7">
      <c r="A32" s="2" t="s">
        <v>199</v>
      </c>
      <c r="B32" s="2">
        <f>B12-F25</f>
        <v>510</v>
      </c>
      <c r="E32" s="5" t="s">
        <v>70</v>
      </c>
      <c r="F32" s="19">
        <v>1400</v>
      </c>
      <c r="G32" s="5"/>
    </row>
    <row r="33" ht="24" customHeight="1" spans="1:7">
      <c r="A33" s="20" t="s">
        <v>200</v>
      </c>
      <c r="B33" s="2">
        <f>B13+B21-F18-F25-F33</f>
        <v>6422.66000000003</v>
      </c>
      <c r="E33" s="12" t="s">
        <v>201</v>
      </c>
      <c r="F33" s="17">
        <f>SUM(F28:F32)</f>
        <v>428087.34</v>
      </c>
      <c r="G33" s="5"/>
    </row>
    <row r="34" ht="22" customHeight="1"/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1次</vt:lpstr>
      <vt:lpstr>2次</vt:lpstr>
      <vt:lpstr>新</vt:lpstr>
      <vt:lpstr>汇总表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WPS_1559024150</cp:lastModifiedBy>
  <dcterms:created xsi:type="dcterms:W3CDTF">2016-07-12T06:03:00Z</dcterms:created>
  <cp:lastPrinted>2016-11-23T10:22:00Z</cp:lastPrinted>
  <dcterms:modified xsi:type="dcterms:W3CDTF">2023-10-18T02:12:29Z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E12CCFFF998D45C79708A152757B6BD4</vt:lpwstr>
  </property>
</Properties>
</file>