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1"/>
  </bookViews>
  <sheets>
    <sheet name="旧" sheetId="1" r:id="rId1"/>
    <sheet name="新" sheetId="2" r:id="rId2"/>
  </sheets>
  <definedNames>
    <definedName name="_xlnm._FilterDatabase" localSheetId="1" hidden="1">新!$A$16:$V$272</definedName>
    <definedName name="_xlnm._FilterDatabase" localSheetId="0" hidden="1">旧!$A$14:$V$320</definedName>
  </definedNames>
  <calcPr calcId="144525" concurrentCalc="0"/>
</workbook>
</file>

<file path=xl/comments1.xml><?xml version="1.0" encoding="utf-8"?>
<comments xmlns="http://schemas.openxmlformats.org/spreadsheetml/2006/main">
  <authors>
    <author>cw01</author>
    <author>cw05</author>
  </authors>
  <commentList>
    <comment ref="K303" authorId="0">
      <text>
        <r>
          <rPr>
            <sz val="9"/>
            <rFont val="宋体"/>
            <charset val="134"/>
          </rPr>
          <t>cw01:
吴总</t>
        </r>
      </text>
    </comment>
    <comment ref="A312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313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E320" authorId="0">
      <text>
        <r>
          <rPr>
            <sz val="9"/>
            <rFont val="宋体"/>
            <charset val="134"/>
          </rPr>
          <t>cw01:齐亮亮</t>
        </r>
      </text>
    </comment>
  </commentList>
</comments>
</file>

<file path=xl/comments2.xml><?xml version="1.0" encoding="utf-8"?>
<comments xmlns="http://schemas.openxmlformats.org/spreadsheetml/2006/main">
  <authors>
    <author>cw01</author>
    <author>cw05</author>
  </authors>
  <commentList>
    <comment ref="K326" authorId="0">
      <text>
        <r>
          <rPr>
            <sz val="9"/>
            <rFont val="宋体"/>
            <charset val="134"/>
          </rPr>
          <t>cw01:
吴总</t>
        </r>
      </text>
    </comment>
    <comment ref="L333" authorId="1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前期成本票填写错误951290</t>
        </r>
      </text>
    </comment>
    <comment ref="A335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336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K339" authorId="1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水利基金、印花税未交</t>
        </r>
      </text>
    </comment>
    <comment ref="E343" authorId="0">
      <text>
        <r>
          <rPr>
            <sz val="9"/>
            <rFont val="宋体"/>
            <charset val="134"/>
          </rPr>
          <t>cw01:齐亮亮</t>
        </r>
      </text>
    </comment>
    <comment ref="K345" authorId="1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与ERP保持一致</t>
        </r>
      </text>
    </comment>
  </commentList>
</comments>
</file>

<file path=xl/sharedStrings.xml><?xml version="1.0" encoding="utf-8"?>
<sst xmlns="http://schemas.openxmlformats.org/spreadsheetml/2006/main" count="2159" uniqueCount="348">
  <si>
    <t>安阳市普通干线公路交通标志调整专项工程</t>
  </si>
  <si>
    <t>中标日期</t>
  </si>
  <si>
    <t>2019.4.2</t>
  </si>
  <si>
    <t>中标价</t>
  </si>
  <si>
    <t>负责人</t>
  </si>
  <si>
    <t>建设单位</t>
  </si>
  <si>
    <t>安阳市公路管理局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</si>
  <si>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</si>
  <si>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</si>
  <si>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</si>
  <si>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</si>
  <si>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</si>
  <si>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</si>
  <si>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</si>
  <si>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</si>
  <si>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</si>
  <si>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</si>
  <si>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</si>
  <si>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</si>
  <si>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</si>
  <si>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</si>
  <si>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专</t>
  </si>
  <si>
    <t>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</si>
  <si>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</si>
  <si>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</si>
  <si>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</si>
  <si>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</si>
  <si>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</si>
  <si>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</si>
  <si>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</si>
  <si>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</si>
  <si>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</si>
  <si>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</si>
  <si>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</si>
  <si>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</si>
  <si>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</si>
  <si>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</si>
  <si>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河南大明建设工程管理有限公司</t>
  </si>
  <si>
    <t>咨询费</t>
  </si>
  <si>
    <t>安阳市园林建设工程处</t>
  </si>
  <si>
    <t>绿苗损害押金</t>
  </si>
  <si>
    <t>河南省交通厅公路管理局水冶重油库</t>
  </si>
  <si>
    <t>中国太平洋财产保险股份有限公司安阳中心支公司</t>
  </si>
  <si>
    <t>保险费</t>
  </si>
  <si>
    <t xml:space="preserve">  </t>
  </si>
  <si>
    <t>合肥路政通反光材料有限公司</t>
  </si>
  <si>
    <t>反光膜1856.38平方</t>
  </si>
  <si>
    <t>济南亿航铝材有限公司</t>
  </si>
  <si>
    <t>铝板</t>
  </si>
  <si>
    <t>安阳市三晶物资有限责任公司公司</t>
  </si>
  <si>
    <t>钢管10.397吨</t>
  </si>
  <si>
    <t>有</t>
  </si>
  <si>
    <t>山东信誉成和钢管有限公司</t>
  </si>
  <si>
    <t>钢管</t>
  </si>
  <si>
    <t>钢管138.872吨</t>
  </si>
  <si>
    <t>天津市尚典科技发展有限公司</t>
  </si>
  <si>
    <t>里程碑</t>
  </si>
  <si>
    <t>铝板19.566吨、铝滑槽2.318吨</t>
  </si>
  <si>
    <t>专户</t>
  </si>
  <si>
    <t xml:space="preserve">河南汇丰管业有限公司 </t>
  </si>
  <si>
    <t>杆件</t>
  </si>
  <si>
    <t>安阳市恒通筑路机械租赁有限责任公司</t>
  </si>
  <si>
    <t>招标代理费退回</t>
  </si>
  <si>
    <t>2019-521# 908546元</t>
  </si>
  <si>
    <t>百米桩</t>
  </si>
  <si>
    <t>秦文广（安阳市凯信达商贸有限公司）</t>
  </si>
  <si>
    <t>手套卷尺等</t>
  </si>
  <si>
    <t>普</t>
  </si>
  <si>
    <t>秦文广（零星支出）</t>
  </si>
  <si>
    <t>河南汇丰管业有限公司</t>
  </si>
  <si>
    <t>镀锌款</t>
  </si>
  <si>
    <t>零星支出</t>
  </si>
  <si>
    <t>安阳市北关区盛春五金建材商行</t>
  </si>
  <si>
    <t>防尘网</t>
  </si>
  <si>
    <t>秦文广（河南立凯工程咨询有限公司）</t>
  </si>
  <si>
    <t>工程咨询费</t>
  </si>
  <si>
    <t>北京中关村科技融资担保有限公司</t>
  </si>
  <si>
    <t>担保费、手续费</t>
  </si>
  <si>
    <t>铝板1.2吨</t>
  </si>
  <si>
    <t>建筑工程一切险</t>
  </si>
  <si>
    <t>林州恒茂建筑工程有限公司</t>
  </si>
  <si>
    <t>劳务</t>
  </si>
  <si>
    <t xml:space="preserve"> </t>
  </si>
  <si>
    <t>退代付材料款</t>
  </si>
  <si>
    <t>秦文广</t>
  </si>
  <si>
    <t>安阳县兴泰石油化工有限责任公司</t>
  </si>
  <si>
    <t>油款</t>
  </si>
  <si>
    <t>郑州长盛交通设施有限公司</t>
  </si>
  <si>
    <t>报窟款</t>
  </si>
  <si>
    <t>切割片等</t>
  </si>
  <si>
    <t>螺丝刀手套等</t>
  </si>
  <si>
    <t>配件插座插头</t>
  </si>
  <si>
    <t>开关手套等</t>
  </si>
  <si>
    <t>秦文广（汤阴道明交通工程有限公司）</t>
  </si>
  <si>
    <t>反光膜</t>
  </si>
  <si>
    <t>定额票</t>
  </si>
  <si>
    <t>秦文广（安阳县兴泰石油化工有限责任公司）</t>
  </si>
  <si>
    <t>柴油汽油</t>
  </si>
  <si>
    <t>秦文广（许相芬（零星支出））</t>
  </si>
  <si>
    <t>蔬菜肉类</t>
  </si>
  <si>
    <t>秦文广（安阳县水冶天元液化气站（普通合伙）蒋村分站）</t>
  </si>
  <si>
    <t>汽油</t>
  </si>
  <si>
    <t>反光膜671.2平方米</t>
  </si>
  <si>
    <t>铝板0.922吨</t>
  </si>
  <si>
    <t>机械租赁费</t>
  </si>
  <si>
    <t>德州纳德钢结构有限公司</t>
  </si>
  <si>
    <t>标识杆58.92吨</t>
  </si>
  <si>
    <t>抱窟1815套</t>
  </si>
  <si>
    <t>秦文广（焦艳平（零星支出））</t>
  </si>
  <si>
    <t>报窟、方丝、喷漆</t>
  </si>
  <si>
    <t>过路费、螺母、报窟、方丝螺丝帽</t>
  </si>
  <si>
    <t>防尘网、快递费</t>
  </si>
  <si>
    <t>螺帽、电池、路费等</t>
  </si>
  <si>
    <t>福建省安元光学科技有限公司</t>
  </si>
  <si>
    <t>材料款</t>
  </si>
  <si>
    <t>钢管107.125吨</t>
  </si>
  <si>
    <t>河南福达交通设施有限公司</t>
  </si>
  <si>
    <t>零星采购</t>
  </si>
  <si>
    <t>郑州市卓而优铝业有限公司</t>
  </si>
  <si>
    <t>钢材</t>
  </si>
  <si>
    <t>反光膜170.1平方</t>
  </si>
  <si>
    <t>山东冠县众鲁交通设施有限公司</t>
  </si>
  <si>
    <t>护栏</t>
  </si>
  <si>
    <t>钢材0.992吨</t>
  </si>
  <si>
    <t>反光膜2564.68平方</t>
  </si>
  <si>
    <t>2019-445#</t>
  </si>
  <si>
    <t>路标杆件44.69吨</t>
  </si>
  <si>
    <t>扳手、油漆垫片、桶装水、液化石油气、换水箱、皮垫、修方向机</t>
  </si>
  <si>
    <t>林州市建兴商品砼有限公司</t>
  </si>
  <si>
    <t>混凝土</t>
  </si>
  <si>
    <t>柴油1399.46升</t>
  </si>
  <si>
    <t>19-12.04</t>
  </si>
  <si>
    <t>劳务费</t>
  </si>
  <si>
    <t>铝板27.1吨</t>
  </si>
  <si>
    <t>普代</t>
  </si>
  <si>
    <t xml:space="preserve">贾艳军 </t>
  </si>
  <si>
    <t>吊装费</t>
  </si>
  <si>
    <t>秦文广（深圳白鹤区块链科技有限公司）</t>
  </si>
  <si>
    <t>服务费</t>
  </si>
  <si>
    <t>秦文广（高雪春（零星支出））</t>
  </si>
  <si>
    <t>铁锹、洗衣粉、水桶</t>
  </si>
  <si>
    <t>毛巾洗衣粉</t>
  </si>
  <si>
    <t>秦文广（安阳水晶生活广场）</t>
  </si>
  <si>
    <t>打印纸</t>
  </si>
  <si>
    <t>混凝土302.09立方</t>
  </si>
  <si>
    <t>护栏77.858吨</t>
  </si>
  <si>
    <t>定额（快递费）</t>
  </si>
  <si>
    <t>定额（反光膜）</t>
  </si>
  <si>
    <t>定额（水平尺 、胶手套）</t>
  </si>
  <si>
    <t>定额（螺母）</t>
  </si>
  <si>
    <t>定额（垫片）</t>
  </si>
  <si>
    <t>定额（螺丝帽、垫片）</t>
  </si>
  <si>
    <t>加工费133.03吨</t>
  </si>
  <si>
    <t>安阳市小青交通设施有限公司</t>
  </si>
  <si>
    <t>报窟款1395套</t>
  </si>
  <si>
    <t>加工费34.28吨</t>
  </si>
  <si>
    <t>反光膜1512.5平方</t>
  </si>
  <si>
    <t>安阳市鼎悦建材有限公司</t>
  </si>
  <si>
    <t>混凝土355立方</t>
  </si>
  <si>
    <t>秦文广（林州市陵阳镇奥丰之宝汽车维修中心）</t>
  </si>
  <si>
    <t>配件及维修费</t>
  </si>
  <si>
    <t>秦文广（顺丰快递费）</t>
  </si>
  <si>
    <t>无缝钢管15.949吨</t>
  </si>
  <si>
    <t>浚县江海水泥制品有限公司</t>
  </si>
  <si>
    <t>商硂536.997立方</t>
  </si>
  <si>
    <t>安阳钢宇工贸有限公司</t>
  </si>
  <si>
    <t>钢板41.875</t>
  </si>
  <si>
    <t>2020-045#/合同金额 159125元</t>
  </si>
  <si>
    <t>反光膜781.47平方</t>
  </si>
  <si>
    <t>安阳豪弘信商贸有限公司</t>
  </si>
  <si>
    <t>热镀管21.25吨</t>
  </si>
  <si>
    <t>2020-071# 264000元</t>
  </si>
  <si>
    <t>安阳县嘉强交通设施有限公司</t>
  </si>
  <si>
    <t>工程服务</t>
  </si>
  <si>
    <t>标志杆39.418</t>
  </si>
  <si>
    <t>标志牌版面696.9平方</t>
  </si>
  <si>
    <t>2019-620</t>
  </si>
  <si>
    <t>濮阳市万达建材有限公司</t>
  </si>
  <si>
    <t>混凝土833.2立方</t>
  </si>
  <si>
    <t>零星材料款</t>
  </si>
  <si>
    <t>商硂</t>
  </si>
  <si>
    <t>安徽昌达</t>
  </si>
  <si>
    <t>贾艳军</t>
  </si>
  <si>
    <t>机械费</t>
  </si>
  <si>
    <t>镀锌加工费</t>
  </si>
  <si>
    <t>合同14w元暂定价格，数量100吨</t>
  </si>
  <si>
    <t>秦文广（过路费）</t>
  </si>
  <si>
    <t>秦文广（安阳县水冶镇领豫建机配件门市部）</t>
  </si>
  <si>
    <t>振动电机，振动棒</t>
  </si>
  <si>
    <t>定额</t>
  </si>
  <si>
    <t>秦文广（大发五交化经营部/顺通五金机电门市部/友谊日杂百货门市部）</t>
  </si>
  <si>
    <t>汽油/柴油</t>
  </si>
  <si>
    <t>定额发票</t>
  </si>
  <si>
    <t>间接费用（弯头，塑料管，剪刀，稿纸，中性笔，三角旗）</t>
  </si>
  <si>
    <t>间接费用</t>
  </si>
  <si>
    <t>液化气</t>
  </si>
  <si>
    <t>配件</t>
  </si>
  <si>
    <t>打印纸，乙炔，氧气</t>
  </si>
  <si>
    <t>毛巾等</t>
  </si>
  <si>
    <t>氩气</t>
  </si>
  <si>
    <t>油0#536.6升，92#461.75升</t>
  </si>
  <si>
    <t>镀锡费</t>
  </si>
  <si>
    <t>螺丝</t>
  </si>
  <si>
    <t>圆钢，螺纹钢</t>
  </si>
  <si>
    <t>铆钉</t>
  </si>
  <si>
    <t>安阳市森源通物资有限公司</t>
  </si>
  <si>
    <t>钢板钢筋</t>
  </si>
  <si>
    <t>2020-048#</t>
  </si>
  <si>
    <t>韩志勇</t>
  </si>
  <si>
    <t>建筑工程吊装费</t>
  </si>
  <si>
    <t>2020-379#</t>
  </si>
  <si>
    <t>2020-285#</t>
  </si>
  <si>
    <t>安阳市三晶物资有限责任公司</t>
  </si>
  <si>
    <t>焊管</t>
  </si>
  <si>
    <t>2020-321#</t>
  </si>
  <si>
    <t>秦文广（安阳市龙安区东风凯途交通设施直销处）</t>
  </si>
  <si>
    <t>金属制品（零星支出）</t>
  </si>
  <si>
    <t>秦文广（安阳县固胜商砼有限公司）</t>
  </si>
  <si>
    <t>混凝土（零星支出）</t>
  </si>
  <si>
    <t>定额/普</t>
  </si>
  <si>
    <t>代普</t>
  </si>
  <si>
    <t>铝板/2.01吨</t>
  </si>
  <si>
    <t>2020-318#</t>
  </si>
  <si>
    <t>河南孟电集团新型建材有限公司</t>
  </si>
  <si>
    <t>商品混凝土/C25/91.3方</t>
  </si>
  <si>
    <t>2020-372#</t>
  </si>
  <si>
    <t>收周转金</t>
  </si>
  <si>
    <t>140镀锌管/140*4.5*7050/6.87吨</t>
  </si>
  <si>
    <t>2019-697#</t>
  </si>
  <si>
    <t>钢板</t>
  </si>
  <si>
    <t>零星票</t>
  </si>
  <si>
    <t>无缝管</t>
  </si>
  <si>
    <t>2020-319#</t>
  </si>
  <si>
    <t>热镀管</t>
  </si>
  <si>
    <t>2020-656# 金额121500元</t>
  </si>
  <si>
    <t>秦文广（深圳白鹤区块链科技有限公司 ）</t>
  </si>
  <si>
    <t>信息服务费</t>
  </si>
  <si>
    <t>安阳县宏源商砼有限公司</t>
  </si>
  <si>
    <t>商砼</t>
  </si>
  <si>
    <t>2020-320# 合同金额41526.05元</t>
  </si>
  <si>
    <t>合作人转周转金到专户</t>
  </si>
  <si>
    <t>异地预缴税金</t>
  </si>
  <si>
    <t>2020-512#</t>
  </si>
  <si>
    <t>工地吊装费</t>
  </si>
  <si>
    <t>退周转金</t>
  </si>
  <si>
    <t>郑州市嘉途标识标牌有限公司</t>
  </si>
  <si>
    <t xml:space="preserve"> 标牌款</t>
  </si>
  <si>
    <t xml:space="preserve"> 零星支出</t>
  </si>
  <si>
    <t xml:space="preserve">安阳市恒通筑路机械租赁有限责任公司 </t>
  </si>
  <si>
    <t xml:space="preserve"> 劳务</t>
  </si>
  <si>
    <t xml:space="preserve"> 管材费</t>
  </si>
  <si>
    <t>河南万象交通设施有限公司</t>
  </si>
  <si>
    <t>标牌款</t>
  </si>
  <si>
    <t>2020-801# 345940元</t>
  </si>
  <si>
    <t>快递费</t>
  </si>
  <si>
    <t>2020-378# 22691.88元</t>
  </si>
  <si>
    <t>2020-380#  20684.73</t>
  </si>
  <si>
    <t>商品砼</t>
  </si>
  <si>
    <t>钢板、钢筋款</t>
  </si>
  <si>
    <t>杆件费</t>
  </si>
  <si>
    <t>吊车费</t>
  </si>
  <si>
    <t>镀锌管款</t>
  </si>
  <si>
    <t>2019-435# 1732822元</t>
  </si>
  <si>
    <t>铝板费</t>
  </si>
  <si>
    <t>2020-820#  100143.8元</t>
  </si>
  <si>
    <t xml:space="preserve">2020-800#  19400元 </t>
  </si>
  <si>
    <t>立杆</t>
  </si>
  <si>
    <t>2020-837#  413840元</t>
  </si>
  <si>
    <t>2021-013#  60000元</t>
  </si>
  <si>
    <t>河南中原鼎盛工程技术有限公司</t>
  </si>
  <si>
    <t>2020-838# 1325598元</t>
  </si>
  <si>
    <t>2020-656</t>
  </si>
  <si>
    <t>合同  507000元</t>
  </si>
  <si>
    <t>5次</t>
  </si>
  <si>
    <t>退</t>
  </si>
  <si>
    <t>因发生责任事故暂扣</t>
  </si>
  <si>
    <t>扣</t>
  </si>
  <si>
    <t xml:space="preserve">财务手续 </t>
  </si>
  <si>
    <t>退之前暂扣企税</t>
  </si>
  <si>
    <t>王光如</t>
  </si>
  <si>
    <t>收印章租赁费</t>
  </si>
  <si>
    <t>印章租赁费</t>
  </si>
  <si>
    <t>安阳安全质量生产的违约金</t>
  </si>
  <si>
    <t>财务手续费暂扣累计</t>
  </si>
  <si>
    <t>管理费</t>
  </si>
  <si>
    <t>4次</t>
  </si>
  <si>
    <t>暂扣</t>
  </si>
  <si>
    <t>企税 （成本不够）</t>
  </si>
  <si>
    <t>企税1%（2020.12月开票）</t>
  </si>
  <si>
    <t>印花水利（2020.12月开票）</t>
  </si>
  <si>
    <t>2020.12月第二次开票预缴税金</t>
  </si>
  <si>
    <t>河南省交通厅公路管理局水冶重油库（原交到个人卡上面的税金、管理费原路退回（支付表上面130740.5元+61397元+25,774.34 元））</t>
  </si>
  <si>
    <t>1-3次</t>
  </si>
  <si>
    <t>收合作人缴纳2020.12月第一次开票预缴税金</t>
  </si>
  <si>
    <t>2020.12月第一次开票预缴税金</t>
  </si>
  <si>
    <t>收财务手续费</t>
  </si>
  <si>
    <t>2020.8.28</t>
  </si>
  <si>
    <t>财务手续费</t>
  </si>
  <si>
    <t>一季度财务手续费已收</t>
  </si>
  <si>
    <t>一季度手续费合计</t>
  </si>
  <si>
    <t>之前暂扣企税</t>
  </si>
  <si>
    <t>之前扣增值税</t>
  </si>
  <si>
    <t>增值税及附加</t>
  </si>
  <si>
    <t xml:space="preserve">企税 </t>
  </si>
  <si>
    <t>收</t>
  </si>
  <si>
    <t>专户转到公司一般户</t>
  </si>
  <si>
    <t>企税1%</t>
  </si>
  <si>
    <t>水利基金</t>
  </si>
  <si>
    <t>外经证费用</t>
  </si>
  <si>
    <t>9.30孙会计收</t>
  </si>
  <si>
    <t>企税1%（19.9.10孙会计卡）</t>
  </si>
  <si>
    <t>企税1%(视同开票)</t>
  </si>
  <si>
    <t>之前暂扣16点 （吴总）</t>
  </si>
  <si>
    <t>预付款暂扣（未开票）</t>
  </si>
  <si>
    <t>应提供成本</t>
  </si>
  <si>
    <t>可支付金额</t>
  </si>
  <si>
    <t>尚需提供成本</t>
  </si>
  <si>
    <t>公司代缴税金：</t>
  </si>
  <si>
    <t>税种</t>
  </si>
  <si>
    <t>税额</t>
  </si>
  <si>
    <t>2019.9月开票预缴税款</t>
  </si>
  <si>
    <t>2020.1月开票预缴税款</t>
  </si>
  <si>
    <t>2020.12月开票预缴税款</t>
  </si>
  <si>
    <t>2020.12月开票预缴税金（2次）</t>
  </si>
  <si>
    <t>企业所得税</t>
  </si>
  <si>
    <t>增值税</t>
  </si>
  <si>
    <t>差额</t>
  </si>
  <si>
    <t>印花税</t>
  </si>
  <si>
    <t>已交</t>
  </si>
  <si>
    <t>城市维护建设税</t>
  </si>
  <si>
    <t>教育费附加</t>
  </si>
  <si>
    <t>地方教育费附加</t>
  </si>
  <si>
    <t>小计</t>
  </si>
  <si>
    <t>定额、普票</t>
  </si>
  <si>
    <t>定额运输费、顺丰物流费69+448+327</t>
  </si>
  <si>
    <t>2020-834#612000</t>
  </si>
  <si>
    <t>自卸车租赁、挖掘机租赁、起重机租赁</t>
  </si>
  <si>
    <t>2021-292#756000</t>
  </si>
  <si>
    <t>2020-838# 1325598</t>
  </si>
  <si>
    <t>河南省航逸路桥工程有限公司</t>
  </si>
  <si>
    <t xml:space="preserve">混凝土1300方 </t>
  </si>
  <si>
    <t>2021-290#546000</t>
  </si>
  <si>
    <t>工地预付税费</t>
  </si>
  <si>
    <t>暂扣企税</t>
  </si>
  <si>
    <t>水利基金、印花税</t>
  </si>
  <si>
    <t>增值税及附加（前期录入差额税额）</t>
  </si>
  <si>
    <t>2021.6月开票税金</t>
  </si>
  <si>
    <t>差额（补2019年7月95190元）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</si>
</sst>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177" formatCode="yy/m/d;@"/>
    <numFmt numFmtId="43" formatCode="_ * #,##0.00_ ;_ * \-#,##0.00_ ;_ * &quot;-&quot;??_ ;_ @_ "/>
    <numFmt numFmtId="178" formatCode="#,##0.00_ "/>
    <numFmt numFmtId="179" formatCode="yyyy&quot;年&quot;m&quot;月&quot;;@"/>
    <numFmt numFmtId="180" formatCode="#,##0_ "/>
  </numFmts>
  <fonts count="3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b/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9"/>
      <color rgb="FFFF0000"/>
      <name val="宋体"/>
      <charset val="134"/>
      <scheme val="minor"/>
    </font>
    <font>
      <sz val="10"/>
      <color rgb="FF00B050"/>
      <name val="宋体"/>
      <charset val="134"/>
      <scheme val="minor"/>
    </font>
    <font>
      <sz val="9"/>
      <name val="宋体"/>
      <charset val="134"/>
    </font>
    <font>
      <sz val="10"/>
      <color rgb="FF00B050"/>
      <name val="宋体"/>
      <charset val="134"/>
    </font>
    <font>
      <sz val="9"/>
      <color rgb="FF00B0F0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11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1" borderId="16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7" fillId="14" borderId="13" applyNumberFormat="0" applyAlignment="0" applyProtection="0">
      <alignment vertical="center"/>
    </xf>
    <xf numFmtId="0" fontId="30" fillId="14" borderId="12" applyNumberFormat="0" applyAlignment="0" applyProtection="0">
      <alignment vertical="center"/>
    </xf>
    <xf numFmtId="0" fontId="31" fillId="26" borderId="19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33" fillId="0" borderId="0">
      <protection locked="0"/>
    </xf>
  </cellStyleXfs>
  <cellXfs count="253">
    <xf numFmtId="0" fontId="0" fillId="0" borderId="0" xfId="0"/>
    <xf numFmtId="0" fontId="1" fillId="0" borderId="0" xfId="0" applyFont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177" fontId="1" fillId="0" borderId="0" xfId="0" applyNumberFormat="1" applyFont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178" fontId="1" fillId="0" borderId="0" xfId="0" applyNumberFormat="1" applyFont="1" applyBorder="1" applyAlignment="1">
      <alignment vertical="center"/>
    </xf>
    <xf numFmtId="178" fontId="1" fillId="0" borderId="0" xfId="0" applyNumberFormat="1" applyFont="1" applyBorder="1" applyAlignment="1">
      <alignment horizontal="left" vertical="top"/>
    </xf>
    <xf numFmtId="176" fontId="1" fillId="0" borderId="0" xfId="0" applyNumberFormat="1" applyFont="1" applyBorder="1" applyAlignment="1">
      <alignment horizontal="center" vertical="center"/>
    </xf>
    <xf numFmtId="10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177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left" vertical="top"/>
    </xf>
    <xf numFmtId="176" fontId="3" fillId="0" borderId="1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vertical="center"/>
    </xf>
    <xf numFmtId="14" fontId="1" fillId="0" borderId="2" xfId="0" applyNumberFormat="1" applyFont="1" applyBorder="1" applyAlignment="1">
      <alignment vertical="center"/>
    </xf>
    <xf numFmtId="178" fontId="1" fillId="0" borderId="2" xfId="0" applyNumberFormat="1" applyFont="1" applyBorder="1" applyAlignment="1">
      <alignment vertical="center"/>
    </xf>
    <xf numFmtId="43" fontId="4" fillId="0" borderId="2" xfId="8" applyFont="1" applyBorder="1" applyAlignment="1">
      <alignment horizontal="left" vertical="center"/>
    </xf>
    <xf numFmtId="178" fontId="1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left" vertical="center"/>
    </xf>
    <xf numFmtId="176" fontId="2" fillId="0" borderId="2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left" vertical="top"/>
    </xf>
    <xf numFmtId="0" fontId="5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9" fontId="1" fillId="0" borderId="2" xfId="11" applyFont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left" vertical="top"/>
    </xf>
    <xf numFmtId="9" fontId="1" fillId="0" borderId="2" xfId="11" applyNumberFormat="1" applyFont="1" applyBorder="1" applyAlignment="1">
      <alignment horizontal="center" vertical="center"/>
    </xf>
    <xf numFmtId="178" fontId="2" fillId="4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vertical="center"/>
    </xf>
    <xf numFmtId="178" fontId="5" fillId="0" borderId="2" xfId="0" applyNumberFormat="1" applyFont="1" applyBorder="1" applyAlignment="1">
      <alignment vertical="center"/>
    </xf>
    <xf numFmtId="178" fontId="5" fillId="0" borderId="2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178" fontId="1" fillId="0" borderId="0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9" fontId="2" fillId="2" borderId="2" xfId="0" applyNumberFormat="1" applyFont="1" applyFill="1" applyBorder="1" applyAlignment="1">
      <alignment horizontal="center" vertical="center"/>
    </xf>
    <xf numFmtId="178" fontId="2" fillId="2" borderId="2" xfId="0" applyNumberFormat="1" applyFont="1" applyFill="1" applyBorder="1" applyAlignment="1">
      <alignment vertical="center"/>
    </xf>
    <xf numFmtId="180" fontId="2" fillId="2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top"/>
    </xf>
    <xf numFmtId="9" fontId="2" fillId="2" borderId="2" xfId="11" applyFont="1" applyFill="1" applyBorder="1" applyAlignment="1">
      <alignment horizontal="center" vertical="center"/>
    </xf>
    <xf numFmtId="178" fontId="2" fillId="2" borderId="2" xfId="0" applyNumberFormat="1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vertical="center"/>
    </xf>
    <xf numFmtId="180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top"/>
    </xf>
    <xf numFmtId="9" fontId="2" fillId="5" borderId="2" xfId="11" applyFont="1" applyFill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left" vertical="center"/>
    </xf>
    <xf numFmtId="176" fontId="1" fillId="0" borderId="5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2" fillId="4" borderId="2" xfId="0" applyNumberFormat="1" applyFont="1" applyFill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Font="1"/>
    <xf numFmtId="178" fontId="1" fillId="0" borderId="0" xfId="0" applyNumberFormat="1" applyFont="1" applyBorder="1" applyAlignment="1">
      <alignment horizontal="left" vertical="center"/>
    </xf>
    <xf numFmtId="10" fontId="1" fillId="0" borderId="0" xfId="0" applyNumberFormat="1" applyFont="1" applyBorder="1" applyAlignment="1">
      <alignment vertical="center"/>
    </xf>
    <xf numFmtId="10" fontId="5" fillId="0" borderId="2" xfId="0" applyNumberFormat="1" applyFont="1" applyBorder="1" applyAlignment="1">
      <alignment horizontal="left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178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 applyProtection="1">
      <alignment horizontal="left" vertical="center" wrapText="1"/>
    </xf>
    <xf numFmtId="9" fontId="2" fillId="5" borderId="2" xfId="11" applyNumberFormat="1" applyFont="1" applyFill="1" applyBorder="1" applyAlignment="1">
      <alignment horizontal="center" vertical="center"/>
    </xf>
    <xf numFmtId="179" fontId="2" fillId="3" borderId="2" xfId="0" applyNumberFormat="1" applyFont="1" applyFill="1" applyBorder="1" applyAlignment="1">
      <alignment horizontal="center" vertical="center"/>
    </xf>
    <xf numFmtId="178" fontId="2" fillId="3" borderId="2" xfId="0" applyNumberFormat="1" applyFont="1" applyFill="1" applyBorder="1" applyAlignment="1">
      <alignment vertical="center"/>
    </xf>
    <xf numFmtId="180" fontId="2" fillId="3" borderId="2" xfId="0" applyNumberFormat="1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top"/>
    </xf>
    <xf numFmtId="9" fontId="2" fillId="3" borderId="2" xfId="11" applyNumberFormat="1" applyFont="1" applyFill="1" applyBorder="1" applyAlignment="1">
      <alignment horizontal="center" vertical="center"/>
    </xf>
    <xf numFmtId="178" fontId="2" fillId="3" borderId="2" xfId="0" applyNumberFormat="1" applyFont="1" applyFill="1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left" vertical="top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vertical="center"/>
    </xf>
    <xf numFmtId="177" fontId="2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vertical="top"/>
    </xf>
    <xf numFmtId="177" fontId="2" fillId="0" borderId="6" xfId="0" applyNumberFormat="1" applyFont="1" applyFill="1" applyBorder="1" applyAlignment="1">
      <alignment horizontal="center" vertical="center"/>
    </xf>
    <xf numFmtId="178" fontId="2" fillId="4" borderId="4" xfId="0" applyNumberFormat="1" applyFont="1" applyFill="1" applyBorder="1" applyAlignment="1">
      <alignment horizontal="center" vertical="center"/>
    </xf>
    <xf numFmtId="177" fontId="2" fillId="0" borderId="7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left" vertical="center"/>
    </xf>
    <xf numFmtId="0" fontId="2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left"/>
    </xf>
    <xf numFmtId="0" fontId="7" fillId="0" borderId="2" xfId="0" applyFont="1" applyBorder="1"/>
    <xf numFmtId="0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left" vertical="center"/>
    </xf>
    <xf numFmtId="4" fontId="2" fillId="0" borderId="0" xfId="0" applyNumberFormat="1" applyFont="1" applyBorder="1" applyAlignment="1">
      <alignment vertical="center"/>
    </xf>
    <xf numFmtId="9" fontId="2" fillId="2" borderId="2" xfId="11" applyNumberFormat="1" applyFont="1" applyFill="1" applyBorder="1" applyAlignment="1">
      <alignment horizontal="center" vertical="center"/>
    </xf>
    <xf numFmtId="178" fontId="2" fillId="2" borderId="4" xfId="0" applyNumberFormat="1" applyFont="1" applyFill="1" applyBorder="1" applyAlignment="1">
      <alignment horizontal="center" vertical="center"/>
    </xf>
    <xf numFmtId="177" fontId="2" fillId="2" borderId="7" xfId="0" applyNumberFormat="1" applyFont="1" applyFill="1" applyBorder="1" applyAlignment="1">
      <alignment horizontal="center" vertical="center"/>
    </xf>
    <xf numFmtId="179" fontId="2" fillId="0" borderId="2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8" fontId="2" fillId="0" borderId="4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8" fontId="2" fillId="0" borderId="9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7" fillId="0" borderId="0" xfId="0" applyFont="1"/>
    <xf numFmtId="0" fontId="2" fillId="0" borderId="2" xfId="0" applyFont="1" applyFill="1" applyBorder="1" applyAlignment="1">
      <alignment vertical="center"/>
    </xf>
    <xf numFmtId="178" fontId="2" fillId="0" borderId="9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left" vertical="center"/>
    </xf>
    <xf numFmtId="4" fontId="2" fillId="2" borderId="0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vertical="top"/>
    </xf>
    <xf numFmtId="177" fontId="9" fillId="0" borderId="9" xfId="0" applyNumberFormat="1" applyFont="1" applyFill="1" applyBorder="1" applyAlignment="1">
      <alignment horizontal="center" vertical="center"/>
    </xf>
    <xf numFmtId="179" fontId="9" fillId="0" borderId="2" xfId="0" applyNumberFormat="1" applyFont="1" applyFill="1" applyBorder="1" applyAlignment="1">
      <alignment horizontal="center" vertical="center"/>
    </xf>
    <xf numFmtId="180" fontId="9" fillId="0" borderId="2" xfId="0" applyNumberFormat="1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left" vertical="top"/>
    </xf>
    <xf numFmtId="9" fontId="9" fillId="5" borderId="2" xfId="11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vertical="top"/>
    </xf>
    <xf numFmtId="177" fontId="2" fillId="0" borderId="7" xfId="0" applyNumberFormat="1" applyFont="1" applyFill="1" applyBorder="1" applyAlignment="1">
      <alignment horizontal="center" vertical="center"/>
    </xf>
    <xf numFmtId="177" fontId="2" fillId="0" borderId="7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8" fontId="2" fillId="0" borderId="10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left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6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178" fontId="9" fillId="0" borderId="9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NumberFormat="1" applyFont="1" applyBorder="1" applyAlignment="1">
      <alignment horizontal="left" vertical="center"/>
    </xf>
    <xf numFmtId="178" fontId="2" fillId="6" borderId="9" xfId="0" applyNumberFormat="1" applyFont="1" applyFill="1" applyBorder="1" applyAlignment="1">
      <alignment horizontal="center" vertical="center"/>
    </xf>
    <xf numFmtId="178" fontId="2" fillId="7" borderId="9" xfId="0" applyNumberFormat="1" applyFont="1" applyFill="1" applyBorder="1" applyAlignment="1">
      <alignment horizontal="center" vertical="center"/>
    </xf>
    <xf numFmtId="178" fontId="2" fillId="0" borderId="9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78" fontId="2" fillId="6" borderId="7" xfId="0" applyNumberFormat="1" applyFont="1" applyFill="1" applyBorder="1" applyAlignment="1">
      <alignment horizontal="center" vertical="center"/>
    </xf>
    <xf numFmtId="178" fontId="2" fillId="6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left" vertical="center"/>
    </xf>
    <xf numFmtId="178" fontId="5" fillId="2" borderId="2" xfId="0" applyNumberFormat="1" applyFont="1" applyFill="1" applyBorder="1" applyAlignment="1">
      <alignment vertical="center"/>
    </xf>
    <xf numFmtId="0" fontId="5" fillId="0" borderId="2" xfId="0" applyNumberFormat="1" applyFont="1" applyBorder="1" applyAlignment="1">
      <alignment vertical="top"/>
    </xf>
    <xf numFmtId="0" fontId="5" fillId="0" borderId="2" xfId="0" applyNumberFormat="1" applyFont="1" applyBorder="1" applyAlignment="1">
      <alignment vertical="center"/>
    </xf>
    <xf numFmtId="178" fontId="5" fillId="8" borderId="2" xfId="0" applyNumberFormat="1" applyFont="1" applyFill="1" applyBorder="1" applyAlignment="1">
      <alignment vertical="center"/>
    </xf>
    <xf numFmtId="178" fontId="5" fillId="0" borderId="4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top"/>
    </xf>
    <xf numFmtId="0" fontId="5" fillId="0" borderId="0" xfId="0" applyNumberFormat="1" applyFont="1" applyBorder="1" applyAlignment="1">
      <alignment vertical="center"/>
    </xf>
    <xf numFmtId="178" fontId="5" fillId="0" borderId="0" xfId="0" applyNumberFormat="1" applyFont="1" applyBorder="1" applyAlignment="1">
      <alignment horizontal="center" vertical="center"/>
    </xf>
    <xf numFmtId="176" fontId="5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78" fontId="1" fillId="0" borderId="0" xfId="0" applyNumberFormat="1" applyFont="1" applyBorder="1" applyAlignment="1">
      <alignment vertical="top"/>
    </xf>
    <xf numFmtId="0" fontId="5" fillId="0" borderId="2" xfId="0" applyFont="1" applyBorder="1" applyAlignment="1">
      <alignment horizontal="center" vertical="top"/>
    </xf>
    <xf numFmtId="177" fontId="5" fillId="0" borderId="2" xfId="0" applyNumberFormat="1" applyFont="1" applyBorder="1" applyAlignment="1">
      <alignment vertical="top"/>
    </xf>
    <xf numFmtId="176" fontId="1" fillId="0" borderId="2" xfId="0" applyNumberFormat="1" applyFont="1" applyBorder="1" applyAlignment="1">
      <alignment horizontal="right" vertical="center"/>
    </xf>
    <xf numFmtId="177" fontId="1" fillId="0" borderId="2" xfId="0" applyNumberFormat="1" applyFont="1" applyBorder="1" applyAlignment="1">
      <alignment horizontal="right" vertical="top"/>
    </xf>
    <xf numFmtId="176" fontId="1" fillId="0" borderId="2" xfId="0" applyNumberFormat="1" applyFont="1" applyBorder="1" applyAlignment="1">
      <alignment vertical="center"/>
    </xf>
    <xf numFmtId="176" fontId="5" fillId="2" borderId="2" xfId="0" applyNumberFormat="1" applyFont="1" applyFill="1" applyBorder="1" applyAlignment="1">
      <alignment vertical="center"/>
    </xf>
    <xf numFmtId="177" fontId="5" fillId="0" borderId="2" xfId="0" applyNumberFormat="1" applyFont="1" applyBorder="1" applyAlignment="1">
      <alignment horizontal="center" vertical="top"/>
    </xf>
    <xf numFmtId="178" fontId="1" fillId="0" borderId="2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/>
    </xf>
    <xf numFmtId="176" fontId="1" fillId="9" borderId="2" xfId="0" applyNumberFormat="1" applyFont="1" applyFill="1" applyBorder="1" applyAlignment="1">
      <alignment horizontal="center" vertical="center"/>
    </xf>
    <xf numFmtId="176" fontId="1" fillId="9" borderId="2" xfId="0" applyNumberFormat="1" applyFont="1" applyFill="1" applyBorder="1" applyAlignment="1">
      <alignment vertical="center"/>
    </xf>
    <xf numFmtId="178" fontId="5" fillId="0" borderId="2" xfId="0" applyNumberFormat="1" applyFont="1" applyBorder="1" applyAlignment="1">
      <alignment horizontal="center" vertical="top"/>
    </xf>
    <xf numFmtId="178" fontId="5" fillId="0" borderId="6" xfId="0" applyNumberFormat="1" applyFont="1" applyBorder="1" applyAlignment="1">
      <alignment horizontal="center" vertical="top"/>
    </xf>
    <xf numFmtId="178" fontId="5" fillId="0" borderId="6" xfId="0" applyNumberFormat="1" applyFont="1" applyBorder="1" applyAlignment="1">
      <alignment vertical="center"/>
    </xf>
    <xf numFmtId="178" fontId="5" fillId="0" borderId="6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vertical="top"/>
    </xf>
    <xf numFmtId="0" fontId="5" fillId="0" borderId="3" xfId="0" applyNumberFormat="1" applyFont="1" applyBorder="1" applyAlignment="1">
      <alignment vertical="center"/>
    </xf>
    <xf numFmtId="178" fontId="5" fillId="0" borderId="4" xfId="0" applyNumberFormat="1" applyFont="1" applyBorder="1" applyAlignment="1">
      <alignment vertical="center"/>
    </xf>
    <xf numFmtId="0" fontId="11" fillId="0" borderId="2" xfId="0" applyNumberFormat="1" applyFont="1" applyBorder="1" applyAlignment="1">
      <alignment horizontal="left" vertical="center"/>
    </xf>
    <xf numFmtId="178" fontId="1" fillId="6" borderId="2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10" fontId="5" fillId="0" borderId="0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vertical="center" wrapText="1"/>
    </xf>
    <xf numFmtId="178" fontId="5" fillId="8" borderId="2" xfId="0" applyNumberFormat="1" applyFont="1" applyFill="1" applyBorder="1" applyAlignment="1">
      <alignment horizontal="center" vertical="center"/>
    </xf>
    <xf numFmtId="178" fontId="5" fillId="8" borderId="4" xfId="0" applyNumberFormat="1" applyFont="1" applyFill="1" applyBorder="1" applyAlignment="1">
      <alignment horizontal="center" vertical="center"/>
    </xf>
    <xf numFmtId="178" fontId="1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43" fontId="4" fillId="0" borderId="0" xfId="8" applyFont="1" applyAlignment="1">
      <alignment horizontal="left" vertical="center"/>
    </xf>
    <xf numFmtId="178" fontId="1" fillId="0" borderId="2" xfId="0" applyNumberFormat="1" applyFont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5" fillId="0" borderId="2" xfId="0" applyNumberFormat="1" applyFont="1" applyBorder="1" applyAlignment="1">
      <alignment vertical="center"/>
    </xf>
    <xf numFmtId="176" fontId="5" fillId="0" borderId="2" xfId="0" applyNumberFormat="1" applyFont="1" applyBorder="1" applyAlignment="1">
      <alignment horizontal="left" vertical="center"/>
    </xf>
    <xf numFmtId="179" fontId="1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top"/>
    </xf>
    <xf numFmtId="9" fontId="1" fillId="5" borderId="2" xfId="11" applyFont="1" applyFill="1" applyBorder="1" applyAlignment="1">
      <alignment horizontal="center" vertical="center"/>
    </xf>
    <xf numFmtId="176" fontId="1" fillId="4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horizontal="left" vertical="center"/>
    </xf>
    <xf numFmtId="176" fontId="2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 applyProtection="1">
      <alignment horizontal="left" vertical="top" wrapText="1"/>
    </xf>
    <xf numFmtId="0" fontId="1" fillId="0" borderId="2" xfId="0" applyFont="1" applyBorder="1" applyAlignment="1" applyProtection="1">
      <alignment horizontal="left" vertical="center" wrapText="1"/>
    </xf>
    <xf numFmtId="177" fontId="1" fillId="2" borderId="2" xfId="0" applyNumberFormat="1" applyFont="1" applyFill="1" applyBorder="1" applyAlignment="1">
      <alignment horizontal="center" vertical="center"/>
    </xf>
    <xf numFmtId="176" fontId="2" fillId="4" borderId="4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9" fillId="0" borderId="6" xfId="0" applyNumberFormat="1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vertical="center"/>
    </xf>
    <xf numFmtId="49" fontId="0" fillId="0" borderId="2" xfId="0" applyNumberFormat="1" applyBorder="1" applyAlignment="1">
      <alignment horizontal="left" vertical="top"/>
    </xf>
    <xf numFmtId="49" fontId="0" fillId="0" borderId="2" xfId="0" applyNumberFormat="1" applyBorder="1" applyAlignment="1">
      <alignment horizontal="left" vertical="center"/>
    </xf>
    <xf numFmtId="176" fontId="1" fillId="0" borderId="4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176" fontId="5" fillId="8" borderId="2" xfId="0" applyNumberFormat="1" applyFont="1" applyFill="1" applyBorder="1" applyAlignment="1">
      <alignment vertical="center"/>
    </xf>
    <xf numFmtId="176" fontId="5" fillId="0" borderId="4" xfId="0" applyNumberFormat="1" applyFont="1" applyBorder="1" applyAlignment="1">
      <alignment horizontal="center" vertical="center"/>
    </xf>
    <xf numFmtId="178" fontId="1" fillId="10" borderId="2" xfId="0" applyNumberFormat="1" applyFont="1" applyFill="1" applyBorder="1" applyAlignment="1">
      <alignment horizontal="center" vertical="center"/>
    </xf>
    <xf numFmtId="178" fontId="1" fillId="10" borderId="2" xfId="0" applyNumberFormat="1" applyFont="1" applyFill="1" applyBorder="1" applyAlignment="1">
      <alignment vertical="center"/>
    </xf>
    <xf numFmtId="176" fontId="5" fillId="0" borderId="6" xfId="0" applyNumberFormat="1" applyFont="1" applyBorder="1" applyAlignment="1">
      <alignment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176" fontId="2" fillId="0" borderId="10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2" fillId="2" borderId="9" xfId="0" applyNumberFormat="1" applyFont="1" applyFill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jpe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123825</xdr:colOff>
      <xdr:row>286</xdr:row>
      <xdr:rowOff>85090</xdr:rowOff>
    </xdr:from>
    <xdr:to>
      <xdr:col>15</xdr:col>
      <xdr:colOff>589915</xdr:colOff>
      <xdr:row>286</xdr:row>
      <xdr:rowOff>205740</xdr:rowOff>
    </xdr:to>
    <xdr:pic>
      <xdr:nvPicPr>
        <xdr:cNvPr id="2" name="图片 1" descr="5~T_~}5JU4QA$@WWA`1E3T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59400" y="65857755"/>
          <a:ext cx="466090" cy="120650"/>
        </a:xfrm>
        <a:prstGeom prst="rect">
          <a:avLst/>
        </a:prstGeom>
      </xdr:spPr>
    </xdr:pic>
    <xdr:clientData/>
  </xdr:twoCellAnchor>
  <xdr:twoCellAnchor editAs="oneCell">
    <xdr:from>
      <xdr:col>15</xdr:col>
      <xdr:colOff>224790</xdr:colOff>
      <xdr:row>210</xdr:row>
      <xdr:rowOff>75565</xdr:rowOff>
    </xdr:from>
    <xdr:to>
      <xdr:col>15</xdr:col>
      <xdr:colOff>300990</xdr:colOff>
      <xdr:row>211</xdr:row>
      <xdr:rowOff>3810</xdr:rowOff>
    </xdr:to>
    <xdr:pic>
      <xdr:nvPicPr>
        <xdr:cNvPr id="3" name="图片 2" descr="%N0HGOAY8H{)4SMJL(1]`[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160365" y="48309530"/>
          <a:ext cx="76200" cy="156845"/>
        </a:xfrm>
        <a:prstGeom prst="rect">
          <a:avLst/>
        </a:prstGeom>
      </xdr:spPr>
    </xdr:pic>
    <xdr:clientData/>
  </xdr:twoCellAnchor>
  <xdr:twoCellAnchor editAs="oneCell">
    <xdr:from>
      <xdr:col>15</xdr:col>
      <xdr:colOff>285750</xdr:colOff>
      <xdr:row>207</xdr:row>
      <xdr:rowOff>114300</xdr:rowOff>
    </xdr:from>
    <xdr:to>
      <xdr:col>15</xdr:col>
      <xdr:colOff>427355</xdr:colOff>
      <xdr:row>207</xdr:row>
      <xdr:rowOff>207645</xdr:rowOff>
    </xdr:to>
    <xdr:pic>
      <xdr:nvPicPr>
        <xdr:cNvPr id="4" name="图片 3" descr="[NM{%R@M}XG92Z~ZY}%A~FS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221325" y="47662465"/>
          <a:ext cx="141605" cy="93345"/>
        </a:xfrm>
        <a:prstGeom prst="rect">
          <a:avLst/>
        </a:prstGeom>
      </xdr:spPr>
    </xdr:pic>
    <xdr:clientData/>
  </xdr:twoCellAnchor>
  <xdr:twoCellAnchor>
    <xdr:from>
      <xdr:col>16</xdr:col>
      <xdr:colOff>200025</xdr:colOff>
      <xdr:row>207</xdr:row>
      <xdr:rowOff>104775</xdr:rowOff>
    </xdr:from>
    <xdr:to>
      <xdr:col>16</xdr:col>
      <xdr:colOff>321945</xdr:colOff>
      <xdr:row>207</xdr:row>
      <xdr:rowOff>184785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8821400" y="47652940"/>
          <a:ext cx="121920" cy="8001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15</xdr:col>
      <xdr:colOff>133350</xdr:colOff>
      <xdr:row>220</xdr:row>
      <xdr:rowOff>75565</xdr:rowOff>
    </xdr:from>
    <xdr:to>
      <xdr:col>15</xdr:col>
      <xdr:colOff>325120</xdr:colOff>
      <xdr:row>220</xdr:row>
      <xdr:rowOff>151765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8068925" y="50646330"/>
          <a:ext cx="191770" cy="762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15</xdr:col>
      <xdr:colOff>190500</xdr:colOff>
      <xdr:row>223</xdr:row>
      <xdr:rowOff>57150</xdr:rowOff>
    </xdr:from>
    <xdr:to>
      <xdr:col>15</xdr:col>
      <xdr:colOff>360680</xdr:colOff>
      <xdr:row>223</xdr:row>
      <xdr:rowOff>133350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8126075" y="51313715"/>
          <a:ext cx="170180" cy="762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12</xdr:col>
      <xdr:colOff>257175</xdr:colOff>
      <xdr:row>228</xdr:row>
      <xdr:rowOff>66675</xdr:rowOff>
    </xdr:from>
    <xdr:to>
      <xdr:col>12</xdr:col>
      <xdr:colOff>363220</xdr:colOff>
      <xdr:row>228</xdr:row>
      <xdr:rowOff>190500</xdr:rowOff>
    </xdr:to>
    <xdr:pic>
      <xdr:nvPicPr>
        <xdr:cNvPr id="8" name="图片 7" descr="fd7a79194eb429173c62a9efc0dfe4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4859000" y="52466240"/>
          <a:ext cx="106045" cy="123825"/>
        </a:xfrm>
        <a:prstGeom prst="rect">
          <a:avLst/>
        </a:prstGeom>
      </xdr:spPr>
    </xdr:pic>
    <xdr:clientData/>
  </xdr:twoCellAnchor>
  <xdr:twoCellAnchor editAs="oneCell">
    <xdr:from>
      <xdr:col>14</xdr:col>
      <xdr:colOff>276225</xdr:colOff>
      <xdr:row>270</xdr:row>
      <xdr:rowOff>95250</xdr:rowOff>
    </xdr:from>
    <xdr:to>
      <xdr:col>14</xdr:col>
      <xdr:colOff>1096010</xdr:colOff>
      <xdr:row>270</xdr:row>
      <xdr:rowOff>187325</xdr:rowOff>
    </xdr:to>
    <xdr:pic>
      <xdr:nvPicPr>
        <xdr:cNvPr id="9" name="图片 8" descr="E94AC3C0683B8B30C2D982BB1B91B9CE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6659225" y="62210315"/>
          <a:ext cx="819785" cy="92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123825</xdr:colOff>
      <xdr:row>309</xdr:row>
      <xdr:rowOff>85090</xdr:rowOff>
    </xdr:from>
    <xdr:to>
      <xdr:col>15</xdr:col>
      <xdr:colOff>589915</xdr:colOff>
      <xdr:row>309</xdr:row>
      <xdr:rowOff>205740</xdr:rowOff>
    </xdr:to>
    <xdr:pic>
      <xdr:nvPicPr>
        <xdr:cNvPr id="2" name="图片 1" descr="5~T_~}5JU4QA$@WWA`1E3T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0" y="72525255"/>
          <a:ext cx="466090" cy="120650"/>
        </a:xfrm>
        <a:prstGeom prst="rect">
          <a:avLst/>
        </a:prstGeom>
      </xdr:spPr>
    </xdr:pic>
    <xdr:clientData/>
  </xdr:twoCellAnchor>
  <xdr:twoCellAnchor editAs="oneCell">
    <xdr:from>
      <xdr:col>15</xdr:col>
      <xdr:colOff>224790</xdr:colOff>
      <xdr:row>212</xdr:row>
      <xdr:rowOff>75565</xdr:rowOff>
    </xdr:from>
    <xdr:to>
      <xdr:col>15</xdr:col>
      <xdr:colOff>300990</xdr:colOff>
      <xdr:row>213</xdr:row>
      <xdr:rowOff>3810</xdr:rowOff>
    </xdr:to>
    <xdr:pic>
      <xdr:nvPicPr>
        <xdr:cNvPr id="3" name="图片 2" descr="%N0HGOAY8H{)4SMJL(1]`[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579215" y="48766730"/>
          <a:ext cx="76200" cy="156845"/>
        </a:xfrm>
        <a:prstGeom prst="rect">
          <a:avLst/>
        </a:prstGeom>
      </xdr:spPr>
    </xdr:pic>
    <xdr:clientData/>
  </xdr:twoCellAnchor>
  <xdr:twoCellAnchor editAs="oneCell">
    <xdr:from>
      <xdr:col>15</xdr:col>
      <xdr:colOff>285750</xdr:colOff>
      <xdr:row>209</xdr:row>
      <xdr:rowOff>114300</xdr:rowOff>
    </xdr:from>
    <xdr:to>
      <xdr:col>15</xdr:col>
      <xdr:colOff>427355</xdr:colOff>
      <xdr:row>209</xdr:row>
      <xdr:rowOff>207645</xdr:rowOff>
    </xdr:to>
    <xdr:pic>
      <xdr:nvPicPr>
        <xdr:cNvPr id="4" name="图片 3" descr="[NM{%R@M}XG92Z~ZY}%A~FS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640175" y="48119665"/>
          <a:ext cx="141605" cy="93345"/>
        </a:xfrm>
        <a:prstGeom prst="rect">
          <a:avLst/>
        </a:prstGeom>
      </xdr:spPr>
    </xdr:pic>
    <xdr:clientData/>
  </xdr:twoCellAnchor>
  <xdr:twoCellAnchor>
    <xdr:from>
      <xdr:col>16</xdr:col>
      <xdr:colOff>200025</xdr:colOff>
      <xdr:row>209</xdr:row>
      <xdr:rowOff>104775</xdr:rowOff>
    </xdr:from>
    <xdr:to>
      <xdr:col>16</xdr:col>
      <xdr:colOff>321945</xdr:colOff>
      <xdr:row>209</xdr:row>
      <xdr:rowOff>184785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240250" y="48110140"/>
          <a:ext cx="121920" cy="8001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15</xdr:col>
      <xdr:colOff>133350</xdr:colOff>
      <xdr:row>223</xdr:row>
      <xdr:rowOff>75565</xdr:rowOff>
    </xdr:from>
    <xdr:to>
      <xdr:col>15</xdr:col>
      <xdr:colOff>325120</xdr:colOff>
      <xdr:row>223</xdr:row>
      <xdr:rowOff>151765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6487775" y="51332130"/>
          <a:ext cx="191770" cy="762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15</xdr:col>
      <xdr:colOff>190500</xdr:colOff>
      <xdr:row>226</xdr:row>
      <xdr:rowOff>57150</xdr:rowOff>
    </xdr:from>
    <xdr:to>
      <xdr:col>15</xdr:col>
      <xdr:colOff>360680</xdr:colOff>
      <xdr:row>226</xdr:row>
      <xdr:rowOff>133350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6544925" y="51999515"/>
          <a:ext cx="170180" cy="762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13</xdr:col>
      <xdr:colOff>381000</xdr:colOff>
      <xdr:row>263</xdr:row>
      <xdr:rowOff>101600</xdr:rowOff>
    </xdr:from>
    <xdr:to>
      <xdr:col>13</xdr:col>
      <xdr:colOff>658495</xdr:colOff>
      <xdr:row>264</xdr:row>
      <xdr:rowOff>201930</xdr:rowOff>
    </xdr:to>
    <xdr:pic>
      <xdr:nvPicPr>
        <xdr:cNvPr id="8" name="图片 7" descr="fd7a79194eb429173c62a9efc0dfe4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4287500" y="60718065"/>
          <a:ext cx="277495" cy="328930"/>
        </a:xfrm>
        <a:prstGeom prst="rect">
          <a:avLst/>
        </a:prstGeom>
      </xdr:spPr>
    </xdr:pic>
    <xdr:clientData/>
  </xdr:twoCellAnchor>
  <xdr:twoCellAnchor editAs="oneCell">
    <xdr:from>
      <xdr:col>14</xdr:col>
      <xdr:colOff>276225</xdr:colOff>
      <xdr:row>293</xdr:row>
      <xdr:rowOff>95250</xdr:rowOff>
    </xdr:from>
    <xdr:to>
      <xdr:col>14</xdr:col>
      <xdr:colOff>1096010</xdr:colOff>
      <xdr:row>293</xdr:row>
      <xdr:rowOff>187325</xdr:rowOff>
    </xdr:to>
    <xdr:pic>
      <xdr:nvPicPr>
        <xdr:cNvPr id="9" name="图片 8" descr="E94AC3C0683B8B30C2D982BB1B91B9CE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5078075" y="68877815"/>
          <a:ext cx="819785" cy="92075"/>
        </a:xfrm>
        <a:prstGeom prst="rect">
          <a:avLst/>
        </a:prstGeom>
      </xdr:spPr>
    </xdr:pic>
    <xdr:clientData/>
  </xdr:twoCellAnchor>
  <xdr:twoCellAnchor editAs="oneCell">
    <xdr:from>
      <xdr:col>10</xdr:col>
      <xdr:colOff>400050</xdr:colOff>
      <xdr:row>9</xdr:row>
      <xdr:rowOff>0</xdr:rowOff>
    </xdr:from>
    <xdr:to>
      <xdr:col>12</xdr:col>
      <xdr:colOff>259715</xdr:colOff>
      <xdr:row>13</xdr:row>
      <xdr:rowOff>57150</xdr:rowOff>
    </xdr:to>
    <xdr:pic>
      <xdr:nvPicPr>
        <xdr:cNvPr id="10" name="图片 9" descr="38b95750072d7aeaa5afae0da55c2bf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0039350" y="2107565"/>
          <a:ext cx="3241040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51"/>
  <sheetViews>
    <sheetView topLeftCell="A299" workbookViewId="0">
      <selection activeCell="H322" sqref="H322"/>
    </sheetView>
  </sheetViews>
  <sheetFormatPr defaultColWidth="9" defaultRowHeight="11.25"/>
  <cols>
    <col min="1" max="1" width="10.75" style="5" customWidth="1"/>
    <col min="2" max="2" width="11.625" style="6" customWidth="1"/>
    <col min="3" max="3" width="8.75" style="7" customWidth="1"/>
    <col min="4" max="4" width="13.375" style="8" customWidth="1"/>
    <col min="5" max="5" width="6" style="7" customWidth="1"/>
    <col min="6" max="6" width="14.625" style="6" customWidth="1"/>
    <col min="7" max="7" width="23.625" style="9" customWidth="1"/>
    <col min="8" max="8" width="20.5" style="7" customWidth="1"/>
    <col min="9" max="9" width="18" style="9" customWidth="1"/>
    <col min="10" max="10" width="20.125" style="10" customWidth="1"/>
    <col min="11" max="11" width="31.5" style="11" customWidth="1"/>
    <col min="12" max="12" width="12.75" style="1" customWidth="1"/>
    <col min="13" max="13" width="11.625" style="1" customWidth="1"/>
    <col min="14" max="14" width="11.75" style="1" customWidth="1"/>
    <col min="15" max="15" width="20.375" style="1" customWidth="1"/>
    <col min="16" max="16384" width="9" style="1"/>
  </cols>
  <sheetData>
    <row r="1" ht="21.95" customHeight="1" spans="1:12">
      <c r="A1" s="12" t="s">
        <v>0</v>
      </c>
      <c r="B1" s="12"/>
      <c r="C1" s="12"/>
      <c r="D1" s="13"/>
      <c r="E1" s="12"/>
      <c r="F1" s="14"/>
      <c r="G1" s="14"/>
      <c r="H1" s="12"/>
      <c r="I1" s="14"/>
      <c r="J1" s="12"/>
      <c r="K1" s="54"/>
      <c r="L1" s="24"/>
    </row>
    <row r="2" ht="18" customHeight="1" spans="1:12">
      <c r="A2" s="15" t="s">
        <v>1</v>
      </c>
      <c r="B2" s="16" t="s">
        <v>2</v>
      </c>
      <c r="C2" s="17" t="s">
        <v>3</v>
      </c>
      <c r="D2" s="208">
        <v>19909743.41</v>
      </c>
      <c r="E2" s="59" t="s">
        <v>4</v>
      </c>
      <c r="F2" s="20"/>
      <c r="G2" s="21" t="s">
        <v>5</v>
      </c>
      <c r="H2" s="22" t="s">
        <v>6</v>
      </c>
      <c r="I2" s="55"/>
      <c r="J2" s="56"/>
      <c r="K2" s="54"/>
      <c r="L2" s="24"/>
    </row>
    <row r="3" ht="18" customHeight="1" spans="1:12">
      <c r="A3" s="15" t="s">
        <v>7</v>
      </c>
      <c r="B3" s="23"/>
      <c r="C3" s="17" t="s">
        <v>8</v>
      </c>
      <c r="D3" s="209"/>
      <c r="H3" s="24"/>
      <c r="I3" s="57"/>
      <c r="J3" s="24"/>
      <c r="K3" s="54"/>
      <c r="L3" s="24"/>
    </row>
    <row r="4" ht="18" customHeight="1" spans="1:12">
      <c r="A4" s="5" t="s">
        <v>9</v>
      </c>
      <c r="H4" s="24"/>
      <c r="I4" s="57"/>
      <c r="J4" s="24"/>
      <c r="K4" s="54"/>
      <c r="L4" s="24"/>
    </row>
    <row r="5" ht="18" customHeight="1" spans="1:12">
      <c r="A5" s="25" t="s">
        <v>10</v>
      </c>
      <c r="B5" s="26" t="s">
        <v>11</v>
      </c>
      <c r="C5" s="25" t="s">
        <v>12</v>
      </c>
      <c r="D5" s="27"/>
      <c r="E5" s="25" t="s">
        <v>13</v>
      </c>
      <c r="F5" s="26"/>
      <c r="G5" s="26" t="s">
        <v>14</v>
      </c>
      <c r="H5" s="28" t="s">
        <v>15</v>
      </c>
      <c r="I5" s="26"/>
      <c r="J5" s="28"/>
      <c r="K5" s="54"/>
      <c r="L5" s="24"/>
    </row>
    <row r="6" ht="18" customHeight="1" spans="1:10">
      <c r="A6" s="25"/>
      <c r="B6" s="26"/>
      <c r="C6" s="25" t="s">
        <v>16</v>
      </c>
      <c r="D6" s="27" t="s">
        <v>17</v>
      </c>
      <c r="E6" s="25" t="s">
        <v>16</v>
      </c>
      <c r="F6" s="26" t="s">
        <v>17</v>
      </c>
      <c r="G6" s="26"/>
      <c r="H6" s="28" t="s">
        <v>18</v>
      </c>
      <c r="I6" s="26" t="s">
        <v>19</v>
      </c>
      <c r="J6" s="28" t="s">
        <v>20</v>
      </c>
    </row>
    <row r="7" ht="18" customHeight="1" spans="1:10">
      <c r="A7" s="29">
        <v>43731</v>
      </c>
      <c r="B7" s="182">
        <f>G7/(1+C7+E7)</f>
        <v>2372498.28440367</v>
      </c>
      <c r="C7" s="30">
        <v>0.02</v>
      </c>
      <c r="D7" s="210">
        <f>G7/(1+E7+C7)*C7</f>
        <v>47449.9656880734</v>
      </c>
      <c r="E7" s="32">
        <v>0.07</v>
      </c>
      <c r="F7" s="182">
        <f>G7/(1+C7+E7)*E7</f>
        <v>166074.879908257</v>
      </c>
      <c r="G7" s="58">
        <v>2586023.13</v>
      </c>
      <c r="H7" s="29">
        <v>43661</v>
      </c>
      <c r="I7" s="21">
        <v>3950974</v>
      </c>
      <c r="J7" s="60" t="s">
        <v>21</v>
      </c>
    </row>
    <row r="8" ht="18" customHeight="1" spans="1:12">
      <c r="A8" s="29">
        <v>43837</v>
      </c>
      <c r="B8" s="182">
        <f>G8/(1+C8+E8)</f>
        <v>5306832.79816514</v>
      </c>
      <c r="C8" s="30">
        <v>0.02</v>
      </c>
      <c r="D8" s="210">
        <f>G8/(1+E8+C8)*C8</f>
        <v>106136.655963303</v>
      </c>
      <c r="E8" s="32">
        <v>0.07</v>
      </c>
      <c r="F8" s="182">
        <f>G8/(1+C8+E8)*E8</f>
        <v>371478.29587156</v>
      </c>
      <c r="G8" s="58">
        <v>5784447.75</v>
      </c>
      <c r="H8" s="29">
        <v>43738</v>
      </c>
      <c r="I8" s="21">
        <v>2586023.13</v>
      </c>
      <c r="J8" s="60" t="s">
        <v>21</v>
      </c>
      <c r="K8" s="61"/>
      <c r="L8" s="62"/>
    </row>
    <row r="9" ht="18" customHeight="1" spans="1:10">
      <c r="A9" s="29">
        <v>43846</v>
      </c>
      <c r="B9" s="182">
        <f t="shared" ref="B9:B11" si="0">G9/(1+C9+E9)</f>
        <v>2727647.06422018</v>
      </c>
      <c r="C9" s="30">
        <v>0.02</v>
      </c>
      <c r="D9" s="210">
        <f t="shared" ref="D9:D11" si="1">G9/(1+E9+C9)*C9</f>
        <v>54552.9412844037</v>
      </c>
      <c r="E9" s="32">
        <v>0.07</v>
      </c>
      <c r="F9" s="182">
        <f t="shared" ref="F9:F11" si="2">G9/(1+C9+E9)*E9</f>
        <v>190935.294495413</v>
      </c>
      <c r="G9" s="58">
        <v>2973135.3</v>
      </c>
      <c r="H9" s="29">
        <v>43849</v>
      </c>
      <c r="I9" s="21">
        <v>4806609.05</v>
      </c>
      <c r="J9" s="60" t="s">
        <v>21</v>
      </c>
    </row>
    <row r="10" ht="18" customHeight="1" spans="1:10">
      <c r="A10" s="29">
        <v>44169</v>
      </c>
      <c r="B10" s="182">
        <f t="shared" si="0"/>
        <v>2925819.16513761</v>
      </c>
      <c r="C10" s="30">
        <v>0.02</v>
      </c>
      <c r="D10" s="210">
        <f t="shared" si="1"/>
        <v>58516.3833027523</v>
      </c>
      <c r="E10" s="32">
        <v>0.07</v>
      </c>
      <c r="F10" s="182">
        <f t="shared" si="2"/>
        <v>204807.341559633</v>
      </c>
      <c r="G10" s="58">
        <v>3189142.89</v>
      </c>
      <c r="H10" s="29">
        <v>44181</v>
      </c>
      <c r="I10" s="21">
        <v>3189142.89</v>
      </c>
      <c r="J10" s="60" t="s">
        <v>22</v>
      </c>
    </row>
    <row r="11" ht="18" customHeight="1" spans="1:10">
      <c r="A11" s="29">
        <v>44181</v>
      </c>
      <c r="B11" s="182">
        <f t="shared" si="0"/>
        <v>1062311.21100917</v>
      </c>
      <c r="C11" s="30">
        <v>0.02</v>
      </c>
      <c r="D11" s="210">
        <f t="shared" si="1"/>
        <v>21246.2242201835</v>
      </c>
      <c r="E11" s="32">
        <v>0.07</v>
      </c>
      <c r="F11" s="182">
        <f t="shared" si="2"/>
        <v>74361.7847706422</v>
      </c>
      <c r="G11" s="58">
        <v>1157919.22</v>
      </c>
      <c r="H11" s="29">
        <v>44195</v>
      </c>
      <c r="I11" s="21">
        <v>1157919.21</v>
      </c>
      <c r="J11" s="60" t="s">
        <v>22</v>
      </c>
    </row>
    <row r="12" ht="18" customHeight="1" spans="1:10">
      <c r="A12" s="34" t="s">
        <v>23</v>
      </c>
      <c r="B12" s="211">
        <f t="shared" ref="B12:G12" si="3">SUM(B7:B11)</f>
        <v>14395108.5229358</v>
      </c>
      <c r="C12" s="35"/>
      <c r="D12" s="212">
        <f t="shared" si="3"/>
        <v>287902.170458716</v>
      </c>
      <c r="E12" s="35"/>
      <c r="F12" s="211">
        <f t="shared" si="3"/>
        <v>1007657.5966055</v>
      </c>
      <c r="G12" s="26">
        <f t="shared" si="3"/>
        <v>15690668.29</v>
      </c>
      <c r="H12" s="37"/>
      <c r="I12" s="26">
        <f>SUM(I7:I11)</f>
        <v>15690668.28</v>
      </c>
      <c r="J12" s="60"/>
    </row>
    <row r="13" ht="18" customHeight="1" spans="1:12">
      <c r="A13" s="5" t="s">
        <v>24</v>
      </c>
      <c r="J13" s="38"/>
      <c r="K13" s="63"/>
      <c r="L13" s="64"/>
    </row>
    <row r="14" ht="32" customHeight="1" spans="1:15">
      <c r="A14" s="39" t="s">
        <v>25</v>
      </c>
      <c r="B14" s="26" t="s">
        <v>26</v>
      </c>
      <c r="C14" s="25" t="s">
        <v>27</v>
      </c>
      <c r="D14" s="36" t="s">
        <v>28</v>
      </c>
      <c r="E14" s="25" t="s">
        <v>16</v>
      </c>
      <c r="F14" s="26" t="s">
        <v>29</v>
      </c>
      <c r="G14" s="26" t="s">
        <v>14</v>
      </c>
      <c r="H14" s="25" t="s">
        <v>30</v>
      </c>
      <c r="I14" s="26" t="s">
        <v>31</v>
      </c>
      <c r="J14" s="25" t="s">
        <v>20</v>
      </c>
      <c r="K14" s="65" t="s">
        <v>32</v>
      </c>
      <c r="L14" s="28" t="s">
        <v>33</v>
      </c>
      <c r="M14" s="28" t="s">
        <v>34</v>
      </c>
      <c r="N14" s="28" t="s">
        <v>35</v>
      </c>
      <c r="O14" s="28" t="s">
        <v>36</v>
      </c>
    </row>
    <row r="15" s="3" customFormat="1" ht="18" customHeight="1" spans="1:15">
      <c r="A15" s="213">
        <v>43647</v>
      </c>
      <c r="B15" s="23">
        <f t="shared" ref="B15:B47" si="4">ROUND(G15/(1+E15),2)</f>
        <v>897443.4</v>
      </c>
      <c r="C15" s="49"/>
      <c r="D15" s="50" t="s">
        <v>21</v>
      </c>
      <c r="E15" s="51">
        <v>0.06</v>
      </c>
      <c r="F15" s="23">
        <f t="shared" ref="F15:F47" si="5">ROUND(G15/(1+E15)*E15,2)</f>
        <v>53846.6</v>
      </c>
      <c r="G15" s="58">
        <v>951290</v>
      </c>
      <c r="H15" s="29"/>
      <c r="I15" s="21"/>
      <c r="J15" s="60"/>
      <c r="K15" s="72" t="s">
        <v>37</v>
      </c>
      <c r="L15" s="73" t="s">
        <v>38</v>
      </c>
      <c r="M15" s="71"/>
      <c r="N15" s="71"/>
      <c r="O15" s="73"/>
    </row>
    <row r="16" s="3" customFormat="1" ht="18" customHeight="1" spans="1:15">
      <c r="A16" s="47"/>
      <c r="B16" s="23">
        <f t="shared" si="4"/>
        <v>0</v>
      </c>
      <c r="C16" s="49"/>
      <c r="D16" s="50"/>
      <c r="E16" s="51"/>
      <c r="F16" s="23">
        <f t="shared" si="5"/>
        <v>0</v>
      </c>
      <c r="G16" s="58"/>
      <c r="H16" s="29">
        <v>43626</v>
      </c>
      <c r="I16" s="21">
        <v>6000</v>
      </c>
      <c r="J16" s="60" t="s">
        <v>21</v>
      </c>
      <c r="K16" s="72" t="s">
        <v>39</v>
      </c>
      <c r="L16" s="73" t="s">
        <v>40</v>
      </c>
      <c r="M16" s="71"/>
      <c r="N16" s="71"/>
      <c r="O16" s="73"/>
    </row>
    <row r="17" s="3" customFormat="1" ht="18" customHeight="1" spans="1:15">
      <c r="A17" s="47"/>
      <c r="B17" s="23">
        <f t="shared" si="4"/>
        <v>0</v>
      </c>
      <c r="C17" s="49"/>
      <c r="D17" s="50"/>
      <c r="E17" s="51"/>
      <c r="F17" s="23">
        <f t="shared" si="5"/>
        <v>0</v>
      </c>
      <c r="G17" s="58"/>
      <c r="H17" s="29">
        <v>43626</v>
      </c>
      <c r="I17" s="21">
        <v>-6000</v>
      </c>
      <c r="J17" s="60" t="s">
        <v>21</v>
      </c>
      <c r="K17" s="72" t="s">
        <v>41</v>
      </c>
      <c r="L17" s="73"/>
      <c r="M17" s="71"/>
      <c r="N17" s="71"/>
      <c r="O17" s="73"/>
    </row>
    <row r="18" s="3" customFormat="1" ht="18" customHeight="1" spans="1:21">
      <c r="A18" s="47"/>
      <c r="B18" s="23">
        <f t="shared" si="4"/>
        <v>0</v>
      </c>
      <c r="C18" s="49"/>
      <c r="D18" s="50"/>
      <c r="E18" s="51"/>
      <c r="F18" s="23">
        <f t="shared" si="5"/>
        <v>0</v>
      </c>
      <c r="G18" s="58"/>
      <c r="H18" s="29">
        <v>43635</v>
      </c>
      <c r="I18" s="21">
        <v>62043.1</v>
      </c>
      <c r="J18" s="60" t="s">
        <v>21</v>
      </c>
      <c r="K18" s="72" t="s">
        <v>42</v>
      </c>
      <c r="L18" s="73" t="s">
        <v>43</v>
      </c>
      <c r="M18" s="71"/>
      <c r="N18" s="71"/>
      <c r="O18" s="73"/>
      <c r="U18" s="3" t="s">
        <v>44</v>
      </c>
    </row>
    <row r="19" s="3" customFormat="1" ht="18" customHeight="1" spans="1:15">
      <c r="A19" s="47"/>
      <c r="B19" s="23">
        <f t="shared" si="4"/>
        <v>0</v>
      </c>
      <c r="C19" s="49"/>
      <c r="D19" s="50"/>
      <c r="E19" s="51"/>
      <c r="F19" s="23">
        <f t="shared" si="5"/>
        <v>0</v>
      </c>
      <c r="G19" s="58"/>
      <c r="H19" s="29">
        <v>43635</v>
      </c>
      <c r="I19" s="21">
        <v>-62043.1</v>
      </c>
      <c r="J19" s="60" t="s">
        <v>21</v>
      </c>
      <c r="K19" s="72" t="s">
        <v>41</v>
      </c>
      <c r="L19" s="73"/>
      <c r="M19" s="71"/>
      <c r="N19" s="71"/>
      <c r="O19" s="73"/>
    </row>
    <row r="20" ht="18" customHeight="1" spans="1:15">
      <c r="A20" s="213">
        <v>43647</v>
      </c>
      <c r="B20" s="182">
        <f t="shared" si="4"/>
        <v>114049.42</v>
      </c>
      <c r="C20" s="214"/>
      <c r="D20" s="215" t="s">
        <v>21</v>
      </c>
      <c r="E20" s="216">
        <v>0.13</v>
      </c>
      <c r="F20" s="182">
        <f t="shared" si="5"/>
        <v>14826.42</v>
      </c>
      <c r="G20" s="217">
        <f>51763.84+77112</f>
        <v>128875.84</v>
      </c>
      <c r="H20" s="29">
        <v>43637</v>
      </c>
      <c r="I20" s="21">
        <v>128875.84</v>
      </c>
      <c r="J20" s="60" t="s">
        <v>21</v>
      </c>
      <c r="K20" s="218" t="s">
        <v>45</v>
      </c>
      <c r="L20" s="37" t="s">
        <v>46</v>
      </c>
      <c r="M20" s="60"/>
      <c r="N20" s="60"/>
      <c r="O20" s="37"/>
    </row>
    <row r="21" s="3" customFormat="1" ht="18" customHeight="1" spans="1:15">
      <c r="A21" s="47"/>
      <c r="B21" s="23"/>
      <c r="C21" s="49"/>
      <c r="D21" s="50"/>
      <c r="E21" s="51"/>
      <c r="F21" s="23"/>
      <c r="G21" s="58"/>
      <c r="H21" s="29">
        <v>43637</v>
      </c>
      <c r="I21" s="21">
        <v>-128875.84</v>
      </c>
      <c r="J21" s="60" t="s">
        <v>21</v>
      </c>
      <c r="K21" s="72" t="s">
        <v>41</v>
      </c>
      <c r="L21" s="73"/>
      <c r="M21" s="71"/>
      <c r="N21" s="71"/>
      <c r="O21" s="73"/>
    </row>
    <row r="22" s="3" customFormat="1" ht="18" customHeight="1" spans="1:15">
      <c r="A22" s="47"/>
      <c r="B22" s="23">
        <f t="shared" si="4"/>
        <v>0</v>
      </c>
      <c r="C22" s="49"/>
      <c r="D22" s="50"/>
      <c r="E22" s="51"/>
      <c r="F22" s="23">
        <f t="shared" si="5"/>
        <v>0</v>
      </c>
      <c r="G22" s="58"/>
      <c r="H22" s="29">
        <v>43643</v>
      </c>
      <c r="I22" s="21">
        <v>365090.6</v>
      </c>
      <c r="J22" s="60" t="s">
        <v>21</v>
      </c>
      <c r="K22" s="72" t="s">
        <v>47</v>
      </c>
      <c r="L22" s="73" t="s">
        <v>48</v>
      </c>
      <c r="M22" s="71"/>
      <c r="N22" s="71"/>
      <c r="O22" s="73"/>
    </row>
    <row r="23" s="3" customFormat="1" ht="18" customHeight="1" spans="1:15">
      <c r="A23" s="47"/>
      <c r="B23" s="23"/>
      <c r="C23" s="49"/>
      <c r="D23" s="50"/>
      <c r="E23" s="51"/>
      <c r="F23" s="23"/>
      <c r="G23" s="58"/>
      <c r="H23" s="29">
        <v>43643</v>
      </c>
      <c r="I23" s="21">
        <v>-365090.6</v>
      </c>
      <c r="J23" s="60" t="s">
        <v>21</v>
      </c>
      <c r="K23" s="72" t="s">
        <v>41</v>
      </c>
      <c r="L23" s="73"/>
      <c r="M23" s="71"/>
      <c r="N23" s="71"/>
      <c r="O23" s="73"/>
    </row>
    <row r="24" ht="18" customHeight="1" spans="1:15">
      <c r="A24" s="213">
        <v>43647</v>
      </c>
      <c r="B24" s="182">
        <f t="shared" si="4"/>
        <v>41154.51</v>
      </c>
      <c r="C24" s="214"/>
      <c r="D24" s="215" t="s">
        <v>21</v>
      </c>
      <c r="E24" s="216">
        <v>0.13</v>
      </c>
      <c r="F24" s="182">
        <f t="shared" si="5"/>
        <v>5350.09</v>
      </c>
      <c r="G24" s="217">
        <v>46504.6</v>
      </c>
      <c r="H24" s="29">
        <v>43643</v>
      </c>
      <c r="I24" s="21">
        <v>46504.6</v>
      </c>
      <c r="J24" s="60" t="s">
        <v>21</v>
      </c>
      <c r="K24" s="218" t="s">
        <v>49</v>
      </c>
      <c r="L24" s="37" t="s">
        <v>50</v>
      </c>
      <c r="M24" s="60" t="s">
        <v>51</v>
      </c>
      <c r="N24" s="60" t="s">
        <v>51</v>
      </c>
      <c r="O24" s="37"/>
    </row>
    <row r="25" s="3" customFormat="1" ht="18" customHeight="1" spans="1:15">
      <c r="A25" s="47"/>
      <c r="B25" s="23"/>
      <c r="C25" s="49"/>
      <c r="D25" s="50"/>
      <c r="E25" s="51"/>
      <c r="F25" s="23"/>
      <c r="G25" s="58"/>
      <c r="H25" s="29">
        <v>43643</v>
      </c>
      <c r="I25" s="21">
        <v>-46504.6</v>
      </c>
      <c r="J25" s="60" t="s">
        <v>21</v>
      </c>
      <c r="K25" s="72" t="s">
        <v>41</v>
      </c>
      <c r="L25" s="73"/>
      <c r="M25" s="71"/>
      <c r="N25" s="71"/>
      <c r="O25" s="73"/>
    </row>
    <row r="26" s="3" customFormat="1" ht="18" customHeight="1" spans="1:15">
      <c r="A26" s="47"/>
      <c r="B26" s="23">
        <f t="shared" si="4"/>
        <v>0</v>
      </c>
      <c r="C26" s="49"/>
      <c r="D26" s="50"/>
      <c r="E26" s="51"/>
      <c r="F26" s="23">
        <f t="shared" si="5"/>
        <v>0</v>
      </c>
      <c r="G26" s="58"/>
      <c r="H26" s="29">
        <v>43647</v>
      </c>
      <c r="I26" s="21">
        <v>329713.82</v>
      </c>
      <c r="J26" s="60" t="s">
        <v>21</v>
      </c>
      <c r="K26" s="72" t="s">
        <v>52</v>
      </c>
      <c r="L26" s="73" t="s">
        <v>53</v>
      </c>
      <c r="M26" s="71"/>
      <c r="N26" s="71"/>
      <c r="O26" s="73"/>
    </row>
    <row r="27" s="3" customFormat="1" ht="18" customHeight="1" spans="1:15">
      <c r="A27" s="47"/>
      <c r="B27" s="23"/>
      <c r="C27" s="49"/>
      <c r="D27" s="50"/>
      <c r="E27" s="51"/>
      <c r="F27" s="23"/>
      <c r="G27" s="58"/>
      <c r="H27" s="29">
        <v>43647</v>
      </c>
      <c r="I27" s="21">
        <v>-329713.82</v>
      </c>
      <c r="J27" s="60" t="s">
        <v>21</v>
      </c>
      <c r="K27" s="72" t="s">
        <v>41</v>
      </c>
      <c r="L27" s="73"/>
      <c r="M27" s="71"/>
      <c r="N27" s="71"/>
      <c r="O27" s="73"/>
    </row>
    <row r="28" ht="18" customHeight="1" spans="1:15">
      <c r="A28" s="213">
        <v>43647</v>
      </c>
      <c r="B28" s="182">
        <f t="shared" si="4"/>
        <v>565093.29</v>
      </c>
      <c r="C28" s="214"/>
      <c r="D28" s="215" t="s">
        <v>21</v>
      </c>
      <c r="E28" s="216">
        <v>0.13</v>
      </c>
      <c r="F28" s="182">
        <f t="shared" si="5"/>
        <v>73462.13</v>
      </c>
      <c r="G28" s="217">
        <f>112999.25+112997.5+112999.65+112996.37+112997.95+73564.7</f>
        <v>638555.42</v>
      </c>
      <c r="H28" s="29">
        <v>43649</v>
      </c>
      <c r="I28" s="21">
        <v>299988.26</v>
      </c>
      <c r="J28" s="60" t="s">
        <v>21</v>
      </c>
      <c r="K28" s="218" t="s">
        <v>52</v>
      </c>
      <c r="L28" s="37" t="s">
        <v>54</v>
      </c>
      <c r="M28" s="60" t="s">
        <v>51</v>
      </c>
      <c r="N28" s="60" t="s">
        <v>51</v>
      </c>
      <c r="O28" s="37"/>
    </row>
    <row r="29" s="3" customFormat="1" ht="18" customHeight="1" spans="1:15">
      <c r="A29" s="47"/>
      <c r="B29" s="23"/>
      <c r="C29" s="49"/>
      <c r="D29" s="50"/>
      <c r="E29" s="51"/>
      <c r="F29" s="23"/>
      <c r="G29" s="58"/>
      <c r="H29" s="29">
        <v>43649</v>
      </c>
      <c r="I29" s="21">
        <v>-299988.26</v>
      </c>
      <c r="J29" s="60" t="s">
        <v>21</v>
      </c>
      <c r="K29" s="72" t="s">
        <v>41</v>
      </c>
      <c r="L29" s="73"/>
      <c r="M29" s="71"/>
      <c r="N29" s="71"/>
      <c r="O29" s="73"/>
    </row>
    <row r="30" s="3" customFormat="1" ht="18" customHeight="1" spans="1:15">
      <c r="A30" s="47"/>
      <c r="B30" s="23">
        <f t="shared" si="4"/>
        <v>0</v>
      </c>
      <c r="C30" s="49"/>
      <c r="D30" s="50"/>
      <c r="E30" s="51"/>
      <c r="F30" s="23">
        <f t="shared" si="5"/>
        <v>0</v>
      </c>
      <c r="G30" s="58"/>
      <c r="H30" s="29">
        <v>43651</v>
      </c>
      <c r="I30" s="21">
        <v>20000</v>
      </c>
      <c r="J30" s="60" t="s">
        <v>21</v>
      </c>
      <c r="K30" s="72" t="s">
        <v>47</v>
      </c>
      <c r="L30" s="73" t="s">
        <v>48</v>
      </c>
      <c r="M30" s="71"/>
      <c r="N30" s="71"/>
      <c r="O30" s="73"/>
    </row>
    <row r="31" s="3" customFormat="1" ht="18" customHeight="1" spans="1:15">
      <c r="A31" s="47"/>
      <c r="B31" s="23"/>
      <c r="C31" s="49"/>
      <c r="D31" s="50"/>
      <c r="E31" s="51"/>
      <c r="F31" s="23"/>
      <c r="G31" s="58"/>
      <c r="H31" s="29">
        <v>43651</v>
      </c>
      <c r="I31" s="21">
        <v>-20000</v>
      </c>
      <c r="J31" s="60" t="s">
        <v>21</v>
      </c>
      <c r="K31" s="72" t="s">
        <v>41</v>
      </c>
      <c r="L31" s="73"/>
      <c r="M31" s="71"/>
      <c r="N31" s="71"/>
      <c r="O31" s="73"/>
    </row>
    <row r="32" s="3" customFormat="1" ht="18" customHeight="1" spans="1:15">
      <c r="A32" s="47"/>
      <c r="B32" s="23">
        <f t="shared" si="4"/>
        <v>0</v>
      </c>
      <c r="C32" s="49"/>
      <c r="D32" s="50"/>
      <c r="E32" s="51"/>
      <c r="F32" s="23">
        <f t="shared" si="5"/>
        <v>0</v>
      </c>
      <c r="G32" s="58"/>
      <c r="H32" s="29">
        <v>43651</v>
      </c>
      <c r="I32" s="21">
        <v>10000</v>
      </c>
      <c r="J32" s="60" t="s">
        <v>21</v>
      </c>
      <c r="K32" s="72" t="s">
        <v>55</v>
      </c>
      <c r="L32" s="73" t="s">
        <v>56</v>
      </c>
      <c r="M32" s="71"/>
      <c r="N32" s="71"/>
      <c r="O32" s="73"/>
    </row>
    <row r="33" s="3" customFormat="1" ht="18" customHeight="1" spans="1:15">
      <c r="A33" s="47"/>
      <c r="B33" s="23"/>
      <c r="C33" s="49"/>
      <c r="D33" s="50"/>
      <c r="E33" s="51"/>
      <c r="F33" s="23"/>
      <c r="G33" s="58"/>
      <c r="H33" s="29">
        <v>43651</v>
      </c>
      <c r="I33" s="21">
        <v>-10000</v>
      </c>
      <c r="J33" s="60" t="s">
        <v>21</v>
      </c>
      <c r="K33" s="72" t="s">
        <v>41</v>
      </c>
      <c r="L33" s="73"/>
      <c r="M33" s="71"/>
      <c r="N33" s="71"/>
      <c r="O33" s="73"/>
    </row>
    <row r="34" ht="18" customHeight="1" spans="1:15">
      <c r="A34" s="213">
        <v>43647</v>
      </c>
      <c r="B34" s="182">
        <f t="shared" si="4"/>
        <v>323089.03</v>
      </c>
      <c r="C34" s="214"/>
      <c r="D34" s="215" t="s">
        <v>21</v>
      </c>
      <c r="E34" s="216">
        <v>0.13</v>
      </c>
      <c r="F34" s="182">
        <f t="shared" si="5"/>
        <v>42001.57</v>
      </c>
      <c r="G34" s="217">
        <f>90404.7+89506.4+92218.5+92961</f>
        <v>365090.6</v>
      </c>
      <c r="H34" s="29">
        <v>43655</v>
      </c>
      <c r="I34" s="21">
        <v>20528.3</v>
      </c>
      <c r="J34" s="60" t="s">
        <v>21</v>
      </c>
      <c r="K34" s="218" t="s">
        <v>47</v>
      </c>
      <c r="L34" s="37" t="s">
        <v>57</v>
      </c>
      <c r="M34" s="60" t="s">
        <v>51</v>
      </c>
      <c r="N34" s="60" t="s">
        <v>51</v>
      </c>
      <c r="O34" s="37"/>
    </row>
    <row r="35" s="3" customFormat="1" ht="18" customHeight="1" spans="1:15">
      <c r="A35" s="47"/>
      <c r="B35" s="23"/>
      <c r="C35" s="49"/>
      <c r="D35" s="50"/>
      <c r="E35" s="51"/>
      <c r="F35" s="23"/>
      <c r="G35" s="58"/>
      <c r="H35" s="29">
        <v>43655</v>
      </c>
      <c r="I35" s="219">
        <v>-20528.3</v>
      </c>
      <c r="J35" s="71" t="s">
        <v>21</v>
      </c>
      <c r="K35" s="72" t="s">
        <v>41</v>
      </c>
      <c r="L35" s="73"/>
      <c r="M35" s="71"/>
      <c r="N35" s="71"/>
      <c r="O35" s="73"/>
    </row>
    <row r="36" s="3" customFormat="1" ht="18" customHeight="1" spans="1:15">
      <c r="A36" s="47"/>
      <c r="B36" s="23">
        <f t="shared" si="4"/>
        <v>0</v>
      </c>
      <c r="C36" s="49"/>
      <c r="D36" s="50"/>
      <c r="E36" s="51"/>
      <c r="F36" s="23">
        <f t="shared" si="5"/>
        <v>0</v>
      </c>
      <c r="G36" s="58"/>
      <c r="H36" s="29">
        <v>43656</v>
      </c>
      <c r="I36" s="219">
        <v>100000</v>
      </c>
      <c r="J36" s="71" t="s">
        <v>58</v>
      </c>
      <c r="K36" s="72" t="s">
        <v>59</v>
      </c>
      <c r="L36" s="73" t="s">
        <v>60</v>
      </c>
      <c r="M36" s="71"/>
      <c r="N36" s="71"/>
      <c r="O36" s="73"/>
    </row>
    <row r="37" s="3" customFormat="1" ht="18" customHeight="1" spans="1:15">
      <c r="A37" s="47"/>
      <c r="B37" s="23">
        <f t="shared" si="4"/>
        <v>0</v>
      </c>
      <c r="C37" s="49"/>
      <c r="D37" s="50"/>
      <c r="E37" s="51"/>
      <c r="F37" s="23">
        <f t="shared" si="5"/>
        <v>0</v>
      </c>
      <c r="G37" s="58"/>
      <c r="H37" s="29">
        <v>43656</v>
      </c>
      <c r="I37" s="219">
        <v>-100000</v>
      </c>
      <c r="J37" s="71" t="s">
        <v>21</v>
      </c>
      <c r="K37" s="72" t="s">
        <v>41</v>
      </c>
      <c r="L37" s="73"/>
      <c r="M37" s="71"/>
      <c r="N37" s="71"/>
      <c r="O37" s="73"/>
    </row>
    <row r="38" s="3" customFormat="1" ht="18" customHeight="1" spans="1:15">
      <c r="A38" s="47"/>
      <c r="B38" s="23">
        <f t="shared" si="4"/>
        <v>0</v>
      </c>
      <c r="C38" s="49"/>
      <c r="D38" s="50"/>
      <c r="E38" s="51"/>
      <c r="F38" s="23">
        <f t="shared" si="5"/>
        <v>0</v>
      </c>
      <c r="G38" s="58"/>
      <c r="H38" s="29">
        <v>43658</v>
      </c>
      <c r="I38" s="219">
        <v>68362</v>
      </c>
      <c r="J38" s="71" t="s">
        <v>21</v>
      </c>
      <c r="K38" s="72" t="s">
        <v>55</v>
      </c>
      <c r="L38" s="73" t="s">
        <v>56</v>
      </c>
      <c r="M38" s="71"/>
      <c r="N38" s="71"/>
      <c r="O38" s="73"/>
    </row>
    <row r="39" s="3" customFormat="1" ht="18" customHeight="1" spans="1:15">
      <c r="A39" s="47"/>
      <c r="B39" s="23">
        <f t="shared" si="4"/>
        <v>0</v>
      </c>
      <c r="C39" s="49"/>
      <c r="D39" s="50"/>
      <c r="E39" s="51"/>
      <c r="F39" s="23">
        <f t="shared" si="5"/>
        <v>0</v>
      </c>
      <c r="G39" s="58"/>
      <c r="H39" s="29">
        <v>43658</v>
      </c>
      <c r="I39" s="219">
        <v>-68362</v>
      </c>
      <c r="J39" s="71" t="s">
        <v>21</v>
      </c>
      <c r="K39" s="72" t="s">
        <v>41</v>
      </c>
      <c r="L39" s="73"/>
      <c r="M39" s="71"/>
      <c r="N39" s="71"/>
      <c r="O39" s="73"/>
    </row>
    <row r="40" s="3" customFormat="1" ht="18" customHeight="1" spans="1:15">
      <c r="A40" s="47"/>
      <c r="B40" s="23">
        <f t="shared" si="4"/>
        <v>0</v>
      </c>
      <c r="C40" s="49"/>
      <c r="D40" s="50"/>
      <c r="E40" s="51"/>
      <c r="F40" s="23">
        <f t="shared" si="5"/>
        <v>0</v>
      </c>
      <c r="G40" s="58"/>
      <c r="H40" s="52">
        <v>43659</v>
      </c>
      <c r="I40" s="219">
        <v>-15000</v>
      </c>
      <c r="J40" s="71" t="s">
        <v>21</v>
      </c>
      <c r="K40" s="72" t="s">
        <v>41</v>
      </c>
      <c r="L40" s="73"/>
      <c r="M40" s="71"/>
      <c r="N40" s="71"/>
      <c r="O40" s="73"/>
    </row>
    <row r="41" s="3" customFormat="1" ht="18" customHeight="1" spans="1:15">
      <c r="A41" s="47"/>
      <c r="B41" s="23">
        <f t="shared" si="4"/>
        <v>0</v>
      </c>
      <c r="C41" s="49"/>
      <c r="D41" s="50"/>
      <c r="E41" s="51"/>
      <c r="F41" s="23">
        <f t="shared" si="5"/>
        <v>0</v>
      </c>
      <c r="G41" s="58"/>
      <c r="H41" s="52">
        <v>43662</v>
      </c>
      <c r="I41" s="219">
        <v>1179026.46</v>
      </c>
      <c r="J41" s="71" t="s">
        <v>21</v>
      </c>
      <c r="K41" s="72" t="s">
        <v>41</v>
      </c>
      <c r="L41" s="73"/>
      <c r="M41" s="71"/>
      <c r="N41" s="71"/>
      <c r="O41" s="73"/>
    </row>
    <row r="42" s="3" customFormat="1" ht="18" customHeight="1" spans="1:15">
      <c r="A42" s="47"/>
      <c r="B42" s="23">
        <f t="shared" si="4"/>
        <v>0</v>
      </c>
      <c r="C42" s="49"/>
      <c r="D42" s="50"/>
      <c r="E42" s="51"/>
      <c r="F42" s="23">
        <f t="shared" si="5"/>
        <v>0</v>
      </c>
      <c r="G42" s="58"/>
      <c r="H42" s="29">
        <v>43662</v>
      </c>
      <c r="I42" s="219">
        <v>95190</v>
      </c>
      <c r="J42" s="71" t="s">
        <v>21</v>
      </c>
      <c r="K42" s="72" t="s">
        <v>61</v>
      </c>
      <c r="L42" s="73" t="s">
        <v>62</v>
      </c>
      <c r="M42" s="146" t="s">
        <v>63</v>
      </c>
      <c r="N42" s="71"/>
      <c r="O42" s="73"/>
    </row>
    <row r="43" s="3" customFormat="1" ht="18" customHeight="1" spans="1:15">
      <c r="A43" s="47"/>
      <c r="B43" s="23">
        <f t="shared" si="4"/>
        <v>0</v>
      </c>
      <c r="C43" s="49"/>
      <c r="D43" s="50"/>
      <c r="E43" s="51"/>
      <c r="F43" s="23">
        <f t="shared" si="5"/>
        <v>0</v>
      </c>
      <c r="G43" s="58"/>
      <c r="H43" s="29">
        <v>43663</v>
      </c>
      <c r="I43" s="219">
        <v>64800</v>
      </c>
      <c r="J43" s="71" t="s">
        <v>21</v>
      </c>
      <c r="K43" s="72" t="s">
        <v>55</v>
      </c>
      <c r="L43" s="73" t="s">
        <v>64</v>
      </c>
      <c r="M43" s="71"/>
      <c r="N43" s="71"/>
      <c r="O43" s="73"/>
    </row>
    <row r="44" s="3" customFormat="1" ht="18" customHeight="1" spans="1:15">
      <c r="A44" s="47"/>
      <c r="B44" s="23">
        <f t="shared" si="4"/>
        <v>0</v>
      </c>
      <c r="C44" s="49"/>
      <c r="D44" s="50"/>
      <c r="E44" s="51"/>
      <c r="F44" s="23">
        <f t="shared" si="5"/>
        <v>0</v>
      </c>
      <c r="G44" s="58"/>
      <c r="H44" s="29">
        <v>43664</v>
      </c>
      <c r="I44" s="219">
        <v>8841.6</v>
      </c>
      <c r="J44" s="71" t="s">
        <v>21</v>
      </c>
      <c r="K44" s="72" t="s">
        <v>52</v>
      </c>
      <c r="L44" s="73" t="s">
        <v>53</v>
      </c>
      <c r="M44" s="71"/>
      <c r="N44" s="71"/>
      <c r="O44" s="73"/>
    </row>
    <row r="45" s="3" customFormat="1" ht="18" customHeight="1" spans="1:15">
      <c r="A45" s="47">
        <v>43647</v>
      </c>
      <c r="B45" s="23">
        <f t="shared" si="4"/>
        <v>169.91</v>
      </c>
      <c r="C45" s="49"/>
      <c r="D45" s="50" t="s">
        <v>21</v>
      </c>
      <c r="E45" s="51">
        <v>0.13</v>
      </c>
      <c r="F45" s="23">
        <f t="shared" si="5"/>
        <v>22.09</v>
      </c>
      <c r="G45" s="58">
        <v>192</v>
      </c>
      <c r="H45" s="29"/>
      <c r="I45" s="219"/>
      <c r="J45" s="71"/>
      <c r="K45" s="72" t="s">
        <v>65</v>
      </c>
      <c r="L45" s="73" t="s">
        <v>66</v>
      </c>
      <c r="M45" s="71"/>
      <c r="N45" s="71"/>
      <c r="O45" s="73"/>
    </row>
    <row r="46" s="3" customFormat="1" ht="18" customHeight="1" spans="1:15">
      <c r="A46" s="47">
        <v>43647</v>
      </c>
      <c r="B46" s="23">
        <f t="shared" si="4"/>
        <v>3985</v>
      </c>
      <c r="C46" s="49"/>
      <c r="D46" s="50" t="s">
        <v>67</v>
      </c>
      <c r="E46" s="51"/>
      <c r="F46" s="23">
        <f t="shared" si="5"/>
        <v>0</v>
      </c>
      <c r="G46" s="58">
        <v>3985</v>
      </c>
      <c r="H46" s="29"/>
      <c r="I46" s="219"/>
      <c r="J46" s="71"/>
      <c r="K46" s="75" t="s">
        <v>68</v>
      </c>
      <c r="L46" s="73"/>
      <c r="M46" s="71"/>
      <c r="N46" s="71"/>
      <c r="O46" s="73"/>
    </row>
    <row r="47" s="3" customFormat="1" ht="18" customHeight="1" spans="1:15">
      <c r="A47" s="47"/>
      <c r="B47" s="23">
        <f t="shared" si="4"/>
        <v>0</v>
      </c>
      <c r="C47" s="49"/>
      <c r="D47" s="50"/>
      <c r="E47" s="51"/>
      <c r="F47" s="23">
        <f t="shared" si="5"/>
        <v>0</v>
      </c>
      <c r="G47" s="58"/>
      <c r="H47" s="29">
        <v>43669</v>
      </c>
      <c r="I47" s="219">
        <v>50000</v>
      </c>
      <c r="J47" s="71" t="s">
        <v>58</v>
      </c>
      <c r="K47" s="72" t="s">
        <v>69</v>
      </c>
      <c r="L47" s="73" t="s">
        <v>70</v>
      </c>
      <c r="M47" s="71"/>
      <c r="N47" s="71"/>
      <c r="O47" s="73"/>
    </row>
    <row r="48" s="3" customFormat="1" ht="18" customHeight="1" spans="1:15">
      <c r="A48" s="47"/>
      <c r="B48" s="23">
        <f t="shared" ref="B48:B60" si="6">ROUND(G48/(1+E48),2)</f>
        <v>0</v>
      </c>
      <c r="C48" s="49"/>
      <c r="D48" s="50"/>
      <c r="E48" s="51"/>
      <c r="F48" s="23">
        <f t="shared" ref="F48:F59" si="7">ROUND(G48/(1+E48)*E48,2)</f>
        <v>0</v>
      </c>
      <c r="G48" s="58"/>
      <c r="H48" s="29">
        <v>43669</v>
      </c>
      <c r="I48" s="219">
        <v>11.74</v>
      </c>
      <c r="J48" s="71" t="s">
        <v>21</v>
      </c>
      <c r="K48" s="72" t="s">
        <v>52</v>
      </c>
      <c r="L48" s="73" t="s">
        <v>53</v>
      </c>
      <c r="M48" s="71"/>
      <c r="N48" s="71"/>
      <c r="O48" s="73"/>
    </row>
    <row r="49" s="3" customFormat="1" ht="18" customHeight="1" spans="1:15">
      <c r="A49" s="47"/>
      <c r="B49" s="23">
        <f t="shared" si="6"/>
        <v>0</v>
      </c>
      <c r="C49" s="49"/>
      <c r="D49" s="50"/>
      <c r="E49" s="51"/>
      <c r="F49" s="23">
        <f t="shared" si="7"/>
        <v>0</v>
      </c>
      <c r="G49" s="58"/>
      <c r="H49" s="29">
        <v>43672</v>
      </c>
      <c r="I49" s="219">
        <v>4170</v>
      </c>
      <c r="J49" s="71" t="s">
        <v>21</v>
      </c>
      <c r="K49" s="75" t="s">
        <v>68</v>
      </c>
      <c r="L49" s="73" t="s">
        <v>71</v>
      </c>
      <c r="M49" s="71"/>
      <c r="N49" s="71"/>
      <c r="O49" s="73"/>
    </row>
    <row r="50" s="3" customFormat="1" ht="18" customHeight="1" spans="1:15">
      <c r="A50" s="47"/>
      <c r="B50" s="23">
        <f t="shared" si="6"/>
        <v>0</v>
      </c>
      <c r="C50" s="49"/>
      <c r="D50" s="50"/>
      <c r="E50" s="51"/>
      <c r="F50" s="23">
        <f t="shared" si="7"/>
        <v>0</v>
      </c>
      <c r="G50" s="58"/>
      <c r="H50" s="29">
        <v>43672</v>
      </c>
      <c r="I50" s="219">
        <v>36000</v>
      </c>
      <c r="J50" s="71" t="s">
        <v>21</v>
      </c>
      <c r="K50" s="72" t="s">
        <v>72</v>
      </c>
      <c r="L50" s="73" t="s">
        <v>73</v>
      </c>
      <c r="M50" s="71"/>
      <c r="N50" s="71"/>
      <c r="O50" s="73"/>
    </row>
    <row r="51" s="3" customFormat="1" ht="18" customHeight="1" spans="1:15">
      <c r="A51" s="47"/>
      <c r="B51" s="23">
        <f t="shared" si="6"/>
        <v>0</v>
      </c>
      <c r="C51" s="49"/>
      <c r="D51" s="50"/>
      <c r="E51" s="51"/>
      <c r="F51" s="23">
        <f t="shared" si="7"/>
        <v>0</v>
      </c>
      <c r="G51" s="58"/>
      <c r="H51" s="29">
        <v>43672</v>
      </c>
      <c r="I51" s="219">
        <v>152835</v>
      </c>
      <c r="J51" s="71" t="s">
        <v>58</v>
      </c>
      <c r="K51" s="76" t="s">
        <v>69</v>
      </c>
      <c r="L51" s="76" t="s">
        <v>70</v>
      </c>
      <c r="M51" s="71"/>
      <c r="N51" s="71"/>
      <c r="O51" s="73"/>
    </row>
    <row r="52" s="3" customFormat="1" ht="18" customHeight="1" spans="1:15">
      <c r="A52" s="47">
        <v>43647</v>
      </c>
      <c r="B52" s="23">
        <f t="shared" si="6"/>
        <v>1991</v>
      </c>
      <c r="C52" s="49"/>
      <c r="D52" s="50" t="s">
        <v>67</v>
      </c>
      <c r="E52" s="51"/>
      <c r="F52" s="23">
        <f t="shared" si="7"/>
        <v>0</v>
      </c>
      <c r="G52" s="58">
        <v>1991</v>
      </c>
      <c r="H52" s="29"/>
      <c r="I52" s="21"/>
      <c r="J52" s="60"/>
      <c r="K52" s="220" t="s">
        <v>74</v>
      </c>
      <c r="L52" s="220" t="s">
        <v>75</v>
      </c>
      <c r="M52" s="71"/>
      <c r="N52" s="71"/>
      <c r="O52" s="73"/>
    </row>
    <row r="53" s="3" customFormat="1" ht="18" customHeight="1" spans="1:15">
      <c r="A53" s="47">
        <v>43647</v>
      </c>
      <c r="B53" s="23">
        <f t="shared" si="6"/>
        <v>23892</v>
      </c>
      <c r="C53" s="49"/>
      <c r="D53" s="50" t="s">
        <v>67</v>
      </c>
      <c r="E53" s="51"/>
      <c r="F53" s="23">
        <f t="shared" si="7"/>
        <v>0</v>
      </c>
      <c r="G53" s="58">
        <v>23892</v>
      </c>
      <c r="H53" s="29"/>
      <c r="I53" s="21"/>
      <c r="J53" s="60"/>
      <c r="K53" s="220" t="s">
        <v>76</v>
      </c>
      <c r="L53" s="220" t="s">
        <v>77</v>
      </c>
      <c r="M53" s="71"/>
      <c r="N53" s="71"/>
      <c r="O53" s="73"/>
    </row>
    <row r="54" s="3" customFormat="1" ht="18" customHeight="1" spans="1:15">
      <c r="A54" s="47">
        <v>43647</v>
      </c>
      <c r="B54" s="23">
        <f t="shared" si="6"/>
        <v>69346.9</v>
      </c>
      <c r="C54" s="49"/>
      <c r="D54" s="215" t="s">
        <v>21</v>
      </c>
      <c r="E54" s="51">
        <v>0.13</v>
      </c>
      <c r="F54" s="23">
        <f t="shared" si="7"/>
        <v>9015.1</v>
      </c>
      <c r="G54" s="58">
        <v>78362</v>
      </c>
      <c r="H54" s="29"/>
      <c r="I54" s="21"/>
      <c r="J54" s="60"/>
      <c r="K54" s="72" t="s">
        <v>55</v>
      </c>
      <c r="L54" s="220" t="s">
        <v>56</v>
      </c>
      <c r="M54" s="71"/>
      <c r="N54" s="71"/>
      <c r="O54" s="73"/>
    </row>
    <row r="55" s="3" customFormat="1" ht="18" customHeight="1" spans="1:15">
      <c r="A55" s="47">
        <v>43647</v>
      </c>
      <c r="B55" s="23">
        <f t="shared" si="6"/>
        <v>57345.13</v>
      </c>
      <c r="C55" s="49"/>
      <c r="D55" s="215" t="s">
        <v>21</v>
      </c>
      <c r="E55" s="51">
        <v>0.13</v>
      </c>
      <c r="F55" s="23">
        <f t="shared" si="7"/>
        <v>7454.87</v>
      </c>
      <c r="G55" s="58">
        <v>64800</v>
      </c>
      <c r="H55" s="29"/>
      <c r="I55" s="21"/>
      <c r="J55" s="60"/>
      <c r="K55" s="72" t="s">
        <v>55</v>
      </c>
      <c r="L55" s="220" t="s">
        <v>64</v>
      </c>
      <c r="M55" s="71"/>
      <c r="N55" s="71"/>
      <c r="O55" s="73"/>
    </row>
    <row r="56" s="3" customFormat="1" ht="18" customHeight="1" spans="1:15">
      <c r="A56" s="47">
        <v>43647</v>
      </c>
      <c r="B56" s="23">
        <f t="shared" si="6"/>
        <v>35865.75</v>
      </c>
      <c r="C56" s="49"/>
      <c r="D56" s="215" t="s">
        <v>21</v>
      </c>
      <c r="E56" s="51">
        <v>0.13</v>
      </c>
      <c r="F56" s="23">
        <f t="shared" si="7"/>
        <v>4662.55</v>
      </c>
      <c r="G56" s="58">
        <v>40528.3</v>
      </c>
      <c r="H56" s="29"/>
      <c r="I56" s="21"/>
      <c r="J56" s="60"/>
      <c r="K56" s="220" t="s">
        <v>47</v>
      </c>
      <c r="L56" s="220" t="s">
        <v>78</v>
      </c>
      <c r="M56" s="71"/>
      <c r="N56" s="71"/>
      <c r="O56" s="73"/>
    </row>
    <row r="57" s="3" customFormat="1" ht="18" customHeight="1" spans="1:15">
      <c r="A57" s="47">
        <v>43647</v>
      </c>
      <c r="B57" s="23">
        <f t="shared" si="6"/>
        <v>58531.23</v>
      </c>
      <c r="C57" s="49"/>
      <c r="D57" s="215" t="s">
        <v>21</v>
      </c>
      <c r="E57" s="51">
        <v>0.06</v>
      </c>
      <c r="F57" s="23">
        <f t="shared" si="7"/>
        <v>3511.87</v>
      </c>
      <c r="G57" s="58">
        <v>62043.1</v>
      </c>
      <c r="H57" s="29"/>
      <c r="I57" s="21"/>
      <c r="J57" s="60"/>
      <c r="K57" s="72" t="s">
        <v>42</v>
      </c>
      <c r="L57" s="220" t="s">
        <v>79</v>
      </c>
      <c r="M57" s="71"/>
      <c r="N57" s="71"/>
      <c r="O57" s="73"/>
    </row>
    <row r="58" s="3" customFormat="1" ht="18" customHeight="1" spans="1:15">
      <c r="A58" s="47"/>
      <c r="B58" s="23">
        <f t="shared" si="6"/>
        <v>0</v>
      </c>
      <c r="C58" s="49"/>
      <c r="D58" s="50"/>
      <c r="E58" s="51"/>
      <c r="F58" s="23">
        <f t="shared" si="7"/>
        <v>0</v>
      </c>
      <c r="G58" s="58"/>
      <c r="H58" s="29">
        <v>43683</v>
      </c>
      <c r="I58" s="21">
        <v>600000</v>
      </c>
      <c r="J58" s="60" t="s">
        <v>58</v>
      </c>
      <c r="K58" s="221" t="s">
        <v>80</v>
      </c>
      <c r="L58" s="221" t="s">
        <v>81</v>
      </c>
      <c r="M58" s="71"/>
      <c r="N58" s="71"/>
      <c r="O58" s="73"/>
    </row>
    <row r="59" s="3" customFormat="1" ht="18" customHeight="1" spans="1:15">
      <c r="A59" s="47">
        <v>43647</v>
      </c>
      <c r="B59" s="23">
        <f t="shared" si="6"/>
        <v>76722.3</v>
      </c>
      <c r="C59" s="49"/>
      <c r="D59" s="50" t="s">
        <v>67</v>
      </c>
      <c r="E59" s="51"/>
      <c r="F59" s="23">
        <f t="shared" si="7"/>
        <v>0</v>
      </c>
      <c r="G59" s="58">
        <v>76722.3</v>
      </c>
      <c r="H59" s="29"/>
      <c r="I59" s="21"/>
      <c r="J59" s="60"/>
      <c r="K59" s="75" t="s">
        <v>68</v>
      </c>
      <c r="L59" s="221"/>
      <c r="M59" s="71"/>
      <c r="N59" s="71"/>
      <c r="O59" s="73"/>
    </row>
    <row r="60" s="3" customFormat="1" ht="18" customHeight="1" spans="1:15">
      <c r="A60" s="47"/>
      <c r="B60" s="23">
        <f t="shared" si="6"/>
        <v>0</v>
      </c>
      <c r="C60" s="49"/>
      <c r="D60" s="50"/>
      <c r="E60" s="51"/>
      <c r="F60" s="23" t="s">
        <v>82</v>
      </c>
      <c r="G60" s="58"/>
      <c r="H60" s="29">
        <v>43684</v>
      </c>
      <c r="I60" s="21">
        <v>293080.06</v>
      </c>
      <c r="J60" s="60" t="s">
        <v>58</v>
      </c>
      <c r="K60" s="221" t="s">
        <v>41</v>
      </c>
      <c r="L60" s="221" t="s">
        <v>83</v>
      </c>
      <c r="M60" s="71"/>
      <c r="N60" s="71"/>
      <c r="O60" s="73"/>
    </row>
    <row r="61" s="3" customFormat="1" ht="18" customHeight="1" spans="1:15">
      <c r="A61" s="47"/>
      <c r="B61" s="23">
        <f t="shared" ref="B61:B66" si="8">ROUND(G61/(1+E61),2)</f>
        <v>0</v>
      </c>
      <c r="C61" s="49"/>
      <c r="D61" s="50"/>
      <c r="E61" s="51"/>
      <c r="F61" s="23">
        <f t="shared" ref="F61:F66" si="9">ROUND(G61/(1+E61)*E61,2)</f>
        <v>0</v>
      </c>
      <c r="G61" s="58"/>
      <c r="H61" s="29">
        <v>43689</v>
      </c>
      <c r="I61" s="21">
        <v>98805.3</v>
      </c>
      <c r="J61" s="60" t="s">
        <v>58</v>
      </c>
      <c r="K61" s="72" t="s">
        <v>84</v>
      </c>
      <c r="L61" s="221"/>
      <c r="M61" s="71"/>
      <c r="N61" s="71"/>
      <c r="O61" s="73"/>
    </row>
    <row r="62" s="3" customFormat="1" ht="18" customHeight="1" spans="1:15">
      <c r="A62" s="47"/>
      <c r="B62" s="23">
        <f t="shared" si="8"/>
        <v>0</v>
      </c>
      <c r="C62" s="49"/>
      <c r="D62" s="53"/>
      <c r="E62" s="51"/>
      <c r="F62" s="23">
        <f t="shared" si="9"/>
        <v>0</v>
      </c>
      <c r="G62" s="58"/>
      <c r="H62" s="29">
        <v>43691</v>
      </c>
      <c r="I62" s="21">
        <v>20000</v>
      </c>
      <c r="J62" s="60" t="s">
        <v>58</v>
      </c>
      <c r="K62" s="221" t="s">
        <v>85</v>
      </c>
      <c r="L62" s="222" t="s">
        <v>86</v>
      </c>
      <c r="M62" s="71"/>
      <c r="N62" s="71"/>
      <c r="O62" s="73"/>
    </row>
    <row r="63" s="3" customFormat="1" ht="18" customHeight="1" spans="1:15">
      <c r="A63" s="47"/>
      <c r="B63" s="23">
        <f t="shared" si="8"/>
        <v>0</v>
      </c>
      <c r="C63" s="49"/>
      <c r="D63" s="50"/>
      <c r="E63" s="51"/>
      <c r="F63" s="23">
        <f t="shared" si="9"/>
        <v>0</v>
      </c>
      <c r="G63" s="58"/>
      <c r="H63" s="29">
        <v>43691</v>
      </c>
      <c r="I63" s="21">
        <v>3800</v>
      </c>
      <c r="J63" s="60" t="s">
        <v>58</v>
      </c>
      <c r="K63" s="221" t="s">
        <v>84</v>
      </c>
      <c r="L63" s="221" t="s">
        <v>71</v>
      </c>
      <c r="M63" s="71"/>
      <c r="N63" s="71"/>
      <c r="O63" s="73"/>
    </row>
    <row r="64" s="3" customFormat="1" ht="18" customHeight="1" spans="1:15">
      <c r="A64" s="47"/>
      <c r="B64" s="23">
        <f t="shared" si="8"/>
        <v>0</v>
      </c>
      <c r="C64" s="49"/>
      <c r="D64" s="50"/>
      <c r="E64" s="51"/>
      <c r="F64" s="23">
        <f t="shared" si="9"/>
        <v>0</v>
      </c>
      <c r="G64" s="58"/>
      <c r="H64" s="29">
        <v>43693</v>
      </c>
      <c r="I64" s="21">
        <v>150000</v>
      </c>
      <c r="J64" s="60" t="s">
        <v>58</v>
      </c>
      <c r="K64" s="221" t="s">
        <v>80</v>
      </c>
      <c r="L64" s="221" t="s">
        <v>81</v>
      </c>
      <c r="M64" s="71"/>
      <c r="N64" s="71"/>
      <c r="O64" s="73"/>
    </row>
    <row r="65" s="3" customFormat="1" ht="18" customHeight="1" spans="1:15">
      <c r="A65" s="47"/>
      <c r="B65" s="23">
        <f t="shared" si="8"/>
        <v>0</v>
      </c>
      <c r="C65" s="49"/>
      <c r="D65" s="50"/>
      <c r="E65" s="51"/>
      <c r="F65" s="23">
        <f t="shared" si="9"/>
        <v>0</v>
      </c>
      <c r="G65" s="58"/>
      <c r="H65" s="29">
        <v>43697</v>
      </c>
      <c r="I65" s="21">
        <v>33696.6</v>
      </c>
      <c r="J65" s="60" t="s">
        <v>58</v>
      </c>
      <c r="K65" s="221" t="s">
        <v>87</v>
      </c>
      <c r="L65" s="221" t="s">
        <v>88</v>
      </c>
      <c r="M65" s="71"/>
      <c r="N65" s="71"/>
      <c r="O65" s="73"/>
    </row>
    <row r="66" s="3" customFormat="1" ht="18" customHeight="1" spans="1:15">
      <c r="A66" s="47">
        <v>43678</v>
      </c>
      <c r="B66" s="23">
        <f t="shared" si="8"/>
        <v>34951.46</v>
      </c>
      <c r="C66" s="49"/>
      <c r="D66" s="215" t="s">
        <v>21</v>
      </c>
      <c r="E66" s="78">
        <v>0.03</v>
      </c>
      <c r="F66" s="23">
        <f t="shared" si="9"/>
        <v>1048.54</v>
      </c>
      <c r="G66" s="58">
        <v>36000</v>
      </c>
      <c r="H66" s="29"/>
      <c r="I66" s="21"/>
      <c r="J66" s="60"/>
      <c r="K66" s="221" t="s">
        <v>72</v>
      </c>
      <c r="L66" s="37" t="s">
        <v>73</v>
      </c>
      <c r="M66" s="71"/>
      <c r="N66" s="71"/>
      <c r="O66" s="73"/>
    </row>
    <row r="67" s="3" customFormat="1" ht="18" customHeight="1" spans="1:15">
      <c r="A67" s="47">
        <v>43678</v>
      </c>
      <c r="B67" s="23">
        <f t="shared" ref="B67:B95" si="10">ROUND(G67/(1+E67),2)</f>
        <v>323.89</v>
      </c>
      <c r="C67" s="49"/>
      <c r="D67" s="215" t="s">
        <v>21</v>
      </c>
      <c r="E67" s="78">
        <v>0.13</v>
      </c>
      <c r="F67" s="23">
        <f t="shared" ref="F67:F95" si="11">ROUND(G67/(1+E67)*E67,2)</f>
        <v>42.11</v>
      </c>
      <c r="G67" s="58">
        <v>366</v>
      </c>
      <c r="H67" s="29"/>
      <c r="I67" s="21"/>
      <c r="J67" s="60"/>
      <c r="K67" s="72" t="s">
        <v>65</v>
      </c>
      <c r="L67" s="37" t="s">
        <v>89</v>
      </c>
      <c r="M67" s="71"/>
      <c r="N67" s="71"/>
      <c r="O67" s="73"/>
    </row>
    <row r="68" s="3" customFormat="1" ht="18" customHeight="1" spans="1:15">
      <c r="A68" s="47">
        <v>43678</v>
      </c>
      <c r="B68" s="23">
        <f t="shared" si="10"/>
        <v>448.23</v>
      </c>
      <c r="C68" s="49"/>
      <c r="D68" s="215" t="s">
        <v>21</v>
      </c>
      <c r="E68" s="78">
        <v>0.13</v>
      </c>
      <c r="F68" s="23">
        <f t="shared" si="11"/>
        <v>58.27</v>
      </c>
      <c r="G68" s="58">
        <v>506.5</v>
      </c>
      <c r="H68" s="29"/>
      <c r="I68" s="21"/>
      <c r="J68" s="60"/>
      <c r="K68" s="72" t="s">
        <v>65</v>
      </c>
      <c r="L68" s="37" t="s">
        <v>90</v>
      </c>
      <c r="M68" s="71"/>
      <c r="N68" s="71"/>
      <c r="O68" s="73"/>
    </row>
    <row r="69" s="3" customFormat="1" ht="18" customHeight="1" spans="1:15">
      <c r="A69" s="47">
        <v>43678</v>
      </c>
      <c r="B69" s="23">
        <f t="shared" si="10"/>
        <v>317.7</v>
      </c>
      <c r="C69" s="49"/>
      <c r="D69" s="215" t="s">
        <v>21</v>
      </c>
      <c r="E69" s="78">
        <v>0.13</v>
      </c>
      <c r="F69" s="23">
        <f t="shared" si="11"/>
        <v>41.3</v>
      </c>
      <c r="G69" s="58">
        <v>359</v>
      </c>
      <c r="H69" s="29"/>
      <c r="I69" s="21"/>
      <c r="J69" s="60"/>
      <c r="K69" s="72" t="s">
        <v>65</v>
      </c>
      <c r="L69" s="37" t="s">
        <v>91</v>
      </c>
      <c r="M69" s="71"/>
      <c r="N69" s="71"/>
      <c r="O69" s="73"/>
    </row>
    <row r="70" s="3" customFormat="1" ht="18" customHeight="1" spans="1:15">
      <c r="A70" s="47">
        <v>43678</v>
      </c>
      <c r="B70" s="23">
        <f t="shared" si="10"/>
        <v>992.92</v>
      </c>
      <c r="C70" s="49"/>
      <c r="D70" s="215" t="s">
        <v>21</v>
      </c>
      <c r="E70" s="78">
        <v>0.13</v>
      </c>
      <c r="F70" s="23">
        <f t="shared" si="11"/>
        <v>129.08</v>
      </c>
      <c r="G70" s="58">
        <v>1122</v>
      </c>
      <c r="H70" s="29"/>
      <c r="I70" s="21"/>
      <c r="J70" s="60"/>
      <c r="K70" s="72" t="s">
        <v>65</v>
      </c>
      <c r="L70" s="37" t="s">
        <v>92</v>
      </c>
      <c r="M70" s="71"/>
      <c r="N70" s="71"/>
      <c r="O70" s="73"/>
    </row>
    <row r="71" s="3" customFormat="1" ht="18" customHeight="1" spans="1:15">
      <c r="A71" s="47">
        <v>43678</v>
      </c>
      <c r="B71" s="23">
        <f t="shared" si="10"/>
        <v>5953.88</v>
      </c>
      <c r="C71" s="49"/>
      <c r="D71" s="215" t="s">
        <v>21</v>
      </c>
      <c r="E71" s="78">
        <v>0.03</v>
      </c>
      <c r="F71" s="23">
        <f t="shared" si="11"/>
        <v>178.62</v>
      </c>
      <c r="G71" s="58">
        <v>6132.5</v>
      </c>
      <c r="H71" s="29"/>
      <c r="I71" s="21"/>
      <c r="J71" s="60"/>
      <c r="K71" s="218" t="s">
        <v>93</v>
      </c>
      <c r="L71" s="37" t="s">
        <v>94</v>
      </c>
      <c r="M71" s="71"/>
      <c r="N71" s="71"/>
      <c r="O71" s="73"/>
    </row>
    <row r="72" s="3" customFormat="1" ht="18" customHeight="1" spans="1:15">
      <c r="A72" s="47">
        <v>43678</v>
      </c>
      <c r="B72" s="23">
        <f t="shared" si="10"/>
        <v>2641</v>
      </c>
      <c r="C72" s="49"/>
      <c r="D72" s="50" t="s">
        <v>67</v>
      </c>
      <c r="E72" s="78"/>
      <c r="F72" s="23">
        <f t="shared" si="11"/>
        <v>0</v>
      </c>
      <c r="G72" s="58">
        <v>2641</v>
      </c>
      <c r="H72" s="29"/>
      <c r="I72" s="21"/>
      <c r="J72" s="60"/>
      <c r="K72" s="75" t="s">
        <v>68</v>
      </c>
      <c r="L72" s="37" t="s">
        <v>95</v>
      </c>
      <c r="M72" s="71"/>
      <c r="N72" s="71"/>
      <c r="O72" s="73"/>
    </row>
    <row r="73" s="3" customFormat="1" ht="18" customHeight="1" spans="1:15">
      <c r="A73" s="47">
        <v>43678</v>
      </c>
      <c r="B73" s="23">
        <f t="shared" si="10"/>
        <v>3628</v>
      </c>
      <c r="C73" s="49"/>
      <c r="D73" s="50" t="s">
        <v>67</v>
      </c>
      <c r="E73" s="78"/>
      <c r="F73" s="23">
        <f t="shared" si="11"/>
        <v>0</v>
      </c>
      <c r="G73" s="58">
        <v>3628</v>
      </c>
      <c r="H73" s="29"/>
      <c r="I73" s="21"/>
      <c r="J73" s="60"/>
      <c r="K73" s="75" t="s">
        <v>68</v>
      </c>
      <c r="L73" s="37" t="s">
        <v>95</v>
      </c>
      <c r="M73" s="71"/>
      <c r="N73" s="71"/>
      <c r="O73" s="73"/>
    </row>
    <row r="74" s="3" customFormat="1" ht="18" customHeight="1" spans="1:15">
      <c r="A74" s="47">
        <v>43678</v>
      </c>
      <c r="B74" s="23">
        <f t="shared" si="10"/>
        <v>3280</v>
      </c>
      <c r="C74" s="49"/>
      <c r="D74" s="50" t="s">
        <v>67</v>
      </c>
      <c r="E74" s="78"/>
      <c r="F74" s="23">
        <f t="shared" si="11"/>
        <v>0</v>
      </c>
      <c r="G74" s="58">
        <v>3280</v>
      </c>
      <c r="H74" s="29"/>
      <c r="I74" s="21"/>
      <c r="J74" s="60"/>
      <c r="K74" s="72" t="s">
        <v>96</v>
      </c>
      <c r="L74" s="37" t="s">
        <v>97</v>
      </c>
      <c r="M74" s="146"/>
      <c r="N74" s="71"/>
      <c r="O74" s="73"/>
    </row>
    <row r="75" s="3" customFormat="1" ht="18" customHeight="1" spans="1:15">
      <c r="A75" s="47">
        <v>43678</v>
      </c>
      <c r="B75" s="23">
        <f t="shared" si="10"/>
        <v>18839</v>
      </c>
      <c r="C75" s="49"/>
      <c r="D75" s="50" t="s">
        <v>67</v>
      </c>
      <c r="E75" s="78"/>
      <c r="F75" s="23">
        <f t="shared" si="11"/>
        <v>0</v>
      </c>
      <c r="G75" s="58">
        <v>18839</v>
      </c>
      <c r="H75" s="29"/>
      <c r="I75" s="21"/>
      <c r="J75" s="60"/>
      <c r="K75" s="218" t="s">
        <v>98</v>
      </c>
      <c r="L75" s="37" t="s">
        <v>99</v>
      </c>
      <c r="M75" s="71"/>
      <c r="N75" s="71"/>
      <c r="O75" s="73"/>
    </row>
    <row r="76" s="3" customFormat="1" ht="18" customHeight="1" spans="1:15">
      <c r="A76" s="47">
        <v>43678</v>
      </c>
      <c r="B76" s="23">
        <f t="shared" si="10"/>
        <v>360</v>
      </c>
      <c r="C76" s="49"/>
      <c r="D76" s="50" t="s">
        <v>67</v>
      </c>
      <c r="E76" s="78"/>
      <c r="F76" s="23">
        <f t="shared" si="11"/>
        <v>0</v>
      </c>
      <c r="G76" s="58">
        <v>360</v>
      </c>
      <c r="H76" s="29"/>
      <c r="I76" s="21"/>
      <c r="J76" s="60"/>
      <c r="K76" s="218" t="s">
        <v>100</v>
      </c>
      <c r="L76" s="37" t="s">
        <v>101</v>
      </c>
      <c r="M76" s="71"/>
      <c r="N76" s="71"/>
      <c r="O76" s="73"/>
    </row>
    <row r="77" s="3" customFormat="1" ht="18" customHeight="1" spans="1:15">
      <c r="A77" s="47">
        <v>43678</v>
      </c>
      <c r="B77" s="23">
        <f t="shared" si="10"/>
        <v>5013.1</v>
      </c>
      <c r="C77" s="49"/>
      <c r="D77" s="50" t="s">
        <v>67</v>
      </c>
      <c r="E77" s="78"/>
      <c r="F77" s="23">
        <f t="shared" si="11"/>
        <v>0</v>
      </c>
      <c r="G77" s="58">
        <v>5013.1</v>
      </c>
      <c r="H77" s="29"/>
      <c r="I77" s="21"/>
      <c r="J77" s="60"/>
      <c r="K77" s="75" t="s">
        <v>68</v>
      </c>
      <c r="L77" s="37" t="s">
        <v>95</v>
      </c>
      <c r="M77" s="71"/>
      <c r="N77" s="71"/>
      <c r="O77" s="73"/>
    </row>
    <row r="78" s="3" customFormat="1" ht="18" customHeight="1" spans="1:15">
      <c r="A78" s="47">
        <v>43678</v>
      </c>
      <c r="B78" s="23">
        <f t="shared" si="10"/>
        <v>12197</v>
      </c>
      <c r="C78" s="49"/>
      <c r="D78" s="50" t="s">
        <v>67</v>
      </c>
      <c r="E78" s="78"/>
      <c r="F78" s="23">
        <f t="shared" si="11"/>
        <v>0</v>
      </c>
      <c r="G78" s="58">
        <v>12197</v>
      </c>
      <c r="H78" s="29"/>
      <c r="I78" s="21"/>
      <c r="J78" s="60"/>
      <c r="K78" s="75" t="s">
        <v>68</v>
      </c>
      <c r="L78" s="37" t="s">
        <v>95</v>
      </c>
      <c r="M78" s="71"/>
      <c r="N78" s="71"/>
      <c r="O78" s="73"/>
    </row>
    <row r="79" s="3" customFormat="1" ht="18" customHeight="1" spans="1:15">
      <c r="A79" s="47">
        <v>43678</v>
      </c>
      <c r="B79" s="23">
        <f t="shared" si="10"/>
        <v>7459</v>
      </c>
      <c r="C79" s="49"/>
      <c r="D79" s="50" t="s">
        <v>67</v>
      </c>
      <c r="E79" s="78"/>
      <c r="F79" s="23">
        <f t="shared" si="11"/>
        <v>0</v>
      </c>
      <c r="G79" s="58">
        <v>7459</v>
      </c>
      <c r="H79" s="29"/>
      <c r="I79" s="21"/>
      <c r="J79" s="60"/>
      <c r="K79" s="75" t="s">
        <v>68</v>
      </c>
      <c r="L79" s="37" t="s">
        <v>95</v>
      </c>
      <c r="M79" s="71"/>
      <c r="N79" s="71"/>
      <c r="O79" s="73"/>
    </row>
    <row r="80" s="3" customFormat="1" ht="18" customHeight="1" spans="1:15">
      <c r="A80" s="47">
        <v>43678</v>
      </c>
      <c r="B80" s="23">
        <f t="shared" si="10"/>
        <v>8144</v>
      </c>
      <c r="C80" s="49"/>
      <c r="D80" s="50" t="s">
        <v>67</v>
      </c>
      <c r="E80" s="78"/>
      <c r="F80" s="23">
        <f t="shared" si="11"/>
        <v>0</v>
      </c>
      <c r="G80" s="58">
        <v>8144</v>
      </c>
      <c r="H80" s="29"/>
      <c r="I80" s="21"/>
      <c r="J80" s="60"/>
      <c r="K80" s="75" t="s">
        <v>68</v>
      </c>
      <c r="L80" s="37" t="s">
        <v>95</v>
      </c>
      <c r="M80" s="71"/>
      <c r="N80" s="71"/>
      <c r="O80" s="73"/>
    </row>
    <row r="81" s="3" customFormat="1" ht="18" customHeight="1" spans="1:15">
      <c r="A81" s="47">
        <v>43709</v>
      </c>
      <c r="B81" s="23">
        <f t="shared" si="10"/>
        <v>200296.46</v>
      </c>
      <c r="C81" s="49"/>
      <c r="D81" s="50" t="s">
        <v>21</v>
      </c>
      <c r="E81" s="78">
        <v>0.13</v>
      </c>
      <c r="F81" s="23">
        <f t="shared" si="11"/>
        <v>26038.54</v>
      </c>
      <c r="G81" s="58">
        <v>226335</v>
      </c>
      <c r="H81" s="29">
        <v>43706</v>
      </c>
      <c r="I81" s="21">
        <v>76335</v>
      </c>
      <c r="J81" s="60" t="s">
        <v>58</v>
      </c>
      <c r="K81" s="218" t="s">
        <v>69</v>
      </c>
      <c r="L81" s="37" t="s">
        <v>60</v>
      </c>
      <c r="M81" s="71"/>
      <c r="N81" s="71"/>
      <c r="O81" s="73"/>
    </row>
    <row r="82" s="3" customFormat="1" ht="18" customHeight="1" spans="1:15">
      <c r="A82" s="47"/>
      <c r="B82" s="23">
        <f t="shared" si="10"/>
        <v>0</v>
      </c>
      <c r="C82" s="49"/>
      <c r="D82" s="215"/>
      <c r="E82" s="78"/>
      <c r="F82" s="23">
        <f t="shared" si="11"/>
        <v>0</v>
      </c>
      <c r="G82" s="58"/>
      <c r="H82" s="29">
        <v>43706</v>
      </c>
      <c r="I82" s="21">
        <v>70047.1</v>
      </c>
      <c r="J82" s="60" t="s">
        <v>58</v>
      </c>
      <c r="K82" s="75" t="s">
        <v>68</v>
      </c>
      <c r="L82" s="37" t="s">
        <v>71</v>
      </c>
      <c r="M82" s="71"/>
      <c r="N82" s="71"/>
      <c r="O82" s="73"/>
    </row>
    <row r="83" s="3" customFormat="1" ht="18" customHeight="1" spans="1:15">
      <c r="A83" s="47">
        <v>43709</v>
      </c>
      <c r="B83" s="23">
        <f t="shared" si="10"/>
        <v>36658.76</v>
      </c>
      <c r="C83" s="49"/>
      <c r="D83" s="50" t="s">
        <v>21</v>
      </c>
      <c r="E83" s="78">
        <v>0.13</v>
      </c>
      <c r="F83" s="23">
        <f t="shared" si="11"/>
        <v>4765.64</v>
      </c>
      <c r="G83" s="58">
        <v>41424.4</v>
      </c>
      <c r="H83" s="29">
        <v>43712</v>
      </c>
      <c r="I83" s="21">
        <v>41424.4</v>
      </c>
      <c r="J83" s="60" t="s">
        <v>58</v>
      </c>
      <c r="K83" s="218" t="s">
        <v>45</v>
      </c>
      <c r="L83" s="37" t="s">
        <v>102</v>
      </c>
      <c r="M83" s="71"/>
      <c r="N83" s="71"/>
      <c r="O83" s="73"/>
    </row>
    <row r="84" s="3" customFormat="1" ht="18" customHeight="1" spans="1:15">
      <c r="A84" s="47">
        <v>43709</v>
      </c>
      <c r="B84" s="23">
        <f t="shared" si="10"/>
        <v>13218.05</v>
      </c>
      <c r="C84" s="49"/>
      <c r="D84" s="50" t="s">
        <v>21</v>
      </c>
      <c r="E84" s="78">
        <v>0.13</v>
      </c>
      <c r="F84" s="23">
        <f t="shared" si="11"/>
        <v>1718.35</v>
      </c>
      <c r="G84" s="58">
        <v>14936.4</v>
      </c>
      <c r="H84" s="29">
        <v>43712</v>
      </c>
      <c r="I84" s="21">
        <v>14936.4</v>
      </c>
      <c r="J84" s="60" t="s">
        <v>58</v>
      </c>
      <c r="K84" s="218" t="s">
        <v>47</v>
      </c>
      <c r="L84" s="37" t="s">
        <v>103</v>
      </c>
      <c r="M84" s="71"/>
      <c r="N84" s="71"/>
      <c r="O84" s="73"/>
    </row>
    <row r="85" s="3" customFormat="1" ht="18" customHeight="1" spans="1:15">
      <c r="A85" s="47">
        <v>43709</v>
      </c>
      <c r="B85" s="23">
        <f t="shared" si="10"/>
        <v>63001.5</v>
      </c>
      <c r="C85" s="49"/>
      <c r="D85" s="50" t="s">
        <v>21</v>
      </c>
      <c r="E85" s="78">
        <v>0.13</v>
      </c>
      <c r="F85" s="23">
        <f t="shared" si="11"/>
        <v>8190.2</v>
      </c>
      <c r="G85" s="58">
        <v>71191.7</v>
      </c>
      <c r="H85" s="29">
        <v>43712</v>
      </c>
      <c r="I85" s="21">
        <v>71191.7</v>
      </c>
      <c r="J85" s="60" t="s">
        <v>58</v>
      </c>
      <c r="K85" s="72" t="s">
        <v>49</v>
      </c>
      <c r="L85" s="73" t="s">
        <v>53</v>
      </c>
      <c r="M85" s="71"/>
      <c r="N85" s="71"/>
      <c r="O85" s="73"/>
    </row>
    <row r="86" s="3" customFormat="1" ht="18" customHeight="1" spans="1:15">
      <c r="A86" s="47">
        <v>43709</v>
      </c>
      <c r="B86" s="23">
        <f t="shared" si="10"/>
        <v>780766.02</v>
      </c>
      <c r="C86" s="49"/>
      <c r="D86" s="50" t="s">
        <v>21</v>
      </c>
      <c r="E86" s="78">
        <v>0.03</v>
      </c>
      <c r="F86" s="23">
        <f t="shared" si="11"/>
        <v>23422.98</v>
      </c>
      <c r="G86" s="58">
        <f>100000*8+4189</f>
        <v>804189</v>
      </c>
      <c r="H86" s="29">
        <v>43712</v>
      </c>
      <c r="I86" s="21">
        <v>200000</v>
      </c>
      <c r="J86" s="60" t="s">
        <v>58</v>
      </c>
      <c r="K86" s="72" t="s">
        <v>80</v>
      </c>
      <c r="L86" s="73" t="s">
        <v>81</v>
      </c>
      <c r="M86" s="71"/>
      <c r="N86" s="71"/>
      <c r="O86" s="73"/>
    </row>
    <row r="87" s="3" customFormat="1" ht="18" customHeight="1" spans="1:15">
      <c r="A87" s="47"/>
      <c r="B87" s="23">
        <f t="shared" si="10"/>
        <v>0</v>
      </c>
      <c r="C87" s="49"/>
      <c r="D87" s="50"/>
      <c r="E87" s="51"/>
      <c r="F87" s="23">
        <f t="shared" si="11"/>
        <v>0</v>
      </c>
      <c r="G87" s="58"/>
      <c r="H87" s="29">
        <v>43718</v>
      </c>
      <c r="I87" s="21">
        <v>200000</v>
      </c>
      <c r="J87" s="60" t="s">
        <v>58</v>
      </c>
      <c r="K87" s="72" t="s">
        <v>61</v>
      </c>
      <c r="L87" s="73" t="s">
        <v>104</v>
      </c>
      <c r="M87" s="146" t="s">
        <v>63</v>
      </c>
      <c r="N87" s="71"/>
      <c r="O87" s="73"/>
    </row>
    <row r="88" s="3" customFormat="1" ht="18" customHeight="1" spans="1:15">
      <c r="A88" s="47">
        <v>43709</v>
      </c>
      <c r="B88" s="23">
        <f t="shared" si="10"/>
        <v>378026.55</v>
      </c>
      <c r="C88" s="49"/>
      <c r="D88" s="50" t="s">
        <v>21</v>
      </c>
      <c r="E88" s="78">
        <v>0.13</v>
      </c>
      <c r="F88" s="23">
        <f t="shared" si="11"/>
        <v>49143.45</v>
      </c>
      <c r="G88" s="58">
        <f>106792.5*4</f>
        <v>427170</v>
      </c>
      <c r="H88" s="29">
        <v>43718</v>
      </c>
      <c r="I88" s="21">
        <v>427170</v>
      </c>
      <c r="J88" s="60" t="s">
        <v>58</v>
      </c>
      <c r="K88" s="72" t="s">
        <v>105</v>
      </c>
      <c r="L88" s="73" t="s">
        <v>106</v>
      </c>
      <c r="M88" s="71"/>
      <c r="N88" s="71"/>
      <c r="O88" s="73"/>
    </row>
    <row r="89" s="3" customFormat="1" ht="18" customHeight="1" spans="1:15">
      <c r="A89" s="47">
        <v>43709</v>
      </c>
      <c r="B89" s="23">
        <f t="shared" si="10"/>
        <v>32715.15</v>
      </c>
      <c r="C89" s="49"/>
      <c r="D89" s="50" t="s">
        <v>21</v>
      </c>
      <c r="E89" s="78">
        <v>0.03</v>
      </c>
      <c r="F89" s="23">
        <f t="shared" si="11"/>
        <v>981.45</v>
      </c>
      <c r="G89" s="58">
        <v>33696.6</v>
      </c>
      <c r="H89" s="29"/>
      <c r="I89" s="21"/>
      <c r="J89" s="60"/>
      <c r="K89" s="72" t="s">
        <v>87</v>
      </c>
      <c r="L89" s="73" t="s">
        <v>107</v>
      </c>
      <c r="M89" s="71"/>
      <c r="N89" s="71"/>
      <c r="O89" s="73"/>
    </row>
    <row r="90" s="3" customFormat="1" ht="18" customHeight="1" spans="1:15">
      <c r="A90" s="47">
        <v>43709</v>
      </c>
      <c r="B90" s="23">
        <f t="shared" si="10"/>
        <v>22171</v>
      </c>
      <c r="C90" s="49"/>
      <c r="D90" s="50" t="s">
        <v>67</v>
      </c>
      <c r="E90" s="51"/>
      <c r="F90" s="23">
        <f t="shared" si="11"/>
        <v>0</v>
      </c>
      <c r="G90" s="58">
        <v>22171</v>
      </c>
      <c r="H90" s="29"/>
      <c r="I90" s="21"/>
      <c r="J90" s="60"/>
      <c r="K90" s="72" t="s">
        <v>108</v>
      </c>
      <c r="L90" s="73" t="s">
        <v>99</v>
      </c>
      <c r="M90" s="71"/>
      <c r="N90" s="71"/>
      <c r="O90" s="73"/>
    </row>
    <row r="91" s="3" customFormat="1" ht="18" customHeight="1" spans="1:15">
      <c r="A91" s="47">
        <v>43709</v>
      </c>
      <c r="B91" s="23">
        <f t="shared" si="10"/>
        <v>1285</v>
      </c>
      <c r="C91" s="49"/>
      <c r="D91" s="50" t="s">
        <v>67</v>
      </c>
      <c r="E91" s="51"/>
      <c r="F91" s="23">
        <f t="shared" si="11"/>
        <v>0</v>
      </c>
      <c r="G91" s="58">
        <v>1285</v>
      </c>
      <c r="H91" s="29"/>
      <c r="I91" s="21"/>
      <c r="J91" s="60"/>
      <c r="K91" s="72" t="s">
        <v>96</v>
      </c>
      <c r="L91" s="73" t="s">
        <v>101</v>
      </c>
      <c r="M91" s="146"/>
      <c r="N91" s="71"/>
      <c r="O91" s="73"/>
    </row>
    <row r="92" s="3" customFormat="1" ht="18" customHeight="1" spans="1:15">
      <c r="A92" s="47">
        <v>43709</v>
      </c>
      <c r="B92" s="23">
        <f t="shared" si="10"/>
        <v>2360</v>
      </c>
      <c r="C92" s="49"/>
      <c r="D92" s="50" t="s">
        <v>67</v>
      </c>
      <c r="E92" s="51"/>
      <c r="F92" s="23">
        <f t="shared" si="11"/>
        <v>0</v>
      </c>
      <c r="G92" s="58">
        <v>2360</v>
      </c>
      <c r="H92" s="29"/>
      <c r="I92" s="21"/>
      <c r="J92" s="60"/>
      <c r="K92" s="75" t="s">
        <v>68</v>
      </c>
      <c r="L92" s="73" t="s">
        <v>109</v>
      </c>
      <c r="M92" s="71"/>
      <c r="N92" s="71"/>
      <c r="O92" s="73"/>
    </row>
    <row r="93" s="3" customFormat="1" ht="18" customHeight="1" spans="1:15">
      <c r="A93" s="47">
        <v>43709</v>
      </c>
      <c r="B93" s="23">
        <f t="shared" si="10"/>
        <v>4440</v>
      </c>
      <c r="C93" s="49"/>
      <c r="D93" s="50" t="s">
        <v>67</v>
      </c>
      <c r="E93" s="51"/>
      <c r="F93" s="23">
        <f t="shared" si="11"/>
        <v>0</v>
      </c>
      <c r="G93" s="58">
        <v>4440</v>
      </c>
      <c r="H93" s="29"/>
      <c r="I93" s="21"/>
      <c r="J93" s="60"/>
      <c r="K93" s="75" t="s">
        <v>68</v>
      </c>
      <c r="L93" s="73" t="s">
        <v>110</v>
      </c>
      <c r="M93" s="71"/>
      <c r="N93" s="71"/>
      <c r="O93" s="73"/>
    </row>
    <row r="94" s="3" customFormat="1" ht="18" customHeight="1" spans="1:15">
      <c r="A94" s="47">
        <v>43709</v>
      </c>
      <c r="B94" s="23">
        <f t="shared" si="10"/>
        <v>1709</v>
      </c>
      <c r="C94" s="49"/>
      <c r="D94" s="50" t="s">
        <v>67</v>
      </c>
      <c r="E94" s="51"/>
      <c r="F94" s="23">
        <f t="shared" si="11"/>
        <v>0</v>
      </c>
      <c r="G94" s="58">
        <v>1709</v>
      </c>
      <c r="H94" s="29"/>
      <c r="I94" s="21"/>
      <c r="J94" s="60"/>
      <c r="K94" s="75" t="s">
        <v>68</v>
      </c>
      <c r="L94" s="73" t="s">
        <v>111</v>
      </c>
      <c r="M94" s="71"/>
      <c r="N94" s="71"/>
      <c r="O94" s="73"/>
    </row>
    <row r="95" s="3" customFormat="1" ht="18" customHeight="1" spans="1:15">
      <c r="A95" s="47">
        <v>43709</v>
      </c>
      <c r="B95" s="23">
        <f t="shared" si="10"/>
        <v>1024</v>
      </c>
      <c r="C95" s="49"/>
      <c r="D95" s="50" t="s">
        <v>67</v>
      </c>
      <c r="E95" s="51"/>
      <c r="F95" s="23">
        <f t="shared" si="11"/>
        <v>0</v>
      </c>
      <c r="G95" s="58">
        <v>1024</v>
      </c>
      <c r="H95" s="29"/>
      <c r="I95" s="21"/>
      <c r="J95" s="60"/>
      <c r="K95" s="75" t="s">
        <v>68</v>
      </c>
      <c r="L95" s="73" t="s">
        <v>112</v>
      </c>
      <c r="M95" s="71"/>
      <c r="N95" s="71"/>
      <c r="O95" s="73"/>
    </row>
    <row r="96" s="3" customFormat="1" ht="18" customHeight="1" spans="1:15">
      <c r="A96" s="47"/>
      <c r="B96" s="23">
        <f t="shared" ref="B96:B102" si="12">ROUND(G96/(1+E96),2)</f>
        <v>0</v>
      </c>
      <c r="C96" s="49"/>
      <c r="D96" s="50"/>
      <c r="E96" s="51"/>
      <c r="F96" s="23">
        <f t="shared" ref="F96:F103" si="13">ROUND(G96/(1+E96)*E96,2)</f>
        <v>0</v>
      </c>
      <c r="G96" s="58"/>
      <c r="H96" s="29">
        <v>43738</v>
      </c>
      <c r="I96" s="21">
        <v>142562.98</v>
      </c>
      <c r="J96" s="60" t="s">
        <v>58</v>
      </c>
      <c r="K96" s="72" t="s">
        <v>113</v>
      </c>
      <c r="L96" s="73" t="s">
        <v>114</v>
      </c>
      <c r="M96" s="71"/>
      <c r="N96" s="71"/>
      <c r="O96" s="73"/>
    </row>
    <row r="97" s="3" customFormat="1" ht="18" customHeight="1" spans="1:15">
      <c r="A97" s="47">
        <v>43739</v>
      </c>
      <c r="B97" s="23">
        <f t="shared" si="12"/>
        <v>451347.24</v>
      </c>
      <c r="C97" s="49"/>
      <c r="D97" s="50" t="s">
        <v>21</v>
      </c>
      <c r="E97" s="78">
        <v>0.13</v>
      </c>
      <c r="F97" s="23">
        <f t="shared" si="13"/>
        <v>58675.14</v>
      </c>
      <c r="G97" s="58">
        <f>112997+112997.15+80811.43+103838.8+99378</f>
        <v>510022.38</v>
      </c>
      <c r="H97" s="29">
        <v>43738</v>
      </c>
      <c r="I97" s="21">
        <v>510022.38</v>
      </c>
      <c r="J97" s="60" t="s">
        <v>58</v>
      </c>
      <c r="K97" s="72" t="s">
        <v>52</v>
      </c>
      <c r="L97" s="73" t="s">
        <v>115</v>
      </c>
      <c r="M97" s="71"/>
      <c r="N97" s="71"/>
      <c r="O97" s="73"/>
    </row>
    <row r="98" s="3" customFormat="1" ht="18" customHeight="1" spans="1:15">
      <c r="A98" s="47">
        <v>43739</v>
      </c>
      <c r="B98" s="23">
        <f t="shared" si="12"/>
        <v>199469.03</v>
      </c>
      <c r="C98" s="49"/>
      <c r="D98" s="50" t="s">
        <v>21</v>
      </c>
      <c r="E98" s="78">
        <v>0.13</v>
      </c>
      <c r="F98" s="23">
        <f t="shared" si="13"/>
        <v>25930.97</v>
      </c>
      <c r="G98" s="58">
        <v>225400</v>
      </c>
      <c r="H98" s="29">
        <v>43738</v>
      </c>
      <c r="I98" s="21">
        <v>225400</v>
      </c>
      <c r="J98" s="60" t="s">
        <v>58</v>
      </c>
      <c r="K98" s="72" t="s">
        <v>116</v>
      </c>
      <c r="L98" s="73" t="s">
        <v>114</v>
      </c>
      <c r="M98" s="73"/>
      <c r="N98" s="71"/>
      <c r="O98" s="73"/>
    </row>
    <row r="99" s="3" customFormat="1" ht="18" customHeight="1" spans="1:15">
      <c r="A99" s="47"/>
      <c r="B99" s="23">
        <f t="shared" si="12"/>
        <v>0</v>
      </c>
      <c r="C99" s="49"/>
      <c r="D99" s="50"/>
      <c r="E99" s="51"/>
      <c r="F99" s="23">
        <f t="shared" si="13"/>
        <v>0</v>
      </c>
      <c r="G99" s="58"/>
      <c r="H99" s="29">
        <v>43738</v>
      </c>
      <c r="I99" s="21">
        <v>48513</v>
      </c>
      <c r="J99" s="60" t="s">
        <v>58</v>
      </c>
      <c r="K99" s="75" t="s">
        <v>68</v>
      </c>
      <c r="L99" s="73" t="s">
        <v>117</v>
      </c>
      <c r="M99" s="71"/>
      <c r="N99" s="71"/>
      <c r="O99" s="73"/>
    </row>
    <row r="100" s="3" customFormat="1" ht="18" customHeight="1" spans="1:15">
      <c r="A100" s="47"/>
      <c r="B100" s="23">
        <f t="shared" si="12"/>
        <v>0</v>
      </c>
      <c r="C100" s="49"/>
      <c r="D100" s="86"/>
      <c r="E100" s="51"/>
      <c r="F100" s="23">
        <f t="shared" si="13"/>
        <v>0</v>
      </c>
      <c r="G100" s="58"/>
      <c r="H100" s="29">
        <v>43738</v>
      </c>
      <c r="I100" s="21">
        <v>447150</v>
      </c>
      <c r="J100" s="60" t="s">
        <v>58</v>
      </c>
      <c r="K100" s="72" t="s">
        <v>118</v>
      </c>
      <c r="L100" s="73" t="s">
        <v>114</v>
      </c>
      <c r="M100" s="71"/>
      <c r="N100" s="71"/>
      <c r="O100" s="73"/>
    </row>
    <row r="101" s="3" customFormat="1" ht="18" customHeight="1" spans="1:15">
      <c r="A101" s="47"/>
      <c r="B101" s="23">
        <f t="shared" si="12"/>
        <v>0</v>
      </c>
      <c r="C101" s="49"/>
      <c r="D101" s="50"/>
      <c r="E101" s="51"/>
      <c r="F101" s="23">
        <f t="shared" si="13"/>
        <v>0</v>
      </c>
      <c r="G101" s="58"/>
      <c r="H101" s="29">
        <v>43738</v>
      </c>
      <c r="I101" s="21">
        <v>57715.77</v>
      </c>
      <c r="J101" s="60" t="s">
        <v>58</v>
      </c>
      <c r="K101" s="75" t="s">
        <v>68</v>
      </c>
      <c r="L101" s="73" t="s">
        <v>117</v>
      </c>
      <c r="M101" s="71"/>
      <c r="N101" s="71"/>
      <c r="O101" s="73"/>
    </row>
    <row r="102" s="3" customFormat="1" ht="18" customHeight="1" spans="1:15">
      <c r="A102" s="47"/>
      <c r="B102" s="23">
        <f t="shared" ref="B102:B122" si="14">ROUND(G102/(1+E102),2)</f>
        <v>0</v>
      </c>
      <c r="C102" s="49"/>
      <c r="D102" s="50"/>
      <c r="E102" s="51"/>
      <c r="F102" s="23">
        <f t="shared" ref="F102:F123" si="15">ROUND(G102/(1+E102)*E102,2)</f>
        <v>0</v>
      </c>
      <c r="G102" s="58"/>
      <c r="H102" s="29">
        <v>43748</v>
      </c>
      <c r="I102" s="21">
        <v>16665.6</v>
      </c>
      <c r="J102" s="60" t="s">
        <v>58</v>
      </c>
      <c r="K102" s="72" t="s">
        <v>47</v>
      </c>
      <c r="L102" s="73" t="s">
        <v>119</v>
      </c>
      <c r="M102" s="71"/>
      <c r="N102" s="71"/>
      <c r="O102" s="73"/>
    </row>
    <row r="103" s="3" customFormat="1" ht="18" customHeight="1" spans="1:15">
      <c r="A103" s="47"/>
      <c r="B103" s="23">
        <f t="shared" si="14"/>
        <v>0</v>
      </c>
      <c r="C103" s="49"/>
      <c r="D103" s="50"/>
      <c r="E103" s="51"/>
      <c r="F103" s="23">
        <f t="shared" si="15"/>
        <v>0</v>
      </c>
      <c r="G103" s="58"/>
      <c r="H103" s="29">
        <v>43748</v>
      </c>
      <c r="I103" s="21">
        <v>5000</v>
      </c>
      <c r="J103" s="60" t="s">
        <v>58</v>
      </c>
      <c r="K103" s="72" t="s">
        <v>85</v>
      </c>
      <c r="L103" s="73" t="s">
        <v>86</v>
      </c>
      <c r="M103" s="71"/>
      <c r="N103" s="71"/>
      <c r="O103" s="73"/>
    </row>
    <row r="104" s="3" customFormat="1" ht="18" customHeight="1" spans="1:15">
      <c r="A104" s="47">
        <v>43739</v>
      </c>
      <c r="B104" s="23">
        <f t="shared" si="14"/>
        <v>33600</v>
      </c>
      <c r="C104" s="49"/>
      <c r="D104" s="50" t="s">
        <v>21</v>
      </c>
      <c r="E104" s="78">
        <v>0.03</v>
      </c>
      <c r="F104" s="23">
        <f t="shared" si="15"/>
        <v>1008</v>
      </c>
      <c r="G104" s="58">
        <v>34608</v>
      </c>
      <c r="H104" s="29">
        <v>43748</v>
      </c>
      <c r="I104" s="21">
        <v>34608</v>
      </c>
      <c r="J104" s="60" t="s">
        <v>58</v>
      </c>
      <c r="K104" s="72" t="s">
        <v>72</v>
      </c>
      <c r="L104" s="73" t="s">
        <v>120</v>
      </c>
      <c r="M104" s="71"/>
      <c r="N104" s="71"/>
      <c r="O104" s="73"/>
    </row>
    <row r="105" s="3" customFormat="1" ht="18" customHeight="1" spans="1:15">
      <c r="A105" s="47"/>
      <c r="B105" s="23">
        <f t="shared" si="14"/>
        <v>0</v>
      </c>
      <c r="C105" s="49"/>
      <c r="D105" s="50"/>
      <c r="E105" s="51"/>
      <c r="F105" s="23">
        <f t="shared" si="15"/>
        <v>0</v>
      </c>
      <c r="G105" s="58"/>
      <c r="H105" s="29">
        <v>43754</v>
      </c>
      <c r="I105" s="21">
        <v>100000</v>
      </c>
      <c r="J105" s="60" t="s">
        <v>58</v>
      </c>
      <c r="K105" s="72" t="s">
        <v>80</v>
      </c>
      <c r="L105" s="73" t="s">
        <v>81</v>
      </c>
      <c r="M105" s="71"/>
      <c r="N105" s="71"/>
      <c r="O105" s="73"/>
    </row>
    <row r="106" s="3" customFormat="1" ht="18" customHeight="1" spans="1:15">
      <c r="A106" s="47"/>
      <c r="B106" s="23">
        <f t="shared" si="14"/>
        <v>0</v>
      </c>
      <c r="C106" s="49"/>
      <c r="D106" s="50"/>
      <c r="E106" s="51"/>
      <c r="F106" s="23">
        <f t="shared" si="15"/>
        <v>0</v>
      </c>
      <c r="G106" s="58"/>
      <c r="H106" s="29">
        <v>43754</v>
      </c>
      <c r="I106" s="21">
        <v>300000</v>
      </c>
      <c r="J106" s="60" t="s">
        <v>58</v>
      </c>
      <c r="K106" s="72" t="s">
        <v>61</v>
      </c>
      <c r="L106" s="73" t="s">
        <v>104</v>
      </c>
      <c r="M106" s="146" t="s">
        <v>63</v>
      </c>
      <c r="N106" s="71"/>
      <c r="O106" s="73"/>
    </row>
    <row r="107" s="3" customFormat="1" ht="18" customHeight="1" spans="1:15">
      <c r="A107" s="47">
        <v>43739</v>
      </c>
      <c r="B107" s="23">
        <f t="shared" si="14"/>
        <v>1292</v>
      </c>
      <c r="C107" s="49"/>
      <c r="D107" s="50" t="s">
        <v>67</v>
      </c>
      <c r="E107" s="51"/>
      <c r="F107" s="23">
        <f t="shared" si="15"/>
        <v>0</v>
      </c>
      <c r="G107" s="58">
        <v>1292</v>
      </c>
      <c r="H107" s="29"/>
      <c r="I107" s="21"/>
      <c r="J107" s="60"/>
      <c r="K107" s="75" t="s">
        <v>68</v>
      </c>
      <c r="L107" s="73"/>
      <c r="M107" s="71"/>
      <c r="N107" s="71"/>
      <c r="O107" s="73"/>
    </row>
    <row r="108" s="3" customFormat="1" ht="18" customHeight="1" spans="1:15">
      <c r="A108" s="47"/>
      <c r="B108" s="23">
        <f t="shared" si="14"/>
        <v>0</v>
      </c>
      <c r="C108" s="49"/>
      <c r="D108" s="50"/>
      <c r="E108" s="51"/>
      <c r="F108" s="23">
        <f t="shared" si="15"/>
        <v>0</v>
      </c>
      <c r="G108" s="58"/>
      <c r="H108" s="29">
        <v>43766</v>
      </c>
      <c r="I108" s="21">
        <v>67035</v>
      </c>
      <c r="J108" s="60" t="s">
        <v>58</v>
      </c>
      <c r="K108" s="72" t="s">
        <v>69</v>
      </c>
      <c r="L108" s="73" t="s">
        <v>53</v>
      </c>
      <c r="M108" s="71"/>
      <c r="N108" s="71"/>
      <c r="O108" s="73"/>
    </row>
    <row r="109" s="3" customFormat="1" ht="18" customHeight="1" spans="1:15">
      <c r="A109" s="47"/>
      <c r="B109" s="23">
        <f t="shared" si="14"/>
        <v>0</v>
      </c>
      <c r="C109" s="49"/>
      <c r="D109" s="50"/>
      <c r="E109" s="51"/>
      <c r="F109" s="23">
        <f t="shared" si="15"/>
        <v>0</v>
      </c>
      <c r="G109" s="58"/>
      <c r="H109" s="29">
        <v>43775</v>
      </c>
      <c r="I109" s="21">
        <v>3000</v>
      </c>
      <c r="J109" s="60" t="s">
        <v>58</v>
      </c>
      <c r="K109" s="72" t="s">
        <v>85</v>
      </c>
      <c r="L109" s="73" t="s">
        <v>86</v>
      </c>
      <c r="M109" s="71"/>
      <c r="N109" s="71"/>
      <c r="O109" s="73"/>
    </row>
    <row r="110" s="3" customFormat="1" ht="18" customHeight="1" spans="1:15">
      <c r="A110" s="47"/>
      <c r="B110" s="23">
        <f t="shared" si="14"/>
        <v>0</v>
      </c>
      <c r="C110" s="49"/>
      <c r="D110" s="50"/>
      <c r="E110" s="51"/>
      <c r="F110" s="23">
        <f t="shared" si="15"/>
        <v>0</v>
      </c>
      <c r="G110" s="58"/>
      <c r="H110" s="29">
        <v>43782</v>
      </c>
      <c r="I110" s="21">
        <v>5000</v>
      </c>
      <c r="J110" s="60" t="s">
        <v>58</v>
      </c>
      <c r="K110" s="72" t="s">
        <v>85</v>
      </c>
      <c r="L110" s="73" t="s">
        <v>86</v>
      </c>
      <c r="M110" s="71"/>
      <c r="N110" s="71"/>
      <c r="O110" s="73"/>
    </row>
    <row r="111" s="3" customFormat="1" ht="18" customHeight="1" spans="1:15">
      <c r="A111" s="47"/>
      <c r="B111" s="23">
        <f t="shared" si="14"/>
        <v>0</v>
      </c>
      <c r="C111" s="49"/>
      <c r="D111" s="50"/>
      <c r="E111" s="51"/>
      <c r="F111" s="23">
        <f t="shared" si="15"/>
        <v>0</v>
      </c>
      <c r="G111" s="58"/>
      <c r="H111" s="29">
        <v>43782</v>
      </c>
      <c r="I111" s="21">
        <v>350745.76</v>
      </c>
      <c r="J111" s="60" t="s">
        <v>58</v>
      </c>
      <c r="K111" s="72" t="s">
        <v>121</v>
      </c>
      <c r="L111" s="73" t="s">
        <v>122</v>
      </c>
      <c r="M111" s="71"/>
      <c r="N111" s="71"/>
      <c r="O111" s="73"/>
    </row>
    <row r="112" s="3" customFormat="1" ht="18" customHeight="1" spans="1:15">
      <c r="A112" s="47">
        <v>43770</v>
      </c>
      <c r="B112" s="23">
        <f t="shared" si="14"/>
        <v>14748.32</v>
      </c>
      <c r="C112" s="49"/>
      <c r="D112" s="50" t="s">
        <v>21</v>
      </c>
      <c r="E112" s="78">
        <v>0.13</v>
      </c>
      <c r="F112" s="23">
        <f t="shared" si="15"/>
        <v>1917.28</v>
      </c>
      <c r="G112" s="58">
        <v>16665.6</v>
      </c>
      <c r="H112" s="29"/>
      <c r="I112" s="21"/>
      <c r="J112" s="60"/>
      <c r="K112" s="72" t="s">
        <v>47</v>
      </c>
      <c r="L112" s="73" t="s">
        <v>123</v>
      </c>
      <c r="M112" s="71"/>
      <c r="N112" s="71"/>
      <c r="O112" s="73"/>
    </row>
    <row r="113" s="3" customFormat="1" ht="18" customHeight="1" spans="1:15">
      <c r="A113" s="47">
        <v>43770</v>
      </c>
      <c r="B113" s="23">
        <f t="shared" si="14"/>
        <v>126161.93</v>
      </c>
      <c r="C113" s="49"/>
      <c r="D113" s="50" t="s">
        <v>21</v>
      </c>
      <c r="E113" s="78">
        <v>0.13</v>
      </c>
      <c r="F113" s="23">
        <f t="shared" si="15"/>
        <v>16401.05</v>
      </c>
      <c r="G113" s="58">
        <v>142562.98</v>
      </c>
      <c r="H113" s="29"/>
      <c r="I113" s="21"/>
      <c r="J113" s="60"/>
      <c r="K113" s="72" t="s">
        <v>113</v>
      </c>
      <c r="L113" s="73" t="s">
        <v>124</v>
      </c>
      <c r="M113" s="71"/>
      <c r="N113" s="71"/>
      <c r="O113" s="73"/>
    </row>
    <row r="114" s="3" customFormat="1" ht="18" customHeight="1" spans="1:15">
      <c r="A114" s="47">
        <v>43770</v>
      </c>
      <c r="B114" s="23">
        <f t="shared" si="14"/>
        <v>4424.78</v>
      </c>
      <c r="C114" s="49"/>
      <c r="D114" s="50" t="s">
        <v>21</v>
      </c>
      <c r="E114" s="78">
        <v>0.13</v>
      </c>
      <c r="F114" s="23">
        <f t="shared" si="15"/>
        <v>575.22</v>
      </c>
      <c r="G114" s="58">
        <v>5000</v>
      </c>
      <c r="H114" s="29"/>
      <c r="I114" s="21"/>
      <c r="J114" s="60"/>
      <c r="K114" s="72" t="s">
        <v>85</v>
      </c>
      <c r="L114" s="73" t="s">
        <v>86</v>
      </c>
      <c r="M114" s="146" t="s">
        <v>125</v>
      </c>
      <c r="N114" s="71"/>
      <c r="O114" s="73"/>
    </row>
    <row r="115" s="3" customFormat="1" ht="18" customHeight="1" spans="1:15">
      <c r="A115" s="47">
        <v>43770</v>
      </c>
      <c r="B115" s="23">
        <f t="shared" si="14"/>
        <v>59323.01</v>
      </c>
      <c r="C115" s="49"/>
      <c r="D115" s="50" t="s">
        <v>21</v>
      </c>
      <c r="E115" s="78">
        <v>0.13</v>
      </c>
      <c r="F115" s="23">
        <f t="shared" si="15"/>
        <v>7711.99</v>
      </c>
      <c r="G115" s="58">
        <v>67035</v>
      </c>
      <c r="H115" s="29"/>
      <c r="I115" s="21"/>
      <c r="J115" s="60"/>
      <c r="K115" s="72" t="s">
        <v>69</v>
      </c>
      <c r="L115" s="73" t="s">
        <v>126</v>
      </c>
      <c r="M115" s="71"/>
      <c r="N115" s="71"/>
      <c r="O115" s="73"/>
    </row>
    <row r="116" s="3" customFormat="1" ht="18" customHeight="1" spans="1:15">
      <c r="A116" s="47">
        <v>43770</v>
      </c>
      <c r="B116" s="23">
        <f t="shared" si="14"/>
        <v>17699.12</v>
      </c>
      <c r="C116" s="49"/>
      <c r="D116" s="50" t="s">
        <v>21</v>
      </c>
      <c r="E116" s="78">
        <v>0.13</v>
      </c>
      <c r="F116" s="23">
        <f t="shared" si="15"/>
        <v>2300.88</v>
      </c>
      <c r="G116" s="58">
        <v>20000</v>
      </c>
      <c r="H116" s="29"/>
      <c r="I116" s="21"/>
      <c r="J116" s="60"/>
      <c r="K116" s="72" t="s">
        <v>85</v>
      </c>
      <c r="L116" s="73" t="s">
        <v>86</v>
      </c>
      <c r="M116" s="146" t="s">
        <v>125</v>
      </c>
      <c r="N116" s="71"/>
      <c r="O116" s="73"/>
    </row>
    <row r="117" s="3" customFormat="1" ht="18" customHeight="1" spans="1:15">
      <c r="A117" s="47">
        <v>43770</v>
      </c>
      <c r="B117" s="23">
        <f t="shared" si="14"/>
        <v>3784</v>
      </c>
      <c r="C117" s="49"/>
      <c r="D117" s="50" t="s">
        <v>67</v>
      </c>
      <c r="E117" s="78"/>
      <c r="F117" s="23">
        <f t="shared" si="15"/>
        <v>0</v>
      </c>
      <c r="G117" s="58">
        <v>3784</v>
      </c>
      <c r="H117" s="29"/>
      <c r="I117" s="21"/>
      <c r="J117" s="60"/>
      <c r="K117" s="75" t="s">
        <v>68</v>
      </c>
      <c r="L117" s="73" t="s">
        <v>127</v>
      </c>
      <c r="M117" s="71"/>
      <c r="N117" s="71"/>
      <c r="O117" s="73"/>
    </row>
    <row r="118" s="3" customFormat="1" ht="18" customHeight="1" spans="1:15">
      <c r="A118" s="47"/>
      <c r="B118" s="23">
        <f t="shared" si="14"/>
        <v>0</v>
      </c>
      <c r="C118" s="49"/>
      <c r="D118" s="50"/>
      <c r="E118" s="78"/>
      <c r="F118" s="23">
        <f t="shared" si="15"/>
        <v>0</v>
      </c>
      <c r="G118" s="58"/>
      <c r="H118" s="29">
        <v>43790</v>
      </c>
      <c r="I118" s="21">
        <v>12776.37</v>
      </c>
      <c r="J118" s="60" t="s">
        <v>58</v>
      </c>
      <c r="K118" s="72" t="s">
        <v>121</v>
      </c>
      <c r="L118" s="73" t="s">
        <v>122</v>
      </c>
      <c r="M118" s="71"/>
      <c r="N118" s="71"/>
      <c r="O118" s="73"/>
    </row>
    <row r="119" s="3" customFormat="1" ht="18" customHeight="1" spans="1:15">
      <c r="A119" s="47"/>
      <c r="B119" s="23">
        <f t="shared" si="14"/>
        <v>0</v>
      </c>
      <c r="C119" s="49"/>
      <c r="D119" s="50"/>
      <c r="E119" s="78"/>
      <c r="F119" s="23">
        <f t="shared" si="15"/>
        <v>0</v>
      </c>
      <c r="G119" s="58"/>
      <c r="H119" s="29">
        <v>43790</v>
      </c>
      <c r="I119" s="21">
        <v>80000</v>
      </c>
      <c r="J119" s="60" t="s">
        <v>58</v>
      </c>
      <c r="K119" s="72" t="s">
        <v>128</v>
      </c>
      <c r="L119" s="73" t="s">
        <v>129</v>
      </c>
      <c r="M119" s="71"/>
      <c r="N119" s="71"/>
      <c r="O119" s="73"/>
    </row>
    <row r="120" s="3" customFormat="1" ht="18" customHeight="1" spans="1:15">
      <c r="A120" s="47">
        <v>43800</v>
      </c>
      <c r="B120" s="23">
        <f t="shared" si="14"/>
        <v>7079.65</v>
      </c>
      <c r="C120" s="49"/>
      <c r="D120" s="50" t="s">
        <v>21</v>
      </c>
      <c r="E120" s="78">
        <v>0.13</v>
      </c>
      <c r="F120" s="23">
        <f t="shared" si="15"/>
        <v>920.35</v>
      </c>
      <c r="G120" s="58">
        <v>8000</v>
      </c>
      <c r="H120" s="29">
        <v>43804</v>
      </c>
      <c r="I120" s="21">
        <v>2000</v>
      </c>
      <c r="J120" s="60" t="s">
        <v>58</v>
      </c>
      <c r="K120" s="72" t="s">
        <v>85</v>
      </c>
      <c r="L120" s="73" t="s">
        <v>130</v>
      </c>
      <c r="M120" s="146" t="s">
        <v>125</v>
      </c>
      <c r="N120" s="71" t="s">
        <v>51</v>
      </c>
      <c r="O120" s="73"/>
    </row>
    <row r="121" s="3" customFormat="1" ht="18" customHeight="1" spans="1:15">
      <c r="A121" s="47"/>
      <c r="B121" s="23"/>
      <c r="C121" s="49"/>
      <c r="D121" s="50"/>
      <c r="E121" s="78"/>
      <c r="F121" s="23"/>
      <c r="G121" s="58"/>
      <c r="H121" s="29" t="s">
        <v>131</v>
      </c>
      <c r="I121" s="21">
        <v>4374</v>
      </c>
      <c r="J121" s="60" t="s">
        <v>58</v>
      </c>
      <c r="K121" s="75" t="s">
        <v>68</v>
      </c>
      <c r="L121" s="73"/>
      <c r="M121" s="71"/>
      <c r="N121" s="71"/>
      <c r="O121" s="73"/>
    </row>
    <row r="122" s="3" customFormat="1" ht="18" customHeight="1" spans="1:15">
      <c r="A122" s="47">
        <v>43800</v>
      </c>
      <c r="B122" s="23">
        <f t="shared" ref="B122:B132" si="16">ROUND(G122/(1+E122),2)</f>
        <v>410930.1</v>
      </c>
      <c r="C122" s="49"/>
      <c r="D122" s="86" t="s">
        <v>21</v>
      </c>
      <c r="E122" s="78">
        <v>0.03</v>
      </c>
      <c r="F122" s="23">
        <f t="shared" ref="F122:F133" si="17">ROUND(G122/(1+E122)*E122,2)</f>
        <v>12327.9</v>
      </c>
      <c r="G122" s="58">
        <f>23258+100000*4</f>
        <v>423258</v>
      </c>
      <c r="H122" s="29"/>
      <c r="I122" s="21"/>
      <c r="J122" s="60"/>
      <c r="K122" s="72" t="s">
        <v>61</v>
      </c>
      <c r="L122" s="73" t="s">
        <v>132</v>
      </c>
      <c r="M122" s="146" t="s">
        <v>63</v>
      </c>
      <c r="N122" s="71"/>
      <c r="O122" s="73"/>
    </row>
    <row r="123" s="3" customFormat="1" ht="18" customHeight="1" spans="1:15">
      <c r="A123" s="47">
        <v>43800</v>
      </c>
      <c r="B123" s="23">
        <f t="shared" si="16"/>
        <v>395707.96</v>
      </c>
      <c r="C123" s="49"/>
      <c r="D123" s="86" t="s">
        <v>21</v>
      </c>
      <c r="E123" s="78">
        <v>0.13</v>
      </c>
      <c r="F123" s="23">
        <f t="shared" si="17"/>
        <v>51442.04</v>
      </c>
      <c r="G123" s="58">
        <v>447150</v>
      </c>
      <c r="H123" s="29"/>
      <c r="I123" s="21"/>
      <c r="J123" s="60"/>
      <c r="K123" s="72" t="s">
        <v>118</v>
      </c>
      <c r="L123" s="73" t="s">
        <v>133</v>
      </c>
      <c r="M123" s="71" t="s">
        <v>51</v>
      </c>
      <c r="N123" s="71" t="s">
        <v>51</v>
      </c>
      <c r="O123" s="73"/>
    </row>
    <row r="124" s="3" customFormat="1" ht="18" customHeight="1" spans="1:15">
      <c r="A124" s="47">
        <v>43800</v>
      </c>
      <c r="B124" s="23">
        <f t="shared" si="16"/>
        <v>105000</v>
      </c>
      <c r="C124" s="49"/>
      <c r="D124" s="50" t="s">
        <v>134</v>
      </c>
      <c r="E124" s="51"/>
      <c r="F124" s="23">
        <f t="shared" si="17"/>
        <v>0</v>
      </c>
      <c r="G124" s="58">
        <v>105000</v>
      </c>
      <c r="H124" s="29"/>
      <c r="I124" s="21"/>
      <c r="J124" s="60"/>
      <c r="K124" s="72" t="s">
        <v>135</v>
      </c>
      <c r="L124" s="73" t="s">
        <v>136</v>
      </c>
      <c r="M124" s="71"/>
      <c r="N124" s="71" t="s">
        <v>51</v>
      </c>
      <c r="O124" s="73"/>
    </row>
    <row r="125" s="3" customFormat="1" ht="18" customHeight="1" spans="1:15">
      <c r="A125" s="47">
        <v>43800</v>
      </c>
      <c r="B125" s="23">
        <f t="shared" si="16"/>
        <v>226.42</v>
      </c>
      <c r="C125" s="49"/>
      <c r="D125" s="50" t="s">
        <v>21</v>
      </c>
      <c r="E125" s="78">
        <v>0.06</v>
      </c>
      <c r="F125" s="23">
        <f t="shared" si="17"/>
        <v>13.58</v>
      </c>
      <c r="G125" s="58">
        <v>240</v>
      </c>
      <c r="H125" s="29"/>
      <c r="I125" s="21"/>
      <c r="J125" s="60"/>
      <c r="K125" s="72" t="s">
        <v>137</v>
      </c>
      <c r="L125" s="73" t="s">
        <v>138</v>
      </c>
      <c r="M125" s="71"/>
      <c r="N125" s="71"/>
      <c r="O125" s="73"/>
    </row>
    <row r="126" s="3" customFormat="1" ht="18" customHeight="1" spans="1:15">
      <c r="A126" s="47">
        <v>43800</v>
      </c>
      <c r="B126" s="23">
        <f t="shared" si="16"/>
        <v>16084</v>
      </c>
      <c r="C126" s="49"/>
      <c r="D126" s="50" t="s">
        <v>134</v>
      </c>
      <c r="E126" s="51"/>
      <c r="F126" s="23">
        <f t="shared" si="17"/>
        <v>0</v>
      </c>
      <c r="G126" s="58">
        <v>16084</v>
      </c>
      <c r="H126" s="29"/>
      <c r="I126" s="21"/>
      <c r="J126" s="60"/>
      <c r="K126" s="72" t="s">
        <v>139</v>
      </c>
      <c r="L126" s="73" t="s">
        <v>99</v>
      </c>
      <c r="M126" s="71"/>
      <c r="N126" s="71"/>
      <c r="O126" s="73"/>
    </row>
    <row r="127" s="3" customFormat="1" ht="18" customHeight="1" spans="1:15">
      <c r="A127" s="47">
        <v>43800</v>
      </c>
      <c r="B127" s="23">
        <f t="shared" si="16"/>
        <v>214</v>
      </c>
      <c r="C127" s="49"/>
      <c r="D127" s="50" t="s">
        <v>134</v>
      </c>
      <c r="E127" s="51"/>
      <c r="F127" s="23">
        <f t="shared" si="17"/>
        <v>0</v>
      </c>
      <c r="G127" s="58">
        <v>214</v>
      </c>
      <c r="H127" s="29"/>
      <c r="I127" s="21"/>
      <c r="J127" s="60"/>
      <c r="K127" s="75" t="s">
        <v>68</v>
      </c>
      <c r="L127" s="73" t="s">
        <v>140</v>
      </c>
      <c r="M127" s="71"/>
      <c r="N127" s="71"/>
      <c r="O127" s="73"/>
    </row>
    <row r="128" s="3" customFormat="1" ht="18" customHeight="1" spans="1:15">
      <c r="A128" s="47">
        <v>43800</v>
      </c>
      <c r="B128" s="23">
        <f t="shared" si="16"/>
        <v>11047</v>
      </c>
      <c r="C128" s="49"/>
      <c r="D128" s="50" t="s">
        <v>134</v>
      </c>
      <c r="E128" s="51"/>
      <c r="F128" s="23">
        <f t="shared" si="17"/>
        <v>0</v>
      </c>
      <c r="G128" s="58">
        <v>11047</v>
      </c>
      <c r="H128" s="29"/>
      <c r="I128" s="21"/>
      <c r="J128" s="60"/>
      <c r="K128" s="72" t="s">
        <v>139</v>
      </c>
      <c r="L128" s="73" t="s">
        <v>99</v>
      </c>
      <c r="M128" s="71"/>
      <c r="N128" s="71"/>
      <c r="O128" s="73"/>
    </row>
    <row r="129" s="3" customFormat="1" ht="18" customHeight="1" spans="1:15">
      <c r="A129" s="47">
        <v>43800</v>
      </c>
      <c r="B129" s="23">
        <f t="shared" si="16"/>
        <v>504</v>
      </c>
      <c r="C129" s="49"/>
      <c r="D129" s="50" t="s">
        <v>134</v>
      </c>
      <c r="E129" s="51"/>
      <c r="F129" s="23">
        <f t="shared" si="17"/>
        <v>0</v>
      </c>
      <c r="G129" s="58">
        <v>504</v>
      </c>
      <c r="H129" s="29"/>
      <c r="I129" s="21"/>
      <c r="J129" s="60"/>
      <c r="K129" s="75" t="s">
        <v>68</v>
      </c>
      <c r="L129" s="73" t="s">
        <v>141</v>
      </c>
      <c r="M129" s="71"/>
      <c r="N129" s="71"/>
      <c r="O129" s="73"/>
    </row>
    <row r="130" s="3" customFormat="1" ht="18" customHeight="1" spans="1:15">
      <c r="A130" s="47">
        <v>43800</v>
      </c>
      <c r="B130" s="23">
        <f t="shared" si="16"/>
        <v>320</v>
      </c>
      <c r="C130" s="49"/>
      <c r="D130" s="50" t="s">
        <v>134</v>
      </c>
      <c r="E130" s="51"/>
      <c r="F130" s="23">
        <f t="shared" si="17"/>
        <v>0</v>
      </c>
      <c r="G130" s="58">
        <v>320</v>
      </c>
      <c r="H130" s="29"/>
      <c r="I130" s="21"/>
      <c r="J130" s="60"/>
      <c r="K130" s="72" t="s">
        <v>142</v>
      </c>
      <c r="L130" s="73" t="s">
        <v>143</v>
      </c>
      <c r="M130" s="71"/>
      <c r="N130" s="71"/>
      <c r="O130" s="73"/>
    </row>
    <row r="131" s="3" customFormat="1" ht="18" customHeight="1" spans="1:15">
      <c r="A131" s="47"/>
      <c r="B131" s="23"/>
      <c r="C131" s="49"/>
      <c r="D131" s="50"/>
      <c r="E131" s="51"/>
      <c r="F131" s="23"/>
      <c r="G131" s="58" t="s">
        <v>82</v>
      </c>
      <c r="H131" s="29">
        <v>43818</v>
      </c>
      <c r="I131" s="21">
        <v>29111</v>
      </c>
      <c r="J131" s="60" t="s">
        <v>58</v>
      </c>
      <c r="K131" s="72" t="s">
        <v>84</v>
      </c>
      <c r="L131" s="73" t="s">
        <v>117</v>
      </c>
      <c r="M131" s="71"/>
      <c r="N131" s="71"/>
      <c r="O131" s="73"/>
    </row>
    <row r="132" s="3" customFormat="1" ht="18" customHeight="1" spans="1:15">
      <c r="A132" s="47">
        <v>43800</v>
      </c>
      <c r="B132" s="23">
        <f t="shared" ref="B132:B135" si="18">ROUND(G132/(1+E132),2)</f>
        <v>331528.16</v>
      </c>
      <c r="C132" s="49"/>
      <c r="D132" s="50" t="s">
        <v>21</v>
      </c>
      <c r="E132" s="78">
        <v>0.03</v>
      </c>
      <c r="F132" s="23">
        <f t="shared" ref="F132:F135" si="19">ROUND(G132/(1+E132)*E132,2)</f>
        <v>9945.84</v>
      </c>
      <c r="G132" s="58">
        <f>100000*2+45811+95663</f>
        <v>341474</v>
      </c>
      <c r="H132" s="29"/>
      <c r="I132" s="21"/>
      <c r="J132" s="60"/>
      <c r="K132" s="72" t="s">
        <v>80</v>
      </c>
      <c r="L132" s="73" t="s">
        <v>81</v>
      </c>
      <c r="M132" s="71" t="s">
        <v>51</v>
      </c>
      <c r="N132" s="71" t="s">
        <v>51</v>
      </c>
      <c r="O132" s="73"/>
    </row>
    <row r="133" s="3" customFormat="1" ht="18" customHeight="1" spans="1:15">
      <c r="A133" s="47">
        <v>43800</v>
      </c>
      <c r="B133" s="23">
        <f t="shared" si="18"/>
        <v>140784.47</v>
      </c>
      <c r="C133" s="49"/>
      <c r="D133" s="50" t="s">
        <v>21</v>
      </c>
      <c r="E133" s="78">
        <v>0.03</v>
      </c>
      <c r="F133" s="23">
        <f t="shared" si="19"/>
        <v>4223.53</v>
      </c>
      <c r="G133" s="58">
        <f>100000+45008</f>
        <v>145008</v>
      </c>
      <c r="H133" s="29"/>
      <c r="I133" s="21"/>
      <c r="J133" s="60"/>
      <c r="K133" s="72" t="s">
        <v>128</v>
      </c>
      <c r="L133" s="73" t="s">
        <v>144</v>
      </c>
      <c r="M133" s="71" t="s">
        <v>51</v>
      </c>
      <c r="N133" s="71" t="s">
        <v>51</v>
      </c>
      <c r="O133" s="73"/>
    </row>
    <row r="134" s="3" customFormat="1" ht="18" customHeight="1" spans="1:15">
      <c r="A134" s="47">
        <v>43800</v>
      </c>
      <c r="B134" s="23">
        <f t="shared" si="18"/>
        <v>322453.21</v>
      </c>
      <c r="C134" s="49"/>
      <c r="D134" s="50" t="s">
        <v>21</v>
      </c>
      <c r="E134" s="78">
        <v>0.13</v>
      </c>
      <c r="F134" s="23">
        <f t="shared" si="19"/>
        <v>41918.92</v>
      </c>
      <c r="G134" s="58">
        <f>112319.04*3+27415.01</f>
        <v>364372.13</v>
      </c>
      <c r="H134" s="29">
        <v>43803</v>
      </c>
      <c r="I134" s="21">
        <v>850</v>
      </c>
      <c r="J134" s="60" t="s">
        <v>58</v>
      </c>
      <c r="K134" s="72" t="s">
        <v>121</v>
      </c>
      <c r="L134" s="73" t="s">
        <v>145</v>
      </c>
      <c r="M134" s="71" t="s">
        <v>51</v>
      </c>
      <c r="N134" s="71" t="s">
        <v>51</v>
      </c>
      <c r="O134" s="73"/>
    </row>
    <row r="135" s="3" customFormat="1" ht="18" customHeight="1" spans="1:15">
      <c r="A135" s="47">
        <v>43800</v>
      </c>
      <c r="B135" s="23">
        <f t="shared" si="18"/>
        <v>530.97</v>
      </c>
      <c r="C135" s="49"/>
      <c r="D135" s="50" t="s">
        <v>21</v>
      </c>
      <c r="E135" s="78">
        <v>0.13</v>
      </c>
      <c r="F135" s="23">
        <f t="shared" si="19"/>
        <v>69.03</v>
      </c>
      <c r="G135" s="58">
        <v>600</v>
      </c>
      <c r="H135" s="29"/>
      <c r="I135" s="21"/>
      <c r="J135" s="60"/>
      <c r="K135" s="72" t="s">
        <v>85</v>
      </c>
      <c r="L135" s="73" t="s">
        <v>130</v>
      </c>
      <c r="M135" s="71" t="s">
        <v>51</v>
      </c>
      <c r="N135" s="71" t="s">
        <v>51</v>
      </c>
      <c r="O135" s="73"/>
    </row>
    <row r="136" s="3" customFormat="1" ht="18" customHeight="1" spans="1:15">
      <c r="A136" s="47">
        <v>43800</v>
      </c>
      <c r="B136" s="23">
        <f t="shared" ref="B136:B152" si="20">ROUND(G136/(1+E136),2)</f>
        <v>279</v>
      </c>
      <c r="C136" s="49"/>
      <c r="D136" s="50" t="s">
        <v>67</v>
      </c>
      <c r="E136" s="78"/>
      <c r="F136" s="23">
        <f t="shared" ref="F136:F152" si="21">ROUND(G136/(1+E136)*E136,2)</f>
        <v>0</v>
      </c>
      <c r="G136" s="58">
        <v>279</v>
      </c>
      <c r="H136" s="29"/>
      <c r="I136" s="21"/>
      <c r="J136" s="60"/>
      <c r="K136" s="75" t="s">
        <v>68</v>
      </c>
      <c r="L136" s="73" t="s">
        <v>146</v>
      </c>
      <c r="M136" s="71"/>
      <c r="N136" s="71"/>
      <c r="O136" s="73"/>
    </row>
    <row r="137" s="3" customFormat="1" ht="18" customHeight="1" spans="1:15">
      <c r="A137" s="47">
        <v>43800</v>
      </c>
      <c r="B137" s="23">
        <f t="shared" si="20"/>
        <v>1200</v>
      </c>
      <c r="C137" s="49"/>
      <c r="D137" s="50" t="s">
        <v>67</v>
      </c>
      <c r="E137" s="78"/>
      <c r="F137" s="23">
        <f t="shared" si="21"/>
        <v>0</v>
      </c>
      <c r="G137" s="58">
        <v>1200</v>
      </c>
      <c r="H137" s="29"/>
      <c r="I137" s="21"/>
      <c r="J137" s="60"/>
      <c r="K137" s="75" t="s">
        <v>68</v>
      </c>
      <c r="L137" s="73" t="s">
        <v>147</v>
      </c>
      <c r="M137" s="71"/>
      <c r="N137" s="71"/>
      <c r="O137" s="73"/>
    </row>
    <row r="138" s="3" customFormat="1" ht="18" customHeight="1" spans="1:15">
      <c r="A138" s="47">
        <v>43800</v>
      </c>
      <c r="B138" s="23">
        <f t="shared" si="20"/>
        <v>251</v>
      </c>
      <c r="C138" s="49"/>
      <c r="D138" s="50" t="s">
        <v>67</v>
      </c>
      <c r="E138" s="78"/>
      <c r="F138" s="23">
        <f t="shared" si="21"/>
        <v>0</v>
      </c>
      <c r="G138" s="58">
        <v>251</v>
      </c>
      <c r="H138" s="29"/>
      <c r="I138" s="21"/>
      <c r="J138" s="60"/>
      <c r="K138" s="75" t="s">
        <v>68</v>
      </c>
      <c r="L138" s="73" t="s">
        <v>148</v>
      </c>
      <c r="M138" s="71"/>
      <c r="N138" s="71"/>
      <c r="O138" s="73"/>
    </row>
    <row r="139" s="3" customFormat="1" ht="18" customHeight="1" spans="1:15">
      <c r="A139" s="47">
        <v>43800</v>
      </c>
      <c r="B139" s="23">
        <f t="shared" si="20"/>
        <v>388.5</v>
      </c>
      <c r="C139" s="49"/>
      <c r="D139" s="50" t="s">
        <v>67</v>
      </c>
      <c r="E139" s="78"/>
      <c r="F139" s="23">
        <f t="shared" si="21"/>
        <v>0</v>
      </c>
      <c r="G139" s="58">
        <v>388.5</v>
      </c>
      <c r="H139" s="29"/>
      <c r="I139" s="21"/>
      <c r="J139" s="60"/>
      <c r="K139" s="75" t="s">
        <v>68</v>
      </c>
      <c r="L139" s="73" t="s">
        <v>149</v>
      </c>
      <c r="M139" s="71"/>
      <c r="N139" s="71"/>
      <c r="O139" s="73"/>
    </row>
    <row r="140" s="3" customFormat="1" ht="18" customHeight="1" spans="1:15">
      <c r="A140" s="47">
        <v>43800</v>
      </c>
      <c r="B140" s="23">
        <f t="shared" si="20"/>
        <v>98</v>
      </c>
      <c r="C140" s="49"/>
      <c r="D140" s="50" t="s">
        <v>67</v>
      </c>
      <c r="E140" s="78"/>
      <c r="F140" s="23">
        <f t="shared" si="21"/>
        <v>0</v>
      </c>
      <c r="G140" s="58">
        <v>98</v>
      </c>
      <c r="H140" s="29"/>
      <c r="I140" s="21"/>
      <c r="J140" s="60"/>
      <c r="K140" s="75" t="s">
        <v>68</v>
      </c>
      <c r="L140" s="73" t="s">
        <v>150</v>
      </c>
      <c r="M140" s="71"/>
      <c r="N140" s="71"/>
      <c r="O140" s="73"/>
    </row>
    <row r="141" s="3" customFormat="1" ht="18" customHeight="1" spans="1:15">
      <c r="A141" s="47">
        <v>43800</v>
      </c>
      <c r="B141" s="23">
        <f t="shared" si="20"/>
        <v>300</v>
      </c>
      <c r="C141" s="49"/>
      <c r="D141" s="50" t="s">
        <v>67</v>
      </c>
      <c r="E141" s="51"/>
      <c r="F141" s="23">
        <f t="shared" si="21"/>
        <v>0</v>
      </c>
      <c r="G141" s="58">
        <v>300</v>
      </c>
      <c r="H141" s="29"/>
      <c r="I141" s="21"/>
      <c r="J141" s="60"/>
      <c r="K141" s="75" t="s">
        <v>68</v>
      </c>
      <c r="L141" s="73" t="s">
        <v>151</v>
      </c>
      <c r="M141" s="71"/>
      <c r="N141" s="71"/>
      <c r="O141" s="73"/>
    </row>
    <row r="142" s="3" customFormat="1" ht="18" customHeight="1" spans="1:15">
      <c r="A142" s="47">
        <v>43800</v>
      </c>
      <c r="B142" s="23">
        <f t="shared" si="20"/>
        <v>176588.5</v>
      </c>
      <c r="C142" s="49"/>
      <c r="D142" s="50" t="s">
        <v>21</v>
      </c>
      <c r="E142" s="78">
        <v>0.13</v>
      </c>
      <c r="F142" s="23">
        <f t="shared" si="21"/>
        <v>22956.5</v>
      </c>
      <c r="G142" s="58">
        <v>199545</v>
      </c>
      <c r="H142" s="29"/>
      <c r="I142" s="21"/>
      <c r="J142" s="60"/>
      <c r="K142" s="72" t="s">
        <v>69</v>
      </c>
      <c r="L142" s="73" t="s">
        <v>152</v>
      </c>
      <c r="M142" s="71" t="s">
        <v>51</v>
      </c>
      <c r="N142" s="71" t="s">
        <v>51</v>
      </c>
      <c r="O142" s="73"/>
    </row>
    <row r="143" s="3" customFormat="1" ht="18" customHeight="1" spans="1:15">
      <c r="A143" s="47">
        <v>43800</v>
      </c>
      <c r="B143" s="23">
        <f t="shared" si="20"/>
        <v>17441.75</v>
      </c>
      <c r="C143" s="49"/>
      <c r="D143" s="50" t="s">
        <v>21</v>
      </c>
      <c r="E143" s="78">
        <v>0.03</v>
      </c>
      <c r="F143" s="23">
        <f t="shared" si="21"/>
        <v>523.25</v>
      </c>
      <c r="G143" s="58">
        <v>17965</v>
      </c>
      <c r="H143" s="29">
        <v>43824</v>
      </c>
      <c r="I143" s="21">
        <v>17965</v>
      </c>
      <c r="J143" s="60" t="s">
        <v>58</v>
      </c>
      <c r="K143" s="72" t="s">
        <v>153</v>
      </c>
      <c r="L143" s="73" t="s">
        <v>154</v>
      </c>
      <c r="M143" s="71" t="s">
        <v>51</v>
      </c>
      <c r="N143" s="71" t="s">
        <v>51</v>
      </c>
      <c r="O143" s="73"/>
    </row>
    <row r="144" s="3" customFormat="1" ht="18" customHeight="1" spans="1:15">
      <c r="A144" s="47"/>
      <c r="B144" s="23">
        <f t="shared" si="20"/>
        <v>0</v>
      </c>
      <c r="C144" s="49"/>
      <c r="D144" s="50"/>
      <c r="E144" s="51"/>
      <c r="F144" s="23">
        <f t="shared" si="21"/>
        <v>0</v>
      </c>
      <c r="G144" s="58"/>
      <c r="H144" s="29">
        <v>43824</v>
      </c>
      <c r="I144" s="21">
        <v>2626.5</v>
      </c>
      <c r="J144" s="60" t="s">
        <v>58</v>
      </c>
      <c r="K144" s="72" t="s">
        <v>84</v>
      </c>
      <c r="L144" s="73" t="s">
        <v>117</v>
      </c>
      <c r="M144" s="71"/>
      <c r="N144" s="71"/>
      <c r="O144" s="73"/>
    </row>
    <row r="145" s="3" customFormat="1" ht="18" customHeight="1" spans="1:15">
      <c r="A145" s="47">
        <v>43831</v>
      </c>
      <c r="B145" s="23">
        <f t="shared" si="20"/>
        <v>45504.42</v>
      </c>
      <c r="C145" s="49"/>
      <c r="D145" s="50" t="s">
        <v>21</v>
      </c>
      <c r="E145" s="78">
        <v>0.13</v>
      </c>
      <c r="F145" s="23">
        <f t="shared" si="21"/>
        <v>5915.58</v>
      </c>
      <c r="G145" s="58">
        <v>51420</v>
      </c>
      <c r="H145" s="29"/>
      <c r="I145" s="21"/>
      <c r="J145" s="60"/>
      <c r="K145" s="72" t="s">
        <v>69</v>
      </c>
      <c r="L145" s="73" t="s">
        <v>155</v>
      </c>
      <c r="M145" s="71" t="s">
        <v>51</v>
      </c>
      <c r="N145" s="71" t="s">
        <v>51</v>
      </c>
      <c r="O145" s="73"/>
    </row>
    <row r="146" s="3" customFormat="1" ht="18" customHeight="1" spans="1:15">
      <c r="A146" s="47">
        <v>43831</v>
      </c>
      <c r="B146" s="23">
        <f t="shared" si="20"/>
        <v>85360</v>
      </c>
      <c r="C146" s="49"/>
      <c r="D146" s="50" t="s">
        <v>21</v>
      </c>
      <c r="E146" s="78">
        <v>0.13</v>
      </c>
      <c r="F146" s="23">
        <f t="shared" si="21"/>
        <v>11096.8</v>
      </c>
      <c r="G146" s="58">
        <v>96456.8</v>
      </c>
      <c r="H146" s="29"/>
      <c r="I146" s="21"/>
      <c r="J146" s="60"/>
      <c r="K146" s="72" t="s">
        <v>45</v>
      </c>
      <c r="L146" s="73" t="s">
        <v>156</v>
      </c>
      <c r="M146" s="71" t="s">
        <v>51</v>
      </c>
      <c r="N146" s="71" t="s">
        <v>51</v>
      </c>
      <c r="O146" s="73"/>
    </row>
    <row r="147" s="3" customFormat="1" ht="18" customHeight="1" spans="1:15">
      <c r="A147" s="47">
        <v>43831</v>
      </c>
      <c r="B147" s="23">
        <f t="shared" si="20"/>
        <v>144757.28</v>
      </c>
      <c r="C147" s="49"/>
      <c r="D147" s="50" t="s">
        <v>21</v>
      </c>
      <c r="E147" s="78">
        <v>0.03</v>
      </c>
      <c r="F147" s="23">
        <f t="shared" si="21"/>
        <v>4342.72</v>
      </c>
      <c r="G147" s="58">
        <v>149100</v>
      </c>
      <c r="H147" s="29"/>
      <c r="I147" s="21"/>
      <c r="J147" s="60"/>
      <c r="K147" s="72" t="s">
        <v>157</v>
      </c>
      <c r="L147" s="73" t="s">
        <v>158</v>
      </c>
      <c r="M147" s="71" t="s">
        <v>51</v>
      </c>
      <c r="N147" s="71" t="s">
        <v>51</v>
      </c>
      <c r="O147" s="73"/>
    </row>
    <row r="148" s="3" customFormat="1" ht="18" customHeight="1" spans="1:15">
      <c r="A148" s="47">
        <v>43831</v>
      </c>
      <c r="B148" s="23">
        <f t="shared" si="20"/>
        <v>840</v>
      </c>
      <c r="C148" s="49"/>
      <c r="D148" s="50" t="s">
        <v>67</v>
      </c>
      <c r="E148" s="78"/>
      <c r="F148" s="23">
        <f t="shared" si="21"/>
        <v>0</v>
      </c>
      <c r="G148" s="58">
        <v>840</v>
      </c>
      <c r="H148" s="29"/>
      <c r="I148" s="21"/>
      <c r="J148" s="60"/>
      <c r="K148" s="72" t="s">
        <v>159</v>
      </c>
      <c r="L148" s="73" t="s">
        <v>160</v>
      </c>
      <c r="M148" s="71"/>
      <c r="N148" s="71"/>
      <c r="O148" s="73"/>
    </row>
    <row r="149" s="3" customFormat="1" ht="18" customHeight="1" spans="1:15">
      <c r="A149" s="47">
        <v>43831</v>
      </c>
      <c r="B149" s="23">
        <f t="shared" si="20"/>
        <v>62</v>
      </c>
      <c r="C149" s="49"/>
      <c r="D149" s="50" t="s">
        <v>67</v>
      </c>
      <c r="E149" s="78"/>
      <c r="F149" s="23">
        <f t="shared" si="21"/>
        <v>0</v>
      </c>
      <c r="G149" s="58">
        <v>62</v>
      </c>
      <c r="H149" s="29"/>
      <c r="I149" s="21"/>
      <c r="J149" s="60"/>
      <c r="K149" s="72" t="s">
        <v>161</v>
      </c>
      <c r="L149" s="73"/>
      <c r="M149" s="71"/>
      <c r="N149" s="71"/>
      <c r="O149" s="73"/>
    </row>
    <row r="150" s="3" customFormat="1" ht="18" customHeight="1" spans="1:15">
      <c r="A150" s="47">
        <v>43831</v>
      </c>
      <c r="B150" s="23">
        <f t="shared" si="20"/>
        <v>62102.3</v>
      </c>
      <c r="C150" s="49"/>
      <c r="D150" s="50" t="s">
        <v>21</v>
      </c>
      <c r="E150" s="78">
        <v>0.13</v>
      </c>
      <c r="F150" s="23">
        <f t="shared" si="21"/>
        <v>8073.3</v>
      </c>
      <c r="G150" s="58">
        <v>70175.6</v>
      </c>
      <c r="H150" s="29">
        <v>43851</v>
      </c>
      <c r="I150" s="21">
        <v>70175.6</v>
      </c>
      <c r="J150" s="60" t="s">
        <v>58</v>
      </c>
      <c r="K150" s="72" t="s">
        <v>52</v>
      </c>
      <c r="L150" s="73" t="s">
        <v>162</v>
      </c>
      <c r="M150" s="71"/>
      <c r="N150" s="71" t="s">
        <v>51</v>
      </c>
      <c r="O150" s="73"/>
    </row>
    <row r="151" s="3" customFormat="1" ht="18" customHeight="1" spans="1:17">
      <c r="A151" s="47">
        <v>43831</v>
      </c>
      <c r="B151" s="23">
        <f t="shared" si="20"/>
        <v>180584.07</v>
      </c>
      <c r="C151" s="49"/>
      <c r="D151" s="50" t="s">
        <v>21</v>
      </c>
      <c r="E151" s="78">
        <v>0.13</v>
      </c>
      <c r="F151" s="23">
        <f t="shared" si="21"/>
        <v>23475.93</v>
      </c>
      <c r="G151" s="58">
        <v>204060</v>
      </c>
      <c r="H151" s="29">
        <v>43851</v>
      </c>
      <c r="I151" s="21">
        <v>204060</v>
      </c>
      <c r="J151" s="60" t="s">
        <v>58</v>
      </c>
      <c r="K151" s="72" t="s">
        <v>163</v>
      </c>
      <c r="L151" s="73" t="s">
        <v>164</v>
      </c>
      <c r="M151" s="71"/>
      <c r="N151" s="71" t="s">
        <v>51</v>
      </c>
      <c r="O151" s="73"/>
      <c r="Q151" s="107"/>
    </row>
    <row r="152" s="3" customFormat="1" ht="18" customHeight="1" spans="1:17">
      <c r="A152" s="47">
        <v>43831</v>
      </c>
      <c r="B152" s="23">
        <f t="shared" si="20"/>
        <v>73561.95</v>
      </c>
      <c r="C152" s="49"/>
      <c r="D152" s="50" t="s">
        <v>21</v>
      </c>
      <c r="E152" s="78">
        <v>0.13</v>
      </c>
      <c r="F152" s="23">
        <f t="shared" si="21"/>
        <v>9563.05</v>
      </c>
      <c r="G152" s="58">
        <v>83125</v>
      </c>
      <c r="H152" s="29">
        <v>43851</v>
      </c>
      <c r="I152" s="21">
        <v>159125</v>
      </c>
      <c r="J152" s="60" t="s">
        <v>58</v>
      </c>
      <c r="K152" s="72" t="s">
        <v>165</v>
      </c>
      <c r="L152" s="73" t="s">
        <v>166</v>
      </c>
      <c r="M152" s="225" t="s">
        <v>167</v>
      </c>
      <c r="N152" s="71" t="s">
        <v>51</v>
      </c>
      <c r="O152" s="73"/>
      <c r="Q152" s="107"/>
    </row>
    <row r="153" s="3" customFormat="1" ht="18" customHeight="1" spans="1:17">
      <c r="A153" s="47">
        <v>43831</v>
      </c>
      <c r="B153" s="23">
        <f t="shared" ref="B153:B171" si="22">ROUND(G153/(1+E153),2)</f>
        <v>34496.63</v>
      </c>
      <c r="C153" s="49"/>
      <c r="D153" s="50" t="s">
        <v>21</v>
      </c>
      <c r="E153" s="78">
        <v>0.13</v>
      </c>
      <c r="F153" s="23">
        <f t="shared" ref="F153:F216" si="23">ROUND(G153/(1+E153)*E153,2)</f>
        <v>4484.56</v>
      </c>
      <c r="G153" s="58">
        <v>38981.19</v>
      </c>
      <c r="H153" s="29"/>
      <c r="I153" s="21"/>
      <c r="J153" s="60"/>
      <c r="K153" s="72" t="s">
        <v>113</v>
      </c>
      <c r="L153" s="73" t="s">
        <v>168</v>
      </c>
      <c r="M153" s="71"/>
      <c r="N153" s="71" t="s">
        <v>51</v>
      </c>
      <c r="O153" s="73"/>
      <c r="Q153" s="107"/>
    </row>
    <row r="154" s="3" customFormat="1" ht="18" customHeight="1" spans="1:17">
      <c r="A154" s="47">
        <v>43831</v>
      </c>
      <c r="B154" s="23">
        <f t="shared" si="22"/>
        <v>89840.71</v>
      </c>
      <c r="C154" s="49"/>
      <c r="D154" s="50" t="s">
        <v>21</v>
      </c>
      <c r="E154" s="78">
        <v>0.13</v>
      </c>
      <c r="F154" s="23">
        <f t="shared" si="23"/>
        <v>11679.29</v>
      </c>
      <c r="G154" s="58">
        <f>11280*9</f>
        <v>101520</v>
      </c>
      <c r="H154" s="29">
        <v>43851</v>
      </c>
      <c r="I154" s="21">
        <v>101520</v>
      </c>
      <c r="J154" s="60" t="s">
        <v>58</v>
      </c>
      <c r="K154" s="72" t="s">
        <v>169</v>
      </c>
      <c r="L154" s="73" t="s">
        <v>170</v>
      </c>
      <c r="M154" s="146" t="s">
        <v>171</v>
      </c>
      <c r="N154" s="71" t="s">
        <v>51</v>
      </c>
      <c r="O154" s="73"/>
      <c r="Q154" s="107"/>
    </row>
    <row r="155" s="3" customFormat="1" ht="18" customHeight="1" spans="1:17">
      <c r="A155" s="47">
        <v>43831</v>
      </c>
      <c r="B155" s="23">
        <f t="shared" si="22"/>
        <v>2523300.97</v>
      </c>
      <c r="C155" s="49"/>
      <c r="D155" s="50" t="s">
        <v>21</v>
      </c>
      <c r="E155" s="78">
        <v>0.03</v>
      </c>
      <c r="F155" s="23">
        <f t="shared" si="23"/>
        <v>75699.03</v>
      </c>
      <c r="G155" s="58">
        <f>99970*25+99750</f>
        <v>2599000</v>
      </c>
      <c r="H155" s="29">
        <v>43851</v>
      </c>
      <c r="I155" s="21">
        <v>2000000</v>
      </c>
      <c r="J155" s="60" t="s">
        <v>58</v>
      </c>
      <c r="K155" s="72" t="s">
        <v>172</v>
      </c>
      <c r="L155" s="73" t="s">
        <v>173</v>
      </c>
      <c r="M155" s="71"/>
      <c r="N155" s="71"/>
      <c r="O155" s="73"/>
      <c r="Q155" s="107"/>
    </row>
    <row r="156" s="3" customFormat="1" ht="18" customHeight="1" spans="1:17">
      <c r="A156" s="47">
        <v>43831</v>
      </c>
      <c r="B156" s="23">
        <f t="shared" si="22"/>
        <v>252903.1</v>
      </c>
      <c r="C156" s="49"/>
      <c r="D156" s="50" t="s">
        <v>21</v>
      </c>
      <c r="E156" s="78">
        <v>0.13</v>
      </c>
      <c r="F156" s="23">
        <f t="shared" si="23"/>
        <v>32877.4</v>
      </c>
      <c r="G156" s="58">
        <f>97280.5+94250+94250</f>
        <v>285780.5</v>
      </c>
      <c r="H156" s="29"/>
      <c r="I156" s="21"/>
      <c r="J156" s="60"/>
      <c r="K156" s="72" t="s">
        <v>105</v>
      </c>
      <c r="L156" s="73" t="s">
        <v>174</v>
      </c>
      <c r="M156" s="71"/>
      <c r="N156" s="71" t="s">
        <v>51</v>
      </c>
      <c r="O156" s="73"/>
      <c r="Q156" s="107"/>
    </row>
    <row r="157" s="3" customFormat="1" ht="18" customHeight="1" spans="1:17">
      <c r="A157" s="47">
        <v>43831</v>
      </c>
      <c r="B157" s="23">
        <f t="shared" si="22"/>
        <v>302195.58</v>
      </c>
      <c r="C157" s="49"/>
      <c r="D157" s="50" t="s">
        <v>21</v>
      </c>
      <c r="E157" s="78">
        <v>0.13</v>
      </c>
      <c r="F157" s="23">
        <f t="shared" si="23"/>
        <v>39285.42</v>
      </c>
      <c r="G157" s="58">
        <f>40131+100450+100450+100450</f>
        <v>341481</v>
      </c>
      <c r="H157" s="52">
        <v>43851</v>
      </c>
      <c r="I157" s="21">
        <v>341481</v>
      </c>
      <c r="J157" s="71" t="s">
        <v>58</v>
      </c>
      <c r="K157" s="72" t="s">
        <v>116</v>
      </c>
      <c r="L157" s="73" t="s">
        <v>175</v>
      </c>
      <c r="M157" s="71"/>
      <c r="N157" s="71" t="s">
        <v>51</v>
      </c>
      <c r="O157" s="73" t="s">
        <v>176</v>
      </c>
      <c r="Q157" s="107"/>
    </row>
    <row r="158" s="3" customFormat="1" ht="18" customHeight="1" spans="1:17">
      <c r="A158" s="47">
        <v>43831</v>
      </c>
      <c r="B158" s="23">
        <f t="shared" si="22"/>
        <v>339751.46</v>
      </c>
      <c r="C158" s="49"/>
      <c r="D158" s="50" t="s">
        <v>21</v>
      </c>
      <c r="E158" s="78">
        <v>0.03</v>
      </c>
      <c r="F158" s="23">
        <f t="shared" si="23"/>
        <v>10192.54</v>
      </c>
      <c r="G158" s="58">
        <f>99960+99960+50064+99960</f>
        <v>349944</v>
      </c>
      <c r="H158" s="29">
        <v>43851</v>
      </c>
      <c r="I158" s="21">
        <v>349944</v>
      </c>
      <c r="J158" s="60" t="s">
        <v>58</v>
      </c>
      <c r="K158" s="72" t="s">
        <v>177</v>
      </c>
      <c r="L158" s="73" t="s">
        <v>178</v>
      </c>
      <c r="M158" s="71"/>
      <c r="N158" s="71" t="s">
        <v>51</v>
      </c>
      <c r="O158" s="73"/>
      <c r="Q158" s="107"/>
    </row>
    <row r="159" s="3" customFormat="1" ht="18" customHeight="1" spans="1:17">
      <c r="A159" s="47">
        <v>43831</v>
      </c>
      <c r="B159" s="23">
        <f t="shared" si="22"/>
        <v>181786.41</v>
      </c>
      <c r="C159" s="49"/>
      <c r="D159" s="50" t="s">
        <v>21</v>
      </c>
      <c r="E159" s="78">
        <v>0.03</v>
      </c>
      <c r="F159" s="23">
        <f t="shared" si="23"/>
        <v>5453.59</v>
      </c>
      <c r="G159" s="58">
        <f>87240+100000</f>
        <v>187240</v>
      </c>
      <c r="H159" s="29">
        <v>43851</v>
      </c>
      <c r="I159" s="21">
        <v>282903</v>
      </c>
      <c r="J159" s="60" t="s">
        <v>58</v>
      </c>
      <c r="K159" s="72" t="s">
        <v>80</v>
      </c>
      <c r="L159" s="73" t="s">
        <v>132</v>
      </c>
      <c r="M159" s="71"/>
      <c r="N159" s="71"/>
      <c r="O159" s="73"/>
      <c r="Q159" s="107"/>
    </row>
    <row r="160" s="3" customFormat="1" ht="18" customHeight="1" spans="1:17">
      <c r="A160" s="47"/>
      <c r="B160" s="23">
        <f t="shared" si="22"/>
        <v>0</v>
      </c>
      <c r="C160" s="49"/>
      <c r="D160" s="50"/>
      <c r="E160" s="78"/>
      <c r="F160" s="23">
        <f t="shared" si="23"/>
        <v>0</v>
      </c>
      <c r="G160" s="58"/>
      <c r="H160" s="223">
        <v>43851</v>
      </c>
      <c r="I160" s="21">
        <v>211750.98</v>
      </c>
      <c r="J160" s="226" t="s">
        <v>58</v>
      </c>
      <c r="K160" s="68" t="s">
        <v>84</v>
      </c>
      <c r="L160" s="73" t="s">
        <v>179</v>
      </c>
      <c r="M160" s="71"/>
      <c r="N160" s="71"/>
      <c r="O160" s="73"/>
      <c r="Q160" s="107"/>
    </row>
    <row r="161" s="3" customFormat="1" ht="18" customHeight="1" spans="1:17">
      <c r="A161" s="47"/>
      <c r="B161" s="23">
        <f t="shared" si="22"/>
        <v>0</v>
      </c>
      <c r="C161" s="49"/>
      <c r="D161" s="50"/>
      <c r="E161" s="78"/>
      <c r="F161" s="23">
        <f t="shared" si="23"/>
        <v>0</v>
      </c>
      <c r="G161" s="58"/>
      <c r="H161" s="29">
        <v>43851</v>
      </c>
      <c r="I161" s="21">
        <v>98130</v>
      </c>
      <c r="J161" s="60" t="s">
        <v>58</v>
      </c>
      <c r="K161" s="72" t="s">
        <v>69</v>
      </c>
      <c r="L161" s="73" t="s">
        <v>155</v>
      </c>
      <c r="M161" s="71"/>
      <c r="N161" s="71"/>
      <c r="O161" s="73"/>
      <c r="Q161" s="107"/>
    </row>
    <row r="162" s="3" customFormat="1" ht="18" customHeight="1" spans="1:17">
      <c r="A162" s="47"/>
      <c r="B162" s="23">
        <f t="shared" si="22"/>
        <v>0</v>
      </c>
      <c r="C162" s="49"/>
      <c r="D162" s="50"/>
      <c r="E162" s="78"/>
      <c r="F162" s="23">
        <f t="shared" si="23"/>
        <v>0</v>
      </c>
      <c r="G162" s="58"/>
      <c r="H162" s="29">
        <v>43851</v>
      </c>
      <c r="I162" s="21">
        <v>65008</v>
      </c>
      <c r="J162" s="60" t="s">
        <v>58</v>
      </c>
      <c r="K162" s="72" t="s">
        <v>128</v>
      </c>
      <c r="L162" s="73" t="s">
        <v>144</v>
      </c>
      <c r="M162" s="71"/>
      <c r="N162" s="71"/>
      <c r="O162" s="73"/>
      <c r="Q162" s="107"/>
    </row>
    <row r="163" s="3" customFormat="1" ht="18" customHeight="1" spans="1:17">
      <c r="A163" s="47"/>
      <c r="B163" s="23">
        <f t="shared" si="22"/>
        <v>0</v>
      </c>
      <c r="C163" s="49"/>
      <c r="D163" s="50"/>
      <c r="E163" s="78"/>
      <c r="F163" s="23">
        <f t="shared" si="23"/>
        <v>0</v>
      </c>
      <c r="G163" s="58"/>
      <c r="H163" s="29">
        <v>43851</v>
      </c>
      <c r="I163" s="21">
        <v>149100</v>
      </c>
      <c r="J163" s="60" t="s">
        <v>58</v>
      </c>
      <c r="K163" s="72" t="s">
        <v>157</v>
      </c>
      <c r="L163" s="73" t="s">
        <v>180</v>
      </c>
      <c r="M163" s="71"/>
      <c r="N163" s="71"/>
      <c r="O163" s="73"/>
      <c r="Q163" s="107"/>
    </row>
    <row r="164" s="3" customFormat="1" ht="18" customHeight="1" spans="1:17">
      <c r="A164" s="47"/>
      <c r="B164" s="23">
        <f t="shared" si="22"/>
        <v>0</v>
      </c>
      <c r="C164" s="49"/>
      <c r="D164" s="50"/>
      <c r="E164" s="78"/>
      <c r="F164" s="23">
        <f t="shared" si="23"/>
        <v>0</v>
      </c>
      <c r="G164" s="58"/>
      <c r="H164" s="137">
        <v>43851</v>
      </c>
      <c r="I164" s="21">
        <v>189029</v>
      </c>
      <c r="J164" s="227" t="s">
        <v>58</v>
      </c>
      <c r="K164" s="98" t="s">
        <v>181</v>
      </c>
      <c r="L164" s="73"/>
      <c r="M164" s="71"/>
      <c r="N164" s="71"/>
      <c r="O164" s="73"/>
      <c r="Q164" s="107"/>
    </row>
    <row r="165" s="3" customFormat="1" ht="18" customHeight="1" spans="1:17">
      <c r="A165" s="47"/>
      <c r="B165" s="23">
        <f t="shared" si="22"/>
        <v>0</v>
      </c>
      <c r="C165" s="49"/>
      <c r="D165" s="50"/>
      <c r="E165" s="78"/>
      <c r="F165" s="23">
        <f t="shared" si="23"/>
        <v>0</v>
      </c>
      <c r="G165" s="58"/>
      <c r="H165" s="29">
        <v>43852</v>
      </c>
      <c r="I165" s="21">
        <v>400000</v>
      </c>
      <c r="J165" s="60" t="s">
        <v>58</v>
      </c>
      <c r="K165" s="72" t="s">
        <v>172</v>
      </c>
      <c r="L165" s="73" t="s">
        <v>132</v>
      </c>
      <c r="M165" s="71"/>
      <c r="N165" s="71"/>
      <c r="O165" s="73"/>
      <c r="Q165" s="107"/>
    </row>
    <row r="166" s="3" customFormat="1" ht="18" customHeight="1" spans="1:17">
      <c r="A166" s="47"/>
      <c r="B166" s="23">
        <f t="shared" si="22"/>
        <v>0</v>
      </c>
      <c r="C166" s="49"/>
      <c r="D166" s="50"/>
      <c r="E166" s="78"/>
      <c r="F166" s="23">
        <f t="shared" si="23"/>
        <v>0</v>
      </c>
      <c r="G166" s="58"/>
      <c r="H166" s="29">
        <v>43852</v>
      </c>
      <c r="I166" s="21">
        <v>50000</v>
      </c>
      <c r="J166" s="60" t="s">
        <v>58</v>
      </c>
      <c r="K166" s="72" t="s">
        <v>182</v>
      </c>
      <c r="L166" s="73" t="s">
        <v>183</v>
      </c>
      <c r="M166" s="71"/>
      <c r="N166" s="71"/>
      <c r="O166" s="73"/>
      <c r="Q166" s="107"/>
    </row>
    <row r="167" s="3" customFormat="1" ht="18" customHeight="1" spans="1:17">
      <c r="A167" s="47"/>
      <c r="B167" s="23">
        <f t="shared" si="22"/>
        <v>0</v>
      </c>
      <c r="C167" s="49"/>
      <c r="D167" s="50"/>
      <c r="E167" s="78"/>
      <c r="F167" s="23">
        <f t="shared" si="23"/>
        <v>0</v>
      </c>
      <c r="G167" s="58"/>
      <c r="H167" s="29">
        <v>43852</v>
      </c>
      <c r="I167" s="21">
        <v>38981.19</v>
      </c>
      <c r="J167" s="60" t="s">
        <v>58</v>
      </c>
      <c r="K167" s="72" t="s">
        <v>113</v>
      </c>
      <c r="L167" s="73" t="s">
        <v>94</v>
      </c>
      <c r="M167" s="71"/>
      <c r="N167" s="71"/>
      <c r="O167" s="73"/>
      <c r="Q167" s="107"/>
    </row>
    <row r="168" s="3" customFormat="1" ht="18" customHeight="1" spans="1:17">
      <c r="A168" s="47"/>
      <c r="B168" s="23">
        <f t="shared" si="22"/>
        <v>0</v>
      </c>
      <c r="C168" s="49"/>
      <c r="D168" s="50"/>
      <c r="E168" s="78"/>
      <c r="F168" s="23">
        <f t="shared" si="23"/>
        <v>0</v>
      </c>
      <c r="G168" s="58"/>
      <c r="H168" s="29">
        <v>43852</v>
      </c>
      <c r="I168" s="21">
        <v>150000</v>
      </c>
      <c r="J168" s="60" t="s">
        <v>58</v>
      </c>
      <c r="K168" s="72" t="s">
        <v>105</v>
      </c>
      <c r="L168" s="73" t="s">
        <v>114</v>
      </c>
      <c r="M168" s="71"/>
      <c r="N168" s="71"/>
      <c r="O168" s="73"/>
      <c r="Q168" s="107"/>
    </row>
    <row r="169" s="3" customFormat="1" ht="18" customHeight="1" spans="1:17">
      <c r="A169" s="47"/>
      <c r="B169" s="23">
        <f t="shared" si="22"/>
        <v>0</v>
      </c>
      <c r="C169" s="49"/>
      <c r="D169" s="50"/>
      <c r="E169" s="78"/>
      <c r="F169" s="23">
        <f t="shared" si="23"/>
        <v>0</v>
      </c>
      <c r="G169" s="58"/>
      <c r="H169" s="52">
        <v>43969</v>
      </c>
      <c r="I169" s="21">
        <v>20468</v>
      </c>
      <c r="J169" s="71" t="s">
        <v>58</v>
      </c>
      <c r="K169" s="72" t="s">
        <v>69</v>
      </c>
      <c r="L169" s="76" t="s">
        <v>184</v>
      </c>
      <c r="M169" s="71"/>
      <c r="N169" s="71"/>
      <c r="O169" s="73" t="s">
        <v>185</v>
      </c>
      <c r="Q169" s="107"/>
    </row>
    <row r="170" s="3" customFormat="1" ht="18" customHeight="1" spans="1:17">
      <c r="A170" s="47">
        <v>43891</v>
      </c>
      <c r="B170" s="23">
        <f t="shared" si="22"/>
        <v>1869</v>
      </c>
      <c r="C170" s="49"/>
      <c r="D170" s="50" t="s">
        <v>67</v>
      </c>
      <c r="E170" s="78"/>
      <c r="F170" s="23">
        <f t="shared" si="23"/>
        <v>0</v>
      </c>
      <c r="G170" s="58">
        <v>1869</v>
      </c>
      <c r="H170" s="29"/>
      <c r="I170" s="21"/>
      <c r="J170" s="60"/>
      <c r="K170" s="72" t="s">
        <v>186</v>
      </c>
      <c r="L170" s="73"/>
      <c r="M170" s="71"/>
      <c r="N170" s="71"/>
      <c r="O170" s="73"/>
      <c r="Q170" s="107"/>
    </row>
    <row r="171" s="3" customFormat="1" ht="18" customHeight="1" spans="1:17">
      <c r="A171" s="47">
        <v>43891</v>
      </c>
      <c r="B171" s="23">
        <f t="shared" si="22"/>
        <v>32269.47</v>
      </c>
      <c r="C171" s="49"/>
      <c r="D171" s="50" t="s">
        <v>67</v>
      </c>
      <c r="E171" s="78"/>
      <c r="F171" s="23">
        <f t="shared" si="23"/>
        <v>0</v>
      </c>
      <c r="G171" s="58">
        <v>32269.47</v>
      </c>
      <c r="H171" s="29"/>
      <c r="I171" s="21"/>
      <c r="J171" s="60"/>
      <c r="K171" s="72" t="s">
        <v>186</v>
      </c>
      <c r="L171" s="73"/>
      <c r="M171" s="71"/>
      <c r="N171" s="71"/>
      <c r="O171" s="73"/>
      <c r="Q171" s="107"/>
    </row>
    <row r="172" s="3" customFormat="1" ht="18" customHeight="1" spans="1:17">
      <c r="A172" s="47">
        <v>43891</v>
      </c>
      <c r="B172" s="23">
        <f t="shared" ref="B170:B235" si="24">ROUND(G172/(1+E172),2)</f>
        <v>1885</v>
      </c>
      <c r="C172" s="49"/>
      <c r="D172" s="50" t="s">
        <v>67</v>
      </c>
      <c r="E172" s="78"/>
      <c r="F172" s="23">
        <f t="shared" si="23"/>
        <v>0</v>
      </c>
      <c r="G172" s="58">
        <v>1885</v>
      </c>
      <c r="H172" s="29"/>
      <c r="I172" s="21"/>
      <c r="J172" s="60"/>
      <c r="K172" s="72" t="s">
        <v>186</v>
      </c>
      <c r="L172" s="73"/>
      <c r="M172" s="71"/>
      <c r="N172" s="71"/>
      <c r="O172" s="73"/>
      <c r="Q172" s="107"/>
    </row>
    <row r="173" s="3" customFormat="1" ht="18" customHeight="1" spans="1:17">
      <c r="A173" s="47">
        <v>43891</v>
      </c>
      <c r="B173" s="23">
        <f t="shared" si="24"/>
        <v>16142</v>
      </c>
      <c r="C173" s="49"/>
      <c r="D173" s="50" t="s">
        <v>67</v>
      </c>
      <c r="E173" s="78"/>
      <c r="F173" s="23">
        <f t="shared" si="23"/>
        <v>0</v>
      </c>
      <c r="G173" s="58">
        <v>16142</v>
      </c>
      <c r="H173" s="29"/>
      <c r="I173" s="21"/>
      <c r="J173" s="60"/>
      <c r="K173" s="72" t="s">
        <v>186</v>
      </c>
      <c r="L173" s="73"/>
      <c r="M173" s="71"/>
      <c r="N173" s="71"/>
      <c r="O173" s="73"/>
      <c r="Q173" s="107"/>
    </row>
    <row r="174" s="3" customFormat="1" ht="18" customHeight="1" spans="1:17">
      <c r="A174" s="47">
        <v>43891</v>
      </c>
      <c r="B174" s="23">
        <f t="shared" si="24"/>
        <v>2791</v>
      </c>
      <c r="C174" s="49"/>
      <c r="D174" s="50" t="s">
        <v>67</v>
      </c>
      <c r="E174" s="78"/>
      <c r="F174" s="23">
        <f t="shared" si="23"/>
        <v>0</v>
      </c>
      <c r="G174" s="58">
        <v>2791</v>
      </c>
      <c r="H174" s="29"/>
      <c r="I174" s="21"/>
      <c r="J174" s="60"/>
      <c r="K174" s="72" t="s">
        <v>186</v>
      </c>
      <c r="L174" s="73"/>
      <c r="M174" s="71"/>
      <c r="N174" s="71"/>
      <c r="O174" s="73"/>
      <c r="Q174" s="107"/>
    </row>
    <row r="175" s="3" customFormat="1" ht="18" customHeight="1" spans="1:17">
      <c r="A175" s="47">
        <v>43891</v>
      </c>
      <c r="B175" s="23">
        <f t="shared" si="24"/>
        <v>940</v>
      </c>
      <c r="C175" s="49"/>
      <c r="D175" s="50" t="s">
        <v>67</v>
      </c>
      <c r="E175" s="78"/>
      <c r="F175" s="23">
        <f t="shared" si="23"/>
        <v>0</v>
      </c>
      <c r="G175" s="58">
        <v>940</v>
      </c>
      <c r="H175" s="29"/>
      <c r="I175" s="21"/>
      <c r="J175" s="60"/>
      <c r="K175" s="72" t="s">
        <v>186</v>
      </c>
      <c r="L175" s="73"/>
      <c r="M175" s="71"/>
      <c r="N175" s="71"/>
      <c r="O175" s="73"/>
      <c r="Q175" s="107"/>
    </row>
    <row r="176" s="3" customFormat="1" ht="18" customHeight="1" spans="1:17">
      <c r="A176" s="47">
        <v>43941</v>
      </c>
      <c r="B176" s="23">
        <f t="shared" si="24"/>
        <v>560</v>
      </c>
      <c r="C176" s="49"/>
      <c r="D176" s="50" t="s">
        <v>67</v>
      </c>
      <c r="E176" s="78"/>
      <c r="F176" s="23">
        <f t="shared" si="23"/>
        <v>0</v>
      </c>
      <c r="G176" s="58">
        <v>560</v>
      </c>
      <c r="H176" s="52"/>
      <c r="I176" s="21"/>
      <c r="J176" s="71"/>
      <c r="K176" s="72" t="s">
        <v>187</v>
      </c>
      <c r="L176" s="99" t="s">
        <v>188</v>
      </c>
      <c r="M176" s="71"/>
      <c r="N176" s="71"/>
      <c r="O176" s="73"/>
      <c r="Q176" s="107"/>
    </row>
    <row r="177" s="3" customFormat="1" ht="18" customHeight="1" spans="1:17">
      <c r="A177" s="47">
        <v>43941</v>
      </c>
      <c r="B177" s="23">
        <f t="shared" si="24"/>
        <v>300</v>
      </c>
      <c r="C177" s="49"/>
      <c r="D177" s="50" t="s">
        <v>189</v>
      </c>
      <c r="E177" s="78"/>
      <c r="F177" s="23">
        <f t="shared" si="23"/>
        <v>0</v>
      </c>
      <c r="G177" s="58">
        <v>300</v>
      </c>
      <c r="H177" s="29"/>
      <c r="I177" s="21"/>
      <c r="J177" s="60"/>
      <c r="K177" s="72" t="s">
        <v>190</v>
      </c>
      <c r="L177" s="99"/>
      <c r="M177" s="71"/>
      <c r="N177" s="71"/>
      <c r="O177" s="73"/>
      <c r="Q177" s="107"/>
    </row>
    <row r="178" s="3" customFormat="1" ht="18" customHeight="1" spans="1:17">
      <c r="A178" s="47">
        <v>43941</v>
      </c>
      <c r="B178" s="23">
        <f t="shared" si="24"/>
        <v>1238.94</v>
      </c>
      <c r="C178" s="49"/>
      <c r="D178" s="50" t="s">
        <v>21</v>
      </c>
      <c r="E178" s="78">
        <v>0.13</v>
      </c>
      <c r="F178" s="23">
        <f t="shared" si="23"/>
        <v>161.06</v>
      </c>
      <c r="G178" s="58">
        <v>1400</v>
      </c>
      <c r="H178" s="137">
        <v>43916</v>
      </c>
      <c r="I178" s="21">
        <v>5000</v>
      </c>
      <c r="J178" s="71" t="s">
        <v>58</v>
      </c>
      <c r="K178" s="72" t="s">
        <v>85</v>
      </c>
      <c r="L178" s="99" t="s">
        <v>191</v>
      </c>
      <c r="M178" s="146" t="s">
        <v>125</v>
      </c>
      <c r="N178" s="71"/>
      <c r="O178" s="73"/>
      <c r="Q178" s="107"/>
    </row>
    <row r="179" s="3" customFormat="1" ht="18" customHeight="1" spans="1:17">
      <c r="A179" s="47">
        <v>43971</v>
      </c>
      <c r="B179" s="23">
        <f t="shared" si="24"/>
        <v>394</v>
      </c>
      <c r="C179" s="49"/>
      <c r="D179" s="133" t="s">
        <v>192</v>
      </c>
      <c r="E179" s="78"/>
      <c r="F179" s="23">
        <f t="shared" si="23"/>
        <v>0</v>
      </c>
      <c r="G179" s="58">
        <f>80+25+25+40+24+200</f>
        <v>394</v>
      </c>
      <c r="H179" s="137"/>
      <c r="I179" s="21"/>
      <c r="J179" s="71"/>
      <c r="K179" s="228" t="s">
        <v>84</v>
      </c>
      <c r="L179" s="229" t="s">
        <v>193</v>
      </c>
      <c r="M179" s="71"/>
      <c r="N179" s="71"/>
      <c r="O179" s="73"/>
      <c r="Q179" s="107"/>
    </row>
    <row r="180" s="3" customFormat="1" ht="18" customHeight="1" spans="1:17">
      <c r="A180" s="47">
        <v>43971</v>
      </c>
      <c r="B180" s="23">
        <f t="shared" si="24"/>
        <v>518</v>
      </c>
      <c r="C180" s="49"/>
      <c r="D180" s="133" t="s">
        <v>192</v>
      </c>
      <c r="E180" s="78"/>
      <c r="F180" s="23">
        <f t="shared" si="23"/>
        <v>0</v>
      </c>
      <c r="G180" s="58">
        <f>49+29+150+100+35+155</f>
        <v>518</v>
      </c>
      <c r="H180" s="137"/>
      <c r="I180" s="21"/>
      <c r="J180" s="71"/>
      <c r="K180" s="228" t="s">
        <v>84</v>
      </c>
      <c r="L180" s="229" t="s">
        <v>194</v>
      </c>
      <c r="M180" s="71"/>
      <c r="N180" s="71"/>
      <c r="O180" s="73"/>
      <c r="Q180" s="107"/>
    </row>
    <row r="181" s="3" customFormat="1" ht="18" customHeight="1" spans="1:17">
      <c r="A181" s="47">
        <v>43971</v>
      </c>
      <c r="B181" s="23">
        <f t="shared" si="24"/>
        <v>450</v>
      </c>
      <c r="C181" s="49"/>
      <c r="D181" s="50" t="s">
        <v>67</v>
      </c>
      <c r="E181" s="78"/>
      <c r="F181" s="23">
        <f t="shared" si="23"/>
        <v>0</v>
      </c>
      <c r="G181" s="58">
        <v>450</v>
      </c>
      <c r="H181" s="137"/>
      <c r="I181" s="21"/>
      <c r="J181" s="71"/>
      <c r="K181" s="228" t="s">
        <v>84</v>
      </c>
      <c r="L181" s="229" t="s">
        <v>195</v>
      </c>
      <c r="M181" s="71"/>
      <c r="N181" s="71"/>
      <c r="O181" s="73"/>
      <c r="Q181" s="107"/>
    </row>
    <row r="182" s="3" customFormat="1" ht="18" customHeight="1" spans="1:17">
      <c r="A182" s="47">
        <v>43971</v>
      </c>
      <c r="B182" s="23">
        <f t="shared" si="24"/>
        <v>942</v>
      </c>
      <c r="C182" s="49"/>
      <c r="D182" s="133" t="s">
        <v>192</v>
      </c>
      <c r="E182" s="78"/>
      <c r="F182" s="23">
        <f t="shared" si="23"/>
        <v>0</v>
      </c>
      <c r="G182" s="58">
        <v>942</v>
      </c>
      <c r="H182" s="137"/>
      <c r="I182" s="21"/>
      <c r="J182" s="71"/>
      <c r="K182" s="228" t="s">
        <v>84</v>
      </c>
      <c r="L182" s="229" t="s">
        <v>196</v>
      </c>
      <c r="M182" s="71"/>
      <c r="N182" s="71"/>
      <c r="O182" s="73"/>
      <c r="Q182" s="107"/>
    </row>
    <row r="183" s="3" customFormat="1" ht="18" customHeight="1" spans="1:17">
      <c r="A183" s="47">
        <v>43971</v>
      </c>
      <c r="B183" s="23">
        <f t="shared" si="24"/>
        <v>1500</v>
      </c>
      <c r="C183" s="49"/>
      <c r="D183" s="50" t="s">
        <v>67</v>
      </c>
      <c r="E183" s="78"/>
      <c r="F183" s="23">
        <f t="shared" si="23"/>
        <v>0</v>
      </c>
      <c r="G183" s="58">
        <f>1020+480</f>
        <v>1500</v>
      </c>
      <c r="H183" s="137"/>
      <c r="I183" s="21"/>
      <c r="J183" s="71"/>
      <c r="K183" s="228" t="s">
        <v>84</v>
      </c>
      <c r="L183" s="229" t="s">
        <v>197</v>
      </c>
      <c r="M183" s="71"/>
      <c r="N183" s="71"/>
      <c r="O183" s="73"/>
      <c r="Q183" s="107"/>
    </row>
    <row r="184" s="3" customFormat="1" ht="18" customHeight="1" spans="1:17">
      <c r="A184" s="47">
        <v>43971</v>
      </c>
      <c r="B184" s="23">
        <f t="shared" si="24"/>
        <v>559</v>
      </c>
      <c r="C184" s="49"/>
      <c r="D184" s="133" t="s">
        <v>192</v>
      </c>
      <c r="E184" s="78"/>
      <c r="F184" s="23">
        <f t="shared" si="23"/>
        <v>0</v>
      </c>
      <c r="G184" s="58">
        <f>486+73</f>
        <v>559</v>
      </c>
      <c r="H184" s="137"/>
      <c r="I184" s="21"/>
      <c r="J184" s="71"/>
      <c r="K184" s="228" t="s">
        <v>84</v>
      </c>
      <c r="L184" s="229" t="s">
        <v>198</v>
      </c>
      <c r="M184" s="71"/>
      <c r="N184" s="71"/>
      <c r="O184" s="73"/>
      <c r="Q184" s="107"/>
    </row>
    <row r="185" s="3" customFormat="1" ht="18" customHeight="1" spans="1:17">
      <c r="A185" s="47">
        <v>43971</v>
      </c>
      <c r="B185" s="23">
        <f t="shared" si="24"/>
        <v>910</v>
      </c>
      <c r="C185" s="49"/>
      <c r="D185" s="50" t="s">
        <v>67</v>
      </c>
      <c r="E185" s="78"/>
      <c r="F185" s="23">
        <f t="shared" si="23"/>
        <v>0</v>
      </c>
      <c r="G185" s="58">
        <v>910</v>
      </c>
      <c r="H185" s="137"/>
      <c r="I185" s="21"/>
      <c r="J185" s="71"/>
      <c r="K185" s="228" t="s">
        <v>84</v>
      </c>
      <c r="L185" s="229" t="s">
        <v>199</v>
      </c>
      <c r="M185" s="71"/>
      <c r="N185" s="71"/>
      <c r="O185" s="73"/>
      <c r="Q185" s="107"/>
    </row>
    <row r="186" s="3" customFormat="1" ht="18" customHeight="1" spans="1:17">
      <c r="A186" s="47">
        <v>43971</v>
      </c>
      <c r="B186" s="23">
        <f t="shared" si="24"/>
        <v>4424.78</v>
      </c>
      <c r="C186" s="49"/>
      <c r="D186" s="133" t="s">
        <v>21</v>
      </c>
      <c r="E186" s="78">
        <v>0.13</v>
      </c>
      <c r="F186" s="23">
        <f t="shared" si="23"/>
        <v>575.22</v>
      </c>
      <c r="G186" s="58">
        <v>5000</v>
      </c>
      <c r="H186" s="137">
        <v>43945</v>
      </c>
      <c r="I186" s="21">
        <v>5000</v>
      </c>
      <c r="J186" s="71" t="s">
        <v>58</v>
      </c>
      <c r="K186" s="72" t="s">
        <v>85</v>
      </c>
      <c r="L186" s="229" t="s">
        <v>200</v>
      </c>
      <c r="M186" s="146" t="s">
        <v>125</v>
      </c>
      <c r="N186" s="71"/>
      <c r="O186" s="73"/>
      <c r="Q186" s="107"/>
    </row>
    <row r="187" s="3" customFormat="1" ht="18" customHeight="1" spans="1:17">
      <c r="A187" s="47"/>
      <c r="B187" s="23">
        <f t="shared" si="24"/>
        <v>0</v>
      </c>
      <c r="C187" s="49"/>
      <c r="D187" s="133"/>
      <c r="E187" s="78"/>
      <c r="F187" s="23">
        <f t="shared" si="23"/>
        <v>0</v>
      </c>
      <c r="G187" s="58"/>
      <c r="H187" s="137">
        <v>43945</v>
      </c>
      <c r="I187" s="21">
        <v>550</v>
      </c>
      <c r="J187" s="71" t="s">
        <v>58</v>
      </c>
      <c r="K187" s="72" t="s">
        <v>84</v>
      </c>
      <c r="L187" s="230"/>
      <c r="M187" s="71"/>
      <c r="N187" s="71"/>
      <c r="O187" s="73"/>
      <c r="Q187" s="107"/>
    </row>
    <row r="188" s="3" customFormat="1" ht="18" customHeight="1" spans="1:17">
      <c r="A188" s="47"/>
      <c r="B188" s="23">
        <f t="shared" si="24"/>
        <v>0</v>
      </c>
      <c r="C188" s="49"/>
      <c r="D188" s="133"/>
      <c r="E188" s="78"/>
      <c r="F188" s="23">
        <f t="shared" si="23"/>
        <v>0</v>
      </c>
      <c r="G188" s="58"/>
      <c r="H188" s="92">
        <v>43972</v>
      </c>
      <c r="I188" s="21">
        <v>4774</v>
      </c>
      <c r="J188" s="103" t="s">
        <v>58</v>
      </c>
      <c r="K188" s="104" t="s">
        <v>69</v>
      </c>
      <c r="L188" s="99" t="s">
        <v>201</v>
      </c>
      <c r="M188" s="105"/>
      <c r="N188" s="71"/>
      <c r="O188" s="73" t="s">
        <v>185</v>
      </c>
      <c r="Q188" s="107"/>
    </row>
    <row r="189" s="207" customFormat="1" ht="18" customHeight="1" spans="1:17">
      <c r="A189" s="47">
        <v>44002</v>
      </c>
      <c r="B189" s="23">
        <f t="shared" si="24"/>
        <v>667</v>
      </c>
      <c r="C189" s="49"/>
      <c r="D189" s="91" t="s">
        <v>192</v>
      </c>
      <c r="E189" s="78"/>
      <c r="F189" s="23">
        <f t="shared" si="23"/>
        <v>0</v>
      </c>
      <c r="G189" s="224">
        <v>667</v>
      </c>
      <c r="H189" s="94"/>
      <c r="I189" s="21"/>
      <c r="J189" s="143"/>
      <c r="K189" s="106" t="s">
        <v>84</v>
      </c>
      <c r="L189" s="73" t="s">
        <v>202</v>
      </c>
      <c r="M189" s="231"/>
      <c r="N189" s="143"/>
      <c r="O189" s="144"/>
      <c r="Q189" s="232"/>
    </row>
    <row r="190" s="207" customFormat="1" ht="18" customHeight="1" spans="1:17">
      <c r="A190" s="47">
        <v>44002</v>
      </c>
      <c r="B190" s="23">
        <f t="shared" si="24"/>
        <v>1000</v>
      </c>
      <c r="C190" s="49"/>
      <c r="D190" s="91" t="s">
        <v>192</v>
      </c>
      <c r="E190" s="78"/>
      <c r="F190" s="23">
        <f t="shared" si="23"/>
        <v>0</v>
      </c>
      <c r="G190" s="224">
        <v>1000</v>
      </c>
      <c r="H190" s="94"/>
      <c r="I190" s="21"/>
      <c r="J190" s="143"/>
      <c r="K190" s="106" t="s">
        <v>84</v>
      </c>
      <c r="L190" s="73" t="s">
        <v>71</v>
      </c>
      <c r="M190" s="231"/>
      <c r="N190" s="143"/>
      <c r="O190" s="144"/>
      <c r="Q190" s="232"/>
    </row>
    <row r="191" s="3" customFormat="1" ht="18" customHeight="1" spans="1:17">
      <c r="A191" s="47">
        <v>44002</v>
      </c>
      <c r="B191" s="23">
        <f t="shared" si="24"/>
        <v>247.79</v>
      </c>
      <c r="C191" s="49"/>
      <c r="D191" s="133" t="s">
        <v>21</v>
      </c>
      <c r="E191" s="78">
        <v>0.13</v>
      </c>
      <c r="F191" s="23">
        <f t="shared" si="23"/>
        <v>32.21</v>
      </c>
      <c r="G191" s="224">
        <v>280</v>
      </c>
      <c r="H191" s="94"/>
      <c r="I191" s="21"/>
      <c r="J191" s="71"/>
      <c r="K191" s="106" t="s">
        <v>84</v>
      </c>
      <c r="L191" s="73" t="s">
        <v>196</v>
      </c>
      <c r="M191" s="105"/>
      <c r="N191" s="71"/>
      <c r="O191" s="73"/>
      <c r="Q191" s="107"/>
    </row>
    <row r="192" s="3" customFormat="1" ht="18" customHeight="1" spans="1:17">
      <c r="A192" s="47">
        <v>44002</v>
      </c>
      <c r="B192" s="23">
        <f t="shared" si="24"/>
        <v>2502</v>
      </c>
      <c r="C192" s="49"/>
      <c r="D192" s="133" t="s">
        <v>189</v>
      </c>
      <c r="E192" s="78"/>
      <c r="F192" s="23">
        <f t="shared" si="23"/>
        <v>0</v>
      </c>
      <c r="G192" s="224">
        <v>2502</v>
      </c>
      <c r="H192" s="94"/>
      <c r="I192" s="21"/>
      <c r="J192" s="71"/>
      <c r="K192" s="106" t="s">
        <v>84</v>
      </c>
      <c r="L192" s="73" t="s">
        <v>202</v>
      </c>
      <c r="M192" s="105"/>
      <c r="N192" s="71"/>
      <c r="O192" s="73"/>
      <c r="Q192" s="107"/>
    </row>
    <row r="193" s="3" customFormat="1" ht="18" customHeight="1" spans="1:17">
      <c r="A193" s="47">
        <v>44002</v>
      </c>
      <c r="B193" s="23">
        <f t="shared" si="24"/>
        <v>5436</v>
      </c>
      <c r="C193" s="49"/>
      <c r="D193" s="133" t="s">
        <v>67</v>
      </c>
      <c r="E193" s="78"/>
      <c r="F193" s="23">
        <f t="shared" si="23"/>
        <v>0</v>
      </c>
      <c r="G193" s="224">
        <v>5436</v>
      </c>
      <c r="H193" s="94"/>
      <c r="I193" s="21"/>
      <c r="J193" s="71"/>
      <c r="K193" s="106" t="s">
        <v>84</v>
      </c>
      <c r="L193" s="73" t="s">
        <v>203</v>
      </c>
      <c r="M193" s="105"/>
      <c r="N193" s="71"/>
      <c r="O193" s="73"/>
      <c r="Q193" s="107"/>
    </row>
    <row r="194" s="3" customFormat="1" ht="18" customHeight="1" spans="1:17">
      <c r="A194" s="47">
        <v>44002</v>
      </c>
      <c r="B194" s="23">
        <f t="shared" si="24"/>
        <v>500</v>
      </c>
      <c r="C194" s="49"/>
      <c r="D194" s="133" t="s">
        <v>189</v>
      </c>
      <c r="E194" s="78"/>
      <c r="F194" s="23">
        <f t="shared" si="23"/>
        <v>0</v>
      </c>
      <c r="G194" s="224">
        <v>500</v>
      </c>
      <c r="H194" s="94"/>
      <c r="I194" s="21"/>
      <c r="J194" s="71"/>
      <c r="K194" s="106" t="s">
        <v>84</v>
      </c>
      <c r="L194" s="73" t="s">
        <v>202</v>
      </c>
      <c r="M194" s="71"/>
      <c r="N194" s="71"/>
      <c r="O194" s="73"/>
      <c r="Q194" s="107"/>
    </row>
    <row r="195" s="3" customFormat="1" ht="18" customHeight="1" spans="1:17">
      <c r="A195" s="47">
        <v>44002</v>
      </c>
      <c r="B195" s="23">
        <f t="shared" si="24"/>
        <v>315</v>
      </c>
      <c r="C195" s="49"/>
      <c r="D195" s="133" t="s">
        <v>189</v>
      </c>
      <c r="E195" s="78"/>
      <c r="F195" s="23">
        <f t="shared" si="23"/>
        <v>0</v>
      </c>
      <c r="G195" s="224">
        <v>315</v>
      </c>
      <c r="H195" s="94"/>
      <c r="I195" s="21"/>
      <c r="J195" s="71"/>
      <c r="K195" s="106" t="s">
        <v>84</v>
      </c>
      <c r="L195" s="73" t="s">
        <v>204</v>
      </c>
      <c r="M195" s="71"/>
      <c r="N195" s="71"/>
      <c r="O195" s="73"/>
      <c r="Q195" s="107"/>
    </row>
    <row r="196" s="3" customFormat="1" ht="18" customHeight="1" spans="1:17">
      <c r="A196" s="47">
        <v>44063</v>
      </c>
      <c r="B196" s="23">
        <f t="shared" si="24"/>
        <v>196886.88</v>
      </c>
      <c r="C196" s="49"/>
      <c r="D196" s="133" t="s">
        <v>21</v>
      </c>
      <c r="E196" s="78">
        <v>0.13</v>
      </c>
      <c r="F196" s="23">
        <f t="shared" si="23"/>
        <v>25595.29</v>
      </c>
      <c r="G196" s="224">
        <v>222482.17</v>
      </c>
      <c r="H196" s="94"/>
      <c r="I196" s="21"/>
      <c r="J196" s="103"/>
      <c r="K196" s="106" t="s">
        <v>205</v>
      </c>
      <c r="L196" s="73" t="s">
        <v>206</v>
      </c>
      <c r="M196" s="146" t="s">
        <v>207</v>
      </c>
      <c r="N196" s="71"/>
      <c r="O196" s="73"/>
      <c r="Q196" s="107"/>
    </row>
    <row r="197" s="3" customFormat="1" ht="18" customHeight="1" spans="1:17">
      <c r="A197" s="47">
        <v>44063</v>
      </c>
      <c r="B197" s="23">
        <f t="shared" si="24"/>
        <v>39500</v>
      </c>
      <c r="C197" s="49"/>
      <c r="D197" s="133" t="s">
        <v>67</v>
      </c>
      <c r="E197" s="78"/>
      <c r="F197" s="23">
        <f t="shared" si="23"/>
        <v>0</v>
      </c>
      <c r="G197" s="224">
        <v>39500</v>
      </c>
      <c r="H197" s="94"/>
      <c r="I197" s="21"/>
      <c r="J197" s="103"/>
      <c r="K197" s="106" t="s">
        <v>208</v>
      </c>
      <c r="L197" s="73" t="s">
        <v>209</v>
      </c>
      <c r="M197" s="146" t="s">
        <v>210</v>
      </c>
      <c r="N197" s="71"/>
      <c r="O197" s="73"/>
      <c r="Q197" s="107"/>
    </row>
    <row r="198" s="3" customFormat="1" ht="18" customHeight="1" spans="1:17">
      <c r="A198" s="47">
        <v>44063</v>
      </c>
      <c r="B198" s="23">
        <f t="shared" si="24"/>
        <v>22338.05</v>
      </c>
      <c r="C198" s="49"/>
      <c r="D198" s="133" t="s">
        <v>21</v>
      </c>
      <c r="E198" s="78">
        <v>0.13</v>
      </c>
      <c r="F198" s="23">
        <f t="shared" si="23"/>
        <v>2903.95</v>
      </c>
      <c r="G198" s="224">
        <v>25242</v>
      </c>
      <c r="H198" s="94"/>
      <c r="I198" s="21"/>
      <c r="J198" s="103"/>
      <c r="K198" s="106" t="s">
        <v>69</v>
      </c>
      <c r="L198" s="73" t="s">
        <v>184</v>
      </c>
      <c r="M198" s="146" t="s">
        <v>211</v>
      </c>
      <c r="N198" s="71"/>
      <c r="O198" s="73"/>
      <c r="Q198" s="107"/>
    </row>
    <row r="199" s="3" customFormat="1" ht="18" customHeight="1" spans="1:17">
      <c r="A199" s="47">
        <v>44063</v>
      </c>
      <c r="B199" s="23">
        <f t="shared" si="24"/>
        <v>7204.58</v>
      </c>
      <c r="C199" s="49"/>
      <c r="D199" s="133" t="s">
        <v>21</v>
      </c>
      <c r="E199" s="78">
        <v>0.13</v>
      </c>
      <c r="F199" s="23">
        <f t="shared" si="23"/>
        <v>936.59</v>
      </c>
      <c r="G199" s="224">
        <v>8141.17</v>
      </c>
      <c r="H199" s="94">
        <v>44027</v>
      </c>
      <c r="I199" s="21">
        <v>8141.17</v>
      </c>
      <c r="J199" s="71" t="s">
        <v>58</v>
      </c>
      <c r="K199" s="106" t="s">
        <v>212</v>
      </c>
      <c r="L199" s="73" t="s">
        <v>213</v>
      </c>
      <c r="M199" s="146" t="s">
        <v>214</v>
      </c>
      <c r="N199" s="71"/>
      <c r="O199" s="73"/>
      <c r="Q199" s="107"/>
    </row>
    <row r="200" s="3" customFormat="1" ht="18" customHeight="1" spans="1:17">
      <c r="A200" s="47">
        <v>44063</v>
      </c>
      <c r="B200" s="23">
        <f t="shared" si="24"/>
        <v>5000</v>
      </c>
      <c r="C200" s="49"/>
      <c r="D200" s="133" t="s">
        <v>67</v>
      </c>
      <c r="E200" s="78"/>
      <c r="F200" s="23">
        <f t="shared" si="23"/>
        <v>0</v>
      </c>
      <c r="G200" s="224">
        <v>5000</v>
      </c>
      <c r="H200" s="94">
        <v>43998</v>
      </c>
      <c r="I200" s="21">
        <v>5000</v>
      </c>
      <c r="J200" s="71" t="s">
        <v>58</v>
      </c>
      <c r="K200" s="106" t="s">
        <v>85</v>
      </c>
      <c r="L200" s="73" t="s">
        <v>191</v>
      </c>
      <c r="M200" s="146" t="s">
        <v>125</v>
      </c>
      <c r="N200" s="71"/>
      <c r="O200" s="73"/>
      <c r="Q200" s="107"/>
    </row>
    <row r="201" s="3" customFormat="1" ht="18" customHeight="1" spans="1:17">
      <c r="A201" s="47">
        <v>44063</v>
      </c>
      <c r="B201" s="23">
        <f t="shared" si="24"/>
        <v>8303.5</v>
      </c>
      <c r="C201" s="49"/>
      <c r="D201" s="133" t="s">
        <v>67</v>
      </c>
      <c r="E201" s="78"/>
      <c r="F201" s="23">
        <f t="shared" si="23"/>
        <v>0</v>
      </c>
      <c r="G201" s="224">
        <v>8303.5</v>
      </c>
      <c r="H201" s="94"/>
      <c r="I201" s="21"/>
      <c r="J201" s="103"/>
      <c r="K201" s="106" t="s">
        <v>215</v>
      </c>
      <c r="L201" s="73" t="s">
        <v>216</v>
      </c>
      <c r="M201" s="71"/>
      <c r="N201" s="71"/>
      <c r="O201" s="73"/>
      <c r="Q201" s="107"/>
    </row>
    <row r="202" s="3" customFormat="1" ht="18" customHeight="1" spans="1:17">
      <c r="A202" s="47">
        <v>44063</v>
      </c>
      <c r="B202" s="23">
        <f t="shared" si="24"/>
        <v>6460</v>
      </c>
      <c r="C202" s="49"/>
      <c r="D202" s="133" t="s">
        <v>67</v>
      </c>
      <c r="E202" s="78"/>
      <c r="F202" s="23">
        <f t="shared" si="23"/>
        <v>0</v>
      </c>
      <c r="G202" s="224">
        <v>6460</v>
      </c>
      <c r="H202" s="94"/>
      <c r="I202" s="21"/>
      <c r="J202" s="103"/>
      <c r="K202" s="106" t="s">
        <v>217</v>
      </c>
      <c r="L202" s="73" t="s">
        <v>218</v>
      </c>
      <c r="M202" s="71"/>
      <c r="N202" s="71"/>
      <c r="O202" s="73"/>
      <c r="Q202" s="107"/>
    </row>
    <row r="203" s="3" customFormat="1" ht="18" customHeight="1" spans="1:17">
      <c r="A203" s="47">
        <v>44063</v>
      </c>
      <c r="B203" s="23">
        <f t="shared" si="24"/>
        <v>9921.5</v>
      </c>
      <c r="C203" s="49"/>
      <c r="D203" s="133" t="s">
        <v>219</v>
      </c>
      <c r="E203" s="78"/>
      <c r="F203" s="23">
        <f t="shared" si="23"/>
        <v>0</v>
      </c>
      <c r="G203" s="224">
        <v>9921.5</v>
      </c>
      <c r="H203" s="94"/>
      <c r="I203" s="21"/>
      <c r="J203" s="103"/>
      <c r="K203" s="106" t="s">
        <v>84</v>
      </c>
      <c r="L203" s="73" t="s">
        <v>71</v>
      </c>
      <c r="M203" s="71"/>
      <c r="N203" s="71"/>
      <c r="O203" s="73"/>
      <c r="Q203" s="107"/>
    </row>
    <row r="204" s="3" customFormat="1" ht="18" customHeight="1" spans="1:19">
      <c r="A204" s="47">
        <v>44063</v>
      </c>
      <c r="B204" s="23">
        <f t="shared" si="24"/>
        <v>14091.84</v>
      </c>
      <c r="C204" s="49"/>
      <c r="D204" s="133" t="s">
        <v>21</v>
      </c>
      <c r="E204" s="78">
        <v>0.03</v>
      </c>
      <c r="F204" s="23">
        <f t="shared" si="23"/>
        <v>422.76</v>
      </c>
      <c r="G204" s="224">
        <v>14514.6</v>
      </c>
      <c r="H204" s="94"/>
      <c r="I204" s="21"/>
      <c r="J204" s="103"/>
      <c r="K204" s="106" t="s">
        <v>84</v>
      </c>
      <c r="L204" s="73" t="s">
        <v>71</v>
      </c>
      <c r="M204" s="71"/>
      <c r="N204" s="71"/>
      <c r="O204" s="73"/>
      <c r="Q204" s="107"/>
      <c r="S204" s="3" t="s">
        <v>82</v>
      </c>
    </row>
    <row r="205" s="3" customFormat="1" ht="18" customHeight="1" spans="1:17">
      <c r="A205" s="47">
        <v>44063</v>
      </c>
      <c r="B205" s="23">
        <f t="shared" si="24"/>
        <v>16104</v>
      </c>
      <c r="C205" s="49"/>
      <c r="D205" s="133" t="s">
        <v>220</v>
      </c>
      <c r="E205" s="78"/>
      <c r="F205" s="23">
        <f t="shared" si="23"/>
        <v>0</v>
      </c>
      <c r="G205" s="224">
        <v>16104</v>
      </c>
      <c r="H205" s="94"/>
      <c r="I205" s="21"/>
      <c r="J205" s="103"/>
      <c r="K205" s="106" t="s">
        <v>84</v>
      </c>
      <c r="L205" s="73" t="s">
        <v>71</v>
      </c>
      <c r="M205" s="71"/>
      <c r="N205" s="71"/>
      <c r="O205" s="73"/>
      <c r="Q205" s="107"/>
    </row>
    <row r="206" s="3" customFormat="1" ht="18" customHeight="1" spans="1:17">
      <c r="A206" s="47">
        <v>44063</v>
      </c>
      <c r="B206" s="23">
        <f t="shared" si="24"/>
        <v>25080.53</v>
      </c>
      <c r="C206" s="49"/>
      <c r="D206" s="233" t="s">
        <v>21</v>
      </c>
      <c r="E206" s="78">
        <v>0.13</v>
      </c>
      <c r="F206" s="23">
        <f t="shared" si="23"/>
        <v>3260.47</v>
      </c>
      <c r="G206" s="224">
        <v>28341</v>
      </c>
      <c r="H206" s="94">
        <v>44027</v>
      </c>
      <c r="I206" s="21">
        <v>28341</v>
      </c>
      <c r="J206" s="71" t="s">
        <v>58</v>
      </c>
      <c r="K206" s="106" t="s">
        <v>118</v>
      </c>
      <c r="L206" s="73" t="s">
        <v>221</v>
      </c>
      <c r="M206" s="146" t="s">
        <v>222</v>
      </c>
      <c r="N206" s="71"/>
      <c r="O206" s="73"/>
      <c r="Q206" s="107"/>
    </row>
    <row r="207" s="3" customFormat="1" ht="18" customHeight="1" spans="1:17">
      <c r="A207" s="47">
        <v>44063</v>
      </c>
      <c r="B207" s="23">
        <f t="shared" si="24"/>
        <v>39001.94</v>
      </c>
      <c r="C207" s="49"/>
      <c r="D207" s="133" t="s">
        <v>21</v>
      </c>
      <c r="E207" s="78">
        <v>0.03</v>
      </c>
      <c r="F207" s="23">
        <f t="shared" si="23"/>
        <v>1170.06</v>
      </c>
      <c r="G207" s="224">
        <v>40172</v>
      </c>
      <c r="H207" s="94">
        <v>44027</v>
      </c>
      <c r="I207" s="21">
        <v>40172</v>
      </c>
      <c r="J207" s="71" t="s">
        <v>58</v>
      </c>
      <c r="K207" s="106" t="s">
        <v>223</v>
      </c>
      <c r="L207" s="73" t="s">
        <v>224</v>
      </c>
      <c r="M207" s="146" t="s">
        <v>225</v>
      </c>
      <c r="N207" s="71"/>
      <c r="O207" s="73"/>
      <c r="Q207" s="107"/>
    </row>
    <row r="208" s="3" customFormat="1" ht="18" customHeight="1" spans="1:17">
      <c r="A208" s="47"/>
      <c r="B208" s="23">
        <f t="shared" si="24"/>
        <v>0</v>
      </c>
      <c r="C208" s="49"/>
      <c r="D208" s="133"/>
      <c r="E208" s="78"/>
      <c r="F208" s="23">
        <f t="shared" si="23"/>
        <v>0</v>
      </c>
      <c r="G208" s="224"/>
      <c r="H208" s="94">
        <v>44071</v>
      </c>
      <c r="I208" s="21">
        <v>-5000</v>
      </c>
      <c r="J208" s="103" t="s">
        <v>58</v>
      </c>
      <c r="K208" s="106" t="s">
        <v>41</v>
      </c>
      <c r="L208" s="73" t="s">
        <v>226</v>
      </c>
      <c r="M208" s="146"/>
      <c r="N208" s="71"/>
      <c r="O208" s="73"/>
      <c r="Q208" s="107"/>
    </row>
    <row r="209" s="3" customFormat="1" ht="18" customHeight="1" spans="1:17">
      <c r="A209" s="47">
        <v>44063</v>
      </c>
      <c r="B209" s="23">
        <f t="shared" si="24"/>
        <v>26476.86</v>
      </c>
      <c r="C209" s="49"/>
      <c r="D209" s="133" t="s">
        <v>21</v>
      </c>
      <c r="E209" s="78">
        <v>0.13</v>
      </c>
      <c r="F209" s="23">
        <f t="shared" si="23"/>
        <v>3441.99</v>
      </c>
      <c r="G209" s="224">
        <v>29918.85</v>
      </c>
      <c r="H209" s="94">
        <v>44074</v>
      </c>
      <c r="I209" s="21">
        <v>29918.85</v>
      </c>
      <c r="J209" s="103" t="s">
        <v>58</v>
      </c>
      <c r="K209" s="106" t="s">
        <v>121</v>
      </c>
      <c r="L209" s="73" t="s">
        <v>227</v>
      </c>
      <c r="M209" s="146" t="s">
        <v>228</v>
      </c>
      <c r="N209" s="71"/>
      <c r="O209" s="73"/>
      <c r="Q209" s="107"/>
    </row>
    <row r="210" s="3" customFormat="1" ht="18" customHeight="1" spans="1:17">
      <c r="A210" s="47"/>
      <c r="B210" s="23">
        <f t="shared" si="24"/>
        <v>0</v>
      </c>
      <c r="C210" s="49"/>
      <c r="D210" s="133"/>
      <c r="E210" s="78"/>
      <c r="F210" s="23">
        <f t="shared" si="23"/>
        <v>0</v>
      </c>
      <c r="G210" s="224"/>
      <c r="H210" s="94">
        <v>44027</v>
      </c>
      <c r="I210" s="21">
        <v>6097</v>
      </c>
      <c r="J210" s="103" t="s">
        <v>58</v>
      </c>
      <c r="K210" s="106" t="s">
        <v>84</v>
      </c>
      <c r="L210" s="73" t="s">
        <v>71</v>
      </c>
      <c r="M210" s="146"/>
      <c r="N210" s="143"/>
      <c r="O210" s="73"/>
      <c r="Q210" s="107"/>
    </row>
    <row r="211" s="3" customFormat="1" ht="18" customHeight="1" spans="1:17">
      <c r="A211" s="47"/>
      <c r="B211" s="23">
        <f t="shared" si="24"/>
        <v>0</v>
      </c>
      <c r="C211" s="49"/>
      <c r="D211" s="133"/>
      <c r="E211" s="78"/>
      <c r="F211" s="23">
        <f t="shared" si="23"/>
        <v>0</v>
      </c>
      <c r="G211" s="224"/>
      <c r="H211" s="94">
        <v>44070</v>
      </c>
      <c r="I211" s="21">
        <v>-6000</v>
      </c>
      <c r="J211" s="114" t="s">
        <v>58</v>
      </c>
      <c r="K211" s="106" t="s">
        <v>39</v>
      </c>
      <c r="L211" s="73"/>
      <c r="M211" s="146"/>
      <c r="N211" s="143"/>
      <c r="O211" s="73"/>
      <c r="Q211" s="107"/>
    </row>
    <row r="212" s="3" customFormat="1" ht="18" customHeight="1" spans="1:17">
      <c r="A212" s="47">
        <v>44124</v>
      </c>
      <c r="B212" s="23">
        <f t="shared" si="24"/>
        <v>34746.02</v>
      </c>
      <c r="C212" s="49">
        <v>1</v>
      </c>
      <c r="D212" s="133" t="s">
        <v>21</v>
      </c>
      <c r="E212" s="78">
        <v>0.13</v>
      </c>
      <c r="F212" s="23">
        <f t="shared" si="23"/>
        <v>4516.98</v>
      </c>
      <c r="G212" s="224">
        <v>39263</v>
      </c>
      <c r="H212" s="94"/>
      <c r="I212" s="21"/>
      <c r="J212" s="103"/>
      <c r="K212" s="106" t="s">
        <v>165</v>
      </c>
      <c r="L212" s="73" t="s">
        <v>229</v>
      </c>
      <c r="M212" s="146" t="s">
        <v>167</v>
      </c>
      <c r="N212" s="143"/>
      <c r="O212" s="73"/>
      <c r="Q212" s="107"/>
    </row>
    <row r="213" s="3" customFormat="1" ht="18" customHeight="1" spans="1:17">
      <c r="A213" s="47">
        <v>44124</v>
      </c>
      <c r="B213" s="23">
        <f t="shared" si="24"/>
        <v>4424.78</v>
      </c>
      <c r="C213" s="49">
        <v>1</v>
      </c>
      <c r="D213" s="133" t="s">
        <v>21</v>
      </c>
      <c r="E213" s="78">
        <v>0.13</v>
      </c>
      <c r="F213" s="23">
        <f t="shared" si="23"/>
        <v>575.22</v>
      </c>
      <c r="G213" s="224">
        <v>5000</v>
      </c>
      <c r="H213" s="94"/>
      <c r="I213" s="235"/>
      <c r="J213" s="71"/>
      <c r="K213" s="106" t="s">
        <v>85</v>
      </c>
      <c r="L213" s="73" t="s">
        <v>191</v>
      </c>
      <c r="M213" s="146" t="s">
        <v>125</v>
      </c>
      <c r="N213" s="143"/>
      <c r="O213" s="73"/>
      <c r="Q213" s="107"/>
    </row>
    <row r="214" s="3" customFormat="1" ht="18" customHeight="1" spans="1:17">
      <c r="A214" s="47">
        <v>44155</v>
      </c>
      <c r="B214" s="23">
        <f t="shared" si="24"/>
        <v>1058</v>
      </c>
      <c r="C214" s="49"/>
      <c r="D214" s="133" t="s">
        <v>230</v>
      </c>
      <c r="E214" s="78"/>
      <c r="F214" s="23">
        <f t="shared" si="23"/>
        <v>0</v>
      </c>
      <c r="G214" s="224">
        <f>373+685</f>
        <v>1058</v>
      </c>
      <c r="H214" s="94"/>
      <c r="I214" s="21"/>
      <c r="J214" s="117"/>
      <c r="K214" s="106" t="s">
        <v>84</v>
      </c>
      <c r="L214" s="73" t="s">
        <v>71</v>
      </c>
      <c r="M214" s="146"/>
      <c r="N214" s="143"/>
      <c r="O214" s="73"/>
      <c r="Q214" s="107"/>
    </row>
    <row r="215" s="3" customFormat="1" ht="18" customHeight="1" spans="1:17">
      <c r="A215" s="111">
        <v>44155</v>
      </c>
      <c r="B215" s="23">
        <f t="shared" si="24"/>
        <v>49782.74</v>
      </c>
      <c r="C215" s="49">
        <v>1</v>
      </c>
      <c r="D215" s="233" t="s">
        <v>21</v>
      </c>
      <c r="E215" s="78">
        <v>0.13</v>
      </c>
      <c r="F215" s="23">
        <f t="shared" si="23"/>
        <v>6471.76</v>
      </c>
      <c r="G215" s="224">
        <v>56254.5</v>
      </c>
      <c r="H215" s="94"/>
      <c r="I215" s="21"/>
      <c r="J215" s="103"/>
      <c r="K215" s="106" t="s">
        <v>52</v>
      </c>
      <c r="L215" s="73" t="s">
        <v>231</v>
      </c>
      <c r="M215" s="146" t="s">
        <v>232</v>
      </c>
      <c r="N215" s="143"/>
      <c r="O215" s="73"/>
      <c r="Q215" s="107"/>
    </row>
    <row r="216" s="3" customFormat="1" ht="18" customHeight="1" spans="1:17">
      <c r="A216" s="111">
        <v>44155</v>
      </c>
      <c r="B216" s="23">
        <f t="shared" si="24"/>
        <v>107522.12</v>
      </c>
      <c r="C216" s="49">
        <v>12</v>
      </c>
      <c r="D216" s="233" t="s">
        <v>21</v>
      </c>
      <c r="E216" s="78">
        <v>0.13</v>
      </c>
      <c r="F216" s="23">
        <f t="shared" si="23"/>
        <v>13977.88</v>
      </c>
      <c r="G216" s="224">
        <f>10125*12</f>
        <v>121500</v>
      </c>
      <c r="H216" s="94"/>
      <c r="I216" s="21"/>
      <c r="J216" s="103"/>
      <c r="K216" s="106" t="s">
        <v>169</v>
      </c>
      <c r="L216" s="73" t="s">
        <v>233</v>
      </c>
      <c r="M216" s="146" t="s">
        <v>234</v>
      </c>
      <c r="N216" s="143"/>
      <c r="O216" s="73"/>
      <c r="Q216" s="107"/>
    </row>
    <row r="217" s="3" customFormat="1" ht="22" customHeight="1" spans="1:17">
      <c r="A217" s="111">
        <v>44155</v>
      </c>
      <c r="B217" s="23">
        <f t="shared" si="24"/>
        <v>117915.93</v>
      </c>
      <c r="C217" s="49">
        <v>1</v>
      </c>
      <c r="D217" s="234" t="s">
        <v>21</v>
      </c>
      <c r="E217" s="78">
        <v>0.13</v>
      </c>
      <c r="F217" s="23">
        <f t="shared" ref="F217:F226" si="25">ROUND(G217/(1+E217)*E217,2)</f>
        <v>15329.07</v>
      </c>
      <c r="G217" s="224">
        <v>133245</v>
      </c>
      <c r="H217" s="94"/>
      <c r="I217" s="21"/>
      <c r="J217" s="71"/>
      <c r="K217" s="106" t="s">
        <v>118</v>
      </c>
      <c r="L217" s="73" t="s">
        <v>48</v>
      </c>
      <c r="M217" s="146" t="s">
        <v>222</v>
      </c>
      <c r="N217" s="143"/>
      <c r="O217" s="73"/>
      <c r="Q217" s="107"/>
    </row>
    <row r="218" s="3" customFormat="1" ht="18" customHeight="1" spans="1:17">
      <c r="A218" s="111">
        <v>44166</v>
      </c>
      <c r="B218" s="23">
        <f t="shared" si="24"/>
        <v>226.42</v>
      </c>
      <c r="C218" s="49">
        <v>1</v>
      </c>
      <c r="D218" s="233" t="s">
        <v>21</v>
      </c>
      <c r="E218" s="78">
        <v>0.06</v>
      </c>
      <c r="F218" s="23">
        <f t="shared" si="25"/>
        <v>13.58</v>
      </c>
      <c r="G218" s="224">
        <v>240</v>
      </c>
      <c r="H218" s="94"/>
      <c r="I218" s="21"/>
      <c r="J218" s="103"/>
      <c r="K218" s="106" t="s">
        <v>235</v>
      </c>
      <c r="L218" s="73" t="s">
        <v>236</v>
      </c>
      <c r="M218" s="146"/>
      <c r="N218" s="143"/>
      <c r="O218" s="73"/>
      <c r="Q218" s="107"/>
    </row>
    <row r="219" s="3" customFormat="1" ht="18" customHeight="1" spans="1:17">
      <c r="A219" s="111">
        <v>44166</v>
      </c>
      <c r="B219" s="23">
        <f t="shared" si="24"/>
        <v>36748.72</v>
      </c>
      <c r="C219" s="49">
        <v>1</v>
      </c>
      <c r="D219" s="233" t="s">
        <v>21</v>
      </c>
      <c r="E219" s="78">
        <v>0.13</v>
      </c>
      <c r="F219" s="23">
        <f t="shared" si="25"/>
        <v>4777.33</v>
      </c>
      <c r="G219" s="224">
        <v>41526.05</v>
      </c>
      <c r="H219" s="94"/>
      <c r="I219" s="21"/>
      <c r="J219" s="103"/>
      <c r="K219" s="106" t="s">
        <v>237</v>
      </c>
      <c r="L219" s="73" t="s">
        <v>238</v>
      </c>
      <c r="M219" s="146" t="s">
        <v>239</v>
      </c>
      <c r="N219" s="143"/>
      <c r="O219" s="73"/>
      <c r="Q219" s="107"/>
    </row>
    <row r="220" s="3" customFormat="1" ht="18" customHeight="1" spans="1:17">
      <c r="A220" s="111">
        <v>44166</v>
      </c>
      <c r="B220" s="23">
        <f t="shared" si="24"/>
        <v>470859.22</v>
      </c>
      <c r="C220" s="49">
        <v>5</v>
      </c>
      <c r="D220" s="86" t="s">
        <v>21</v>
      </c>
      <c r="E220" s="78">
        <v>0.03</v>
      </c>
      <c r="F220" s="23">
        <f t="shared" si="25"/>
        <v>14125.78</v>
      </c>
      <c r="G220" s="224">
        <f>400000+84985</f>
        <v>484985</v>
      </c>
      <c r="H220" s="94"/>
      <c r="I220" s="21"/>
      <c r="J220" s="60"/>
      <c r="K220" s="106" t="s">
        <v>61</v>
      </c>
      <c r="L220" s="73" t="s">
        <v>81</v>
      </c>
      <c r="M220" s="146" t="s">
        <v>63</v>
      </c>
      <c r="N220" s="143"/>
      <c r="O220" s="73"/>
      <c r="Q220" s="107"/>
    </row>
    <row r="221" s="3" customFormat="1" ht="18" customHeight="1" spans="1:17">
      <c r="A221" s="47"/>
      <c r="B221" s="23">
        <f t="shared" si="24"/>
        <v>0</v>
      </c>
      <c r="C221" s="49"/>
      <c r="D221" s="133"/>
      <c r="E221" s="78"/>
      <c r="F221" s="23">
        <f t="shared" si="25"/>
        <v>0</v>
      </c>
      <c r="G221" s="224"/>
      <c r="H221" s="94">
        <v>44125</v>
      </c>
      <c r="I221" s="21">
        <v>-64726.5</v>
      </c>
      <c r="J221" s="103" t="s">
        <v>58</v>
      </c>
      <c r="K221" s="106" t="s">
        <v>41</v>
      </c>
      <c r="L221" s="73" t="s">
        <v>240</v>
      </c>
      <c r="M221" s="71"/>
      <c r="N221" s="143"/>
      <c r="O221" s="73"/>
      <c r="Q221" s="107"/>
    </row>
    <row r="222" s="3" customFormat="1" ht="18" customHeight="1" spans="1:17">
      <c r="A222" s="47"/>
      <c r="B222" s="23">
        <f t="shared" si="24"/>
        <v>350680.13</v>
      </c>
      <c r="C222" s="49"/>
      <c r="D222" s="133"/>
      <c r="E222" s="78"/>
      <c r="F222" s="23">
        <f t="shared" si="25"/>
        <v>0</v>
      </c>
      <c r="G222" s="224">
        <v>350680.13</v>
      </c>
      <c r="H222" s="94">
        <v>44125</v>
      </c>
      <c r="I222" s="21">
        <v>25463.5</v>
      </c>
      <c r="J222" s="103" t="s">
        <v>58</v>
      </c>
      <c r="K222" s="106" t="s">
        <v>84</v>
      </c>
      <c r="L222" s="73" t="s">
        <v>71</v>
      </c>
      <c r="M222" s="71" t="s">
        <v>241</v>
      </c>
      <c r="N222" s="143"/>
      <c r="O222" s="73"/>
      <c r="Q222" s="107"/>
    </row>
    <row r="223" s="3" customFormat="1" ht="18" customHeight="1" spans="1:17">
      <c r="A223" s="47"/>
      <c r="B223" s="23">
        <f t="shared" si="24"/>
        <v>0</v>
      </c>
      <c r="C223" s="49"/>
      <c r="D223" s="133"/>
      <c r="E223" s="78"/>
      <c r="F223" s="23">
        <f t="shared" si="25"/>
        <v>0</v>
      </c>
      <c r="G223" s="224"/>
      <c r="H223" s="94">
        <v>44125</v>
      </c>
      <c r="I223" s="21">
        <v>39263</v>
      </c>
      <c r="J223" s="103" t="s">
        <v>58</v>
      </c>
      <c r="K223" s="106" t="s">
        <v>165</v>
      </c>
      <c r="L223" s="73" t="s">
        <v>229</v>
      </c>
      <c r="M223" s="146" t="s">
        <v>242</v>
      </c>
      <c r="N223" s="143"/>
      <c r="O223" s="73"/>
      <c r="Q223" s="107"/>
    </row>
    <row r="224" s="3" customFormat="1" ht="18" customHeight="1" spans="1:17">
      <c r="A224" s="47"/>
      <c r="B224" s="23">
        <f t="shared" si="24"/>
        <v>0</v>
      </c>
      <c r="C224" s="49"/>
      <c r="D224" s="133"/>
      <c r="E224" s="78"/>
      <c r="F224" s="23">
        <f t="shared" si="25"/>
        <v>0</v>
      </c>
      <c r="G224" s="224"/>
      <c r="H224" s="94">
        <v>44133</v>
      </c>
      <c r="I224" s="21">
        <v>-80040.1</v>
      </c>
      <c r="J224" s="103" t="s">
        <v>58</v>
      </c>
      <c r="K224" s="106" t="s">
        <v>41</v>
      </c>
      <c r="L224" s="73" t="s">
        <v>240</v>
      </c>
      <c r="M224" s="146"/>
      <c r="N224" s="143"/>
      <c r="O224" s="73"/>
      <c r="Q224" s="107"/>
    </row>
    <row r="225" s="3" customFormat="1" ht="18" customHeight="1" spans="1:17">
      <c r="A225" s="47"/>
      <c r="B225" s="23">
        <f t="shared" si="24"/>
        <v>0</v>
      </c>
      <c r="C225" s="49"/>
      <c r="D225" s="133"/>
      <c r="E225" s="78"/>
      <c r="F225" s="23">
        <f t="shared" si="25"/>
        <v>0</v>
      </c>
      <c r="G225" s="224"/>
      <c r="H225" s="94">
        <v>44137</v>
      </c>
      <c r="I225" s="236">
        <v>39500</v>
      </c>
      <c r="J225" s="103" t="s">
        <v>58</v>
      </c>
      <c r="K225" s="106" t="s">
        <v>208</v>
      </c>
      <c r="L225" s="73" t="s">
        <v>243</v>
      </c>
      <c r="M225" s="146"/>
      <c r="N225" s="143"/>
      <c r="O225" s="73"/>
      <c r="Q225" s="107"/>
    </row>
    <row r="226" s="3" customFormat="1" ht="18" customHeight="1" spans="1:17">
      <c r="A226" s="47"/>
      <c r="B226" s="23">
        <f t="shared" si="24"/>
        <v>0</v>
      </c>
      <c r="C226" s="49"/>
      <c r="D226" s="133"/>
      <c r="E226" s="78"/>
      <c r="F226" s="23">
        <f t="shared" si="25"/>
        <v>0</v>
      </c>
      <c r="G226" s="224"/>
      <c r="H226" s="94">
        <v>44137</v>
      </c>
      <c r="I226" s="236">
        <v>40540.1</v>
      </c>
      <c r="J226" s="103" t="s">
        <v>58</v>
      </c>
      <c r="K226" s="106" t="s">
        <v>84</v>
      </c>
      <c r="L226" s="73" t="s">
        <v>71</v>
      </c>
      <c r="M226" s="146"/>
      <c r="N226" s="143"/>
      <c r="O226" s="73"/>
      <c r="Q226" s="107"/>
    </row>
    <row r="227" s="3" customFormat="1" ht="18" customHeight="1" spans="1:17">
      <c r="A227" s="47"/>
      <c r="B227" s="23">
        <f t="shared" si="24"/>
        <v>0</v>
      </c>
      <c r="C227" s="49"/>
      <c r="D227" s="133"/>
      <c r="E227" s="78"/>
      <c r="F227" s="23">
        <f t="shared" ref="F227:F290" si="26">ROUND(G227/(1+E227)*E227,2)</f>
        <v>0</v>
      </c>
      <c r="G227" s="224"/>
      <c r="H227" s="94">
        <v>44190</v>
      </c>
      <c r="I227" s="236">
        <v>149766.6</v>
      </c>
      <c r="J227" s="103" t="s">
        <v>22</v>
      </c>
      <c r="K227" s="106" t="s">
        <v>41</v>
      </c>
      <c r="L227" s="119" t="s">
        <v>244</v>
      </c>
      <c r="M227" s="146"/>
      <c r="N227" s="143"/>
      <c r="O227" s="73"/>
      <c r="Q227" s="107"/>
    </row>
    <row r="228" s="3" customFormat="1" ht="18" customHeight="1" spans="1:17">
      <c r="A228" s="47"/>
      <c r="B228" s="23">
        <f t="shared" si="24"/>
        <v>0</v>
      </c>
      <c r="C228" s="49"/>
      <c r="D228" s="133"/>
      <c r="E228" s="78"/>
      <c r="F228" s="23">
        <f t="shared" si="26"/>
        <v>0</v>
      </c>
      <c r="G228" s="224"/>
      <c r="H228" s="94">
        <v>44190</v>
      </c>
      <c r="I228" s="236">
        <v>19400</v>
      </c>
      <c r="J228" s="103" t="s">
        <v>22</v>
      </c>
      <c r="K228" s="106" t="s">
        <v>245</v>
      </c>
      <c r="L228" s="119" t="s">
        <v>246</v>
      </c>
      <c r="M228" s="146"/>
      <c r="N228" s="143"/>
      <c r="O228" s="73"/>
      <c r="Q228" s="107"/>
    </row>
    <row r="229" s="3" customFormat="1" ht="18" customHeight="1" spans="1:17">
      <c r="A229" s="47"/>
      <c r="B229" s="23">
        <f t="shared" si="24"/>
        <v>0</v>
      </c>
      <c r="C229" s="49"/>
      <c r="D229" s="133"/>
      <c r="E229" s="78"/>
      <c r="F229" s="23">
        <f t="shared" si="26"/>
        <v>0</v>
      </c>
      <c r="G229" s="224"/>
      <c r="H229" s="94">
        <v>44190</v>
      </c>
      <c r="I229" s="236">
        <v>98608.38</v>
      </c>
      <c r="J229" s="103" t="s">
        <v>22</v>
      </c>
      <c r="K229" s="106" t="s">
        <v>84</v>
      </c>
      <c r="L229" s="119" t="s">
        <v>247</v>
      </c>
      <c r="M229" s="146"/>
      <c r="N229" s="143"/>
      <c r="O229" s="73"/>
      <c r="Q229" s="107"/>
    </row>
    <row r="230" s="3" customFormat="1" ht="18" customHeight="1" spans="1:17">
      <c r="A230" s="47"/>
      <c r="B230" s="23">
        <f t="shared" si="24"/>
        <v>0</v>
      </c>
      <c r="C230" s="49"/>
      <c r="D230" s="133"/>
      <c r="E230" s="78"/>
      <c r="F230" s="23">
        <f t="shared" si="26"/>
        <v>0</v>
      </c>
      <c r="G230" s="224"/>
      <c r="H230" s="94">
        <v>44190</v>
      </c>
      <c r="I230" s="236">
        <v>408243</v>
      </c>
      <c r="J230" s="103" t="s">
        <v>22</v>
      </c>
      <c r="K230" s="106" t="s">
        <v>248</v>
      </c>
      <c r="L230" s="119" t="s">
        <v>249</v>
      </c>
      <c r="M230" s="146" t="s">
        <v>63</v>
      </c>
      <c r="N230" s="143"/>
      <c r="O230" s="73"/>
      <c r="Q230" s="107"/>
    </row>
    <row r="231" s="3" customFormat="1" ht="18" customHeight="1" spans="1:17">
      <c r="A231" s="47"/>
      <c r="B231" s="23">
        <f t="shared" si="24"/>
        <v>0</v>
      </c>
      <c r="C231" s="49"/>
      <c r="D231" s="133"/>
      <c r="E231" s="78"/>
      <c r="F231" s="23">
        <f t="shared" si="26"/>
        <v>0</v>
      </c>
      <c r="G231" s="224"/>
      <c r="H231" s="94">
        <v>44190</v>
      </c>
      <c r="I231" s="236">
        <v>56254.5</v>
      </c>
      <c r="J231" s="103" t="s">
        <v>22</v>
      </c>
      <c r="K231" s="106" t="s">
        <v>52</v>
      </c>
      <c r="L231" s="119" t="s">
        <v>250</v>
      </c>
      <c r="M231" s="146"/>
      <c r="N231" s="143"/>
      <c r="O231" s="73"/>
      <c r="Q231" s="107"/>
    </row>
    <row r="232" s="3" customFormat="1" ht="18" customHeight="1" spans="1:17">
      <c r="A232" s="111">
        <v>44166</v>
      </c>
      <c r="B232" s="23">
        <f t="shared" si="24"/>
        <v>306141.59</v>
      </c>
      <c r="C232" s="49">
        <v>4</v>
      </c>
      <c r="D232" s="86" t="s">
        <v>21</v>
      </c>
      <c r="E232" s="78">
        <v>0.13</v>
      </c>
      <c r="F232" s="23">
        <f t="shared" si="26"/>
        <v>39798.41</v>
      </c>
      <c r="G232" s="224">
        <f>109690+68300+57300+110650</f>
        <v>345940</v>
      </c>
      <c r="H232" s="94">
        <v>44190</v>
      </c>
      <c r="I232" s="236">
        <v>345940</v>
      </c>
      <c r="J232" s="103" t="s">
        <v>22</v>
      </c>
      <c r="K232" s="106" t="s">
        <v>251</v>
      </c>
      <c r="L232" s="119" t="s">
        <v>252</v>
      </c>
      <c r="M232" s="146" t="s">
        <v>253</v>
      </c>
      <c r="N232" s="143"/>
      <c r="O232" s="73"/>
      <c r="Q232" s="107"/>
    </row>
    <row r="233" s="3" customFormat="1" ht="18" customHeight="1" spans="1:17">
      <c r="A233" s="111">
        <v>44166</v>
      </c>
      <c r="B233" s="23">
        <f t="shared" si="24"/>
        <v>143787.61</v>
      </c>
      <c r="C233" s="49">
        <v>2</v>
      </c>
      <c r="D233" s="233" t="s">
        <v>21</v>
      </c>
      <c r="E233" s="78">
        <v>0.13</v>
      </c>
      <c r="F233" s="23">
        <f t="shared" si="26"/>
        <v>18692.39</v>
      </c>
      <c r="G233" s="224">
        <f>81240+81240</f>
        <v>162480</v>
      </c>
      <c r="H233" s="94"/>
      <c r="I233" s="236"/>
      <c r="J233" s="103"/>
      <c r="K233" s="106" t="s">
        <v>169</v>
      </c>
      <c r="L233" s="73" t="s">
        <v>233</v>
      </c>
      <c r="M233"/>
      <c r="N233" s="143"/>
      <c r="Q233" s="107"/>
    </row>
    <row r="234" s="3" customFormat="1" ht="18" customHeight="1" spans="1:17">
      <c r="A234" s="111">
        <v>44166</v>
      </c>
      <c r="B234" s="23">
        <f t="shared" si="24"/>
        <v>117.4</v>
      </c>
      <c r="C234" s="49">
        <v>1</v>
      </c>
      <c r="D234" s="86" t="s">
        <v>67</v>
      </c>
      <c r="E234" s="78"/>
      <c r="F234" s="23">
        <f t="shared" si="26"/>
        <v>0</v>
      </c>
      <c r="G234" s="224">
        <v>117.4</v>
      </c>
      <c r="H234" s="94"/>
      <c r="I234" s="236"/>
      <c r="J234" s="103"/>
      <c r="K234" s="106" t="s">
        <v>84</v>
      </c>
      <c r="L234" s="121" t="s">
        <v>254</v>
      </c>
      <c r="M234" s="146"/>
      <c r="N234" s="143"/>
      <c r="O234" s="144"/>
      <c r="Q234" s="107"/>
    </row>
    <row r="235" s="3" customFormat="1" ht="18" customHeight="1" spans="1:17">
      <c r="A235" s="111">
        <v>44166</v>
      </c>
      <c r="B235" s="23">
        <f t="shared" ref="B235:B287" si="27">ROUND(G235/(1+E235),2)</f>
        <v>321</v>
      </c>
      <c r="C235" s="49">
        <v>5</v>
      </c>
      <c r="D235" s="86" t="s">
        <v>189</v>
      </c>
      <c r="E235" s="78"/>
      <c r="F235" s="23">
        <f t="shared" si="26"/>
        <v>0</v>
      </c>
      <c r="G235" s="224">
        <v>321</v>
      </c>
      <c r="H235" s="94"/>
      <c r="I235" s="236"/>
      <c r="J235" s="103"/>
      <c r="K235" s="106" t="s">
        <v>84</v>
      </c>
      <c r="L235" s="121" t="s">
        <v>254</v>
      </c>
      <c r="M235" s="146"/>
      <c r="N235" s="143"/>
      <c r="O235" s="144"/>
      <c r="Q235" s="107"/>
    </row>
    <row r="236" s="3" customFormat="1" ht="18" customHeight="1" spans="1:17">
      <c r="A236" s="111">
        <v>44166</v>
      </c>
      <c r="B236" s="23">
        <f t="shared" si="27"/>
        <v>115</v>
      </c>
      <c r="C236" s="49">
        <v>10</v>
      </c>
      <c r="D236" s="86" t="s">
        <v>67</v>
      </c>
      <c r="E236" s="78"/>
      <c r="F236" s="23">
        <f t="shared" si="26"/>
        <v>0</v>
      </c>
      <c r="G236" s="224">
        <v>115</v>
      </c>
      <c r="H236" s="94"/>
      <c r="I236" s="236"/>
      <c r="J236" s="103"/>
      <c r="K236" s="106" t="s">
        <v>84</v>
      </c>
      <c r="L236" s="121" t="s">
        <v>254</v>
      </c>
      <c r="M236" s="146"/>
      <c r="N236" s="143"/>
      <c r="O236" s="144"/>
      <c r="Q236" s="107"/>
    </row>
    <row r="237" s="3" customFormat="1" ht="18" customHeight="1" spans="1:17">
      <c r="A237" s="111">
        <v>44166</v>
      </c>
      <c r="B237" s="23">
        <f t="shared" si="27"/>
        <v>20081.31</v>
      </c>
      <c r="C237" s="49">
        <v>1</v>
      </c>
      <c r="D237" s="86" t="s">
        <v>21</v>
      </c>
      <c r="E237" s="78">
        <v>0.13</v>
      </c>
      <c r="F237" s="23">
        <f t="shared" si="26"/>
        <v>2610.57</v>
      </c>
      <c r="G237" s="224">
        <v>22691.88</v>
      </c>
      <c r="H237" s="94"/>
      <c r="I237" s="236"/>
      <c r="J237" s="103"/>
      <c r="K237" s="72" t="s">
        <v>113</v>
      </c>
      <c r="L237" s="73" t="s">
        <v>94</v>
      </c>
      <c r="M237" s="146" t="s">
        <v>255</v>
      </c>
      <c r="N237" s="143"/>
      <c r="O237" s="144"/>
      <c r="Q237" s="107"/>
    </row>
    <row r="238" s="3" customFormat="1" ht="27" customHeight="1" spans="1:17">
      <c r="A238" s="111">
        <v>44166</v>
      </c>
      <c r="B238" s="23">
        <f t="shared" si="27"/>
        <v>18305.07</v>
      </c>
      <c r="C238" s="49">
        <v>1</v>
      </c>
      <c r="D238" s="86" t="s">
        <v>21</v>
      </c>
      <c r="E238" s="78">
        <v>0.13</v>
      </c>
      <c r="F238" s="23">
        <f t="shared" si="26"/>
        <v>2379.66</v>
      </c>
      <c r="G238" s="224">
        <v>20684.73</v>
      </c>
      <c r="H238" s="94"/>
      <c r="I238" s="236"/>
      <c r="J238" s="103"/>
      <c r="K238" s="72" t="s">
        <v>113</v>
      </c>
      <c r="L238" s="73" t="s">
        <v>94</v>
      </c>
      <c r="M238" s="146" t="s">
        <v>256</v>
      </c>
      <c r="N238" s="143"/>
      <c r="O238" s="144"/>
      <c r="Q238" s="107"/>
    </row>
    <row r="239" s="3" customFormat="1" ht="18" customHeight="1" spans="1:17">
      <c r="A239" s="111"/>
      <c r="B239" s="23">
        <f t="shared" si="27"/>
        <v>0</v>
      </c>
      <c r="C239" s="49"/>
      <c r="D239" s="86"/>
      <c r="E239" s="78"/>
      <c r="F239" s="23">
        <f t="shared" si="26"/>
        <v>0</v>
      </c>
      <c r="G239" s="224"/>
      <c r="H239" s="94">
        <v>44195</v>
      </c>
      <c r="I239" s="237">
        <v>199000</v>
      </c>
      <c r="J239" s="123" t="s">
        <v>22</v>
      </c>
      <c r="K239" s="124" t="s">
        <v>172</v>
      </c>
      <c r="L239" s="73" t="s">
        <v>132</v>
      </c>
      <c r="M239" s="146"/>
      <c r="N239" s="143"/>
      <c r="O239" s="144"/>
      <c r="Q239" s="107"/>
    </row>
    <row r="240" s="3" customFormat="1" ht="18" customHeight="1" spans="1:17">
      <c r="A240" s="111"/>
      <c r="B240" s="23">
        <f t="shared" si="27"/>
        <v>0</v>
      </c>
      <c r="C240" s="49"/>
      <c r="D240" s="86"/>
      <c r="E240" s="78"/>
      <c r="F240" s="23">
        <f t="shared" si="26"/>
        <v>0</v>
      </c>
      <c r="G240" s="224"/>
      <c r="H240" s="94">
        <v>44195</v>
      </c>
      <c r="I240" s="237">
        <v>20684.73</v>
      </c>
      <c r="J240" s="123" t="s">
        <v>22</v>
      </c>
      <c r="K240" s="124" t="s">
        <v>113</v>
      </c>
      <c r="L240" s="73" t="s">
        <v>94</v>
      </c>
      <c r="M240" s="146"/>
      <c r="N240" s="143"/>
      <c r="O240" s="144"/>
      <c r="Q240" s="107"/>
    </row>
    <row r="241" s="3" customFormat="1" ht="18" customHeight="1" spans="1:17">
      <c r="A241" s="111"/>
      <c r="B241" s="23">
        <f t="shared" si="27"/>
        <v>0</v>
      </c>
      <c r="C241" s="49"/>
      <c r="D241" s="86"/>
      <c r="E241" s="78"/>
      <c r="F241" s="23">
        <f t="shared" si="26"/>
        <v>0</v>
      </c>
      <c r="G241" s="224"/>
      <c r="H241" s="94">
        <v>44195</v>
      </c>
      <c r="I241" s="237">
        <v>41526.05</v>
      </c>
      <c r="J241" s="123" t="s">
        <v>22</v>
      </c>
      <c r="K241" s="124" t="s">
        <v>237</v>
      </c>
      <c r="L241" s="73" t="s">
        <v>257</v>
      </c>
      <c r="M241" s="146"/>
      <c r="N241" s="143"/>
      <c r="O241" s="144"/>
      <c r="Q241" s="107"/>
    </row>
    <row r="242" s="3" customFormat="1" ht="18" customHeight="1" spans="1:17">
      <c r="A242" s="111"/>
      <c r="B242" s="23">
        <f t="shared" si="27"/>
        <v>0</v>
      </c>
      <c r="C242" s="49"/>
      <c r="D242" s="86"/>
      <c r="E242" s="78"/>
      <c r="F242" s="23">
        <f t="shared" si="26"/>
        <v>0</v>
      </c>
      <c r="G242" s="224"/>
      <c r="H242" s="94">
        <v>44195</v>
      </c>
      <c r="I242" s="237">
        <v>222482.17</v>
      </c>
      <c r="J242" s="123" t="s">
        <v>22</v>
      </c>
      <c r="K242" s="124" t="s">
        <v>205</v>
      </c>
      <c r="L242" s="73" t="s">
        <v>258</v>
      </c>
      <c r="M242" s="146"/>
      <c r="N242" s="143"/>
      <c r="O242" s="144"/>
      <c r="Q242" s="107"/>
    </row>
    <row r="243" s="3" customFormat="1" ht="18" customHeight="1" spans="1:17">
      <c r="A243" s="111"/>
      <c r="B243" s="23">
        <f t="shared" si="27"/>
        <v>0</v>
      </c>
      <c r="C243" s="49"/>
      <c r="D243" s="86"/>
      <c r="E243" s="78"/>
      <c r="F243" s="23">
        <f t="shared" si="26"/>
        <v>0</v>
      </c>
      <c r="G243" s="224"/>
      <c r="H243" s="94">
        <v>44195</v>
      </c>
      <c r="I243" s="237">
        <v>135780.5</v>
      </c>
      <c r="J243" s="123" t="s">
        <v>22</v>
      </c>
      <c r="K243" s="124" t="s">
        <v>105</v>
      </c>
      <c r="L243" s="73" t="s">
        <v>259</v>
      </c>
      <c r="M243" s="146"/>
      <c r="N243" s="143"/>
      <c r="O243" s="144"/>
      <c r="Q243" s="107"/>
    </row>
    <row r="244" s="3" customFormat="1" ht="18" customHeight="1" spans="1:17">
      <c r="A244" s="111"/>
      <c r="B244" s="23">
        <f t="shared" si="27"/>
        <v>0</v>
      </c>
      <c r="C244" s="49"/>
      <c r="D244" s="86"/>
      <c r="E244" s="78"/>
      <c r="F244" s="23">
        <f t="shared" si="26"/>
        <v>0</v>
      </c>
      <c r="G244" s="224"/>
      <c r="H244" s="94">
        <v>44195</v>
      </c>
      <c r="I244" s="237">
        <v>55000</v>
      </c>
      <c r="J244" s="123" t="s">
        <v>22</v>
      </c>
      <c r="K244" s="124" t="s">
        <v>182</v>
      </c>
      <c r="L244" s="73" t="s">
        <v>260</v>
      </c>
      <c r="M244" s="146"/>
      <c r="N244" s="143"/>
      <c r="O244" s="144"/>
      <c r="Q244" s="107"/>
    </row>
    <row r="245" s="3" customFormat="1" ht="18" customHeight="1" spans="1:17">
      <c r="A245" s="111"/>
      <c r="B245" s="23">
        <f t="shared" si="27"/>
        <v>0</v>
      </c>
      <c r="C245" s="49"/>
      <c r="D245" s="86"/>
      <c r="E245" s="78"/>
      <c r="F245" s="23">
        <f t="shared" si="26"/>
        <v>0</v>
      </c>
      <c r="G245" s="224"/>
      <c r="H245" s="94">
        <v>44195</v>
      </c>
      <c r="I245" s="237">
        <v>162480</v>
      </c>
      <c r="J245" s="123" t="s">
        <v>22</v>
      </c>
      <c r="K245" s="124" t="s">
        <v>169</v>
      </c>
      <c r="L245" s="73" t="s">
        <v>261</v>
      </c>
      <c r="M245" s="146"/>
      <c r="N245" s="143"/>
      <c r="O245" s="144"/>
      <c r="Q245" s="107"/>
    </row>
    <row r="246" s="3" customFormat="1" ht="18" customHeight="1" spans="1:17">
      <c r="A246" s="111"/>
      <c r="B246" s="23">
        <f t="shared" si="27"/>
        <v>0</v>
      </c>
      <c r="C246" s="49"/>
      <c r="D246" s="86"/>
      <c r="E246" s="78"/>
      <c r="F246" s="23">
        <f t="shared" si="26"/>
        <v>0</v>
      </c>
      <c r="G246" s="224"/>
      <c r="H246" s="94">
        <v>44195</v>
      </c>
      <c r="I246" s="237">
        <v>96456.8</v>
      </c>
      <c r="J246" s="123" t="s">
        <v>22</v>
      </c>
      <c r="K246" s="124" t="s">
        <v>45</v>
      </c>
      <c r="L246" s="73" t="s">
        <v>94</v>
      </c>
      <c r="M246" s="146"/>
      <c r="N246" s="143"/>
      <c r="O246" s="144"/>
      <c r="Q246" s="107"/>
    </row>
    <row r="247" s="3" customFormat="1" ht="18" customHeight="1" spans="1:17">
      <c r="A247" s="129"/>
      <c r="B247" s="23">
        <f t="shared" si="27"/>
        <v>0</v>
      </c>
      <c r="C247" s="130"/>
      <c r="D247" s="131"/>
      <c r="E247" s="132"/>
      <c r="F247" s="23">
        <f t="shared" si="26"/>
        <v>0</v>
      </c>
      <c r="G247" s="224"/>
      <c r="H247" s="94">
        <v>44195</v>
      </c>
      <c r="I247" s="237">
        <v>133245</v>
      </c>
      <c r="J247" s="123" t="s">
        <v>22</v>
      </c>
      <c r="K247" s="124" t="s">
        <v>118</v>
      </c>
      <c r="L247" s="73" t="s">
        <v>48</v>
      </c>
      <c r="M247" s="146"/>
      <c r="N247" s="143"/>
      <c r="O247" s="144"/>
      <c r="Q247" s="107"/>
    </row>
    <row r="248" s="3" customFormat="1" ht="18" customHeight="1" spans="1:17">
      <c r="A248" s="129"/>
      <c r="B248" s="23">
        <f t="shared" si="27"/>
        <v>0</v>
      </c>
      <c r="C248" s="130"/>
      <c r="D248" s="131"/>
      <c r="E248" s="132"/>
      <c r="F248" s="23">
        <f t="shared" si="26"/>
        <v>0</v>
      </c>
      <c r="G248" s="224"/>
      <c r="H248" s="94">
        <v>44201</v>
      </c>
      <c r="I248" s="237">
        <v>22691.88</v>
      </c>
      <c r="J248" s="123" t="s">
        <v>22</v>
      </c>
      <c r="K248" s="124" t="s">
        <v>113</v>
      </c>
      <c r="L248" s="73" t="s">
        <v>94</v>
      </c>
      <c r="M248" s="146"/>
      <c r="N248" s="143"/>
      <c r="O248" s="144"/>
      <c r="Q248" s="107"/>
    </row>
    <row r="249" s="3" customFormat="1" ht="18" customHeight="1" spans="1:17">
      <c r="A249" s="47">
        <v>44166</v>
      </c>
      <c r="B249" s="23">
        <f t="shared" si="27"/>
        <v>389440.59</v>
      </c>
      <c r="C249" s="49">
        <v>4</v>
      </c>
      <c r="D249" s="127" t="s">
        <v>21</v>
      </c>
      <c r="E249" s="78">
        <v>0.01</v>
      </c>
      <c r="F249" s="23">
        <f t="shared" si="26"/>
        <v>3894.41</v>
      </c>
      <c r="G249" s="58">
        <v>393335</v>
      </c>
      <c r="H249" s="94">
        <v>44201</v>
      </c>
      <c r="I249" s="237">
        <v>393335</v>
      </c>
      <c r="J249" s="123" t="s">
        <v>22</v>
      </c>
      <c r="K249" s="124" t="s">
        <v>80</v>
      </c>
      <c r="L249" s="73" t="s">
        <v>81</v>
      </c>
      <c r="M249" s="146" t="s">
        <v>262</v>
      </c>
      <c r="N249" s="143"/>
      <c r="O249" s="144"/>
      <c r="Q249" s="107"/>
    </row>
    <row r="250" s="3" customFormat="1" ht="18" customHeight="1" spans="1:17">
      <c r="A250" s="111">
        <v>44166</v>
      </c>
      <c r="B250" s="23">
        <f t="shared" si="27"/>
        <v>88622.83</v>
      </c>
      <c r="C250" s="49">
        <v>1</v>
      </c>
      <c r="D250" s="127" t="s">
        <v>21</v>
      </c>
      <c r="E250" s="78">
        <v>0.13</v>
      </c>
      <c r="F250" s="23">
        <f t="shared" si="26"/>
        <v>11520.97</v>
      </c>
      <c r="G250" s="224">
        <v>100143.8</v>
      </c>
      <c r="H250" s="94">
        <v>44201</v>
      </c>
      <c r="I250" s="237">
        <v>100143.8</v>
      </c>
      <c r="J250" s="123" t="s">
        <v>22</v>
      </c>
      <c r="K250" s="124" t="s">
        <v>47</v>
      </c>
      <c r="L250" s="73" t="s">
        <v>263</v>
      </c>
      <c r="M250" s="146" t="s">
        <v>264</v>
      </c>
      <c r="N250" s="143"/>
      <c r="O250" s="144"/>
      <c r="Q250" s="107"/>
    </row>
    <row r="251" s="3" customFormat="1" ht="18" customHeight="1" spans="1:17">
      <c r="A251" s="111">
        <v>44166</v>
      </c>
      <c r="B251" s="23">
        <f t="shared" si="27"/>
        <v>17168.14</v>
      </c>
      <c r="C251" s="49">
        <v>1</v>
      </c>
      <c r="D251" s="127" t="s">
        <v>21</v>
      </c>
      <c r="E251" s="78">
        <v>0.13</v>
      </c>
      <c r="F251" s="23">
        <f t="shared" si="26"/>
        <v>2231.86</v>
      </c>
      <c r="G251" s="224">
        <f>19400</f>
        <v>19400</v>
      </c>
      <c r="H251" s="94"/>
      <c r="I251" s="238"/>
      <c r="J251" s="239"/>
      <c r="K251" s="124" t="s">
        <v>245</v>
      </c>
      <c r="M251" s="146" t="s">
        <v>265</v>
      </c>
      <c r="N251" s="143"/>
      <c r="O251" s="144"/>
      <c r="Q251" s="107"/>
    </row>
    <row r="252" s="3" customFormat="1" ht="18" customHeight="1" spans="1:17">
      <c r="A252" s="111">
        <v>44166</v>
      </c>
      <c r="B252" s="23">
        <f t="shared" si="27"/>
        <v>3927.43</v>
      </c>
      <c r="C252" s="49">
        <v>1</v>
      </c>
      <c r="D252" s="127" t="s">
        <v>21</v>
      </c>
      <c r="E252" s="78">
        <v>0.13</v>
      </c>
      <c r="F252" s="23">
        <f t="shared" si="26"/>
        <v>510.57</v>
      </c>
      <c r="G252" s="224">
        <v>4438</v>
      </c>
      <c r="H252" s="94"/>
      <c r="I252" s="238"/>
      <c r="J252" s="239"/>
      <c r="K252" s="124" t="s">
        <v>59</v>
      </c>
      <c r="L252" s="73" t="s">
        <v>184</v>
      </c>
      <c r="M252" s="146" t="s">
        <v>211</v>
      </c>
      <c r="N252" s="143"/>
      <c r="O252" s="144"/>
      <c r="Q252" s="107"/>
    </row>
    <row r="253" s="3" customFormat="1" ht="18" customHeight="1" spans="1:17">
      <c r="A253" s="111">
        <v>44197</v>
      </c>
      <c r="B253" s="23">
        <f t="shared" si="27"/>
        <v>4788.94</v>
      </c>
      <c r="C253" s="49">
        <v>1</v>
      </c>
      <c r="D253" s="127" t="s">
        <v>21</v>
      </c>
      <c r="E253" s="78">
        <v>0.13</v>
      </c>
      <c r="F253" s="23">
        <f t="shared" si="26"/>
        <v>622.56</v>
      </c>
      <c r="G253" s="224">
        <f>5411.5</f>
        <v>5411.5</v>
      </c>
      <c r="H253" s="94"/>
      <c r="I253" s="238"/>
      <c r="J253" s="239"/>
      <c r="K253" s="124" t="s">
        <v>59</v>
      </c>
      <c r="L253" s="73" t="s">
        <v>184</v>
      </c>
      <c r="M253" s="146" t="s">
        <v>211</v>
      </c>
      <c r="N253" s="143"/>
      <c r="O253" s="144"/>
      <c r="Q253" s="107"/>
    </row>
    <row r="254" s="3" customFormat="1" ht="18" customHeight="1" spans="1:17">
      <c r="A254" s="111">
        <v>44197</v>
      </c>
      <c r="B254" s="23">
        <f t="shared" si="27"/>
        <v>366230.09</v>
      </c>
      <c r="C254" s="49">
        <v>4</v>
      </c>
      <c r="D254" s="127" t="s">
        <v>21</v>
      </c>
      <c r="E254" s="78">
        <v>0.13</v>
      </c>
      <c r="F254" s="23">
        <f t="shared" si="26"/>
        <v>47609.91</v>
      </c>
      <c r="G254" s="224">
        <f>103460*4</f>
        <v>413840</v>
      </c>
      <c r="H254" s="94"/>
      <c r="I254" s="238"/>
      <c r="J254" s="239"/>
      <c r="K254" s="124" t="s">
        <v>105</v>
      </c>
      <c r="L254" s="73" t="s">
        <v>266</v>
      </c>
      <c r="M254" s="146" t="s">
        <v>267</v>
      </c>
      <c r="N254" s="143"/>
      <c r="O254" s="144"/>
      <c r="Q254" s="107"/>
    </row>
    <row r="255" s="3" customFormat="1" ht="18" customHeight="1" spans="1:17">
      <c r="A255" s="111">
        <v>44197</v>
      </c>
      <c r="B255" s="23">
        <f t="shared" si="27"/>
        <v>59405.94</v>
      </c>
      <c r="C255" s="49">
        <v>1</v>
      </c>
      <c r="D255" s="127" t="s">
        <v>21</v>
      </c>
      <c r="E255" s="78">
        <v>0.01</v>
      </c>
      <c r="F255" s="23">
        <f t="shared" si="26"/>
        <v>594.06</v>
      </c>
      <c r="G255" s="224">
        <v>60000</v>
      </c>
      <c r="H255" s="94"/>
      <c r="I255" s="238"/>
      <c r="J255" s="239"/>
      <c r="K255" s="124" t="s">
        <v>80</v>
      </c>
      <c r="L255" s="73" t="s">
        <v>183</v>
      </c>
      <c r="M255" s="146" t="s">
        <v>268</v>
      </c>
      <c r="N255" s="143"/>
      <c r="O255" s="144"/>
      <c r="Q255" s="107"/>
    </row>
    <row r="256" s="3" customFormat="1" ht="18" customHeight="1" spans="1:17">
      <c r="A256" s="111">
        <v>44197</v>
      </c>
      <c r="B256" s="23">
        <f t="shared" si="27"/>
        <v>584803.88</v>
      </c>
      <c r="C256" s="49">
        <v>6</v>
      </c>
      <c r="D256" s="127" t="s">
        <v>21</v>
      </c>
      <c r="E256" s="78">
        <v>0.03</v>
      </c>
      <c r="F256" s="23">
        <f t="shared" si="26"/>
        <v>17544.12</v>
      </c>
      <c r="G256" s="224">
        <f>100392*5+100388</f>
        <v>602348</v>
      </c>
      <c r="H256" s="94"/>
      <c r="I256" s="238"/>
      <c r="J256" s="239"/>
      <c r="K256" s="124" t="s">
        <v>269</v>
      </c>
      <c r="L256" s="73" t="s">
        <v>132</v>
      </c>
      <c r="M256" s="146" t="s">
        <v>270</v>
      </c>
      <c r="N256" s="143"/>
      <c r="O256" s="144"/>
      <c r="Q256" s="107"/>
    </row>
    <row r="257" s="3" customFormat="1" ht="18" customHeight="1" spans="1:17">
      <c r="A257" s="111"/>
      <c r="B257" s="23">
        <f t="shared" si="27"/>
        <v>0</v>
      </c>
      <c r="C257" s="49"/>
      <c r="D257" s="127"/>
      <c r="E257" s="78"/>
      <c r="F257" s="23">
        <f t="shared" si="26"/>
        <v>0</v>
      </c>
      <c r="G257" s="224"/>
      <c r="H257" s="94">
        <v>44207</v>
      </c>
      <c r="I257" s="237">
        <v>5411.5</v>
      </c>
      <c r="J257" s="123" t="s">
        <v>22</v>
      </c>
      <c r="K257" s="124" t="s">
        <v>69</v>
      </c>
      <c r="L257" s="73" t="s">
        <v>184</v>
      </c>
      <c r="M257" s="247"/>
      <c r="N257" s="143"/>
      <c r="O257" s="144"/>
      <c r="Q257" s="107"/>
    </row>
    <row r="258" s="3" customFormat="1" ht="18" customHeight="1" spans="1:17">
      <c r="A258" s="111"/>
      <c r="B258" s="23">
        <f t="shared" si="27"/>
        <v>0</v>
      </c>
      <c r="C258" s="49"/>
      <c r="D258" s="127"/>
      <c r="E258" s="78"/>
      <c r="F258" s="23">
        <f t="shared" si="26"/>
        <v>0</v>
      </c>
      <c r="G258" s="224"/>
      <c r="H258" s="94">
        <v>44207</v>
      </c>
      <c r="I258" s="237">
        <v>4438</v>
      </c>
      <c r="J258" s="123" t="s">
        <v>22</v>
      </c>
      <c r="K258" s="124" t="s">
        <v>69</v>
      </c>
      <c r="L258" s="73" t="s">
        <v>184</v>
      </c>
      <c r="M258" s="247"/>
      <c r="N258" s="143"/>
      <c r="O258" s="144"/>
      <c r="Q258" s="107"/>
    </row>
    <row r="259" s="3" customFormat="1" ht="18" customHeight="1" spans="1:17">
      <c r="A259" s="111"/>
      <c r="B259" s="23">
        <f t="shared" si="27"/>
        <v>0</v>
      </c>
      <c r="C259" s="49"/>
      <c r="D259" s="127"/>
      <c r="E259" s="78"/>
      <c r="F259" s="23">
        <f t="shared" si="26"/>
        <v>0</v>
      </c>
      <c r="G259" s="224"/>
      <c r="H259" s="94">
        <v>44207</v>
      </c>
      <c r="I259" s="237">
        <v>413840</v>
      </c>
      <c r="J259" s="123" t="s">
        <v>22</v>
      </c>
      <c r="K259" s="124" t="s">
        <v>105</v>
      </c>
      <c r="L259" s="73" t="s">
        <v>259</v>
      </c>
      <c r="M259" s="247"/>
      <c r="N259" s="143"/>
      <c r="O259" s="144"/>
      <c r="Q259" s="107"/>
    </row>
    <row r="260" s="3" customFormat="1" ht="18" customHeight="1" spans="1:17">
      <c r="A260" s="111"/>
      <c r="B260" s="23">
        <f t="shared" si="27"/>
        <v>0</v>
      </c>
      <c r="C260" s="49"/>
      <c r="D260" s="127"/>
      <c r="E260" s="78"/>
      <c r="F260" s="23">
        <f t="shared" si="26"/>
        <v>0</v>
      </c>
      <c r="G260" s="224"/>
      <c r="H260" s="94">
        <v>44229</v>
      </c>
      <c r="I260" s="248">
        <v>60000</v>
      </c>
      <c r="J260" s="123" t="s">
        <v>22</v>
      </c>
      <c r="K260" s="139" t="s">
        <v>80</v>
      </c>
      <c r="L260" s="73" t="s">
        <v>183</v>
      </c>
      <c r="M260" s="146" t="s">
        <v>268</v>
      </c>
      <c r="N260" s="143"/>
      <c r="O260" s="144"/>
      <c r="Q260" s="107"/>
    </row>
    <row r="261" s="3" customFormat="1" ht="18" customHeight="1" spans="1:17">
      <c r="A261" s="111"/>
      <c r="B261" s="23">
        <f t="shared" si="27"/>
        <v>0</v>
      </c>
      <c r="C261" s="49"/>
      <c r="D261" s="127"/>
      <c r="E261" s="78"/>
      <c r="F261" s="23">
        <f t="shared" si="26"/>
        <v>0</v>
      </c>
      <c r="G261" s="224"/>
      <c r="H261" s="126">
        <v>44229</v>
      </c>
      <c r="I261" s="249">
        <v>602348</v>
      </c>
      <c r="J261" s="97" t="s">
        <v>22</v>
      </c>
      <c r="K261" s="98" t="s">
        <v>269</v>
      </c>
      <c r="L261" s="73" t="s">
        <v>132</v>
      </c>
      <c r="M261" s="146"/>
      <c r="N261" s="143"/>
      <c r="O261" s="144"/>
      <c r="Q261" s="107"/>
    </row>
    <row r="262" s="3" customFormat="1" ht="18" customHeight="1" spans="1:17">
      <c r="A262" s="111"/>
      <c r="B262" s="23">
        <f t="shared" si="27"/>
        <v>0</v>
      </c>
      <c r="C262" s="49"/>
      <c r="D262" s="127"/>
      <c r="E262" s="78"/>
      <c r="F262" s="23">
        <f t="shared" si="26"/>
        <v>0</v>
      </c>
      <c r="G262" s="224"/>
      <c r="H262" s="126">
        <v>44229</v>
      </c>
      <c r="I262" s="97">
        <v>880.4</v>
      </c>
      <c r="J262" s="140" t="s">
        <v>22</v>
      </c>
      <c r="K262" s="141" t="s">
        <v>84</v>
      </c>
      <c r="L262" s="73" t="s">
        <v>71</v>
      </c>
      <c r="M262" s="146"/>
      <c r="N262" s="143"/>
      <c r="O262" s="144"/>
      <c r="Q262" s="107"/>
    </row>
    <row r="263" s="3" customFormat="1" ht="18" customHeight="1" spans="1:17">
      <c r="A263" s="111"/>
      <c r="B263" s="23">
        <f t="shared" si="27"/>
        <v>0</v>
      </c>
      <c r="C263" s="49"/>
      <c r="D263" s="127"/>
      <c r="E263" s="78"/>
      <c r="F263" s="23">
        <f t="shared" si="26"/>
        <v>0</v>
      </c>
      <c r="G263" s="224"/>
      <c r="H263" s="126">
        <v>44235</v>
      </c>
      <c r="I263" s="97">
        <v>121500</v>
      </c>
      <c r="J263" s="140" t="s">
        <v>22</v>
      </c>
      <c r="K263" s="141" t="s">
        <v>169</v>
      </c>
      <c r="L263" s="73" t="s">
        <v>261</v>
      </c>
      <c r="M263" s="146" t="s">
        <v>271</v>
      </c>
      <c r="N263" s="247" t="s">
        <v>272</v>
      </c>
      <c r="O263" s="144"/>
      <c r="Q263" s="107"/>
    </row>
    <row r="264" s="3" customFormat="1" ht="18" customHeight="1" spans="1:17">
      <c r="A264" s="111">
        <v>44234</v>
      </c>
      <c r="B264" s="23">
        <f t="shared" si="27"/>
        <v>16784</v>
      </c>
      <c r="C264" s="49">
        <v>1</v>
      </c>
      <c r="D264" s="127" t="s">
        <v>134</v>
      </c>
      <c r="E264" s="78"/>
      <c r="F264" s="23">
        <f t="shared" si="26"/>
        <v>0</v>
      </c>
      <c r="G264" s="224">
        <v>16784</v>
      </c>
      <c r="H264" s="126">
        <v>44235</v>
      </c>
      <c r="I264" s="97">
        <v>16784</v>
      </c>
      <c r="J264" s="140" t="s">
        <v>22</v>
      </c>
      <c r="K264" s="141" t="s">
        <v>84</v>
      </c>
      <c r="L264" s="73" t="s">
        <v>71</v>
      </c>
      <c r="M264" s="146"/>
      <c r="N264" s="143"/>
      <c r="O264" s="144"/>
      <c r="Q264" s="107"/>
    </row>
    <row r="265" s="3" customFormat="1" ht="18" customHeight="1" spans="1:17">
      <c r="A265" s="111"/>
      <c r="B265" s="23">
        <f t="shared" si="27"/>
        <v>0</v>
      </c>
      <c r="C265" s="49"/>
      <c r="D265" s="127"/>
      <c r="E265" s="78"/>
      <c r="F265" s="23">
        <f t="shared" si="26"/>
        <v>0</v>
      </c>
      <c r="G265" s="224"/>
      <c r="H265" s="94" t="s">
        <v>273</v>
      </c>
      <c r="I265" s="236">
        <v>-70468.48</v>
      </c>
      <c r="J265" s="103" t="s">
        <v>274</v>
      </c>
      <c r="K265" s="72" t="s">
        <v>275</v>
      </c>
      <c r="L265" s="73"/>
      <c r="M265" s="146"/>
      <c r="N265" s="143"/>
      <c r="O265" s="144"/>
      <c r="Q265" s="107"/>
    </row>
    <row r="266" s="3" customFormat="1" ht="18" customHeight="1" spans="1:17">
      <c r="A266" s="111"/>
      <c r="B266" s="23">
        <f t="shared" si="27"/>
        <v>0</v>
      </c>
      <c r="C266" s="49"/>
      <c r="D266" s="127"/>
      <c r="E266" s="78"/>
      <c r="F266" s="23">
        <f t="shared" si="26"/>
        <v>0</v>
      </c>
      <c r="G266" s="224"/>
      <c r="H266" s="94" t="s">
        <v>273</v>
      </c>
      <c r="I266" s="237">
        <v>150</v>
      </c>
      <c r="J266" s="103" t="s">
        <v>276</v>
      </c>
      <c r="K266" s="72" t="s">
        <v>277</v>
      </c>
      <c r="L266" s="73"/>
      <c r="M266" s="146"/>
      <c r="N266" s="143"/>
      <c r="O266" s="144"/>
      <c r="Q266" s="107"/>
    </row>
    <row r="267" s="3" customFormat="1" ht="18" customHeight="1" spans="1:17">
      <c r="A267" s="111"/>
      <c r="B267" s="23">
        <f t="shared" si="27"/>
        <v>0</v>
      </c>
      <c r="C267" s="49"/>
      <c r="D267" s="127"/>
      <c r="E267" s="78"/>
      <c r="F267" s="23">
        <f t="shared" si="26"/>
        <v>0</v>
      </c>
      <c r="G267" s="224"/>
      <c r="H267" s="94" t="s">
        <v>273</v>
      </c>
      <c r="I267" s="237">
        <v>150</v>
      </c>
      <c r="J267" s="103" t="s">
        <v>276</v>
      </c>
      <c r="K267" s="72" t="s">
        <v>277</v>
      </c>
      <c r="L267" s="73"/>
      <c r="M267" s="146"/>
      <c r="N267" s="143"/>
      <c r="O267" s="144"/>
      <c r="Q267" s="107"/>
    </row>
    <row r="268" s="3" customFormat="1" ht="18" customHeight="1" spans="1:17">
      <c r="A268" s="111"/>
      <c r="B268" s="23">
        <f t="shared" si="27"/>
        <v>0</v>
      </c>
      <c r="C268" s="49"/>
      <c r="D268" s="127"/>
      <c r="E268" s="78"/>
      <c r="F268" s="23">
        <f t="shared" si="26"/>
        <v>0</v>
      </c>
      <c r="G268" s="224"/>
      <c r="H268" s="94" t="s">
        <v>273</v>
      </c>
      <c r="I268" s="236">
        <v>-425874.723004588</v>
      </c>
      <c r="J268" s="123" t="s">
        <v>274</v>
      </c>
      <c r="K268" s="124" t="s">
        <v>278</v>
      </c>
      <c r="L268" s="73"/>
      <c r="M268" s="146"/>
      <c r="N268" s="143"/>
      <c r="O268" s="144"/>
      <c r="Q268" s="107"/>
    </row>
    <row r="269" s="3" customFormat="1" ht="18" customHeight="1" spans="1:17">
      <c r="A269" s="111"/>
      <c r="B269" s="23">
        <f t="shared" si="27"/>
        <v>0</v>
      </c>
      <c r="C269" s="49"/>
      <c r="D269" s="127"/>
      <c r="E269" s="78"/>
      <c r="F269" s="23">
        <f t="shared" si="26"/>
        <v>0</v>
      </c>
      <c r="G269" s="224"/>
      <c r="H269" s="94" t="s">
        <v>273</v>
      </c>
      <c r="I269" s="237">
        <v>-7000</v>
      </c>
      <c r="J269" s="103" t="s">
        <v>279</v>
      </c>
      <c r="K269" s="72" t="s">
        <v>280</v>
      </c>
      <c r="L269" s="144"/>
      <c r="M269" s="146"/>
      <c r="N269" s="143"/>
      <c r="O269" s="144"/>
      <c r="Q269" s="107"/>
    </row>
    <row r="270" s="3" customFormat="1" ht="18" customHeight="1" spans="1:17">
      <c r="A270" s="111"/>
      <c r="B270" s="23">
        <f t="shared" si="27"/>
        <v>0</v>
      </c>
      <c r="C270" s="49"/>
      <c r="D270" s="127"/>
      <c r="E270" s="78"/>
      <c r="F270" s="23">
        <f t="shared" si="26"/>
        <v>0</v>
      </c>
      <c r="G270" s="224"/>
      <c r="H270" s="94" t="s">
        <v>273</v>
      </c>
      <c r="I270" s="237">
        <v>7000</v>
      </c>
      <c r="J270" s="103" t="s">
        <v>276</v>
      </c>
      <c r="K270" s="72" t="s">
        <v>281</v>
      </c>
      <c r="L270" s="144"/>
      <c r="M270" s="146"/>
      <c r="N270" s="143"/>
      <c r="O270" s="144"/>
      <c r="Q270" s="107"/>
    </row>
    <row r="271" s="3" customFormat="1" ht="18" customHeight="1" spans="1:17">
      <c r="A271" s="111"/>
      <c r="B271" s="23">
        <f t="shared" si="27"/>
        <v>0</v>
      </c>
      <c r="C271" s="49"/>
      <c r="D271" s="127"/>
      <c r="E271" s="78"/>
      <c r="F271" s="23">
        <f t="shared" si="26"/>
        <v>0</v>
      </c>
      <c r="G271" s="224"/>
      <c r="H271" s="94" t="s">
        <v>273</v>
      </c>
      <c r="I271" s="237">
        <v>2000</v>
      </c>
      <c r="J271" s="103" t="s">
        <v>276</v>
      </c>
      <c r="K271" s="72" t="s">
        <v>282</v>
      </c>
      <c r="L271" s="144"/>
      <c r="M271" s="146"/>
      <c r="N271" s="143"/>
      <c r="O271" s="144"/>
      <c r="Q271" s="107"/>
    </row>
    <row r="272" s="3" customFormat="1" ht="18" customHeight="1" spans="1:17">
      <c r="A272" s="111"/>
      <c r="B272" s="23">
        <f t="shared" si="27"/>
        <v>0</v>
      </c>
      <c r="C272" s="49"/>
      <c r="D272" s="86"/>
      <c r="E272" s="78"/>
      <c r="F272" s="23">
        <f t="shared" si="26"/>
        <v>0</v>
      </c>
      <c r="G272" s="224"/>
      <c r="H272" s="94" t="s">
        <v>273</v>
      </c>
      <c r="I272" s="237">
        <v>1850</v>
      </c>
      <c r="J272" s="103" t="s">
        <v>276</v>
      </c>
      <c r="K272" s="72" t="s">
        <v>283</v>
      </c>
      <c r="L272" s="144"/>
      <c r="M272" s="146"/>
      <c r="N272" s="143"/>
      <c r="O272" s="144"/>
      <c r="Q272" s="107"/>
    </row>
    <row r="273" s="3" customFormat="1" ht="18" customHeight="1" spans="1:17">
      <c r="A273" s="129"/>
      <c r="B273" s="23">
        <f t="shared" si="27"/>
        <v>23158</v>
      </c>
      <c r="C273" s="130"/>
      <c r="D273" s="131"/>
      <c r="E273" s="132"/>
      <c r="F273" s="23">
        <f t="shared" si="26"/>
        <v>0</v>
      </c>
      <c r="G273" s="224">
        <f>I273</f>
        <v>23158</v>
      </c>
      <c r="H273" s="94" t="s">
        <v>273</v>
      </c>
      <c r="I273" s="236">
        <v>23158</v>
      </c>
      <c r="J273" s="97" t="s">
        <v>276</v>
      </c>
      <c r="K273" s="98" t="s">
        <v>284</v>
      </c>
      <c r="L273" s="73"/>
      <c r="M273" s="146"/>
      <c r="N273" s="143"/>
      <c r="O273" s="144"/>
      <c r="Q273" s="107"/>
    </row>
    <row r="274" s="3" customFormat="1" ht="18" customHeight="1" spans="1:17">
      <c r="A274" s="47"/>
      <c r="B274" s="23">
        <f t="shared" si="27"/>
        <v>0</v>
      </c>
      <c r="C274" s="49"/>
      <c r="D274" s="133"/>
      <c r="E274" s="78"/>
      <c r="F274" s="23">
        <f t="shared" si="26"/>
        <v>0</v>
      </c>
      <c r="G274" s="224"/>
      <c r="H274" s="94" t="s">
        <v>285</v>
      </c>
      <c r="I274" s="236">
        <v>70468.48</v>
      </c>
      <c r="J274" s="97" t="s">
        <v>276</v>
      </c>
      <c r="K274" s="72" t="s">
        <v>275</v>
      </c>
      <c r="L274" s="73"/>
      <c r="M274" s="146"/>
      <c r="N274" s="143"/>
      <c r="O274" s="73"/>
      <c r="Q274" s="107"/>
    </row>
    <row r="275" s="3" customFormat="1" ht="18" customHeight="1" spans="1:17">
      <c r="A275" s="47"/>
      <c r="B275" s="23">
        <f t="shared" si="27"/>
        <v>63783</v>
      </c>
      <c r="C275" s="49"/>
      <c r="D275" s="133"/>
      <c r="E275" s="78"/>
      <c r="F275" s="23">
        <f t="shared" si="26"/>
        <v>0</v>
      </c>
      <c r="G275" s="224">
        <f>I275</f>
        <v>63783</v>
      </c>
      <c r="H275" s="94" t="s">
        <v>285</v>
      </c>
      <c r="I275" s="236">
        <v>63783</v>
      </c>
      <c r="J275" s="97" t="s">
        <v>276</v>
      </c>
      <c r="K275" s="98" t="s">
        <v>284</v>
      </c>
      <c r="L275" s="73"/>
      <c r="M275" s="146"/>
      <c r="N275" s="143"/>
      <c r="O275" s="73"/>
      <c r="Q275" s="107"/>
    </row>
    <row r="276" s="3" customFormat="1" ht="18" customHeight="1" spans="1:17">
      <c r="A276" s="47"/>
      <c r="B276" s="23">
        <f t="shared" si="27"/>
        <v>0</v>
      </c>
      <c r="C276" s="49"/>
      <c r="D276" s="133"/>
      <c r="E276" s="78"/>
      <c r="F276" s="23">
        <f t="shared" si="26"/>
        <v>0</v>
      </c>
      <c r="G276" s="224"/>
      <c r="H276" s="94" t="s">
        <v>285</v>
      </c>
      <c r="I276" s="236">
        <v>425874.723004588</v>
      </c>
      <c r="J276" s="103" t="s">
        <v>286</v>
      </c>
      <c r="K276" s="98" t="s">
        <v>287</v>
      </c>
      <c r="L276" s="73"/>
      <c r="M276" s="146"/>
      <c r="N276" s="143"/>
      <c r="O276" s="73"/>
      <c r="Q276" s="107"/>
    </row>
    <row r="277" s="3" customFormat="1" ht="18" customHeight="1" spans="1:17">
      <c r="A277" s="47"/>
      <c r="B277" s="23">
        <f t="shared" si="27"/>
        <v>0</v>
      </c>
      <c r="C277" s="49"/>
      <c r="D277" s="133"/>
      <c r="E277" s="78"/>
      <c r="F277" s="23">
        <f t="shared" si="26"/>
        <v>0</v>
      </c>
      <c r="G277" s="224"/>
      <c r="H277" s="94" t="s">
        <v>285</v>
      </c>
      <c r="I277" s="236">
        <v>43470.62</v>
      </c>
      <c r="J277" s="103" t="s">
        <v>276</v>
      </c>
      <c r="K277" s="106" t="s">
        <v>288</v>
      </c>
      <c r="L277" s="73"/>
      <c r="M277" s="146"/>
      <c r="N277" s="143"/>
      <c r="O277" s="73"/>
      <c r="Q277" s="107"/>
    </row>
    <row r="278" s="3" customFormat="1" ht="18" customHeight="1" spans="1:17">
      <c r="A278" s="47"/>
      <c r="B278" s="23">
        <f t="shared" si="27"/>
        <v>0</v>
      </c>
      <c r="C278" s="49"/>
      <c r="D278" s="133"/>
      <c r="E278" s="78"/>
      <c r="F278" s="23">
        <f t="shared" si="26"/>
        <v>0</v>
      </c>
      <c r="G278" s="224"/>
      <c r="H278" s="94" t="s">
        <v>285</v>
      </c>
      <c r="I278" s="236">
        <v>3697</v>
      </c>
      <c r="J278" s="103" t="s">
        <v>276</v>
      </c>
      <c r="K278" s="106" t="s">
        <v>289</v>
      </c>
      <c r="L278" s="73"/>
      <c r="M278" s="146"/>
      <c r="N278" s="143"/>
      <c r="O278" s="73"/>
      <c r="Q278" s="107"/>
    </row>
    <row r="279" s="3" customFormat="1" ht="18" customHeight="1" spans="1:17">
      <c r="A279" s="47"/>
      <c r="B279" s="23">
        <f t="shared" si="27"/>
        <v>0</v>
      </c>
      <c r="C279" s="49"/>
      <c r="D279" s="133"/>
      <c r="E279" s="78"/>
      <c r="F279" s="23">
        <f t="shared" si="26"/>
        <v>0</v>
      </c>
      <c r="G279" s="224"/>
      <c r="H279" s="94" t="s">
        <v>285</v>
      </c>
      <c r="I279" s="236">
        <v>83285.2</v>
      </c>
      <c r="J279" s="103" t="s">
        <v>276</v>
      </c>
      <c r="K279" s="106" t="s">
        <v>290</v>
      </c>
      <c r="L279" s="73"/>
      <c r="M279" s="146"/>
      <c r="N279" s="143"/>
      <c r="O279" s="73"/>
      <c r="Q279" s="107"/>
    </row>
    <row r="280" s="3" customFormat="1" ht="18" customHeight="1" spans="1:17">
      <c r="A280" s="47"/>
      <c r="B280" s="23">
        <f t="shared" si="27"/>
        <v>0</v>
      </c>
      <c r="C280" s="49"/>
      <c r="D280" s="133"/>
      <c r="E280" s="78"/>
      <c r="F280" s="23">
        <f t="shared" si="26"/>
        <v>0</v>
      </c>
      <c r="G280" s="224"/>
      <c r="H280" s="94" t="s">
        <v>285</v>
      </c>
      <c r="I280" s="236">
        <v>217911.84</v>
      </c>
      <c r="J280" s="103" t="s">
        <v>279</v>
      </c>
      <c r="K280" s="106" t="s">
        <v>291</v>
      </c>
      <c r="L280" s="73"/>
      <c r="M280" s="146"/>
      <c r="N280" s="143"/>
      <c r="O280" s="73"/>
      <c r="Q280" s="107"/>
    </row>
    <row r="281" s="3" customFormat="1" ht="18" customHeight="1" spans="1:17">
      <c r="A281" s="47"/>
      <c r="B281" s="23">
        <f t="shared" si="27"/>
        <v>0</v>
      </c>
      <c r="C281" s="49"/>
      <c r="D281" s="133"/>
      <c r="E281" s="78"/>
      <c r="F281" s="23">
        <f t="shared" si="26"/>
        <v>0</v>
      </c>
      <c r="G281" s="224"/>
      <c r="H281" s="90" t="s">
        <v>292</v>
      </c>
      <c r="I281" s="250">
        <v>-25774.34</v>
      </c>
      <c r="J281" s="71" t="s">
        <v>279</v>
      </c>
      <c r="K281" s="106" t="s">
        <v>293</v>
      </c>
      <c r="L281" s="73"/>
      <c r="M281" s="146"/>
      <c r="N281" s="143"/>
      <c r="O281" s="73"/>
      <c r="Q281" s="107"/>
    </row>
    <row r="282" s="3" customFormat="1" ht="18" customHeight="1" spans="1:17">
      <c r="A282" s="47"/>
      <c r="B282" s="23">
        <f t="shared" si="27"/>
        <v>0</v>
      </c>
      <c r="C282" s="49"/>
      <c r="D282" s="133"/>
      <c r="E282" s="78"/>
      <c r="F282" s="23">
        <f t="shared" si="26"/>
        <v>0</v>
      </c>
      <c r="G282" s="224"/>
      <c r="H282" s="90" t="s">
        <v>292</v>
      </c>
      <c r="I282" s="236">
        <v>25774.34</v>
      </c>
      <c r="J282" s="114" t="s">
        <v>276</v>
      </c>
      <c r="K282" s="106" t="s">
        <v>294</v>
      </c>
      <c r="L282" s="73"/>
      <c r="M282" s="146"/>
      <c r="N282" s="143"/>
      <c r="O282" s="73"/>
      <c r="Q282" s="107"/>
    </row>
    <row r="283" s="3" customFormat="1" ht="18" customHeight="1" spans="1:17">
      <c r="A283" s="47"/>
      <c r="B283" s="23">
        <f t="shared" si="27"/>
        <v>0</v>
      </c>
      <c r="C283" s="49"/>
      <c r="D283" s="133"/>
      <c r="E283" s="78"/>
      <c r="F283" s="23">
        <f t="shared" si="26"/>
        <v>0</v>
      </c>
      <c r="G283" s="224"/>
      <c r="H283" s="137" t="s">
        <v>292</v>
      </c>
      <c r="I283" s="236">
        <v>-250</v>
      </c>
      <c r="J283" s="71" t="s">
        <v>279</v>
      </c>
      <c r="K283" s="72" t="s">
        <v>295</v>
      </c>
      <c r="L283" s="73" t="s">
        <v>296</v>
      </c>
      <c r="M283" s="71"/>
      <c r="N283" s="143"/>
      <c r="O283" s="73"/>
      <c r="Q283" s="107"/>
    </row>
    <row r="284" s="3" customFormat="1" ht="18" customHeight="1" spans="1:17">
      <c r="A284" s="47"/>
      <c r="B284" s="23">
        <f t="shared" si="27"/>
        <v>0</v>
      </c>
      <c r="C284" s="49"/>
      <c r="D284" s="133"/>
      <c r="E284" s="78"/>
      <c r="F284" s="23">
        <f t="shared" si="26"/>
        <v>0</v>
      </c>
      <c r="G284" s="224"/>
      <c r="H284" s="137" t="s">
        <v>292</v>
      </c>
      <c r="I284" s="236">
        <v>50</v>
      </c>
      <c r="J284" s="114" t="s">
        <v>276</v>
      </c>
      <c r="K284" s="72" t="s">
        <v>297</v>
      </c>
      <c r="L284" s="73"/>
      <c r="M284" s="71"/>
      <c r="N284" s="143"/>
      <c r="O284" s="73"/>
      <c r="Q284" s="107"/>
    </row>
    <row r="285" s="3" customFormat="1" ht="18" customHeight="1" spans="1:17">
      <c r="A285" s="47"/>
      <c r="B285" s="23">
        <f t="shared" si="27"/>
        <v>0</v>
      </c>
      <c r="C285" s="49"/>
      <c r="D285" s="133"/>
      <c r="E285" s="78"/>
      <c r="F285" s="23">
        <f t="shared" si="26"/>
        <v>0</v>
      </c>
      <c r="G285" s="224"/>
      <c r="H285" s="137" t="s">
        <v>292</v>
      </c>
      <c r="I285" s="251">
        <v>200</v>
      </c>
      <c r="J285" s="114" t="s">
        <v>276</v>
      </c>
      <c r="K285" s="72" t="s">
        <v>297</v>
      </c>
      <c r="L285" s="73"/>
      <c r="M285" s="71"/>
      <c r="N285" s="71"/>
      <c r="O285" s="73"/>
      <c r="Q285" s="107"/>
    </row>
    <row r="286" s="3" customFormat="1" ht="18" customHeight="1" spans="1:17">
      <c r="A286" s="47"/>
      <c r="B286" s="23">
        <f t="shared" si="27"/>
        <v>0</v>
      </c>
      <c r="C286" s="49"/>
      <c r="D286" s="133"/>
      <c r="E286" s="78"/>
      <c r="F286" s="23">
        <f t="shared" si="26"/>
        <v>0</v>
      </c>
      <c r="G286" s="58"/>
      <c r="H286" s="137" t="s">
        <v>292</v>
      </c>
      <c r="I286" s="219">
        <v>-1800</v>
      </c>
      <c r="J286" s="71" t="s">
        <v>279</v>
      </c>
      <c r="K286" s="72" t="s">
        <v>295</v>
      </c>
      <c r="L286" s="99" t="s">
        <v>298</v>
      </c>
      <c r="M286" s="71"/>
      <c r="N286" s="71"/>
      <c r="O286" s="73"/>
      <c r="Q286" s="107"/>
    </row>
    <row r="287" s="3" customFormat="1" ht="18" customHeight="1" spans="1:17">
      <c r="A287" s="47"/>
      <c r="B287" s="23">
        <f t="shared" si="27"/>
        <v>0</v>
      </c>
      <c r="C287" s="49"/>
      <c r="D287" s="50"/>
      <c r="E287" s="78"/>
      <c r="F287" s="23">
        <f t="shared" si="26"/>
        <v>0</v>
      </c>
      <c r="G287" s="58"/>
      <c r="H287" s="137" t="s">
        <v>292</v>
      </c>
      <c r="I287" s="219">
        <v>1800</v>
      </c>
      <c r="J287" s="71" t="s">
        <v>276</v>
      </c>
      <c r="K287" s="72" t="s">
        <v>297</v>
      </c>
      <c r="L287" s="99" t="s">
        <v>299</v>
      </c>
      <c r="M287" s="71"/>
      <c r="N287" s="71"/>
      <c r="O287" s="73"/>
      <c r="Q287" s="107"/>
    </row>
    <row r="288" s="3" customFormat="1" ht="18" customHeight="1" spans="1:17">
      <c r="A288" s="47"/>
      <c r="B288" s="23">
        <f t="shared" ref="B288:B296" si="28">ROUND(G288/(1+E288),2)</f>
        <v>0</v>
      </c>
      <c r="C288" s="49"/>
      <c r="D288" s="50"/>
      <c r="E288" s="78"/>
      <c r="F288" s="23">
        <f t="shared" si="26"/>
        <v>0</v>
      </c>
      <c r="G288" s="58"/>
      <c r="H288" s="137" t="s">
        <v>292</v>
      </c>
      <c r="I288" s="219">
        <v>-680400</v>
      </c>
      <c r="J288" s="71" t="s">
        <v>274</v>
      </c>
      <c r="K288" s="72" t="s">
        <v>300</v>
      </c>
      <c r="L288" s="99"/>
      <c r="M288" s="71"/>
      <c r="N288" s="71"/>
      <c r="O288" s="73"/>
      <c r="Q288" s="107"/>
    </row>
    <row r="289" s="3" customFormat="1" ht="18" customHeight="1" spans="1:17">
      <c r="A289" s="47"/>
      <c r="B289" s="23">
        <f t="shared" si="28"/>
        <v>0</v>
      </c>
      <c r="C289" s="49"/>
      <c r="D289" s="50"/>
      <c r="E289" s="78"/>
      <c r="F289" s="23">
        <f t="shared" si="26"/>
        <v>0</v>
      </c>
      <c r="G289" s="58"/>
      <c r="H289" s="137" t="s">
        <v>292</v>
      </c>
      <c r="I289" s="219">
        <v>-84973</v>
      </c>
      <c r="J289" s="71" t="s">
        <v>274</v>
      </c>
      <c r="K289" s="72" t="s">
        <v>301</v>
      </c>
      <c r="L289" s="73"/>
      <c r="M289" s="71"/>
      <c r="N289" s="71"/>
      <c r="O289" s="73"/>
      <c r="Q289" s="107"/>
    </row>
    <row r="290" s="3" customFormat="1" ht="18" customHeight="1" spans="1:19">
      <c r="A290" s="47"/>
      <c r="B290" s="23">
        <f t="shared" si="28"/>
        <v>0</v>
      </c>
      <c r="C290" s="49"/>
      <c r="D290" s="50"/>
      <c r="E290" s="78"/>
      <c r="F290" s="23">
        <f t="shared" si="26"/>
        <v>0</v>
      </c>
      <c r="G290" s="58"/>
      <c r="H290" s="137" t="s">
        <v>292</v>
      </c>
      <c r="I290" s="249">
        <v>84973</v>
      </c>
      <c r="J290" s="97" t="s">
        <v>276</v>
      </c>
      <c r="K290" s="98" t="s">
        <v>302</v>
      </c>
      <c r="L290" s="73"/>
      <c r="M290" s="71"/>
      <c r="N290" s="71"/>
      <c r="O290" s="73"/>
      <c r="P290" s="3">
        <f>I297+I302</f>
        <v>-192137.5</v>
      </c>
      <c r="Q290" s="107"/>
      <c r="S290" s="3" t="s">
        <v>82</v>
      </c>
    </row>
    <row r="291" s="3" customFormat="1" ht="18" customHeight="1" spans="1:17">
      <c r="A291" s="47"/>
      <c r="B291" s="23">
        <f t="shared" si="28"/>
        <v>0</v>
      </c>
      <c r="C291" s="49"/>
      <c r="D291" s="50"/>
      <c r="E291" s="78"/>
      <c r="F291" s="23">
        <f t="shared" ref="F291:F296" si="29">ROUND(G291/(1+E291)*E291,2)</f>
        <v>0</v>
      </c>
      <c r="G291" s="58"/>
      <c r="H291" s="137" t="s">
        <v>292</v>
      </c>
      <c r="I291" s="249">
        <v>680400</v>
      </c>
      <c r="J291" s="97" t="s">
        <v>286</v>
      </c>
      <c r="K291" s="98" t="s">
        <v>303</v>
      </c>
      <c r="L291" s="73"/>
      <c r="M291" s="71"/>
      <c r="N291" s="71"/>
      <c r="O291" s="73"/>
      <c r="Q291" s="107"/>
    </row>
    <row r="292" s="3" customFormat="1" ht="18" customHeight="1" spans="1:17">
      <c r="A292" s="47"/>
      <c r="B292" s="23">
        <f t="shared" si="28"/>
        <v>0</v>
      </c>
      <c r="C292" s="49"/>
      <c r="D292" s="50"/>
      <c r="E292" s="78"/>
      <c r="F292" s="23">
        <f t="shared" si="29"/>
        <v>0</v>
      </c>
      <c r="G292" s="58"/>
      <c r="H292" s="137" t="s">
        <v>292</v>
      </c>
      <c r="I292" s="249">
        <v>-189029</v>
      </c>
      <c r="J292" s="97" t="s">
        <v>304</v>
      </c>
      <c r="K292" s="98" t="s">
        <v>305</v>
      </c>
      <c r="L292" s="73"/>
      <c r="M292" s="71"/>
      <c r="N292" s="71"/>
      <c r="O292" s="73"/>
      <c r="Q292" s="107"/>
    </row>
    <row r="293" s="3" customFormat="1" ht="18" customHeight="1" spans="1:17">
      <c r="A293" s="47"/>
      <c r="B293" s="23">
        <f t="shared" si="28"/>
        <v>0</v>
      </c>
      <c r="C293" s="49"/>
      <c r="D293" s="50"/>
      <c r="E293" s="51"/>
      <c r="F293" s="23">
        <f t="shared" si="29"/>
        <v>0</v>
      </c>
      <c r="G293" s="58"/>
      <c r="H293" s="137" t="s">
        <v>292</v>
      </c>
      <c r="I293" s="249">
        <v>87576</v>
      </c>
      <c r="J293" s="97" t="s">
        <v>276</v>
      </c>
      <c r="K293" s="163" t="s">
        <v>306</v>
      </c>
      <c r="L293" s="73"/>
      <c r="M293" s="71"/>
      <c r="N293" s="71"/>
      <c r="O293" s="73"/>
      <c r="Q293" s="107"/>
    </row>
    <row r="294" s="3" customFormat="1" ht="18" customHeight="1" spans="1:18">
      <c r="A294" s="47"/>
      <c r="B294" s="23">
        <f t="shared" si="28"/>
        <v>0</v>
      </c>
      <c r="C294" s="49"/>
      <c r="D294" s="50"/>
      <c r="E294" s="51"/>
      <c r="F294" s="23">
        <f t="shared" si="29"/>
        <v>0</v>
      </c>
      <c r="G294" s="58"/>
      <c r="H294" s="137" t="s">
        <v>292</v>
      </c>
      <c r="I294" s="249">
        <v>4821</v>
      </c>
      <c r="J294" s="97" t="s">
        <v>276</v>
      </c>
      <c r="K294" s="98" t="s">
        <v>307</v>
      </c>
      <c r="L294" s="73"/>
      <c r="M294" s="71"/>
      <c r="N294" s="71"/>
      <c r="O294" s="73"/>
      <c r="Q294" s="107"/>
      <c r="R294" s="3" t="s">
        <v>82</v>
      </c>
    </row>
    <row r="295" s="3" customFormat="1" ht="18" customHeight="1" spans="1:17">
      <c r="A295" s="47"/>
      <c r="B295" s="23">
        <f t="shared" si="28"/>
        <v>0</v>
      </c>
      <c r="C295" s="49"/>
      <c r="D295" s="50"/>
      <c r="E295" s="51"/>
      <c r="F295" s="23">
        <f t="shared" si="29"/>
        <v>0</v>
      </c>
      <c r="G295" s="58"/>
      <c r="H295" s="137" t="s">
        <v>292</v>
      </c>
      <c r="I295" s="249">
        <v>500</v>
      </c>
      <c r="J295" s="97" t="s">
        <v>276</v>
      </c>
      <c r="K295" s="98" t="s">
        <v>308</v>
      </c>
      <c r="L295" s="73"/>
      <c r="M295" s="71"/>
      <c r="N295" s="71"/>
      <c r="O295" s="73"/>
      <c r="Q295" s="107"/>
    </row>
    <row r="296" s="3" customFormat="1" ht="18" customHeight="1" spans="1:17">
      <c r="A296" s="47"/>
      <c r="B296" s="23">
        <f t="shared" si="28"/>
        <v>96132</v>
      </c>
      <c r="C296" s="49"/>
      <c r="D296" s="50"/>
      <c r="E296" s="51"/>
      <c r="F296" s="23">
        <f t="shared" si="29"/>
        <v>0</v>
      </c>
      <c r="G296" s="58">
        <f>96132</f>
        <v>96132</v>
      </c>
      <c r="H296" s="137" t="s">
        <v>292</v>
      </c>
      <c r="I296" s="249">
        <f t="shared" ref="I296:I301" si="30">G296</f>
        <v>96132</v>
      </c>
      <c r="J296" s="97" t="s">
        <v>276</v>
      </c>
      <c r="K296" s="98" t="s">
        <v>284</v>
      </c>
      <c r="L296" s="73"/>
      <c r="M296" s="71"/>
      <c r="N296" s="71"/>
      <c r="O296" s="73"/>
      <c r="Q296" s="107"/>
    </row>
    <row r="297" s="3" customFormat="1" ht="18" customHeight="1" spans="1:18">
      <c r="A297" s="47"/>
      <c r="B297" s="23">
        <f t="shared" ref="B293:B300" si="31">ROUND(G297/(1+E297),2)</f>
        <v>0</v>
      </c>
      <c r="C297" s="49"/>
      <c r="D297" s="50"/>
      <c r="E297" s="51"/>
      <c r="F297" s="23">
        <f t="shared" ref="F293:F300" si="32">ROUND(G297/(1+E297)*E297,2)</f>
        <v>0</v>
      </c>
      <c r="G297" s="58"/>
      <c r="H297" s="137" t="s">
        <v>292</v>
      </c>
      <c r="I297" s="66">
        <v>-155889.5</v>
      </c>
      <c r="J297" s="71" t="s">
        <v>304</v>
      </c>
      <c r="K297" s="72" t="s">
        <v>309</v>
      </c>
      <c r="L297" s="73"/>
      <c r="M297" s="71"/>
      <c r="N297" s="71"/>
      <c r="O297" s="73"/>
      <c r="Q297" s="107"/>
      <c r="R297" s="3" t="s">
        <v>82</v>
      </c>
    </row>
    <row r="298" s="3" customFormat="1" ht="18" customHeight="1" spans="1:17">
      <c r="A298" s="47"/>
      <c r="B298" s="23">
        <f t="shared" si="31"/>
        <v>0</v>
      </c>
      <c r="C298" s="49"/>
      <c r="D298" s="50"/>
      <c r="E298" s="51"/>
      <c r="F298" s="23">
        <f t="shared" si="32"/>
        <v>0</v>
      </c>
      <c r="G298" s="58"/>
      <c r="H298" s="137" t="s">
        <v>292</v>
      </c>
      <c r="I298" s="219">
        <v>23725</v>
      </c>
      <c r="J298" s="71" t="s">
        <v>276</v>
      </c>
      <c r="K298" s="196" t="s">
        <v>306</v>
      </c>
      <c r="L298" s="73"/>
      <c r="M298" s="71"/>
      <c r="N298" s="71"/>
      <c r="O298" s="73"/>
      <c r="Q298" s="107"/>
    </row>
    <row r="299" s="3" customFormat="1" ht="18" customHeight="1" spans="1:17">
      <c r="A299" s="47"/>
      <c r="B299" s="23">
        <f t="shared" si="31"/>
        <v>0</v>
      </c>
      <c r="C299" s="49"/>
      <c r="D299" s="50"/>
      <c r="E299" s="51"/>
      <c r="F299" s="23">
        <f t="shared" si="32"/>
        <v>0</v>
      </c>
      <c r="G299" s="58"/>
      <c r="H299" s="137" t="s">
        <v>292</v>
      </c>
      <c r="I299" s="219">
        <v>1424</v>
      </c>
      <c r="J299" s="71" t="s">
        <v>276</v>
      </c>
      <c r="K299" s="72" t="s">
        <v>307</v>
      </c>
      <c r="L299" s="73"/>
      <c r="M299" s="71"/>
      <c r="N299" s="71"/>
      <c r="O299" s="73"/>
      <c r="Q299" s="107"/>
    </row>
    <row r="300" s="3" customFormat="1" ht="18" customHeight="1" spans="1:17">
      <c r="A300" s="47"/>
      <c r="B300" s="23">
        <f t="shared" si="31"/>
        <v>51720.5</v>
      </c>
      <c r="C300" s="49"/>
      <c r="D300" s="50"/>
      <c r="E300" s="51"/>
      <c r="F300" s="23">
        <f t="shared" si="32"/>
        <v>0</v>
      </c>
      <c r="G300" s="58">
        <v>51720.5</v>
      </c>
      <c r="H300" s="137" t="s">
        <v>292</v>
      </c>
      <c r="I300" s="249">
        <f t="shared" si="30"/>
        <v>51720.5</v>
      </c>
      <c r="J300" s="71" t="s">
        <v>276</v>
      </c>
      <c r="K300" s="72" t="s">
        <v>284</v>
      </c>
      <c r="L300" s="73"/>
      <c r="M300" s="71"/>
      <c r="N300" s="71"/>
      <c r="O300" s="73"/>
      <c r="Q300" s="107"/>
    </row>
    <row r="301" s="3" customFormat="1" ht="18" customHeight="1" spans="1:17">
      <c r="A301" s="47"/>
      <c r="B301" s="23">
        <f t="shared" ref="B296:B305" si="33">ROUND(G301/(1+E301),2)</f>
        <v>79020</v>
      </c>
      <c r="C301" s="49"/>
      <c r="D301" s="50"/>
      <c r="E301" s="51"/>
      <c r="F301" s="23">
        <f t="shared" ref="F301:F305" si="34">ROUND(G301/(1+E301)*E301,2)</f>
        <v>0</v>
      </c>
      <c r="G301" s="58">
        <f>79020</f>
        <v>79020</v>
      </c>
      <c r="H301" s="137" t="s">
        <v>292</v>
      </c>
      <c r="I301" s="249">
        <f t="shared" si="30"/>
        <v>79020</v>
      </c>
      <c r="J301" s="71" t="s">
        <v>276</v>
      </c>
      <c r="K301" s="98" t="s">
        <v>284</v>
      </c>
      <c r="L301" s="121"/>
      <c r="M301" s="71"/>
      <c r="N301" s="71"/>
      <c r="O301" s="73"/>
      <c r="Q301" s="107"/>
    </row>
    <row r="302" s="3" customFormat="1" ht="18" customHeight="1" spans="1:15">
      <c r="A302" s="47"/>
      <c r="B302" s="23">
        <f t="shared" si="33"/>
        <v>0</v>
      </c>
      <c r="C302" s="49"/>
      <c r="D302" s="50"/>
      <c r="E302" s="51"/>
      <c r="F302" s="23">
        <f t="shared" si="34"/>
        <v>0</v>
      </c>
      <c r="G302" s="58"/>
      <c r="H302" s="137" t="s">
        <v>292</v>
      </c>
      <c r="I302" s="66">
        <v>-36248</v>
      </c>
      <c r="J302" s="71" t="s">
        <v>304</v>
      </c>
      <c r="K302" s="72" t="s">
        <v>310</v>
      </c>
      <c r="L302" s="73"/>
      <c r="M302" s="71"/>
      <c r="N302" s="71"/>
      <c r="O302" s="73"/>
    </row>
    <row r="303" s="3" customFormat="1" ht="18" customHeight="1" spans="1:15">
      <c r="A303" s="47"/>
      <c r="B303" s="23">
        <f t="shared" si="33"/>
        <v>0</v>
      </c>
      <c r="C303" s="49"/>
      <c r="D303" s="50"/>
      <c r="E303" s="51"/>
      <c r="F303" s="23">
        <f t="shared" si="34"/>
        <v>0</v>
      </c>
      <c r="G303" s="58"/>
      <c r="H303" s="137" t="s">
        <v>292</v>
      </c>
      <c r="I303" s="21">
        <v>36248</v>
      </c>
      <c r="J303" s="60" t="s">
        <v>276</v>
      </c>
      <c r="K303" s="72" t="s">
        <v>311</v>
      </c>
      <c r="L303" s="73"/>
      <c r="M303" s="71"/>
      <c r="N303" s="71"/>
      <c r="O303" s="73"/>
    </row>
    <row r="304" s="3" customFormat="1" ht="18" customHeight="1" spans="1:15">
      <c r="A304" s="47"/>
      <c r="B304" s="23">
        <f t="shared" si="33"/>
        <v>0</v>
      </c>
      <c r="C304" s="49"/>
      <c r="D304" s="50"/>
      <c r="E304" s="51"/>
      <c r="F304" s="23">
        <f t="shared" si="34"/>
        <v>0</v>
      </c>
      <c r="G304" s="58"/>
      <c r="H304" s="137" t="s">
        <v>292</v>
      </c>
      <c r="I304" s="21">
        <v>-632155</v>
      </c>
      <c r="J304" s="60" t="s">
        <v>274</v>
      </c>
      <c r="K304" s="72" t="s">
        <v>312</v>
      </c>
      <c r="L304" s="73"/>
      <c r="M304" s="71"/>
      <c r="N304" s="71"/>
      <c r="O304" s="73"/>
    </row>
    <row r="305" s="3" customFormat="1" ht="18" customHeight="1" spans="1:15">
      <c r="A305" s="47"/>
      <c r="B305" s="23">
        <f t="shared" si="33"/>
        <v>0</v>
      </c>
      <c r="C305" s="49"/>
      <c r="D305" s="50"/>
      <c r="E305" s="51"/>
      <c r="F305" s="23">
        <f t="shared" si="34"/>
        <v>0</v>
      </c>
      <c r="G305" s="58"/>
      <c r="H305" s="137" t="s">
        <v>292</v>
      </c>
      <c r="I305" s="21">
        <v>632155</v>
      </c>
      <c r="J305" s="60" t="s">
        <v>286</v>
      </c>
      <c r="K305" s="72" t="s">
        <v>313</v>
      </c>
      <c r="L305" s="73"/>
      <c r="M305" s="71"/>
      <c r="N305" s="71"/>
      <c r="O305" s="73"/>
    </row>
    <row r="306" ht="18" customHeight="1" spans="1:15">
      <c r="A306" s="35" t="s">
        <v>23</v>
      </c>
      <c r="B306" s="183">
        <f t="shared" ref="B306:G306" si="35">SUM(B15:B305)</f>
        <v>15081301.6</v>
      </c>
      <c r="C306" s="35"/>
      <c r="D306" s="165"/>
      <c r="E306" s="166"/>
      <c r="F306" s="240">
        <f t="shared" si="35"/>
        <v>1077209.19</v>
      </c>
      <c r="G306" s="241">
        <f t="shared" si="35"/>
        <v>16158510.79</v>
      </c>
      <c r="H306" s="169"/>
      <c r="I306" s="26">
        <f>SUM(I15:I305)</f>
        <v>15668848.48</v>
      </c>
      <c r="J306" s="198"/>
      <c r="K306" s="199"/>
      <c r="L306" s="37"/>
      <c r="M306" s="60"/>
      <c r="N306" s="60"/>
      <c r="O306" s="37"/>
    </row>
    <row r="307" ht="18" customHeight="1" spans="1:22">
      <c r="A307" s="170" t="s">
        <v>314</v>
      </c>
      <c r="B307" s="174">
        <f>B12*0.96</f>
        <v>13819304.1820183</v>
      </c>
      <c r="C307" s="170"/>
      <c r="D307" s="171"/>
      <c r="E307" s="172"/>
      <c r="F307" s="174"/>
      <c r="G307" s="175">
        <f>G12-G306</f>
        <v>-467842.500000004</v>
      </c>
      <c r="H307" s="28" t="s">
        <v>315</v>
      </c>
      <c r="I307" s="26">
        <f>I12-I306</f>
        <v>21819.7999999989</v>
      </c>
      <c r="J307" s="200" t="s">
        <v>82</v>
      </c>
      <c r="K307" s="201"/>
      <c r="M307" s="200"/>
      <c r="N307" s="200"/>
      <c r="V307" s="1" t="s">
        <v>82</v>
      </c>
    </row>
    <row r="308" ht="18" customHeight="1" spans="1:14">
      <c r="A308" s="170" t="s">
        <v>316</v>
      </c>
      <c r="B308" s="174">
        <f>B307-B306</f>
        <v>-1261997.4179817</v>
      </c>
      <c r="C308" s="170"/>
      <c r="D308" s="171"/>
      <c r="E308" s="172"/>
      <c r="F308" s="174"/>
      <c r="G308" s="175"/>
      <c r="H308" s="176"/>
      <c r="I308" s="175"/>
      <c r="J308" s="200"/>
      <c r="K308" s="201"/>
      <c r="M308" s="200"/>
      <c r="N308" s="200"/>
    </row>
    <row r="309" ht="18" customHeight="1" spans="1:4">
      <c r="A309" s="5" t="s">
        <v>317</v>
      </c>
      <c r="C309" s="5"/>
      <c r="D309" s="177"/>
    </row>
    <row r="310" ht="18" customHeight="1" spans="1:10">
      <c r="A310" s="28" t="s">
        <v>318</v>
      </c>
      <c r="B310" s="26" t="s">
        <v>319</v>
      </c>
      <c r="C310" s="37"/>
      <c r="D310" s="178" t="s">
        <v>318</v>
      </c>
      <c r="E310" s="25" t="s">
        <v>16</v>
      </c>
      <c r="F310" s="26" t="s">
        <v>319</v>
      </c>
      <c r="G310" s="59" t="s">
        <v>320</v>
      </c>
      <c r="H310" s="59" t="s">
        <v>321</v>
      </c>
      <c r="I310" s="59" t="s">
        <v>322</v>
      </c>
      <c r="J310" s="59" t="s">
        <v>323</v>
      </c>
    </row>
    <row r="311" ht="18" customHeight="1" spans="1:10">
      <c r="A311" s="37" t="s">
        <v>324</v>
      </c>
      <c r="B311" s="23">
        <f>(B307-B306)*0.25</f>
        <v>-315499.354495425</v>
      </c>
      <c r="C311" s="37"/>
      <c r="D311" s="179" t="s">
        <v>325</v>
      </c>
      <c r="E311" s="28" t="s">
        <v>326</v>
      </c>
      <c r="F311" s="240">
        <f>F12-F306</f>
        <v>-69551.5933945</v>
      </c>
      <c r="G311" s="59"/>
      <c r="H311" s="17"/>
      <c r="I311" s="59">
        <v>23012.8018348626</v>
      </c>
      <c r="J311" s="59">
        <v>74361.7847706422</v>
      </c>
    </row>
    <row r="312" ht="18" customHeight="1" spans="1:10">
      <c r="A312" s="37" t="s">
        <v>327</v>
      </c>
      <c r="B312" s="180" t="s">
        <v>328</v>
      </c>
      <c r="C312" s="37"/>
      <c r="D312" s="181" t="s">
        <v>329</v>
      </c>
      <c r="E312" s="59">
        <v>0.07</v>
      </c>
      <c r="F312" s="182">
        <f>F311*E312</f>
        <v>-4868.611537615</v>
      </c>
      <c r="G312" s="59"/>
      <c r="H312" s="17"/>
      <c r="I312" s="59">
        <v>1610.89612844038</v>
      </c>
      <c r="J312" s="59">
        <v>5205.32493394495</v>
      </c>
    </row>
    <row r="313" ht="18" customHeight="1" spans="1:10">
      <c r="A313" s="37" t="s">
        <v>307</v>
      </c>
      <c r="B313" s="180"/>
      <c r="C313" s="37"/>
      <c r="D313" s="181" t="s">
        <v>330</v>
      </c>
      <c r="E313" s="59">
        <v>0.03</v>
      </c>
      <c r="F313" s="182">
        <f>F311*E313</f>
        <v>-2086.547801835</v>
      </c>
      <c r="G313" s="59"/>
      <c r="H313" s="17"/>
      <c r="I313" s="59">
        <v>690.384055045877</v>
      </c>
      <c r="J313" s="59">
        <v>2230.85354311927</v>
      </c>
    </row>
    <row r="314" ht="18" customHeight="1" spans="1:10">
      <c r="A314" s="37"/>
      <c r="B314" s="182"/>
      <c r="C314" s="37"/>
      <c r="D314" s="181" t="s">
        <v>331</v>
      </c>
      <c r="E314" s="59">
        <v>0.02</v>
      </c>
      <c r="F314" s="182">
        <f>F311*E314</f>
        <v>-1391.03186789</v>
      </c>
      <c r="G314" s="59"/>
      <c r="H314" s="17"/>
      <c r="I314" s="59">
        <v>460.256036697251</v>
      </c>
      <c r="J314" s="59">
        <v>1487.23569541284</v>
      </c>
    </row>
    <row r="315" ht="18" customHeight="1" spans="1:10">
      <c r="A315" s="34" t="s">
        <v>332</v>
      </c>
      <c r="B315" s="183">
        <f>SUM(B311:B314)</f>
        <v>-315499.354495425</v>
      </c>
      <c r="C315" s="37"/>
      <c r="D315" s="184" t="s">
        <v>332</v>
      </c>
      <c r="E315" s="34"/>
      <c r="F315" s="240">
        <f>SUM(F311:F314)</f>
        <v>-77897.78460184</v>
      </c>
      <c r="G315" s="242"/>
      <c r="H315" s="243"/>
      <c r="I315" s="242">
        <v>25774.3380550461</v>
      </c>
      <c r="J315" s="242">
        <v>83285.1989431193</v>
      </c>
    </row>
    <row r="316" ht="18" customHeight="1" spans="3:10">
      <c r="C316" s="5"/>
      <c r="D316" s="185" t="s">
        <v>327</v>
      </c>
      <c r="E316" s="186">
        <v>0.0003</v>
      </c>
      <c r="F316" s="182">
        <f>G12*E316</f>
        <v>4707.200487</v>
      </c>
      <c r="G316" s="187" t="s">
        <v>328</v>
      </c>
      <c r="H316" s="188" t="s">
        <v>328</v>
      </c>
      <c r="I316" s="21">
        <f>G10*E316</f>
        <v>956.742867</v>
      </c>
      <c r="J316" s="21">
        <f>G11*E316</f>
        <v>347.375766</v>
      </c>
    </row>
    <row r="317" ht="18" customHeight="1" spans="3:10">
      <c r="C317" s="5"/>
      <c r="D317" s="185" t="s">
        <v>307</v>
      </c>
      <c r="E317" s="186">
        <v>0.0006</v>
      </c>
      <c r="F317" s="182">
        <f>B12*E317</f>
        <v>8637.06511376148</v>
      </c>
      <c r="G317" s="21">
        <f>B7*E317</f>
        <v>1423.4989706422</v>
      </c>
      <c r="H317" s="182">
        <f>SUM(B8:B9)*E317</f>
        <v>4820.68791743119</v>
      </c>
      <c r="I317" s="21">
        <f>B10*E317</f>
        <v>1755.49149908257</v>
      </c>
      <c r="J317" s="21">
        <f>B11*E317</f>
        <v>637.386726605502</v>
      </c>
    </row>
    <row r="318" ht="18" customHeight="1" spans="3:10">
      <c r="C318" s="5"/>
      <c r="D318" s="189" t="s">
        <v>332</v>
      </c>
      <c r="E318" s="166"/>
      <c r="F318" s="211">
        <f t="shared" ref="F318:J318" si="36">F317+F316</f>
        <v>13344.2656007615</v>
      </c>
      <c r="G318" s="26">
        <f t="shared" ref="G318:J318" si="37">G317</f>
        <v>1423.4989706422</v>
      </c>
      <c r="H318" s="211">
        <f t="shared" si="37"/>
        <v>4820.68791743119</v>
      </c>
      <c r="I318" s="26">
        <f t="shared" si="36"/>
        <v>2712.23436608257</v>
      </c>
      <c r="J318" s="26">
        <f t="shared" si="36"/>
        <v>984.762492605502</v>
      </c>
    </row>
    <row r="319" ht="18" customHeight="1" spans="3:10">
      <c r="C319" s="5"/>
      <c r="D319" s="190" t="s">
        <v>23</v>
      </c>
      <c r="E319" s="191"/>
      <c r="F319" s="244">
        <f t="shared" ref="F319:J319" si="38">F315+F318</f>
        <v>-64553.5190010785</v>
      </c>
      <c r="G319" s="245">
        <f t="shared" si="38"/>
        <v>1423.4989706422</v>
      </c>
      <c r="H319" s="244">
        <f t="shared" si="38"/>
        <v>4820.68791743119</v>
      </c>
      <c r="I319" s="245">
        <f t="shared" si="38"/>
        <v>28486.5724211287</v>
      </c>
      <c r="J319" s="245">
        <f t="shared" si="38"/>
        <v>84269.9614357248</v>
      </c>
    </row>
    <row r="320" ht="23" customHeight="1" spans="3:10">
      <c r="C320" s="5"/>
      <c r="D320" s="193" t="s">
        <v>324</v>
      </c>
      <c r="E320" s="166">
        <v>0.01</v>
      </c>
      <c r="F320" s="211">
        <f>B7*E320+SUM(G8:G11)*E320</f>
        <v>154771.434444037</v>
      </c>
      <c r="G320" s="26">
        <f>B7*E320</f>
        <v>23724.9828440367</v>
      </c>
      <c r="H320" s="246">
        <f>SUM(G8:G9)*E320</f>
        <v>87575.8305</v>
      </c>
      <c r="I320" s="26">
        <f>G10*E320</f>
        <v>31891.4289</v>
      </c>
      <c r="J320" s="26">
        <f>G11*E320</f>
        <v>11579.1922</v>
      </c>
    </row>
    <row r="321" ht="17" customHeight="1" spans="3:10">
      <c r="C321" s="5"/>
      <c r="G321" s="9">
        <f>F7-SUM(F15:F96)</f>
        <v>-163836.940091743</v>
      </c>
      <c r="H321" s="7">
        <f>F8+F9-SUM(F15:F168)</f>
        <v>-268498.909633028</v>
      </c>
      <c r="I321" s="9">
        <f>F10-SUM(F160:F252)</f>
        <v>24881.301559633</v>
      </c>
      <c r="J321" s="252"/>
    </row>
    <row r="322" ht="17" customHeight="1" spans="3:8">
      <c r="C322" s="5"/>
      <c r="H322" s="7">
        <f>F311+I311+J311</f>
        <v>27822.9932110048</v>
      </c>
    </row>
    <row r="323" ht="17" customHeight="1" spans="3:3">
      <c r="C323" s="5"/>
    </row>
    <row r="324" ht="17" customHeight="1" spans="3:3">
      <c r="C324" s="5"/>
    </row>
    <row r="325" ht="17" customHeight="1" spans="3:3">
      <c r="C325" s="5"/>
    </row>
    <row r="326" ht="17" customHeight="1" spans="3:8">
      <c r="C326" s="5"/>
      <c r="H326" s="6"/>
    </row>
    <row r="327" ht="17" customHeight="1" spans="3:3">
      <c r="C327" s="5"/>
    </row>
    <row r="328" ht="17" customHeight="1" spans="3:3">
      <c r="C328" s="5"/>
    </row>
    <row r="329" ht="17" customHeight="1" spans="3:3">
      <c r="C329" s="5"/>
    </row>
    <row r="330" ht="17" customHeight="1" spans="3:3">
      <c r="C330" s="5"/>
    </row>
    <row r="331" ht="17" customHeight="1" spans="3:12">
      <c r="C331" s="5"/>
      <c r="L331" s="1" t="s">
        <v>82</v>
      </c>
    </row>
    <row r="332" ht="17" customHeight="1"/>
    <row r="333" ht="17" customHeight="1"/>
    <row r="334" ht="17" customHeight="1"/>
    <row r="335" ht="17" customHeight="1"/>
    <row r="336" ht="17" customHeight="1"/>
    <row r="337" ht="17" customHeight="1"/>
    <row r="338" ht="17" customHeight="1"/>
    <row r="339" ht="17" customHeight="1"/>
    <row r="340" ht="17" customHeight="1"/>
    <row r="341" ht="17" customHeight="1"/>
    <row r="342" ht="17" customHeight="1"/>
    <row r="343" ht="17" customHeight="1"/>
    <row r="344" ht="17" customHeight="1"/>
    <row r="345" ht="17" customHeight="1"/>
    <row r="346" ht="17" customHeight="1"/>
    <row r="347" ht="17" customHeight="1"/>
    <row r="348" ht="17" customHeight="1"/>
    <row r="349" ht="17" customHeight="1"/>
    <row r="350" ht="17" customHeight="1"/>
    <row r="351" ht="17" customHeight="1"/>
  </sheetData>
  <protectedRanges>
    <protectedRange password="CF54" sqref="K51:L53 K56:L56 L54:L55 L57" name="区域1"/>
    <protectedRange sqref="I58" name="区域1_1"/>
    <protectedRange sqref="K58:L58" name="区域1_2"/>
    <protectedRange sqref="K60:L60" name="区域1_3"/>
    <protectedRange sqref="I60" name="区域1_4"/>
    <protectedRange sqref="L62 K63:L63" name="区域1_5"/>
    <protectedRange sqref="I62:I63" name="区域1_6"/>
    <protectedRange sqref="L169" name="区域1_7"/>
  </protectedRanges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74"/>
  <sheetViews>
    <sheetView tabSelected="1" topLeftCell="A272" workbookViewId="0">
      <selection activeCell="I285" sqref="I285"/>
    </sheetView>
  </sheetViews>
  <sheetFormatPr defaultColWidth="9" defaultRowHeight="11.25"/>
  <cols>
    <col min="1" max="1" width="10.75" style="5" customWidth="1"/>
    <col min="2" max="2" width="13.125" style="6" customWidth="1"/>
    <col min="3" max="3" width="8.75" style="7" customWidth="1"/>
    <col min="4" max="4" width="13.375" style="8" customWidth="1"/>
    <col min="5" max="5" width="6" style="7" customWidth="1"/>
    <col min="6" max="6" width="12" style="6" customWidth="1"/>
    <col min="7" max="7" width="17.375" style="9" customWidth="1"/>
    <col min="8" max="8" width="11.875" style="7" customWidth="1"/>
    <col min="9" max="9" width="18.75" style="9" customWidth="1"/>
    <col min="10" max="10" width="14.5" style="10" customWidth="1"/>
    <col min="11" max="11" width="29.875" style="11" customWidth="1"/>
    <col min="12" max="12" width="14.5" style="1" customWidth="1"/>
    <col min="13" max="13" width="11.625" style="1" customWidth="1"/>
    <col min="14" max="14" width="11.75" style="1" customWidth="1"/>
    <col min="15" max="15" width="20.375" style="1" customWidth="1"/>
    <col min="16" max="16384" width="9" style="1"/>
  </cols>
  <sheetData>
    <row r="1" s="1" customFormat="1" ht="21.95" customHeight="1" spans="1:12">
      <c r="A1" s="12" t="s">
        <v>0</v>
      </c>
      <c r="B1" s="12"/>
      <c r="C1" s="12"/>
      <c r="D1" s="13"/>
      <c r="E1" s="12"/>
      <c r="F1" s="14"/>
      <c r="G1" s="14"/>
      <c r="H1" s="12"/>
      <c r="I1" s="14"/>
      <c r="J1" s="12"/>
      <c r="K1" s="54"/>
      <c r="L1" s="24"/>
    </row>
    <row r="2" s="1" customFormat="1" ht="18" customHeight="1" spans="1:12">
      <c r="A2" s="15" t="s">
        <v>1</v>
      </c>
      <c r="B2" s="16" t="s">
        <v>2</v>
      </c>
      <c r="C2" s="17" t="s">
        <v>3</v>
      </c>
      <c r="D2" s="18">
        <v>19909743.41</v>
      </c>
      <c r="E2" s="19" t="s">
        <v>4</v>
      </c>
      <c r="F2" s="20"/>
      <c r="G2" s="21" t="s">
        <v>5</v>
      </c>
      <c r="H2" s="22" t="s">
        <v>6</v>
      </c>
      <c r="I2" s="55"/>
      <c r="J2" s="56"/>
      <c r="K2" s="54"/>
      <c r="L2" s="24"/>
    </row>
    <row r="3" s="1" customFormat="1" ht="18" customHeight="1" spans="1:12">
      <c r="A3" s="15" t="s">
        <v>7</v>
      </c>
      <c r="B3" s="23"/>
      <c r="C3" s="17" t="s">
        <v>8</v>
      </c>
      <c r="D3" s="18">
        <v>19377239.89</v>
      </c>
      <c r="E3" s="7"/>
      <c r="F3" s="6"/>
      <c r="G3" s="9"/>
      <c r="H3" s="24"/>
      <c r="I3" s="57"/>
      <c r="J3" s="24"/>
      <c r="K3" s="54"/>
      <c r="L3" s="24"/>
    </row>
    <row r="4" s="1" customFormat="1" ht="18" customHeight="1" spans="1:12">
      <c r="A4" s="5" t="s">
        <v>9</v>
      </c>
      <c r="B4" s="6"/>
      <c r="C4" s="7"/>
      <c r="D4" s="8"/>
      <c r="E4" s="7"/>
      <c r="F4" s="6"/>
      <c r="G4" s="9"/>
      <c r="H4" s="24"/>
      <c r="I4" s="57"/>
      <c r="J4" s="24"/>
      <c r="K4" s="54"/>
      <c r="L4" s="24"/>
    </row>
    <row r="5" s="1" customFormat="1" ht="18" customHeight="1" spans="1:12">
      <c r="A5" s="25" t="s">
        <v>10</v>
      </c>
      <c r="B5" s="26" t="s">
        <v>11</v>
      </c>
      <c r="C5" s="25" t="s">
        <v>12</v>
      </c>
      <c r="D5" s="27"/>
      <c r="E5" s="25" t="s">
        <v>13</v>
      </c>
      <c r="F5" s="26"/>
      <c r="G5" s="26" t="s">
        <v>14</v>
      </c>
      <c r="H5" s="28" t="s">
        <v>15</v>
      </c>
      <c r="I5" s="26"/>
      <c r="J5" s="28"/>
      <c r="K5" s="54"/>
      <c r="L5" s="24"/>
    </row>
    <row r="6" s="1" customFormat="1" ht="18" customHeight="1" spans="1:12">
      <c r="A6" s="25"/>
      <c r="B6" s="26"/>
      <c r="C6" s="25" t="s">
        <v>16</v>
      </c>
      <c r="D6" s="27" t="s">
        <v>17</v>
      </c>
      <c r="E6" s="25" t="s">
        <v>16</v>
      </c>
      <c r="F6" s="26" t="s">
        <v>17</v>
      </c>
      <c r="G6" s="26"/>
      <c r="H6" s="28" t="s">
        <v>18</v>
      </c>
      <c r="I6" s="26" t="s">
        <v>19</v>
      </c>
      <c r="J6" s="28" t="s">
        <v>20</v>
      </c>
      <c r="K6" s="11">
        <f>53846.6-5388.11</f>
        <v>48458.49</v>
      </c>
      <c r="L6" s="58"/>
    </row>
    <row r="7" s="1" customFormat="1" ht="18" customHeight="1" spans="1:11">
      <c r="A7" s="29">
        <v>43731</v>
      </c>
      <c r="B7" s="17">
        <f t="shared" ref="B7:B12" si="0">G7/(1+C7+E7)</f>
        <v>2372498.28440367</v>
      </c>
      <c r="C7" s="30">
        <v>0.02</v>
      </c>
      <c r="D7" s="31">
        <f t="shared" ref="D7:D12" si="1">G7/(1+E7+C7)*C7</f>
        <v>47449.9656880734</v>
      </c>
      <c r="E7" s="32">
        <v>0.07</v>
      </c>
      <c r="F7" s="17">
        <f t="shared" ref="F7:F12" si="2">G7/(1+C7+E7)*E7</f>
        <v>166074.879908257</v>
      </c>
      <c r="G7" s="33">
        <v>2586023.13</v>
      </c>
      <c r="H7" s="29">
        <v>43661</v>
      </c>
      <c r="I7" s="59">
        <v>3950974</v>
      </c>
      <c r="J7" s="60" t="s">
        <v>21</v>
      </c>
      <c r="K7" s="11"/>
    </row>
    <row r="8" s="1" customFormat="1" ht="18" customHeight="1" spans="1:12">
      <c r="A8" s="29">
        <v>43837</v>
      </c>
      <c r="B8" s="17">
        <f t="shared" si="0"/>
        <v>5306832.79816514</v>
      </c>
      <c r="C8" s="30">
        <v>0.02</v>
      </c>
      <c r="D8" s="31">
        <f t="shared" si="1"/>
        <v>106136.655963303</v>
      </c>
      <c r="E8" s="32">
        <v>0.07</v>
      </c>
      <c r="F8" s="17">
        <f t="shared" si="2"/>
        <v>371478.29587156</v>
      </c>
      <c r="G8" s="33">
        <v>5784447.75</v>
      </c>
      <c r="H8" s="29">
        <v>43738</v>
      </c>
      <c r="I8" s="59">
        <v>2586023.13</v>
      </c>
      <c r="J8" s="60" t="s">
        <v>21</v>
      </c>
      <c r="K8" s="61"/>
      <c r="L8" s="62"/>
    </row>
    <row r="9" s="1" customFormat="1" ht="18" customHeight="1" spans="1:11">
      <c r="A9" s="29">
        <v>43846</v>
      </c>
      <c r="B9" s="17">
        <f t="shared" si="0"/>
        <v>2727647.06422018</v>
      </c>
      <c r="C9" s="30">
        <v>0.02</v>
      </c>
      <c r="D9" s="31">
        <f t="shared" si="1"/>
        <v>54552.9412844037</v>
      </c>
      <c r="E9" s="32">
        <v>0.07</v>
      </c>
      <c r="F9" s="17">
        <f t="shared" si="2"/>
        <v>190935.294495413</v>
      </c>
      <c r="G9" s="33">
        <v>2973135.3</v>
      </c>
      <c r="H9" s="29">
        <v>43849</v>
      </c>
      <c r="I9" s="59">
        <v>4806609.05</v>
      </c>
      <c r="J9" s="60" t="s">
        <v>21</v>
      </c>
      <c r="K9" s="11"/>
    </row>
    <row r="10" s="1" customFormat="1" ht="18" customHeight="1" spans="1:11">
      <c r="A10" s="29">
        <v>44169</v>
      </c>
      <c r="B10" s="17">
        <f t="shared" si="0"/>
        <v>2925819.16513761</v>
      </c>
      <c r="C10" s="30">
        <v>0.02</v>
      </c>
      <c r="D10" s="31">
        <f t="shared" si="1"/>
        <v>58516.3833027523</v>
      </c>
      <c r="E10" s="32">
        <v>0.07</v>
      </c>
      <c r="F10" s="17">
        <f t="shared" si="2"/>
        <v>204807.341559633</v>
      </c>
      <c r="G10" s="33">
        <v>3189142.89</v>
      </c>
      <c r="H10" s="29">
        <v>44181</v>
      </c>
      <c r="I10" s="59">
        <v>3189142.89</v>
      </c>
      <c r="J10" s="60" t="s">
        <v>22</v>
      </c>
      <c r="K10" s="11"/>
    </row>
    <row r="11" s="1" customFormat="1" ht="18" customHeight="1" spans="1:11">
      <c r="A11" s="29">
        <v>44181</v>
      </c>
      <c r="B11" s="17">
        <f t="shared" si="0"/>
        <v>1062311.21100917</v>
      </c>
      <c r="C11" s="30">
        <v>0.02</v>
      </c>
      <c r="D11" s="31">
        <f t="shared" si="1"/>
        <v>21246.2242201835</v>
      </c>
      <c r="E11" s="32">
        <v>0.07</v>
      </c>
      <c r="F11" s="17">
        <f t="shared" si="2"/>
        <v>74361.7847706422</v>
      </c>
      <c r="G11" s="33">
        <v>1157919.22</v>
      </c>
      <c r="H11" s="29">
        <v>44195</v>
      </c>
      <c r="I11" s="59">
        <v>1157919.21</v>
      </c>
      <c r="J11" s="60" t="s">
        <v>22</v>
      </c>
      <c r="K11" s="11"/>
    </row>
    <row r="12" s="1" customFormat="1" ht="18" customHeight="1" spans="1:11">
      <c r="A12" s="29">
        <v>44355</v>
      </c>
      <c r="B12" s="17">
        <f t="shared" si="0"/>
        <v>3382175.78899083</v>
      </c>
      <c r="C12" s="30">
        <v>0.02</v>
      </c>
      <c r="D12" s="31">
        <f t="shared" si="1"/>
        <v>67643.5157798165</v>
      </c>
      <c r="E12" s="32">
        <v>0.07</v>
      </c>
      <c r="F12" s="17">
        <f t="shared" si="2"/>
        <v>236752.305229358</v>
      </c>
      <c r="G12" s="33">
        <v>3686571.61</v>
      </c>
      <c r="H12" s="29">
        <v>44369</v>
      </c>
      <c r="I12" s="59">
        <v>3686571.61</v>
      </c>
      <c r="J12" s="60" t="s">
        <v>22</v>
      </c>
      <c r="K12" s="11"/>
    </row>
    <row r="13" s="1" customFormat="1" ht="18" customHeight="1" spans="1:11">
      <c r="A13" s="29"/>
      <c r="B13" s="17"/>
      <c r="C13" s="30"/>
      <c r="D13" s="31"/>
      <c r="E13" s="32"/>
      <c r="F13" s="17"/>
      <c r="G13" s="33"/>
      <c r="H13" s="29"/>
      <c r="I13" s="59"/>
      <c r="J13" s="60"/>
      <c r="K13" s="11"/>
    </row>
    <row r="14" s="1" customFormat="1" ht="18" customHeight="1" spans="1:11">
      <c r="A14" s="34" t="s">
        <v>23</v>
      </c>
      <c r="B14" s="35">
        <f>SUM(B7:B13)</f>
        <v>17777284.3119266</v>
      </c>
      <c r="C14" s="35"/>
      <c r="D14" s="36">
        <f>SUM(D7:D13)</f>
        <v>355545.686238532</v>
      </c>
      <c r="E14" s="35"/>
      <c r="F14" s="35">
        <f>SUM(F7:F13)</f>
        <v>1244409.90183486</v>
      </c>
      <c r="G14" s="25">
        <f>SUM(G7:G13)</f>
        <v>19377239.9</v>
      </c>
      <c r="H14" s="37"/>
      <c r="I14" s="25">
        <f>SUM(I7:I13)</f>
        <v>19377239.89</v>
      </c>
      <c r="J14" s="60"/>
      <c r="K14" s="11"/>
    </row>
    <row r="15" s="1" customFormat="1" ht="18" customHeight="1" spans="1:12">
      <c r="A15" s="5" t="s">
        <v>24</v>
      </c>
      <c r="B15" s="6"/>
      <c r="C15" s="7"/>
      <c r="D15" s="8"/>
      <c r="E15" s="7"/>
      <c r="F15" s="6"/>
      <c r="G15" s="38"/>
      <c r="H15" s="7"/>
      <c r="I15" s="9"/>
      <c r="J15" s="38"/>
      <c r="K15" s="63"/>
      <c r="L15" s="64"/>
    </row>
    <row r="16" s="1" customFormat="1" ht="32" customHeight="1" spans="1:15">
      <c r="A16" s="39" t="s">
        <v>25</v>
      </c>
      <c r="B16" s="26" t="s">
        <v>26</v>
      </c>
      <c r="C16" s="25" t="s">
        <v>27</v>
      </c>
      <c r="D16" s="36" t="s">
        <v>28</v>
      </c>
      <c r="E16" s="25" t="s">
        <v>16</v>
      </c>
      <c r="F16" s="26" t="s">
        <v>29</v>
      </c>
      <c r="G16" s="26" t="s">
        <v>14</v>
      </c>
      <c r="H16" s="25" t="s">
        <v>30</v>
      </c>
      <c r="I16" s="26" t="s">
        <v>31</v>
      </c>
      <c r="J16" s="25" t="s">
        <v>20</v>
      </c>
      <c r="K16" s="65" t="s">
        <v>32</v>
      </c>
      <c r="L16" s="28" t="s">
        <v>33</v>
      </c>
      <c r="M16" s="28" t="s">
        <v>34</v>
      </c>
      <c r="N16" s="28" t="s">
        <v>35</v>
      </c>
      <c r="O16" s="28" t="s">
        <v>36</v>
      </c>
    </row>
    <row r="17" s="2" customFormat="1" ht="18" customHeight="1" spans="1:15">
      <c r="A17" s="40">
        <v>43647</v>
      </c>
      <c r="B17" s="41">
        <f t="shared" ref="B17:B22" si="3">ROUND(G17/(1+E17),2)</f>
        <v>89801.89</v>
      </c>
      <c r="C17" s="42"/>
      <c r="D17" s="43" t="s">
        <v>21</v>
      </c>
      <c r="E17" s="44">
        <v>0.06</v>
      </c>
      <c r="F17" s="41">
        <f t="shared" ref="F17:F22" si="4">ROUND(G17/(1+E17)*E17,2)</f>
        <v>5388.11</v>
      </c>
      <c r="G17" s="45">
        <v>95190</v>
      </c>
      <c r="H17" s="46"/>
      <c r="I17" s="66"/>
      <c r="J17" s="67"/>
      <c r="K17" s="68" t="s">
        <v>37</v>
      </c>
      <c r="L17" s="69" t="s">
        <v>38</v>
      </c>
      <c r="M17" s="67"/>
      <c r="N17" s="67"/>
      <c r="O17" s="69"/>
    </row>
    <row r="18" s="3" customFormat="1" ht="18" customHeight="1" spans="1:15">
      <c r="A18" s="47"/>
      <c r="B18" s="48">
        <f t="shared" si="3"/>
        <v>0</v>
      </c>
      <c r="C18" s="49"/>
      <c r="D18" s="50"/>
      <c r="E18" s="51"/>
      <c r="F18" s="48">
        <f t="shared" si="4"/>
        <v>0</v>
      </c>
      <c r="G18" s="33"/>
      <c r="H18" s="52">
        <v>43626</v>
      </c>
      <c r="I18" s="70">
        <v>6000</v>
      </c>
      <c r="J18" s="71" t="s">
        <v>21</v>
      </c>
      <c r="K18" s="72" t="s">
        <v>39</v>
      </c>
      <c r="L18" s="73" t="s">
        <v>40</v>
      </c>
      <c r="M18" s="71"/>
      <c r="N18" s="71"/>
      <c r="O18" s="73"/>
    </row>
    <row r="19" s="3" customFormat="1" ht="18" customHeight="1" spans="1:15">
      <c r="A19" s="47"/>
      <c r="B19" s="48">
        <f t="shared" si="3"/>
        <v>0</v>
      </c>
      <c r="C19" s="49"/>
      <c r="D19" s="50"/>
      <c r="E19" s="51"/>
      <c r="F19" s="48">
        <f t="shared" si="4"/>
        <v>0</v>
      </c>
      <c r="G19" s="33"/>
      <c r="H19" s="52">
        <v>43626</v>
      </c>
      <c r="I19" s="70">
        <v>-6000</v>
      </c>
      <c r="J19" s="71" t="s">
        <v>21</v>
      </c>
      <c r="K19" s="72" t="s">
        <v>41</v>
      </c>
      <c r="L19" s="73"/>
      <c r="M19" s="71"/>
      <c r="N19" s="71"/>
      <c r="O19" s="73"/>
    </row>
    <row r="20" s="3" customFormat="1" ht="18" customHeight="1" spans="1:21">
      <c r="A20" s="47"/>
      <c r="B20" s="48">
        <f t="shared" si="3"/>
        <v>0</v>
      </c>
      <c r="C20" s="49"/>
      <c r="D20" s="50"/>
      <c r="E20" s="51"/>
      <c r="F20" s="48">
        <f t="shared" si="4"/>
        <v>0</v>
      </c>
      <c r="G20" s="33"/>
      <c r="H20" s="52">
        <v>43635</v>
      </c>
      <c r="I20" s="70">
        <v>62043.1</v>
      </c>
      <c r="J20" s="71" t="s">
        <v>21</v>
      </c>
      <c r="K20" s="72" t="s">
        <v>42</v>
      </c>
      <c r="L20" s="73" t="s">
        <v>43</v>
      </c>
      <c r="M20" s="71"/>
      <c r="N20" s="71"/>
      <c r="O20" s="73"/>
      <c r="U20" s="3" t="s">
        <v>44</v>
      </c>
    </row>
    <row r="21" s="3" customFormat="1" ht="18" customHeight="1" spans="1:15">
      <c r="A21" s="47"/>
      <c r="B21" s="48">
        <f t="shared" si="3"/>
        <v>0</v>
      </c>
      <c r="C21" s="49"/>
      <c r="D21" s="50"/>
      <c r="E21" s="51"/>
      <c r="F21" s="48">
        <f t="shared" si="4"/>
        <v>0</v>
      </c>
      <c r="G21" s="33"/>
      <c r="H21" s="52">
        <v>43635</v>
      </c>
      <c r="I21" s="70">
        <v>-62043.1</v>
      </c>
      <c r="J21" s="71" t="s">
        <v>21</v>
      </c>
      <c r="K21" s="72" t="s">
        <v>41</v>
      </c>
      <c r="L21" s="73"/>
      <c r="M21" s="71"/>
      <c r="N21" s="71"/>
      <c r="O21" s="73"/>
    </row>
    <row r="22" s="3" customFormat="1" ht="18" customHeight="1" spans="1:15">
      <c r="A22" s="47">
        <v>43647</v>
      </c>
      <c r="B22" s="48">
        <f t="shared" si="3"/>
        <v>114049.42</v>
      </c>
      <c r="C22" s="49"/>
      <c r="D22" s="50" t="s">
        <v>21</v>
      </c>
      <c r="E22" s="51">
        <v>0.13</v>
      </c>
      <c r="F22" s="48">
        <f t="shared" si="4"/>
        <v>14826.42</v>
      </c>
      <c r="G22" s="33">
        <f>51763.84+77112</f>
        <v>128875.84</v>
      </c>
      <c r="H22" s="52">
        <v>43637</v>
      </c>
      <c r="I22" s="70">
        <v>128875.84</v>
      </c>
      <c r="J22" s="71" t="s">
        <v>21</v>
      </c>
      <c r="K22" s="72" t="s">
        <v>45</v>
      </c>
      <c r="L22" s="73" t="s">
        <v>46</v>
      </c>
      <c r="M22" s="71"/>
      <c r="N22" s="71"/>
      <c r="O22" s="73"/>
    </row>
    <row r="23" s="3" customFormat="1" ht="18" customHeight="1" spans="1:15">
      <c r="A23" s="47"/>
      <c r="B23" s="48"/>
      <c r="C23" s="49"/>
      <c r="D23" s="50"/>
      <c r="E23" s="51"/>
      <c r="F23" s="48"/>
      <c r="G23" s="33"/>
      <c r="H23" s="52">
        <v>43637</v>
      </c>
      <c r="I23" s="70">
        <v>-128875.84</v>
      </c>
      <c r="J23" s="71" t="s">
        <v>21</v>
      </c>
      <c r="K23" s="72" t="s">
        <v>41</v>
      </c>
      <c r="L23" s="73"/>
      <c r="M23" s="71"/>
      <c r="N23" s="71"/>
      <c r="O23" s="73"/>
    </row>
    <row r="24" s="3" customFormat="1" ht="18" customHeight="1" spans="1:15">
      <c r="A24" s="47"/>
      <c r="B24" s="48">
        <f t="shared" ref="B24:B28" si="5">ROUND(G24/(1+E24),2)</f>
        <v>0</v>
      </c>
      <c r="C24" s="49"/>
      <c r="D24" s="50"/>
      <c r="E24" s="51"/>
      <c r="F24" s="48">
        <f t="shared" ref="F24:F28" si="6">ROUND(G24/(1+E24)*E24,2)</f>
        <v>0</v>
      </c>
      <c r="G24" s="33"/>
      <c r="H24" s="52">
        <v>43643</v>
      </c>
      <c r="I24" s="70">
        <v>365090.6</v>
      </c>
      <c r="J24" s="71" t="s">
        <v>21</v>
      </c>
      <c r="K24" s="72" t="s">
        <v>47</v>
      </c>
      <c r="L24" s="73" t="s">
        <v>48</v>
      </c>
      <c r="M24" s="71"/>
      <c r="N24" s="71"/>
      <c r="O24" s="73"/>
    </row>
    <row r="25" s="3" customFormat="1" ht="18" customHeight="1" spans="1:15">
      <c r="A25" s="47"/>
      <c r="B25" s="48"/>
      <c r="C25" s="49"/>
      <c r="D25" s="50"/>
      <c r="E25" s="51"/>
      <c r="F25" s="48"/>
      <c r="G25" s="33"/>
      <c r="H25" s="52">
        <v>43643</v>
      </c>
      <c r="I25" s="70">
        <v>-365090.6</v>
      </c>
      <c r="J25" s="71" t="s">
        <v>21</v>
      </c>
      <c r="K25" s="72" t="s">
        <v>41</v>
      </c>
      <c r="L25" s="73"/>
      <c r="M25" s="71"/>
      <c r="N25" s="71"/>
      <c r="O25" s="73"/>
    </row>
    <row r="26" s="3" customFormat="1" ht="18" customHeight="1" spans="1:15">
      <c r="A26" s="47">
        <v>43647</v>
      </c>
      <c r="B26" s="48">
        <f t="shared" si="5"/>
        <v>41154.51</v>
      </c>
      <c r="C26" s="49"/>
      <c r="D26" s="50" t="s">
        <v>21</v>
      </c>
      <c r="E26" s="51">
        <v>0.13</v>
      </c>
      <c r="F26" s="48">
        <f t="shared" si="6"/>
        <v>5350.09</v>
      </c>
      <c r="G26" s="33">
        <v>46504.6</v>
      </c>
      <c r="H26" s="52">
        <v>43643</v>
      </c>
      <c r="I26" s="70">
        <v>46504.6</v>
      </c>
      <c r="J26" s="71" t="s">
        <v>21</v>
      </c>
      <c r="K26" s="72" t="s">
        <v>212</v>
      </c>
      <c r="L26" s="73" t="s">
        <v>50</v>
      </c>
      <c r="M26" s="71" t="s">
        <v>51</v>
      </c>
      <c r="N26" s="71" t="s">
        <v>51</v>
      </c>
      <c r="O26" s="73"/>
    </row>
    <row r="27" s="3" customFormat="1" ht="18" customHeight="1" spans="1:15">
      <c r="A27" s="47"/>
      <c r="B27" s="48"/>
      <c r="C27" s="49"/>
      <c r="D27" s="50"/>
      <c r="E27" s="51"/>
      <c r="F27" s="48"/>
      <c r="G27" s="33"/>
      <c r="H27" s="52">
        <v>43643</v>
      </c>
      <c r="I27" s="70">
        <v>-46504.6</v>
      </c>
      <c r="J27" s="71" t="s">
        <v>21</v>
      </c>
      <c r="K27" s="72" t="s">
        <v>41</v>
      </c>
      <c r="L27" s="73"/>
      <c r="M27" s="71"/>
      <c r="N27" s="71"/>
      <c r="O27" s="73"/>
    </row>
    <row r="28" s="3" customFormat="1" ht="18" customHeight="1" spans="1:15">
      <c r="A28" s="47"/>
      <c r="B28" s="48">
        <f t="shared" si="5"/>
        <v>0</v>
      </c>
      <c r="C28" s="49"/>
      <c r="D28" s="50"/>
      <c r="E28" s="51"/>
      <c r="F28" s="48">
        <f t="shared" si="6"/>
        <v>0</v>
      </c>
      <c r="G28" s="33"/>
      <c r="H28" s="52">
        <v>43647</v>
      </c>
      <c r="I28" s="70">
        <v>329713.82</v>
      </c>
      <c r="J28" s="71" t="s">
        <v>21</v>
      </c>
      <c r="K28" s="72" t="s">
        <v>52</v>
      </c>
      <c r="L28" s="73" t="s">
        <v>53</v>
      </c>
      <c r="M28" s="71"/>
      <c r="N28" s="71"/>
      <c r="O28" s="73"/>
    </row>
    <row r="29" s="3" customFormat="1" ht="18" customHeight="1" spans="1:15">
      <c r="A29" s="47"/>
      <c r="B29" s="48"/>
      <c r="C29" s="49"/>
      <c r="D29" s="50"/>
      <c r="E29" s="51"/>
      <c r="F29" s="48"/>
      <c r="G29" s="33"/>
      <c r="H29" s="52">
        <v>43647</v>
      </c>
      <c r="I29" s="70">
        <v>-329713.82</v>
      </c>
      <c r="J29" s="71" t="s">
        <v>21</v>
      </c>
      <c r="K29" s="72" t="s">
        <v>41</v>
      </c>
      <c r="L29" s="73"/>
      <c r="M29" s="71"/>
      <c r="N29" s="71"/>
      <c r="O29" s="73"/>
    </row>
    <row r="30" s="3" customFormat="1" ht="18" customHeight="1" spans="1:15">
      <c r="A30" s="47">
        <v>43647</v>
      </c>
      <c r="B30" s="48">
        <f t="shared" ref="B30:B34" si="7">ROUND(G30/(1+E30),2)</f>
        <v>565093.29</v>
      </c>
      <c r="C30" s="49"/>
      <c r="D30" s="50" t="s">
        <v>21</v>
      </c>
      <c r="E30" s="51">
        <v>0.13</v>
      </c>
      <c r="F30" s="48">
        <f t="shared" ref="F30:F34" si="8">ROUND(G30/(1+E30)*E30,2)</f>
        <v>73462.13</v>
      </c>
      <c r="G30" s="33">
        <f>112999.25+112997.5+112999.65+112996.37+112997.95+73564.7</f>
        <v>638555.42</v>
      </c>
      <c r="H30" s="52">
        <v>43649</v>
      </c>
      <c r="I30" s="70">
        <v>299988.26</v>
      </c>
      <c r="J30" s="71" t="s">
        <v>21</v>
      </c>
      <c r="K30" s="72" t="s">
        <v>52</v>
      </c>
      <c r="L30" s="73" t="s">
        <v>54</v>
      </c>
      <c r="M30" s="71" t="s">
        <v>51</v>
      </c>
      <c r="N30" s="71" t="s">
        <v>51</v>
      </c>
      <c r="O30" s="73"/>
    </row>
    <row r="31" s="3" customFormat="1" ht="18" customHeight="1" spans="1:15">
      <c r="A31" s="47"/>
      <c r="B31" s="48"/>
      <c r="C31" s="49"/>
      <c r="D31" s="50"/>
      <c r="E31" s="51"/>
      <c r="F31" s="48"/>
      <c r="G31" s="33"/>
      <c r="H31" s="52">
        <v>43649</v>
      </c>
      <c r="I31" s="70">
        <v>-299988.26</v>
      </c>
      <c r="J31" s="71" t="s">
        <v>21</v>
      </c>
      <c r="K31" s="72" t="s">
        <v>41</v>
      </c>
      <c r="L31" s="73"/>
      <c r="M31" s="71"/>
      <c r="N31" s="71"/>
      <c r="O31" s="73"/>
    </row>
    <row r="32" s="3" customFormat="1" ht="18" customHeight="1" spans="1:15">
      <c r="A32" s="47"/>
      <c r="B32" s="48">
        <f t="shared" si="7"/>
        <v>0</v>
      </c>
      <c r="C32" s="49"/>
      <c r="D32" s="50"/>
      <c r="E32" s="51"/>
      <c r="F32" s="48">
        <f t="shared" si="8"/>
        <v>0</v>
      </c>
      <c r="G32" s="33"/>
      <c r="H32" s="52">
        <v>43651</v>
      </c>
      <c r="I32" s="70">
        <v>20000</v>
      </c>
      <c r="J32" s="71" t="s">
        <v>21</v>
      </c>
      <c r="K32" s="72" t="s">
        <v>47</v>
      </c>
      <c r="L32" s="73" t="s">
        <v>48</v>
      </c>
      <c r="M32" s="71"/>
      <c r="N32" s="71"/>
      <c r="O32" s="73"/>
    </row>
    <row r="33" s="3" customFormat="1" ht="18" customHeight="1" spans="1:15">
      <c r="A33" s="47"/>
      <c r="B33" s="48"/>
      <c r="C33" s="49"/>
      <c r="D33" s="50"/>
      <c r="E33" s="51"/>
      <c r="F33" s="48"/>
      <c r="G33" s="33"/>
      <c r="H33" s="52">
        <v>43651</v>
      </c>
      <c r="I33" s="70">
        <v>-20000</v>
      </c>
      <c r="J33" s="71" t="s">
        <v>21</v>
      </c>
      <c r="K33" s="72" t="s">
        <v>41</v>
      </c>
      <c r="L33" s="73"/>
      <c r="M33" s="71"/>
      <c r="N33" s="71"/>
      <c r="O33" s="73"/>
    </row>
    <row r="34" s="3" customFormat="1" ht="18" customHeight="1" spans="1:15">
      <c r="A34" s="47"/>
      <c r="B34" s="48">
        <f t="shared" si="7"/>
        <v>0</v>
      </c>
      <c r="C34" s="49"/>
      <c r="D34" s="50"/>
      <c r="E34" s="51"/>
      <c r="F34" s="48">
        <f t="shared" si="8"/>
        <v>0</v>
      </c>
      <c r="G34" s="33"/>
      <c r="H34" s="52">
        <v>43651</v>
      </c>
      <c r="I34" s="70">
        <v>10000</v>
      </c>
      <c r="J34" s="71" t="s">
        <v>21</v>
      </c>
      <c r="K34" s="72" t="s">
        <v>55</v>
      </c>
      <c r="L34" s="73" t="s">
        <v>56</v>
      </c>
      <c r="M34" s="71"/>
      <c r="N34" s="71"/>
      <c r="O34" s="73"/>
    </row>
    <row r="35" s="3" customFormat="1" ht="18" customHeight="1" spans="1:15">
      <c r="A35" s="47"/>
      <c r="B35" s="48"/>
      <c r="C35" s="49"/>
      <c r="D35" s="50"/>
      <c r="E35" s="51"/>
      <c r="F35" s="48"/>
      <c r="G35" s="33"/>
      <c r="H35" s="52">
        <v>43651</v>
      </c>
      <c r="I35" s="70">
        <v>-10000</v>
      </c>
      <c r="J35" s="71" t="s">
        <v>21</v>
      </c>
      <c r="K35" s="72" t="s">
        <v>41</v>
      </c>
      <c r="L35" s="73"/>
      <c r="M35" s="71"/>
      <c r="N35" s="71"/>
      <c r="O35" s="73"/>
    </row>
    <row r="36" s="3" customFormat="1" ht="18" customHeight="1" spans="1:15">
      <c r="A36" s="47">
        <v>43647</v>
      </c>
      <c r="B36" s="48">
        <f t="shared" ref="B36:B100" si="9">ROUND(G36/(1+E36),2)</f>
        <v>323089.03</v>
      </c>
      <c r="C36" s="49"/>
      <c r="D36" s="50" t="s">
        <v>21</v>
      </c>
      <c r="E36" s="51">
        <v>0.13</v>
      </c>
      <c r="F36" s="48">
        <f t="shared" ref="F36:F61" si="10">ROUND(G36/(1+E36)*E36,2)</f>
        <v>42001.57</v>
      </c>
      <c r="G36" s="33">
        <f>90404.7+89506.4+92218.5+92961</f>
        <v>365090.6</v>
      </c>
      <c r="H36" s="52">
        <v>43655</v>
      </c>
      <c r="I36" s="70">
        <v>20528.3</v>
      </c>
      <c r="J36" s="71" t="s">
        <v>21</v>
      </c>
      <c r="K36" s="72" t="s">
        <v>47</v>
      </c>
      <c r="L36" s="73" t="s">
        <v>57</v>
      </c>
      <c r="M36" s="71" t="s">
        <v>51</v>
      </c>
      <c r="N36" s="71" t="s">
        <v>51</v>
      </c>
      <c r="O36" s="73"/>
    </row>
    <row r="37" s="3" customFormat="1" ht="18" customHeight="1" spans="1:15">
      <c r="A37" s="47"/>
      <c r="B37" s="48"/>
      <c r="C37" s="49"/>
      <c r="D37" s="50"/>
      <c r="E37" s="51"/>
      <c r="F37" s="48"/>
      <c r="G37" s="33"/>
      <c r="H37" s="52">
        <v>43655</v>
      </c>
      <c r="I37" s="70">
        <v>-20528.3</v>
      </c>
      <c r="J37" s="71" t="s">
        <v>21</v>
      </c>
      <c r="K37" s="72" t="s">
        <v>41</v>
      </c>
      <c r="L37" s="73"/>
      <c r="M37" s="71"/>
      <c r="N37" s="71"/>
      <c r="O37" s="73"/>
    </row>
    <row r="38" s="3" customFormat="1" ht="18" customHeight="1" spans="1:15">
      <c r="A38" s="47"/>
      <c r="B38" s="48">
        <f t="shared" si="9"/>
        <v>0</v>
      </c>
      <c r="C38" s="49"/>
      <c r="D38" s="50"/>
      <c r="E38" s="51"/>
      <c r="F38" s="48">
        <f t="shared" si="10"/>
        <v>0</v>
      </c>
      <c r="G38" s="33"/>
      <c r="H38" s="52">
        <v>43656</v>
      </c>
      <c r="I38" s="70">
        <v>100000</v>
      </c>
      <c r="J38" s="71" t="s">
        <v>58</v>
      </c>
      <c r="K38" s="72" t="s">
        <v>59</v>
      </c>
      <c r="L38" s="73" t="s">
        <v>60</v>
      </c>
      <c r="M38" s="71"/>
      <c r="N38" s="71"/>
      <c r="O38" s="73"/>
    </row>
    <row r="39" s="3" customFormat="1" ht="18" customHeight="1" spans="1:15">
      <c r="A39" s="47"/>
      <c r="B39" s="48">
        <f t="shared" si="9"/>
        <v>0</v>
      </c>
      <c r="C39" s="49"/>
      <c r="D39" s="50"/>
      <c r="E39" s="51"/>
      <c r="F39" s="48">
        <f t="shared" si="10"/>
        <v>0</v>
      </c>
      <c r="G39" s="33"/>
      <c r="H39" s="52">
        <v>43656</v>
      </c>
      <c r="I39" s="70">
        <v>-100000</v>
      </c>
      <c r="J39" s="71" t="s">
        <v>21</v>
      </c>
      <c r="K39" s="72" t="s">
        <v>41</v>
      </c>
      <c r="L39" s="73"/>
      <c r="M39" s="71"/>
      <c r="N39" s="71"/>
      <c r="O39" s="73"/>
    </row>
    <row r="40" s="3" customFormat="1" ht="18" customHeight="1" spans="1:15">
      <c r="A40" s="47"/>
      <c r="B40" s="48">
        <f t="shared" si="9"/>
        <v>0</v>
      </c>
      <c r="C40" s="49"/>
      <c r="D40" s="50"/>
      <c r="E40" s="51"/>
      <c r="F40" s="48">
        <f t="shared" si="10"/>
        <v>0</v>
      </c>
      <c r="G40" s="33"/>
      <c r="H40" s="52">
        <v>43658</v>
      </c>
      <c r="I40" s="70">
        <v>68362</v>
      </c>
      <c r="J40" s="71" t="s">
        <v>21</v>
      </c>
      <c r="K40" s="72" t="s">
        <v>55</v>
      </c>
      <c r="L40" s="73" t="s">
        <v>56</v>
      </c>
      <c r="M40" s="71"/>
      <c r="N40" s="71"/>
      <c r="O40" s="73"/>
    </row>
    <row r="41" s="3" customFormat="1" ht="18" customHeight="1" spans="1:15">
      <c r="A41" s="47"/>
      <c r="B41" s="48">
        <f t="shared" si="9"/>
        <v>0</v>
      </c>
      <c r="C41" s="49"/>
      <c r="D41" s="50"/>
      <c r="E41" s="51"/>
      <c r="F41" s="48">
        <f t="shared" si="10"/>
        <v>0</v>
      </c>
      <c r="G41" s="33"/>
      <c r="H41" s="52">
        <v>43658</v>
      </c>
      <c r="I41" s="70">
        <v>-68362</v>
      </c>
      <c r="J41" s="71" t="s">
        <v>21</v>
      </c>
      <c r="K41" s="72" t="s">
        <v>41</v>
      </c>
      <c r="L41" s="73"/>
      <c r="M41" s="71"/>
      <c r="N41" s="71"/>
      <c r="O41" s="73"/>
    </row>
    <row r="42" s="3" customFormat="1" ht="18" customHeight="1" spans="1:15">
      <c r="A42" s="47"/>
      <c r="B42" s="48">
        <f t="shared" si="9"/>
        <v>0</v>
      </c>
      <c r="C42" s="49"/>
      <c r="D42" s="50"/>
      <c r="E42" s="51"/>
      <c r="F42" s="48">
        <f t="shared" si="10"/>
        <v>0</v>
      </c>
      <c r="G42" s="33"/>
      <c r="H42" s="52">
        <v>43659</v>
      </c>
      <c r="I42" s="70">
        <v>-15000</v>
      </c>
      <c r="J42" s="71" t="s">
        <v>21</v>
      </c>
      <c r="K42" s="72" t="s">
        <v>41</v>
      </c>
      <c r="L42" s="73"/>
      <c r="M42" s="71"/>
      <c r="N42" s="71"/>
      <c r="O42" s="73"/>
    </row>
    <row r="43" s="3" customFormat="1" ht="18" customHeight="1" spans="1:15">
      <c r="A43" s="47"/>
      <c r="B43" s="48">
        <f t="shared" si="9"/>
        <v>0</v>
      </c>
      <c r="C43" s="49"/>
      <c r="D43" s="50"/>
      <c r="E43" s="51"/>
      <c r="F43" s="48">
        <f t="shared" si="10"/>
        <v>0</v>
      </c>
      <c r="G43" s="33"/>
      <c r="H43" s="52">
        <v>43662</v>
      </c>
      <c r="I43" s="70">
        <v>1179026.46</v>
      </c>
      <c r="J43" s="71" t="s">
        <v>21</v>
      </c>
      <c r="K43" s="72" t="s">
        <v>41</v>
      </c>
      <c r="L43" s="73"/>
      <c r="M43" s="71"/>
      <c r="N43" s="71"/>
      <c r="O43" s="73"/>
    </row>
    <row r="44" s="3" customFormat="1" ht="18" customHeight="1" spans="1:15">
      <c r="A44" s="47"/>
      <c r="B44" s="48">
        <f t="shared" si="9"/>
        <v>0</v>
      </c>
      <c r="C44" s="49"/>
      <c r="D44" s="50"/>
      <c r="E44" s="51"/>
      <c r="F44" s="48">
        <f t="shared" si="10"/>
        <v>0</v>
      </c>
      <c r="G44" s="33"/>
      <c r="H44" s="52">
        <v>43662</v>
      </c>
      <c r="I44" s="70">
        <v>95190</v>
      </c>
      <c r="J44" s="71" t="s">
        <v>21</v>
      </c>
      <c r="K44" s="72" t="s">
        <v>61</v>
      </c>
      <c r="L44" s="73" t="s">
        <v>62</v>
      </c>
      <c r="M44" s="74" t="s">
        <v>63</v>
      </c>
      <c r="N44" s="71"/>
      <c r="O44" s="73"/>
    </row>
    <row r="45" s="3" customFormat="1" ht="18" customHeight="1" spans="1:15">
      <c r="A45" s="47"/>
      <c r="B45" s="48">
        <f t="shared" si="9"/>
        <v>0</v>
      </c>
      <c r="C45" s="49"/>
      <c r="D45" s="50"/>
      <c r="E45" s="51"/>
      <c r="F45" s="48">
        <f t="shared" si="10"/>
        <v>0</v>
      </c>
      <c r="G45" s="33"/>
      <c r="H45" s="52">
        <v>43663</v>
      </c>
      <c r="I45" s="70">
        <v>64800</v>
      </c>
      <c r="J45" s="71" t="s">
        <v>21</v>
      </c>
      <c r="K45" s="72" t="s">
        <v>55</v>
      </c>
      <c r="L45" s="73" t="s">
        <v>64</v>
      </c>
      <c r="M45" s="71"/>
      <c r="N45" s="71"/>
      <c r="O45" s="73"/>
    </row>
    <row r="46" s="3" customFormat="1" ht="18" customHeight="1" spans="1:15">
      <c r="A46" s="47"/>
      <c r="B46" s="48">
        <f t="shared" si="9"/>
        <v>0</v>
      </c>
      <c r="C46" s="49"/>
      <c r="D46" s="50"/>
      <c r="E46" s="51"/>
      <c r="F46" s="48">
        <f t="shared" si="10"/>
        <v>0</v>
      </c>
      <c r="G46" s="33"/>
      <c r="H46" s="52">
        <v>43664</v>
      </c>
      <c r="I46" s="70">
        <v>8841.6</v>
      </c>
      <c r="J46" s="71" t="s">
        <v>21</v>
      </c>
      <c r="K46" s="72" t="s">
        <v>52</v>
      </c>
      <c r="L46" s="73" t="s">
        <v>53</v>
      </c>
      <c r="M46" s="71"/>
      <c r="N46" s="71"/>
      <c r="O46" s="73"/>
    </row>
    <row r="47" s="3" customFormat="1" ht="18" customHeight="1" spans="1:15">
      <c r="A47" s="47">
        <v>43647</v>
      </c>
      <c r="B47" s="48">
        <f t="shared" si="9"/>
        <v>169.91</v>
      </c>
      <c r="C47" s="49"/>
      <c r="D47" s="50" t="s">
        <v>21</v>
      </c>
      <c r="E47" s="51">
        <v>0.13</v>
      </c>
      <c r="F47" s="48">
        <f t="shared" si="10"/>
        <v>22.09</v>
      </c>
      <c r="G47" s="33">
        <v>192</v>
      </c>
      <c r="H47" s="52"/>
      <c r="I47" s="70"/>
      <c r="J47" s="71"/>
      <c r="K47" s="72" t="s">
        <v>65</v>
      </c>
      <c r="L47" s="73" t="s">
        <v>66</v>
      </c>
      <c r="M47" s="71"/>
      <c r="N47" s="71"/>
      <c r="O47" s="73"/>
    </row>
    <row r="48" s="3" customFormat="1" ht="18" customHeight="1" spans="1:15">
      <c r="A48" s="47">
        <v>43647</v>
      </c>
      <c r="B48" s="48">
        <f t="shared" si="9"/>
        <v>3985</v>
      </c>
      <c r="C48" s="49"/>
      <c r="D48" s="50" t="s">
        <v>67</v>
      </c>
      <c r="E48" s="51"/>
      <c r="F48" s="48">
        <f t="shared" si="10"/>
        <v>0</v>
      </c>
      <c r="G48" s="33">
        <v>3985</v>
      </c>
      <c r="H48" s="52"/>
      <c r="I48" s="70"/>
      <c r="J48" s="71"/>
      <c r="K48" s="75" t="s">
        <v>68</v>
      </c>
      <c r="L48" s="73"/>
      <c r="M48" s="71"/>
      <c r="N48" s="71"/>
      <c r="O48" s="73"/>
    </row>
    <row r="49" s="3" customFormat="1" ht="18" customHeight="1" spans="1:15">
      <c r="A49" s="47"/>
      <c r="B49" s="48">
        <f t="shared" si="9"/>
        <v>0</v>
      </c>
      <c r="C49" s="49"/>
      <c r="D49" s="50"/>
      <c r="E49" s="51"/>
      <c r="F49" s="48">
        <f t="shared" si="10"/>
        <v>0</v>
      </c>
      <c r="G49" s="33"/>
      <c r="H49" s="52">
        <v>43669</v>
      </c>
      <c r="I49" s="70">
        <v>50000</v>
      </c>
      <c r="J49" s="71" t="s">
        <v>58</v>
      </c>
      <c r="K49" s="72" t="s">
        <v>69</v>
      </c>
      <c r="L49" s="73" t="s">
        <v>70</v>
      </c>
      <c r="M49" s="71"/>
      <c r="N49" s="71"/>
      <c r="O49" s="73"/>
    </row>
    <row r="50" s="3" customFormat="1" ht="18" customHeight="1" spans="1:15">
      <c r="A50" s="47"/>
      <c r="B50" s="48">
        <f t="shared" si="9"/>
        <v>0</v>
      </c>
      <c r="C50" s="49"/>
      <c r="D50" s="50"/>
      <c r="E50" s="51"/>
      <c r="F50" s="48">
        <f t="shared" si="10"/>
        <v>0</v>
      </c>
      <c r="G50" s="33"/>
      <c r="H50" s="52">
        <v>43669</v>
      </c>
      <c r="I50" s="70">
        <v>11.74</v>
      </c>
      <c r="J50" s="71" t="s">
        <v>21</v>
      </c>
      <c r="K50" s="72" t="s">
        <v>52</v>
      </c>
      <c r="L50" s="73" t="s">
        <v>53</v>
      </c>
      <c r="M50" s="71"/>
      <c r="N50" s="71"/>
      <c r="O50" s="73"/>
    </row>
    <row r="51" s="3" customFormat="1" ht="18" customHeight="1" spans="1:15">
      <c r="A51" s="47"/>
      <c r="B51" s="48">
        <f t="shared" si="9"/>
        <v>0</v>
      </c>
      <c r="C51" s="49"/>
      <c r="D51" s="50"/>
      <c r="E51" s="51"/>
      <c r="F51" s="48">
        <f t="shared" si="10"/>
        <v>0</v>
      </c>
      <c r="G51" s="33"/>
      <c r="H51" s="52">
        <v>43672</v>
      </c>
      <c r="I51" s="70">
        <v>4170</v>
      </c>
      <c r="J51" s="71" t="s">
        <v>21</v>
      </c>
      <c r="K51" s="75" t="s">
        <v>68</v>
      </c>
      <c r="L51" s="73" t="s">
        <v>71</v>
      </c>
      <c r="M51" s="71"/>
      <c r="N51" s="71"/>
      <c r="O51" s="73"/>
    </row>
    <row r="52" s="3" customFormat="1" ht="18" customHeight="1" spans="1:15">
      <c r="A52" s="47"/>
      <c r="B52" s="48">
        <f t="shared" si="9"/>
        <v>0</v>
      </c>
      <c r="C52" s="49"/>
      <c r="D52" s="50"/>
      <c r="E52" s="51"/>
      <c r="F52" s="48">
        <f t="shared" si="10"/>
        <v>0</v>
      </c>
      <c r="G52" s="33"/>
      <c r="H52" s="52">
        <v>43672</v>
      </c>
      <c r="I52" s="70">
        <v>36000</v>
      </c>
      <c r="J52" s="71" t="s">
        <v>21</v>
      </c>
      <c r="K52" s="72" t="s">
        <v>72</v>
      </c>
      <c r="L52" s="73" t="s">
        <v>73</v>
      </c>
      <c r="M52" s="71"/>
      <c r="N52" s="71"/>
      <c r="O52" s="73"/>
    </row>
    <row r="53" s="3" customFormat="1" ht="18" customHeight="1" spans="1:15">
      <c r="A53" s="47"/>
      <c r="B53" s="48">
        <f t="shared" si="9"/>
        <v>0</v>
      </c>
      <c r="C53" s="49"/>
      <c r="D53" s="50"/>
      <c r="E53" s="51"/>
      <c r="F53" s="48">
        <f t="shared" si="10"/>
        <v>0</v>
      </c>
      <c r="G53" s="33"/>
      <c r="H53" s="52">
        <v>43672</v>
      </c>
      <c r="I53" s="70">
        <v>152835</v>
      </c>
      <c r="J53" s="71" t="s">
        <v>58</v>
      </c>
      <c r="K53" s="76" t="s">
        <v>69</v>
      </c>
      <c r="L53" s="76" t="s">
        <v>70</v>
      </c>
      <c r="M53" s="71"/>
      <c r="N53" s="71"/>
      <c r="O53" s="73"/>
    </row>
    <row r="54" s="3" customFormat="1" ht="18" customHeight="1" spans="1:15">
      <c r="A54" s="47">
        <v>43647</v>
      </c>
      <c r="B54" s="48">
        <f t="shared" si="9"/>
        <v>1991</v>
      </c>
      <c r="C54" s="49"/>
      <c r="D54" s="50" t="s">
        <v>67</v>
      </c>
      <c r="E54" s="51"/>
      <c r="F54" s="48">
        <f t="shared" si="10"/>
        <v>0</v>
      </c>
      <c r="G54" s="33">
        <v>1991</v>
      </c>
      <c r="H54" s="52"/>
      <c r="I54" s="70"/>
      <c r="J54" s="71"/>
      <c r="K54" s="76" t="s">
        <v>74</v>
      </c>
      <c r="L54" s="76" t="s">
        <v>75</v>
      </c>
      <c r="M54" s="71"/>
      <c r="N54" s="71"/>
      <c r="O54" s="73"/>
    </row>
    <row r="55" s="3" customFormat="1" ht="18" customHeight="1" spans="1:15">
      <c r="A55" s="47">
        <v>43647</v>
      </c>
      <c r="B55" s="48">
        <f t="shared" si="9"/>
        <v>23892</v>
      </c>
      <c r="C55" s="49"/>
      <c r="D55" s="50" t="s">
        <v>67</v>
      </c>
      <c r="E55" s="51"/>
      <c r="F55" s="48">
        <f t="shared" si="10"/>
        <v>0</v>
      </c>
      <c r="G55" s="33">
        <v>23892</v>
      </c>
      <c r="H55" s="52"/>
      <c r="I55" s="70"/>
      <c r="J55" s="71"/>
      <c r="K55" s="76" t="s">
        <v>76</v>
      </c>
      <c r="L55" s="76" t="s">
        <v>77</v>
      </c>
      <c r="M55" s="71"/>
      <c r="N55" s="71"/>
      <c r="O55" s="73"/>
    </row>
    <row r="56" s="3" customFormat="1" ht="18" customHeight="1" spans="1:15">
      <c r="A56" s="47">
        <v>43647</v>
      </c>
      <c r="B56" s="48">
        <f t="shared" si="9"/>
        <v>69346.9</v>
      </c>
      <c r="C56" s="49"/>
      <c r="D56" s="50" t="s">
        <v>21</v>
      </c>
      <c r="E56" s="51">
        <v>0.13</v>
      </c>
      <c r="F56" s="48">
        <f t="shared" si="10"/>
        <v>9015.1</v>
      </c>
      <c r="G56" s="33">
        <v>78362</v>
      </c>
      <c r="H56" s="52"/>
      <c r="I56" s="70"/>
      <c r="J56" s="71"/>
      <c r="K56" s="72" t="s">
        <v>55</v>
      </c>
      <c r="L56" s="76" t="s">
        <v>56</v>
      </c>
      <c r="M56" s="71"/>
      <c r="N56" s="71"/>
      <c r="O56" s="73"/>
    </row>
    <row r="57" s="3" customFormat="1" ht="18" customHeight="1" spans="1:15">
      <c r="A57" s="47">
        <v>43647</v>
      </c>
      <c r="B57" s="48">
        <f t="shared" si="9"/>
        <v>57345.13</v>
      </c>
      <c r="C57" s="49"/>
      <c r="D57" s="50" t="s">
        <v>21</v>
      </c>
      <c r="E57" s="51">
        <v>0.13</v>
      </c>
      <c r="F57" s="48">
        <f t="shared" si="10"/>
        <v>7454.87</v>
      </c>
      <c r="G57" s="33">
        <v>64800</v>
      </c>
      <c r="H57" s="52"/>
      <c r="I57" s="70"/>
      <c r="J57" s="71"/>
      <c r="K57" s="72" t="s">
        <v>55</v>
      </c>
      <c r="L57" s="76" t="s">
        <v>64</v>
      </c>
      <c r="M57" s="71"/>
      <c r="N57" s="71"/>
      <c r="O57" s="73"/>
    </row>
    <row r="58" s="3" customFormat="1" ht="18" customHeight="1" spans="1:15">
      <c r="A58" s="47">
        <v>43647</v>
      </c>
      <c r="B58" s="48">
        <f t="shared" si="9"/>
        <v>35865.75</v>
      </c>
      <c r="C58" s="49"/>
      <c r="D58" s="50" t="s">
        <v>21</v>
      </c>
      <c r="E58" s="51">
        <v>0.13</v>
      </c>
      <c r="F58" s="48">
        <f t="shared" si="10"/>
        <v>4662.55</v>
      </c>
      <c r="G58" s="33">
        <v>40528.3</v>
      </c>
      <c r="H58" s="52"/>
      <c r="I58" s="70"/>
      <c r="J58" s="71"/>
      <c r="K58" s="76" t="s">
        <v>47</v>
      </c>
      <c r="L58" s="76" t="s">
        <v>78</v>
      </c>
      <c r="M58" s="71"/>
      <c r="N58" s="71"/>
      <c r="O58" s="73"/>
    </row>
    <row r="59" s="3" customFormat="1" ht="18" customHeight="1" spans="1:15">
      <c r="A59" s="47">
        <v>43647</v>
      </c>
      <c r="B59" s="48">
        <f t="shared" si="9"/>
        <v>58531.23</v>
      </c>
      <c r="C59" s="49"/>
      <c r="D59" s="50" t="s">
        <v>21</v>
      </c>
      <c r="E59" s="51">
        <v>0.06</v>
      </c>
      <c r="F59" s="48">
        <f t="shared" si="10"/>
        <v>3511.87</v>
      </c>
      <c r="G59" s="33">
        <v>62043.1</v>
      </c>
      <c r="H59" s="52"/>
      <c r="I59" s="70"/>
      <c r="J59" s="71"/>
      <c r="K59" s="72" t="s">
        <v>42</v>
      </c>
      <c r="L59" s="76" t="s">
        <v>79</v>
      </c>
      <c r="M59" s="71"/>
      <c r="N59" s="71"/>
      <c r="O59" s="73"/>
    </row>
    <row r="60" s="3" customFormat="1" ht="18" customHeight="1" spans="1:15">
      <c r="A60" s="47"/>
      <c r="B60" s="48">
        <f t="shared" si="9"/>
        <v>0</v>
      </c>
      <c r="C60" s="49"/>
      <c r="D60" s="50"/>
      <c r="E60" s="51"/>
      <c r="F60" s="48">
        <f t="shared" si="10"/>
        <v>0</v>
      </c>
      <c r="G60" s="33"/>
      <c r="H60" s="52">
        <v>43683</v>
      </c>
      <c r="I60" s="70">
        <v>600000</v>
      </c>
      <c r="J60" s="71" t="s">
        <v>58</v>
      </c>
      <c r="K60" s="75" t="s">
        <v>80</v>
      </c>
      <c r="L60" s="75" t="s">
        <v>81</v>
      </c>
      <c r="M60" s="71"/>
      <c r="N60" s="71"/>
      <c r="O60" s="73"/>
    </row>
    <row r="61" s="3" customFormat="1" ht="18" customHeight="1" spans="1:15">
      <c r="A61" s="47">
        <v>43647</v>
      </c>
      <c r="B61" s="48">
        <f t="shared" si="9"/>
        <v>76722.3</v>
      </c>
      <c r="C61" s="49"/>
      <c r="D61" s="50" t="s">
        <v>67</v>
      </c>
      <c r="E61" s="51"/>
      <c r="F61" s="48">
        <f t="shared" si="10"/>
        <v>0</v>
      </c>
      <c r="G61" s="33">
        <v>76722.3</v>
      </c>
      <c r="H61" s="52"/>
      <c r="I61" s="70"/>
      <c r="J61" s="71"/>
      <c r="K61" s="75" t="s">
        <v>68</v>
      </c>
      <c r="L61" s="75"/>
      <c r="M61" s="71"/>
      <c r="N61" s="71"/>
      <c r="O61" s="73"/>
    </row>
    <row r="62" s="3" customFormat="1" ht="18" customHeight="1" spans="1:15">
      <c r="A62" s="47"/>
      <c r="B62" s="48">
        <f t="shared" si="9"/>
        <v>0</v>
      </c>
      <c r="C62" s="49"/>
      <c r="D62" s="50"/>
      <c r="E62" s="51"/>
      <c r="F62" s="48" t="s">
        <v>82</v>
      </c>
      <c r="G62" s="33"/>
      <c r="H62" s="52">
        <v>43684</v>
      </c>
      <c r="I62" s="70">
        <v>293080.06</v>
      </c>
      <c r="J62" s="71" t="s">
        <v>58</v>
      </c>
      <c r="K62" s="75" t="s">
        <v>41</v>
      </c>
      <c r="L62" s="75" t="s">
        <v>83</v>
      </c>
      <c r="M62" s="71"/>
      <c r="N62" s="71"/>
      <c r="O62" s="73"/>
    </row>
    <row r="63" s="3" customFormat="1" ht="18" customHeight="1" spans="1:15">
      <c r="A63" s="47"/>
      <c r="B63" s="48">
        <f t="shared" si="9"/>
        <v>0</v>
      </c>
      <c r="C63" s="49"/>
      <c r="D63" s="50"/>
      <c r="E63" s="51"/>
      <c r="F63" s="48">
        <f t="shared" ref="F63:F122" si="11">ROUND(G63/(1+E63)*E63,2)</f>
        <v>0</v>
      </c>
      <c r="G63" s="33"/>
      <c r="H63" s="52">
        <v>43689</v>
      </c>
      <c r="I63" s="70">
        <v>98805.3</v>
      </c>
      <c r="J63" s="71" t="s">
        <v>58</v>
      </c>
      <c r="K63" s="72" t="s">
        <v>84</v>
      </c>
      <c r="L63" s="75"/>
      <c r="M63" s="71"/>
      <c r="N63" s="71"/>
      <c r="O63" s="73"/>
    </row>
    <row r="64" s="3" customFormat="1" ht="18" customHeight="1" spans="1:15">
      <c r="A64" s="47"/>
      <c r="B64" s="48">
        <f t="shared" si="9"/>
        <v>0</v>
      </c>
      <c r="C64" s="49"/>
      <c r="D64" s="53"/>
      <c r="E64" s="51"/>
      <c r="F64" s="48">
        <f t="shared" si="11"/>
        <v>0</v>
      </c>
      <c r="G64" s="33"/>
      <c r="H64" s="52">
        <v>43691</v>
      </c>
      <c r="I64" s="70">
        <v>20000</v>
      </c>
      <c r="J64" s="71" t="s">
        <v>58</v>
      </c>
      <c r="K64" s="75" t="s">
        <v>85</v>
      </c>
      <c r="L64" s="77" t="s">
        <v>86</v>
      </c>
      <c r="M64" s="71"/>
      <c r="N64" s="71"/>
      <c r="O64" s="73"/>
    </row>
    <row r="65" s="3" customFormat="1" ht="18" customHeight="1" spans="1:15">
      <c r="A65" s="47"/>
      <c r="B65" s="48">
        <f t="shared" si="9"/>
        <v>0</v>
      </c>
      <c r="C65" s="49"/>
      <c r="D65" s="50"/>
      <c r="E65" s="51"/>
      <c r="F65" s="48">
        <f t="shared" si="11"/>
        <v>0</v>
      </c>
      <c r="G65" s="33"/>
      <c r="H65" s="52">
        <v>43691</v>
      </c>
      <c r="I65" s="70">
        <v>3800</v>
      </c>
      <c r="J65" s="71" t="s">
        <v>58</v>
      </c>
      <c r="K65" s="75" t="s">
        <v>84</v>
      </c>
      <c r="L65" s="75" t="s">
        <v>71</v>
      </c>
      <c r="M65" s="71"/>
      <c r="N65" s="71"/>
      <c r="O65" s="73"/>
    </row>
    <row r="66" s="3" customFormat="1" ht="18" customHeight="1" spans="1:15">
      <c r="A66" s="47"/>
      <c r="B66" s="48">
        <f t="shared" si="9"/>
        <v>0</v>
      </c>
      <c r="C66" s="49"/>
      <c r="D66" s="50"/>
      <c r="E66" s="51"/>
      <c r="F66" s="48">
        <f t="shared" si="11"/>
        <v>0</v>
      </c>
      <c r="G66" s="33"/>
      <c r="H66" s="52">
        <v>43693</v>
      </c>
      <c r="I66" s="70">
        <v>150000</v>
      </c>
      <c r="J66" s="71" t="s">
        <v>58</v>
      </c>
      <c r="K66" s="75" t="s">
        <v>80</v>
      </c>
      <c r="L66" s="75" t="s">
        <v>81</v>
      </c>
      <c r="M66" s="71"/>
      <c r="N66" s="71"/>
      <c r="O66" s="73"/>
    </row>
    <row r="67" s="3" customFormat="1" ht="18" customHeight="1" spans="1:15">
      <c r="A67" s="47"/>
      <c r="B67" s="48">
        <f t="shared" si="9"/>
        <v>0</v>
      </c>
      <c r="C67" s="49"/>
      <c r="D67" s="50"/>
      <c r="E67" s="51"/>
      <c r="F67" s="48">
        <f t="shared" si="11"/>
        <v>0</v>
      </c>
      <c r="G67" s="33"/>
      <c r="H67" s="52">
        <v>43697</v>
      </c>
      <c r="I67" s="70">
        <v>33696.6</v>
      </c>
      <c r="J67" s="71" t="s">
        <v>58</v>
      </c>
      <c r="K67" s="75" t="s">
        <v>87</v>
      </c>
      <c r="L67" s="75" t="s">
        <v>88</v>
      </c>
      <c r="M67" s="71"/>
      <c r="N67" s="71"/>
      <c r="O67" s="73"/>
    </row>
    <row r="68" s="3" customFormat="1" ht="18" customHeight="1" spans="1:15">
      <c r="A68" s="47">
        <v>43678</v>
      </c>
      <c r="B68" s="48">
        <f t="shared" si="9"/>
        <v>34951.46</v>
      </c>
      <c r="C68" s="49"/>
      <c r="D68" s="50" t="s">
        <v>21</v>
      </c>
      <c r="E68" s="78">
        <v>0.03</v>
      </c>
      <c r="F68" s="48">
        <f t="shared" si="11"/>
        <v>1048.54</v>
      </c>
      <c r="G68" s="33">
        <v>36000</v>
      </c>
      <c r="H68" s="52"/>
      <c r="I68" s="70"/>
      <c r="J68" s="71"/>
      <c r="K68" s="75" t="s">
        <v>72</v>
      </c>
      <c r="L68" s="73" t="s">
        <v>73</v>
      </c>
      <c r="M68" s="71"/>
      <c r="N68" s="71"/>
      <c r="O68" s="73"/>
    </row>
    <row r="69" s="3" customFormat="1" ht="18" customHeight="1" spans="1:15">
      <c r="A69" s="47">
        <v>43678</v>
      </c>
      <c r="B69" s="48">
        <f t="shared" si="9"/>
        <v>323.89</v>
      </c>
      <c r="C69" s="49"/>
      <c r="D69" s="50" t="s">
        <v>21</v>
      </c>
      <c r="E69" s="78">
        <v>0.13</v>
      </c>
      <c r="F69" s="48">
        <f t="shared" si="11"/>
        <v>42.11</v>
      </c>
      <c r="G69" s="33">
        <v>366</v>
      </c>
      <c r="H69" s="52"/>
      <c r="I69" s="70"/>
      <c r="J69" s="71"/>
      <c r="K69" s="72" t="s">
        <v>65</v>
      </c>
      <c r="L69" s="73" t="s">
        <v>89</v>
      </c>
      <c r="M69" s="71"/>
      <c r="N69" s="71"/>
      <c r="O69" s="73"/>
    </row>
    <row r="70" s="3" customFormat="1" ht="18" customHeight="1" spans="1:15">
      <c r="A70" s="47">
        <v>43678</v>
      </c>
      <c r="B70" s="48">
        <f t="shared" si="9"/>
        <v>448.23</v>
      </c>
      <c r="C70" s="49"/>
      <c r="D70" s="50" t="s">
        <v>21</v>
      </c>
      <c r="E70" s="78">
        <v>0.13</v>
      </c>
      <c r="F70" s="48">
        <f t="shared" si="11"/>
        <v>58.27</v>
      </c>
      <c r="G70" s="33">
        <v>506.5</v>
      </c>
      <c r="H70" s="52"/>
      <c r="I70" s="70"/>
      <c r="J70" s="71"/>
      <c r="K70" s="72" t="s">
        <v>65</v>
      </c>
      <c r="L70" s="73" t="s">
        <v>90</v>
      </c>
      <c r="M70" s="71"/>
      <c r="N70" s="71"/>
      <c r="O70" s="73"/>
    </row>
    <row r="71" s="3" customFormat="1" ht="18" customHeight="1" spans="1:15">
      <c r="A71" s="47">
        <v>43678</v>
      </c>
      <c r="B71" s="48">
        <f t="shared" si="9"/>
        <v>317.7</v>
      </c>
      <c r="C71" s="49"/>
      <c r="D71" s="50" t="s">
        <v>21</v>
      </c>
      <c r="E71" s="78">
        <v>0.13</v>
      </c>
      <c r="F71" s="48">
        <f t="shared" si="11"/>
        <v>41.3</v>
      </c>
      <c r="G71" s="33">
        <v>359</v>
      </c>
      <c r="H71" s="52"/>
      <c r="I71" s="70"/>
      <c r="J71" s="71"/>
      <c r="K71" s="72" t="s">
        <v>65</v>
      </c>
      <c r="L71" s="73" t="s">
        <v>91</v>
      </c>
      <c r="M71" s="71"/>
      <c r="N71" s="71"/>
      <c r="O71" s="73"/>
    </row>
    <row r="72" s="3" customFormat="1" ht="18" customHeight="1" spans="1:15">
      <c r="A72" s="47">
        <v>43678</v>
      </c>
      <c r="B72" s="48">
        <f t="shared" si="9"/>
        <v>992.92</v>
      </c>
      <c r="C72" s="49"/>
      <c r="D72" s="50" t="s">
        <v>21</v>
      </c>
      <c r="E72" s="78">
        <v>0.13</v>
      </c>
      <c r="F72" s="48">
        <f t="shared" si="11"/>
        <v>129.08</v>
      </c>
      <c r="G72" s="33">
        <v>1122</v>
      </c>
      <c r="H72" s="52"/>
      <c r="I72" s="70"/>
      <c r="J72" s="71"/>
      <c r="K72" s="72" t="s">
        <v>65</v>
      </c>
      <c r="L72" s="73" t="s">
        <v>92</v>
      </c>
      <c r="M72" s="71"/>
      <c r="N72" s="71"/>
      <c r="O72" s="73"/>
    </row>
    <row r="73" s="3" customFormat="1" ht="18" customHeight="1" spans="1:15">
      <c r="A73" s="47">
        <v>43678</v>
      </c>
      <c r="B73" s="48">
        <f t="shared" si="9"/>
        <v>5953.88</v>
      </c>
      <c r="C73" s="49"/>
      <c r="D73" s="50" t="s">
        <v>21</v>
      </c>
      <c r="E73" s="78">
        <v>0.03</v>
      </c>
      <c r="F73" s="48">
        <f t="shared" si="11"/>
        <v>178.62</v>
      </c>
      <c r="G73" s="33">
        <v>6132.5</v>
      </c>
      <c r="H73" s="52"/>
      <c r="I73" s="70"/>
      <c r="J73" s="71"/>
      <c r="K73" s="72" t="s">
        <v>93</v>
      </c>
      <c r="L73" s="73" t="s">
        <v>94</v>
      </c>
      <c r="M73" s="71"/>
      <c r="N73" s="71"/>
      <c r="O73" s="73"/>
    </row>
    <row r="74" s="3" customFormat="1" ht="18" customHeight="1" spans="1:15">
      <c r="A74" s="47">
        <v>43678</v>
      </c>
      <c r="B74" s="48">
        <f t="shared" si="9"/>
        <v>2641</v>
      </c>
      <c r="C74" s="49"/>
      <c r="D74" s="50" t="s">
        <v>67</v>
      </c>
      <c r="E74" s="78"/>
      <c r="F74" s="48">
        <f t="shared" si="11"/>
        <v>0</v>
      </c>
      <c r="G74" s="33">
        <v>2641</v>
      </c>
      <c r="H74" s="52"/>
      <c r="I74" s="70"/>
      <c r="J74" s="71"/>
      <c r="K74" s="75" t="s">
        <v>68</v>
      </c>
      <c r="L74" s="73" t="s">
        <v>95</v>
      </c>
      <c r="M74" s="71"/>
      <c r="N74" s="71"/>
      <c r="O74" s="73"/>
    </row>
    <row r="75" s="3" customFormat="1" ht="18" customHeight="1" spans="1:15">
      <c r="A75" s="47">
        <v>43678</v>
      </c>
      <c r="B75" s="48">
        <f t="shared" si="9"/>
        <v>3628</v>
      </c>
      <c r="C75" s="49"/>
      <c r="D75" s="50" t="s">
        <v>67</v>
      </c>
      <c r="E75" s="78"/>
      <c r="F75" s="48">
        <f t="shared" si="11"/>
        <v>0</v>
      </c>
      <c r="G75" s="33">
        <v>3628</v>
      </c>
      <c r="H75" s="52"/>
      <c r="I75" s="70"/>
      <c r="J75" s="71"/>
      <c r="K75" s="75" t="s">
        <v>68</v>
      </c>
      <c r="L75" s="73" t="s">
        <v>95</v>
      </c>
      <c r="M75" s="71"/>
      <c r="N75" s="71"/>
      <c r="O75" s="73"/>
    </row>
    <row r="76" s="3" customFormat="1" ht="18" customHeight="1" spans="1:15">
      <c r="A76" s="47">
        <v>43678</v>
      </c>
      <c r="B76" s="48">
        <f t="shared" si="9"/>
        <v>3280</v>
      </c>
      <c r="C76" s="49"/>
      <c r="D76" s="50" t="s">
        <v>67</v>
      </c>
      <c r="E76" s="78"/>
      <c r="F76" s="48">
        <f t="shared" si="11"/>
        <v>0</v>
      </c>
      <c r="G76" s="33">
        <v>3280</v>
      </c>
      <c r="H76" s="52"/>
      <c r="I76" s="70"/>
      <c r="J76" s="71"/>
      <c r="K76" s="72" t="s">
        <v>96</v>
      </c>
      <c r="L76" s="73" t="s">
        <v>97</v>
      </c>
      <c r="M76" s="74"/>
      <c r="N76" s="71"/>
      <c r="O76" s="73"/>
    </row>
    <row r="77" s="3" customFormat="1" ht="18" customHeight="1" spans="1:15">
      <c r="A77" s="47">
        <v>43678</v>
      </c>
      <c r="B77" s="48">
        <f t="shared" si="9"/>
        <v>18839</v>
      </c>
      <c r="C77" s="49"/>
      <c r="D77" s="50" t="s">
        <v>67</v>
      </c>
      <c r="E77" s="78"/>
      <c r="F77" s="48">
        <f t="shared" si="11"/>
        <v>0</v>
      </c>
      <c r="G77" s="33">
        <v>18839</v>
      </c>
      <c r="H77" s="52"/>
      <c r="I77" s="70"/>
      <c r="J77" s="71"/>
      <c r="K77" s="72" t="s">
        <v>98</v>
      </c>
      <c r="L77" s="73" t="s">
        <v>99</v>
      </c>
      <c r="M77" s="71"/>
      <c r="N77" s="71"/>
      <c r="O77" s="73"/>
    </row>
    <row r="78" s="3" customFormat="1" ht="18" customHeight="1" spans="1:15">
      <c r="A78" s="47">
        <v>43678</v>
      </c>
      <c r="B78" s="48">
        <f t="shared" si="9"/>
        <v>360</v>
      </c>
      <c r="C78" s="49"/>
      <c r="D78" s="50" t="s">
        <v>67</v>
      </c>
      <c r="E78" s="78"/>
      <c r="F78" s="48">
        <f t="shared" si="11"/>
        <v>0</v>
      </c>
      <c r="G78" s="33">
        <v>360</v>
      </c>
      <c r="H78" s="52"/>
      <c r="I78" s="70"/>
      <c r="J78" s="71"/>
      <c r="K78" s="72" t="s">
        <v>96</v>
      </c>
      <c r="L78" s="73" t="s">
        <v>101</v>
      </c>
      <c r="M78" s="71"/>
      <c r="N78" s="71"/>
      <c r="O78" s="73"/>
    </row>
    <row r="79" s="3" customFormat="1" ht="18" customHeight="1" spans="1:15">
      <c r="A79" s="47">
        <v>43678</v>
      </c>
      <c r="B79" s="48">
        <f t="shared" si="9"/>
        <v>5013.1</v>
      </c>
      <c r="C79" s="49"/>
      <c r="D79" s="50" t="s">
        <v>67</v>
      </c>
      <c r="E79" s="78"/>
      <c r="F79" s="48">
        <f t="shared" si="11"/>
        <v>0</v>
      </c>
      <c r="G79" s="33">
        <v>5013.1</v>
      </c>
      <c r="H79" s="52"/>
      <c r="I79" s="70"/>
      <c r="J79" s="71"/>
      <c r="K79" s="75" t="s">
        <v>68</v>
      </c>
      <c r="L79" s="73" t="s">
        <v>95</v>
      </c>
      <c r="M79" s="71"/>
      <c r="N79" s="71"/>
      <c r="O79" s="73"/>
    </row>
    <row r="80" s="3" customFormat="1" ht="18" customHeight="1" spans="1:15">
      <c r="A80" s="47">
        <v>43678</v>
      </c>
      <c r="B80" s="48">
        <f t="shared" si="9"/>
        <v>12197</v>
      </c>
      <c r="C80" s="49"/>
      <c r="D80" s="50" t="s">
        <v>67</v>
      </c>
      <c r="E80" s="78"/>
      <c r="F80" s="48">
        <f t="shared" si="11"/>
        <v>0</v>
      </c>
      <c r="G80" s="33">
        <v>12197</v>
      </c>
      <c r="H80" s="52"/>
      <c r="I80" s="70"/>
      <c r="J80" s="71"/>
      <c r="K80" s="75" t="s">
        <v>68</v>
      </c>
      <c r="L80" s="73" t="s">
        <v>95</v>
      </c>
      <c r="M80" s="71"/>
      <c r="N80" s="71"/>
      <c r="O80" s="73"/>
    </row>
    <row r="81" s="3" customFormat="1" ht="18" customHeight="1" spans="1:15">
      <c r="A81" s="47">
        <v>43678</v>
      </c>
      <c r="B81" s="48">
        <f t="shared" si="9"/>
        <v>7459</v>
      </c>
      <c r="C81" s="49"/>
      <c r="D81" s="50" t="s">
        <v>67</v>
      </c>
      <c r="E81" s="78"/>
      <c r="F81" s="48">
        <f t="shared" si="11"/>
        <v>0</v>
      </c>
      <c r="G81" s="33">
        <v>7459</v>
      </c>
      <c r="H81" s="52"/>
      <c r="I81" s="70"/>
      <c r="J81" s="71"/>
      <c r="K81" s="75" t="s">
        <v>68</v>
      </c>
      <c r="L81" s="73" t="s">
        <v>95</v>
      </c>
      <c r="M81" s="71"/>
      <c r="N81" s="71"/>
      <c r="O81" s="73"/>
    </row>
    <row r="82" s="3" customFormat="1" ht="18" customHeight="1" spans="1:15">
      <c r="A82" s="47">
        <v>43678</v>
      </c>
      <c r="B82" s="48">
        <f t="shared" si="9"/>
        <v>8144</v>
      </c>
      <c r="C82" s="49"/>
      <c r="D82" s="50" t="s">
        <v>67</v>
      </c>
      <c r="E82" s="78"/>
      <c r="F82" s="48">
        <f t="shared" si="11"/>
        <v>0</v>
      </c>
      <c r="G82" s="33">
        <v>8144</v>
      </c>
      <c r="H82" s="52"/>
      <c r="I82" s="70"/>
      <c r="J82" s="71"/>
      <c r="K82" s="75" t="s">
        <v>68</v>
      </c>
      <c r="L82" s="73" t="s">
        <v>95</v>
      </c>
      <c r="M82" s="71"/>
      <c r="N82" s="71"/>
      <c r="O82" s="73"/>
    </row>
    <row r="83" s="3" customFormat="1" ht="18" customHeight="1" spans="1:15">
      <c r="A83" s="47">
        <v>43709</v>
      </c>
      <c r="B83" s="48">
        <f t="shared" si="9"/>
        <v>200296.46</v>
      </c>
      <c r="C83" s="49"/>
      <c r="D83" s="50" t="s">
        <v>21</v>
      </c>
      <c r="E83" s="78">
        <v>0.13</v>
      </c>
      <c r="F83" s="48">
        <f t="shared" si="11"/>
        <v>26038.54</v>
      </c>
      <c r="G83" s="33">
        <v>226335</v>
      </c>
      <c r="H83" s="52">
        <v>43706</v>
      </c>
      <c r="I83" s="70">
        <v>76335</v>
      </c>
      <c r="J83" s="71" t="s">
        <v>58</v>
      </c>
      <c r="K83" s="72" t="s">
        <v>69</v>
      </c>
      <c r="L83" s="73" t="s">
        <v>60</v>
      </c>
      <c r="M83" s="71"/>
      <c r="N83" s="71"/>
      <c r="O83" s="73"/>
    </row>
    <row r="84" s="3" customFormat="1" ht="18" customHeight="1" spans="1:15">
      <c r="A84" s="47"/>
      <c r="B84" s="48">
        <f t="shared" si="9"/>
        <v>0</v>
      </c>
      <c r="C84" s="49"/>
      <c r="D84" s="50"/>
      <c r="E84" s="78"/>
      <c r="F84" s="48">
        <f t="shared" si="11"/>
        <v>0</v>
      </c>
      <c r="G84" s="33"/>
      <c r="H84" s="52">
        <v>43706</v>
      </c>
      <c r="I84" s="70">
        <v>70047.1</v>
      </c>
      <c r="J84" s="71" t="s">
        <v>58</v>
      </c>
      <c r="K84" s="75" t="s">
        <v>68</v>
      </c>
      <c r="L84" s="73" t="s">
        <v>71</v>
      </c>
      <c r="M84" s="71"/>
      <c r="N84" s="71"/>
      <c r="O84" s="73"/>
    </row>
    <row r="85" s="3" customFormat="1" ht="18" customHeight="1" spans="1:15">
      <c r="A85" s="47">
        <v>43709</v>
      </c>
      <c r="B85" s="48">
        <f t="shared" si="9"/>
        <v>36658.76</v>
      </c>
      <c r="C85" s="49"/>
      <c r="D85" s="50" t="s">
        <v>21</v>
      </c>
      <c r="E85" s="78">
        <v>0.13</v>
      </c>
      <c r="F85" s="48">
        <f t="shared" si="11"/>
        <v>4765.64</v>
      </c>
      <c r="G85" s="33">
        <v>41424.4</v>
      </c>
      <c r="H85" s="52">
        <v>43712</v>
      </c>
      <c r="I85" s="70">
        <v>41424.4</v>
      </c>
      <c r="J85" s="71" t="s">
        <v>58</v>
      </c>
      <c r="K85" s="72" t="s">
        <v>45</v>
      </c>
      <c r="L85" s="73" t="s">
        <v>102</v>
      </c>
      <c r="M85" s="71"/>
      <c r="N85" s="71"/>
      <c r="O85" s="73"/>
    </row>
    <row r="86" s="3" customFormat="1" ht="18" customHeight="1" spans="1:15">
      <c r="A86" s="47">
        <v>43709</v>
      </c>
      <c r="B86" s="48">
        <f t="shared" si="9"/>
        <v>13218.05</v>
      </c>
      <c r="C86" s="49"/>
      <c r="D86" s="50" t="s">
        <v>21</v>
      </c>
      <c r="E86" s="78">
        <v>0.13</v>
      </c>
      <c r="F86" s="48">
        <f t="shared" si="11"/>
        <v>1718.35</v>
      </c>
      <c r="G86" s="33">
        <v>14936.4</v>
      </c>
      <c r="H86" s="52">
        <v>43712</v>
      </c>
      <c r="I86" s="70">
        <v>14936.4</v>
      </c>
      <c r="J86" s="71" t="s">
        <v>58</v>
      </c>
      <c r="K86" s="72" t="s">
        <v>47</v>
      </c>
      <c r="L86" s="73" t="s">
        <v>103</v>
      </c>
      <c r="M86" s="71"/>
      <c r="N86" s="71"/>
      <c r="O86" s="73"/>
    </row>
    <row r="87" s="3" customFormat="1" ht="18" customHeight="1" spans="1:15">
      <c r="A87" s="47">
        <v>43709</v>
      </c>
      <c r="B87" s="48">
        <f t="shared" si="9"/>
        <v>63001.5</v>
      </c>
      <c r="C87" s="49"/>
      <c r="D87" s="50" t="s">
        <v>21</v>
      </c>
      <c r="E87" s="78">
        <v>0.13</v>
      </c>
      <c r="F87" s="48">
        <f t="shared" si="11"/>
        <v>8190.2</v>
      </c>
      <c r="G87" s="33">
        <v>71191.7</v>
      </c>
      <c r="H87" s="52">
        <v>43712</v>
      </c>
      <c r="I87" s="70">
        <v>71191.7</v>
      </c>
      <c r="J87" s="71" t="s">
        <v>58</v>
      </c>
      <c r="K87" s="72" t="s">
        <v>212</v>
      </c>
      <c r="L87" s="73" t="s">
        <v>53</v>
      </c>
      <c r="M87" s="71"/>
      <c r="N87" s="71"/>
      <c r="O87" s="73"/>
    </row>
    <row r="88" s="3" customFormat="1" ht="18" customHeight="1" spans="1:15">
      <c r="A88" s="47">
        <v>43709</v>
      </c>
      <c r="B88" s="48">
        <f t="shared" si="9"/>
        <v>780766.02</v>
      </c>
      <c r="C88" s="49"/>
      <c r="D88" s="50" t="s">
        <v>21</v>
      </c>
      <c r="E88" s="78">
        <v>0.03</v>
      </c>
      <c r="F88" s="48">
        <f t="shared" si="11"/>
        <v>23422.98</v>
      </c>
      <c r="G88" s="33">
        <f>100000*8+4189</f>
        <v>804189</v>
      </c>
      <c r="H88" s="52">
        <v>43712</v>
      </c>
      <c r="I88" s="70">
        <v>200000</v>
      </c>
      <c r="J88" s="71" t="s">
        <v>58</v>
      </c>
      <c r="K88" s="72" t="s">
        <v>80</v>
      </c>
      <c r="L88" s="73" t="s">
        <v>81</v>
      </c>
      <c r="M88" s="71"/>
      <c r="N88" s="71"/>
      <c r="O88" s="73"/>
    </row>
    <row r="89" s="3" customFormat="1" ht="18" customHeight="1" spans="1:15">
      <c r="A89" s="47"/>
      <c r="B89" s="48">
        <f t="shared" si="9"/>
        <v>0</v>
      </c>
      <c r="C89" s="49"/>
      <c r="D89" s="50"/>
      <c r="E89" s="51"/>
      <c r="F89" s="48">
        <f t="shared" si="11"/>
        <v>0</v>
      </c>
      <c r="G89" s="33"/>
      <c r="H89" s="52">
        <v>43718</v>
      </c>
      <c r="I89" s="70">
        <v>200000</v>
      </c>
      <c r="J89" s="71" t="s">
        <v>58</v>
      </c>
      <c r="K89" s="72" t="s">
        <v>61</v>
      </c>
      <c r="L89" s="73" t="s">
        <v>104</v>
      </c>
      <c r="M89" s="74" t="s">
        <v>63</v>
      </c>
      <c r="N89" s="71"/>
      <c r="O89" s="73"/>
    </row>
    <row r="90" s="3" customFormat="1" ht="18" customHeight="1" spans="1:15">
      <c r="A90" s="47">
        <v>43709</v>
      </c>
      <c r="B90" s="48">
        <f t="shared" si="9"/>
        <v>378026.55</v>
      </c>
      <c r="C90" s="49"/>
      <c r="D90" s="50" t="s">
        <v>21</v>
      </c>
      <c r="E90" s="78">
        <v>0.13</v>
      </c>
      <c r="F90" s="48">
        <f t="shared" si="11"/>
        <v>49143.45</v>
      </c>
      <c r="G90" s="33">
        <f>106792.5*4</f>
        <v>427170</v>
      </c>
      <c r="H90" s="52">
        <v>43718</v>
      </c>
      <c r="I90" s="70">
        <v>427170</v>
      </c>
      <c r="J90" s="71" t="s">
        <v>58</v>
      </c>
      <c r="K90" s="72" t="s">
        <v>105</v>
      </c>
      <c r="L90" s="73" t="s">
        <v>106</v>
      </c>
      <c r="M90" s="71"/>
      <c r="N90" s="71"/>
      <c r="O90" s="73"/>
    </row>
    <row r="91" s="3" customFormat="1" ht="18" customHeight="1" spans="1:15">
      <c r="A91" s="47">
        <v>43709</v>
      </c>
      <c r="B91" s="48">
        <f t="shared" si="9"/>
        <v>32715.15</v>
      </c>
      <c r="C91" s="49"/>
      <c r="D91" s="50" t="s">
        <v>21</v>
      </c>
      <c r="E91" s="78">
        <v>0.03</v>
      </c>
      <c r="F91" s="48">
        <f t="shared" si="11"/>
        <v>981.45</v>
      </c>
      <c r="G91" s="33">
        <v>33696.6</v>
      </c>
      <c r="H91" s="52"/>
      <c r="I91" s="70"/>
      <c r="J91" s="71"/>
      <c r="K91" s="72" t="s">
        <v>87</v>
      </c>
      <c r="L91" s="73" t="s">
        <v>107</v>
      </c>
      <c r="M91" s="71"/>
      <c r="N91" s="71"/>
      <c r="O91" s="73"/>
    </row>
    <row r="92" s="3" customFormat="1" ht="18" customHeight="1" spans="1:15">
      <c r="A92" s="47">
        <v>43709</v>
      </c>
      <c r="B92" s="48">
        <f t="shared" si="9"/>
        <v>22171</v>
      </c>
      <c r="C92" s="49"/>
      <c r="D92" s="50" t="s">
        <v>67</v>
      </c>
      <c r="E92" s="51"/>
      <c r="F92" s="48">
        <f t="shared" si="11"/>
        <v>0</v>
      </c>
      <c r="G92" s="33">
        <v>22171</v>
      </c>
      <c r="H92" s="52"/>
      <c r="I92" s="70"/>
      <c r="J92" s="71"/>
      <c r="K92" s="72" t="s">
        <v>108</v>
      </c>
      <c r="L92" s="73" t="s">
        <v>99</v>
      </c>
      <c r="M92" s="71"/>
      <c r="N92" s="71"/>
      <c r="O92" s="73"/>
    </row>
    <row r="93" s="3" customFormat="1" ht="18" customHeight="1" spans="1:15">
      <c r="A93" s="47">
        <v>43709</v>
      </c>
      <c r="B93" s="48">
        <f t="shared" si="9"/>
        <v>1285</v>
      </c>
      <c r="C93" s="49"/>
      <c r="D93" s="50" t="s">
        <v>67</v>
      </c>
      <c r="E93" s="51"/>
      <c r="F93" s="48">
        <f t="shared" si="11"/>
        <v>0</v>
      </c>
      <c r="G93" s="33">
        <v>1285</v>
      </c>
      <c r="H93" s="52"/>
      <c r="I93" s="70"/>
      <c r="J93" s="71"/>
      <c r="K93" s="72" t="s">
        <v>96</v>
      </c>
      <c r="L93" s="73" t="s">
        <v>101</v>
      </c>
      <c r="M93" s="74"/>
      <c r="N93" s="71"/>
      <c r="O93" s="73"/>
    </row>
    <row r="94" s="3" customFormat="1" ht="18" customHeight="1" spans="1:15">
      <c r="A94" s="47">
        <v>43709</v>
      </c>
      <c r="B94" s="48">
        <f t="shared" si="9"/>
        <v>2360</v>
      </c>
      <c r="C94" s="49"/>
      <c r="D94" s="50" t="s">
        <v>67</v>
      </c>
      <c r="E94" s="51"/>
      <c r="F94" s="48">
        <f t="shared" si="11"/>
        <v>0</v>
      </c>
      <c r="G94" s="33">
        <v>2360</v>
      </c>
      <c r="H94" s="52"/>
      <c r="I94" s="70"/>
      <c r="J94" s="71"/>
      <c r="K94" s="75" t="s">
        <v>68</v>
      </c>
      <c r="L94" s="73" t="s">
        <v>109</v>
      </c>
      <c r="M94" s="71"/>
      <c r="N94" s="71"/>
      <c r="O94" s="73"/>
    </row>
    <row r="95" s="3" customFormat="1" ht="18" customHeight="1" spans="1:15">
      <c r="A95" s="47">
        <v>43709</v>
      </c>
      <c r="B95" s="48">
        <f t="shared" si="9"/>
        <v>4440</v>
      </c>
      <c r="C95" s="49"/>
      <c r="D95" s="50" t="s">
        <v>67</v>
      </c>
      <c r="E95" s="51"/>
      <c r="F95" s="48">
        <f t="shared" si="11"/>
        <v>0</v>
      </c>
      <c r="G95" s="33">
        <v>4440</v>
      </c>
      <c r="H95" s="52"/>
      <c r="I95" s="70"/>
      <c r="J95" s="71"/>
      <c r="K95" s="75" t="s">
        <v>68</v>
      </c>
      <c r="L95" s="73" t="s">
        <v>110</v>
      </c>
      <c r="M95" s="71"/>
      <c r="N95" s="71"/>
      <c r="O95" s="73"/>
    </row>
    <row r="96" s="3" customFormat="1" ht="18" customHeight="1" spans="1:15">
      <c r="A96" s="47">
        <v>43709</v>
      </c>
      <c r="B96" s="48">
        <f t="shared" si="9"/>
        <v>1709</v>
      </c>
      <c r="C96" s="49"/>
      <c r="D96" s="50" t="s">
        <v>67</v>
      </c>
      <c r="E96" s="51"/>
      <c r="F96" s="48">
        <f t="shared" si="11"/>
        <v>0</v>
      </c>
      <c r="G96" s="33">
        <v>1709</v>
      </c>
      <c r="H96" s="52"/>
      <c r="I96" s="70"/>
      <c r="J96" s="71"/>
      <c r="K96" s="75" t="s">
        <v>68</v>
      </c>
      <c r="L96" s="73" t="s">
        <v>111</v>
      </c>
      <c r="M96" s="71"/>
      <c r="N96" s="71"/>
      <c r="O96" s="73"/>
    </row>
    <row r="97" s="3" customFormat="1" ht="18" customHeight="1" spans="1:15">
      <c r="A97" s="47">
        <v>43709</v>
      </c>
      <c r="B97" s="48">
        <f t="shared" si="9"/>
        <v>1024</v>
      </c>
      <c r="C97" s="49"/>
      <c r="D97" s="50" t="s">
        <v>67</v>
      </c>
      <c r="E97" s="51"/>
      <c r="F97" s="48">
        <f t="shared" si="11"/>
        <v>0</v>
      </c>
      <c r="G97" s="33">
        <v>1024</v>
      </c>
      <c r="H97" s="52"/>
      <c r="I97" s="70"/>
      <c r="J97" s="71"/>
      <c r="K97" s="75" t="s">
        <v>68</v>
      </c>
      <c r="L97" s="73" t="s">
        <v>112</v>
      </c>
      <c r="M97" s="71"/>
      <c r="N97" s="71"/>
      <c r="O97" s="73"/>
    </row>
    <row r="98" s="3" customFormat="1" ht="18" customHeight="1" spans="1:15">
      <c r="A98" s="47"/>
      <c r="B98" s="48">
        <f t="shared" si="9"/>
        <v>0</v>
      </c>
      <c r="C98" s="49"/>
      <c r="D98" s="50"/>
      <c r="E98" s="51"/>
      <c r="F98" s="48">
        <f t="shared" si="11"/>
        <v>0</v>
      </c>
      <c r="G98" s="33"/>
      <c r="H98" s="52">
        <v>43738</v>
      </c>
      <c r="I98" s="70">
        <v>142562.98</v>
      </c>
      <c r="J98" s="71" t="s">
        <v>58</v>
      </c>
      <c r="K98" s="72" t="s">
        <v>113</v>
      </c>
      <c r="L98" s="73" t="s">
        <v>114</v>
      </c>
      <c r="M98" s="71"/>
      <c r="N98" s="71"/>
      <c r="O98" s="73"/>
    </row>
    <row r="99" s="4" customFormat="1" ht="18" customHeight="1" spans="1:15">
      <c r="A99" s="79">
        <v>43739</v>
      </c>
      <c r="B99" s="80">
        <f t="shared" si="9"/>
        <v>451347.24</v>
      </c>
      <c r="C99" s="81"/>
      <c r="D99" s="82" t="s">
        <v>21</v>
      </c>
      <c r="E99" s="83">
        <v>0.13</v>
      </c>
      <c r="F99" s="80">
        <f t="shared" si="11"/>
        <v>58675.14</v>
      </c>
      <c r="G99" s="84">
        <f>112997+112997.15+80811.43+103838.8+99378</f>
        <v>510022.38</v>
      </c>
      <c r="H99" s="85">
        <v>43738</v>
      </c>
      <c r="I99" s="84">
        <v>510022.38</v>
      </c>
      <c r="J99" s="87" t="s">
        <v>58</v>
      </c>
      <c r="K99" s="88" t="s">
        <v>52</v>
      </c>
      <c r="L99" s="89" t="s">
        <v>115</v>
      </c>
      <c r="M99" s="87"/>
      <c r="N99" s="87"/>
      <c r="O99" s="89"/>
    </row>
    <row r="100" s="3" customFormat="1" ht="18" customHeight="1" spans="1:15">
      <c r="A100" s="47">
        <v>43739</v>
      </c>
      <c r="B100" s="48">
        <f t="shared" si="9"/>
        <v>199469.03</v>
      </c>
      <c r="C100" s="49"/>
      <c r="D100" s="50" t="s">
        <v>21</v>
      </c>
      <c r="E100" s="78">
        <v>0.13</v>
      </c>
      <c r="F100" s="48">
        <f t="shared" si="11"/>
        <v>25930.97</v>
      </c>
      <c r="G100" s="33">
        <v>225400</v>
      </c>
      <c r="H100" s="52">
        <v>43738</v>
      </c>
      <c r="I100" s="70">
        <v>225400</v>
      </c>
      <c r="J100" s="71" t="s">
        <v>58</v>
      </c>
      <c r="K100" s="72" t="s">
        <v>116</v>
      </c>
      <c r="L100" s="73" t="s">
        <v>114</v>
      </c>
      <c r="M100" s="73"/>
      <c r="N100" s="71"/>
      <c r="O100" s="73"/>
    </row>
    <row r="101" s="3" customFormat="1" ht="18" customHeight="1" spans="1:15">
      <c r="A101" s="47"/>
      <c r="B101" s="48">
        <f t="shared" ref="B101:B122" si="12">ROUND(G101/(1+E101),2)</f>
        <v>0</v>
      </c>
      <c r="C101" s="49"/>
      <c r="D101" s="50"/>
      <c r="E101" s="51"/>
      <c r="F101" s="48">
        <f t="shared" si="11"/>
        <v>0</v>
      </c>
      <c r="G101" s="33"/>
      <c r="H101" s="52">
        <v>43738</v>
      </c>
      <c r="I101" s="70">
        <v>48513</v>
      </c>
      <c r="J101" s="71" t="s">
        <v>58</v>
      </c>
      <c r="K101" s="75" t="s">
        <v>68</v>
      </c>
      <c r="L101" s="73" t="s">
        <v>117</v>
      </c>
      <c r="M101" s="71"/>
      <c r="N101" s="71"/>
      <c r="O101" s="73"/>
    </row>
    <row r="102" s="3" customFormat="1" ht="18" customHeight="1" spans="1:15">
      <c r="A102" s="47"/>
      <c r="B102" s="48">
        <f t="shared" si="12"/>
        <v>0</v>
      </c>
      <c r="C102" s="49"/>
      <c r="D102" s="86"/>
      <c r="E102" s="51"/>
      <c r="F102" s="48">
        <f t="shared" si="11"/>
        <v>0</v>
      </c>
      <c r="G102" s="33"/>
      <c r="H102" s="52">
        <v>43738</v>
      </c>
      <c r="I102" s="70">
        <v>447150</v>
      </c>
      <c r="J102" s="71" t="s">
        <v>58</v>
      </c>
      <c r="K102" s="72" t="s">
        <v>118</v>
      </c>
      <c r="L102" s="73" t="s">
        <v>114</v>
      </c>
      <c r="M102" s="71"/>
      <c r="N102" s="71"/>
      <c r="O102" s="73"/>
    </row>
    <row r="103" s="3" customFormat="1" ht="18" customHeight="1" spans="1:15">
      <c r="A103" s="47"/>
      <c r="B103" s="48">
        <f t="shared" si="12"/>
        <v>0</v>
      </c>
      <c r="C103" s="49"/>
      <c r="D103" s="50"/>
      <c r="E103" s="51"/>
      <c r="F103" s="48">
        <f t="shared" si="11"/>
        <v>0</v>
      </c>
      <c r="G103" s="33"/>
      <c r="H103" s="52">
        <v>43738</v>
      </c>
      <c r="I103" s="70">
        <v>57715.77</v>
      </c>
      <c r="J103" s="71" t="s">
        <v>58</v>
      </c>
      <c r="K103" s="75" t="s">
        <v>68</v>
      </c>
      <c r="L103" s="73" t="s">
        <v>117</v>
      </c>
      <c r="M103" s="71"/>
      <c r="N103" s="71"/>
      <c r="O103" s="73"/>
    </row>
    <row r="104" s="3" customFormat="1" ht="18" customHeight="1" spans="1:15">
      <c r="A104" s="47"/>
      <c r="B104" s="48">
        <f t="shared" si="12"/>
        <v>0</v>
      </c>
      <c r="C104" s="49"/>
      <c r="D104" s="50"/>
      <c r="E104" s="51"/>
      <c r="F104" s="48">
        <f t="shared" si="11"/>
        <v>0</v>
      </c>
      <c r="G104" s="33"/>
      <c r="H104" s="52">
        <v>43748</v>
      </c>
      <c r="I104" s="70">
        <v>16665.6</v>
      </c>
      <c r="J104" s="71" t="s">
        <v>58</v>
      </c>
      <c r="K104" s="72" t="s">
        <v>47</v>
      </c>
      <c r="L104" s="73" t="s">
        <v>119</v>
      </c>
      <c r="M104" s="71"/>
      <c r="N104" s="71"/>
      <c r="O104" s="73"/>
    </row>
    <row r="105" s="3" customFormat="1" ht="18" customHeight="1" spans="1:15">
      <c r="A105" s="47"/>
      <c r="B105" s="48">
        <f t="shared" si="12"/>
        <v>0</v>
      </c>
      <c r="C105" s="49"/>
      <c r="D105" s="50"/>
      <c r="E105" s="51"/>
      <c r="F105" s="48">
        <f t="shared" si="11"/>
        <v>0</v>
      </c>
      <c r="G105" s="33"/>
      <c r="H105" s="52">
        <v>43748</v>
      </c>
      <c r="I105" s="70">
        <v>5000</v>
      </c>
      <c r="J105" s="71" t="s">
        <v>58</v>
      </c>
      <c r="K105" s="72" t="s">
        <v>85</v>
      </c>
      <c r="L105" s="73" t="s">
        <v>86</v>
      </c>
      <c r="M105" s="71"/>
      <c r="N105" s="71"/>
      <c r="O105" s="73"/>
    </row>
    <row r="106" s="3" customFormat="1" ht="18" customHeight="1" spans="1:15">
      <c r="A106" s="47">
        <v>43739</v>
      </c>
      <c r="B106" s="48">
        <f t="shared" si="12"/>
        <v>33600</v>
      </c>
      <c r="C106" s="49"/>
      <c r="D106" s="50" t="s">
        <v>21</v>
      </c>
      <c r="E106" s="78">
        <v>0.03</v>
      </c>
      <c r="F106" s="48">
        <f t="shared" si="11"/>
        <v>1008</v>
      </c>
      <c r="G106" s="33">
        <v>34608</v>
      </c>
      <c r="H106" s="52">
        <v>43748</v>
      </c>
      <c r="I106" s="70">
        <v>34608</v>
      </c>
      <c r="J106" s="71" t="s">
        <v>58</v>
      </c>
      <c r="K106" s="72" t="s">
        <v>72</v>
      </c>
      <c r="L106" s="73" t="s">
        <v>120</v>
      </c>
      <c r="M106" s="71"/>
      <c r="N106" s="71"/>
      <c r="O106" s="73"/>
    </row>
    <row r="107" s="3" customFormat="1" ht="18" customHeight="1" spans="1:15">
      <c r="A107" s="47"/>
      <c r="B107" s="48">
        <f t="shared" si="12"/>
        <v>0</v>
      </c>
      <c r="C107" s="49"/>
      <c r="D107" s="50"/>
      <c r="E107" s="51"/>
      <c r="F107" s="48">
        <f t="shared" si="11"/>
        <v>0</v>
      </c>
      <c r="G107" s="33"/>
      <c r="H107" s="52">
        <v>43754</v>
      </c>
      <c r="I107" s="70">
        <v>100000</v>
      </c>
      <c r="J107" s="71" t="s">
        <v>58</v>
      </c>
      <c r="K107" s="72" t="s">
        <v>80</v>
      </c>
      <c r="L107" s="73" t="s">
        <v>81</v>
      </c>
      <c r="M107" s="71"/>
      <c r="N107" s="71"/>
      <c r="O107" s="73"/>
    </row>
    <row r="108" s="3" customFormat="1" ht="18" customHeight="1" spans="1:15">
      <c r="A108" s="47"/>
      <c r="B108" s="48">
        <f t="shared" si="12"/>
        <v>0</v>
      </c>
      <c r="C108" s="49"/>
      <c r="D108" s="50"/>
      <c r="E108" s="51"/>
      <c r="F108" s="48">
        <f t="shared" si="11"/>
        <v>0</v>
      </c>
      <c r="G108" s="33"/>
      <c r="H108" s="52">
        <v>43754</v>
      </c>
      <c r="I108" s="70">
        <v>300000</v>
      </c>
      <c r="J108" s="71" t="s">
        <v>58</v>
      </c>
      <c r="K108" s="72" t="s">
        <v>61</v>
      </c>
      <c r="L108" s="73" t="s">
        <v>104</v>
      </c>
      <c r="M108" s="74" t="s">
        <v>63</v>
      </c>
      <c r="N108" s="71"/>
      <c r="O108" s="73"/>
    </row>
    <row r="109" s="3" customFormat="1" ht="18" customHeight="1" spans="1:15">
      <c r="A109" s="47">
        <v>43739</v>
      </c>
      <c r="B109" s="48">
        <f t="shared" si="12"/>
        <v>1292</v>
      </c>
      <c r="C109" s="49"/>
      <c r="D109" s="50" t="s">
        <v>67</v>
      </c>
      <c r="E109" s="51"/>
      <c r="F109" s="48">
        <f t="shared" si="11"/>
        <v>0</v>
      </c>
      <c r="G109" s="33">
        <v>1292</v>
      </c>
      <c r="H109" s="52"/>
      <c r="I109" s="70"/>
      <c r="J109" s="71"/>
      <c r="K109" s="75" t="s">
        <v>68</v>
      </c>
      <c r="L109" s="73"/>
      <c r="M109" s="71"/>
      <c r="N109" s="71"/>
      <c r="O109" s="73"/>
    </row>
    <row r="110" s="3" customFormat="1" ht="18" customHeight="1" spans="1:15">
      <c r="A110" s="47"/>
      <c r="B110" s="48">
        <f t="shared" si="12"/>
        <v>0</v>
      </c>
      <c r="C110" s="49"/>
      <c r="D110" s="50"/>
      <c r="E110" s="51"/>
      <c r="F110" s="48">
        <f t="shared" si="11"/>
        <v>0</v>
      </c>
      <c r="G110" s="33"/>
      <c r="H110" s="52">
        <v>43766</v>
      </c>
      <c r="I110" s="70">
        <v>67035</v>
      </c>
      <c r="J110" s="71" t="s">
        <v>58</v>
      </c>
      <c r="K110" s="72" t="s">
        <v>69</v>
      </c>
      <c r="L110" s="73" t="s">
        <v>53</v>
      </c>
      <c r="M110" s="71"/>
      <c r="N110" s="71"/>
      <c r="O110" s="73"/>
    </row>
    <row r="111" s="3" customFormat="1" ht="18" customHeight="1" spans="1:15">
      <c r="A111" s="47"/>
      <c r="B111" s="48">
        <f t="shared" si="12"/>
        <v>0</v>
      </c>
      <c r="C111" s="49"/>
      <c r="D111" s="50"/>
      <c r="E111" s="51"/>
      <c r="F111" s="48">
        <f t="shared" si="11"/>
        <v>0</v>
      </c>
      <c r="G111" s="33"/>
      <c r="H111" s="52">
        <v>43775</v>
      </c>
      <c r="I111" s="70">
        <v>3000</v>
      </c>
      <c r="J111" s="71" t="s">
        <v>58</v>
      </c>
      <c r="K111" s="72" t="s">
        <v>85</v>
      </c>
      <c r="L111" s="73" t="s">
        <v>86</v>
      </c>
      <c r="M111" s="71"/>
      <c r="N111" s="71"/>
      <c r="O111" s="73"/>
    </row>
    <row r="112" s="3" customFormat="1" ht="18" customHeight="1" spans="1:15">
      <c r="A112" s="47"/>
      <c r="B112" s="48">
        <f t="shared" si="12"/>
        <v>0</v>
      </c>
      <c r="C112" s="49"/>
      <c r="D112" s="50"/>
      <c r="E112" s="51"/>
      <c r="F112" s="48">
        <f t="shared" si="11"/>
        <v>0</v>
      </c>
      <c r="G112" s="33"/>
      <c r="H112" s="52">
        <v>43782</v>
      </c>
      <c r="I112" s="70">
        <v>5000</v>
      </c>
      <c r="J112" s="71" t="s">
        <v>58</v>
      </c>
      <c r="K112" s="72" t="s">
        <v>85</v>
      </c>
      <c r="L112" s="73" t="s">
        <v>86</v>
      </c>
      <c r="M112" s="71"/>
      <c r="N112" s="71"/>
      <c r="O112" s="73"/>
    </row>
    <row r="113" s="3" customFormat="1" ht="18" customHeight="1" spans="1:15">
      <c r="A113" s="47"/>
      <c r="B113" s="48">
        <f t="shared" si="12"/>
        <v>0</v>
      </c>
      <c r="C113" s="49"/>
      <c r="D113" s="50"/>
      <c r="E113" s="51"/>
      <c r="F113" s="48">
        <f t="shared" si="11"/>
        <v>0</v>
      </c>
      <c r="G113" s="33"/>
      <c r="H113" s="52">
        <v>43782</v>
      </c>
      <c r="I113" s="70">
        <v>350745.76</v>
      </c>
      <c r="J113" s="71" t="s">
        <v>58</v>
      </c>
      <c r="K113" s="72" t="s">
        <v>121</v>
      </c>
      <c r="L113" s="73" t="s">
        <v>122</v>
      </c>
      <c r="M113" s="71"/>
      <c r="N113" s="71"/>
      <c r="O113" s="73"/>
    </row>
    <row r="114" s="3" customFormat="1" ht="18" customHeight="1" spans="1:15">
      <c r="A114" s="47">
        <v>43770</v>
      </c>
      <c r="B114" s="48">
        <f t="shared" si="12"/>
        <v>14748.32</v>
      </c>
      <c r="C114" s="49"/>
      <c r="D114" s="50" t="s">
        <v>21</v>
      </c>
      <c r="E114" s="78">
        <v>0.13</v>
      </c>
      <c r="F114" s="48">
        <f t="shared" si="11"/>
        <v>1917.28</v>
      </c>
      <c r="G114" s="33">
        <v>16665.6</v>
      </c>
      <c r="H114" s="52"/>
      <c r="I114" s="70"/>
      <c r="J114" s="71"/>
      <c r="K114" s="72" t="s">
        <v>47</v>
      </c>
      <c r="L114" s="73" t="s">
        <v>123</v>
      </c>
      <c r="M114" s="71"/>
      <c r="N114" s="71"/>
      <c r="O114" s="73"/>
    </row>
    <row r="115" s="3" customFormat="1" ht="18" customHeight="1" spans="1:15">
      <c r="A115" s="47">
        <v>43770</v>
      </c>
      <c r="B115" s="48">
        <f t="shared" si="12"/>
        <v>126161.93</v>
      </c>
      <c r="C115" s="49"/>
      <c r="D115" s="50" t="s">
        <v>21</v>
      </c>
      <c r="E115" s="78">
        <v>0.13</v>
      </c>
      <c r="F115" s="48">
        <f t="shared" si="11"/>
        <v>16401.05</v>
      </c>
      <c r="G115" s="33">
        <v>142562.98</v>
      </c>
      <c r="H115" s="52"/>
      <c r="I115" s="70"/>
      <c r="J115" s="71"/>
      <c r="K115" s="72" t="s">
        <v>113</v>
      </c>
      <c r="L115" s="73" t="s">
        <v>124</v>
      </c>
      <c r="M115" s="71"/>
      <c r="N115" s="71"/>
      <c r="O115" s="73"/>
    </row>
    <row r="116" s="3" customFormat="1" ht="18" customHeight="1" spans="1:15">
      <c r="A116" s="47">
        <v>43770</v>
      </c>
      <c r="B116" s="48">
        <f t="shared" si="12"/>
        <v>4424.78</v>
      </c>
      <c r="C116" s="49"/>
      <c r="D116" s="50" t="s">
        <v>21</v>
      </c>
      <c r="E116" s="78">
        <v>0.13</v>
      </c>
      <c r="F116" s="48">
        <f t="shared" si="11"/>
        <v>575.22</v>
      </c>
      <c r="G116" s="33">
        <v>5000</v>
      </c>
      <c r="H116" s="52"/>
      <c r="I116" s="70"/>
      <c r="J116" s="71"/>
      <c r="K116" s="72" t="s">
        <v>85</v>
      </c>
      <c r="L116" s="73" t="s">
        <v>86</v>
      </c>
      <c r="M116" s="74" t="s">
        <v>125</v>
      </c>
      <c r="N116" s="71"/>
      <c r="O116" s="73"/>
    </row>
    <row r="117" s="3" customFormat="1" ht="18" customHeight="1" spans="1:15">
      <c r="A117" s="47">
        <v>43770</v>
      </c>
      <c r="B117" s="48">
        <f t="shared" si="12"/>
        <v>59323.01</v>
      </c>
      <c r="C117" s="49"/>
      <c r="D117" s="50" t="s">
        <v>21</v>
      </c>
      <c r="E117" s="78">
        <v>0.13</v>
      </c>
      <c r="F117" s="48">
        <f t="shared" si="11"/>
        <v>7711.99</v>
      </c>
      <c r="G117" s="33">
        <v>67035</v>
      </c>
      <c r="H117" s="52"/>
      <c r="I117" s="70"/>
      <c r="J117" s="71"/>
      <c r="K117" s="72" t="s">
        <v>69</v>
      </c>
      <c r="L117" s="73" t="s">
        <v>126</v>
      </c>
      <c r="M117" s="71"/>
      <c r="N117" s="71"/>
      <c r="O117" s="73"/>
    </row>
    <row r="118" s="3" customFormat="1" ht="18" customHeight="1" spans="1:15">
      <c r="A118" s="47">
        <v>43770</v>
      </c>
      <c r="B118" s="48">
        <f t="shared" si="12"/>
        <v>17699.12</v>
      </c>
      <c r="C118" s="49"/>
      <c r="D118" s="50" t="s">
        <v>21</v>
      </c>
      <c r="E118" s="78">
        <v>0.13</v>
      </c>
      <c r="F118" s="48">
        <f t="shared" si="11"/>
        <v>2300.88</v>
      </c>
      <c r="G118" s="33">
        <v>20000</v>
      </c>
      <c r="H118" s="52"/>
      <c r="I118" s="70"/>
      <c r="J118" s="71"/>
      <c r="K118" s="72" t="s">
        <v>85</v>
      </c>
      <c r="L118" s="73" t="s">
        <v>86</v>
      </c>
      <c r="M118" s="74" t="s">
        <v>125</v>
      </c>
      <c r="N118" s="71"/>
      <c r="O118" s="73"/>
    </row>
    <row r="119" s="3" customFormat="1" ht="18" customHeight="1" spans="1:15">
      <c r="A119" s="47">
        <v>43770</v>
      </c>
      <c r="B119" s="48">
        <f t="shared" si="12"/>
        <v>3784</v>
      </c>
      <c r="C119" s="49"/>
      <c r="D119" s="50" t="s">
        <v>67</v>
      </c>
      <c r="E119" s="78"/>
      <c r="F119" s="48">
        <f t="shared" si="11"/>
        <v>0</v>
      </c>
      <c r="G119" s="33">
        <v>3784</v>
      </c>
      <c r="H119" s="52"/>
      <c r="I119" s="70"/>
      <c r="J119" s="71"/>
      <c r="K119" s="75" t="s">
        <v>68</v>
      </c>
      <c r="L119" s="73" t="s">
        <v>127</v>
      </c>
      <c r="M119" s="71"/>
      <c r="N119" s="71"/>
      <c r="O119" s="73"/>
    </row>
    <row r="120" s="3" customFormat="1" ht="18" customHeight="1" spans="1:15">
      <c r="A120" s="47"/>
      <c r="B120" s="48">
        <f t="shared" si="12"/>
        <v>0</v>
      </c>
      <c r="C120" s="49"/>
      <c r="D120" s="50"/>
      <c r="E120" s="78"/>
      <c r="F120" s="48">
        <f t="shared" si="11"/>
        <v>0</v>
      </c>
      <c r="G120" s="33"/>
      <c r="H120" s="52">
        <v>43790</v>
      </c>
      <c r="I120" s="70">
        <v>12776.37</v>
      </c>
      <c r="J120" s="71" t="s">
        <v>58</v>
      </c>
      <c r="K120" s="72" t="s">
        <v>121</v>
      </c>
      <c r="L120" s="73" t="s">
        <v>122</v>
      </c>
      <c r="M120" s="71"/>
      <c r="N120" s="71"/>
      <c r="O120" s="73"/>
    </row>
    <row r="121" s="3" customFormat="1" ht="18" customHeight="1" spans="1:15">
      <c r="A121" s="47"/>
      <c r="B121" s="48">
        <f t="shared" si="12"/>
        <v>0</v>
      </c>
      <c r="C121" s="49"/>
      <c r="D121" s="50"/>
      <c r="E121" s="78"/>
      <c r="F121" s="48">
        <f t="shared" si="11"/>
        <v>0</v>
      </c>
      <c r="G121" s="33"/>
      <c r="H121" s="52">
        <v>43790</v>
      </c>
      <c r="I121" s="70">
        <v>80000</v>
      </c>
      <c r="J121" s="71" t="s">
        <v>58</v>
      </c>
      <c r="K121" s="72" t="s">
        <v>128</v>
      </c>
      <c r="L121" s="73" t="s">
        <v>129</v>
      </c>
      <c r="M121" s="71"/>
      <c r="N121" s="71"/>
      <c r="O121" s="73"/>
    </row>
    <row r="122" s="3" customFormat="1" ht="18" customHeight="1" spans="1:15">
      <c r="A122" s="47">
        <v>43800</v>
      </c>
      <c r="B122" s="48">
        <f t="shared" si="12"/>
        <v>7079.65</v>
      </c>
      <c r="C122" s="49"/>
      <c r="D122" s="50" t="s">
        <v>21</v>
      </c>
      <c r="E122" s="78">
        <v>0.13</v>
      </c>
      <c r="F122" s="48">
        <f t="shared" si="11"/>
        <v>920.35</v>
      </c>
      <c r="G122" s="33">
        <v>8000</v>
      </c>
      <c r="H122" s="52">
        <v>43804</v>
      </c>
      <c r="I122" s="70">
        <v>2000</v>
      </c>
      <c r="J122" s="71" t="s">
        <v>58</v>
      </c>
      <c r="K122" s="72" t="s">
        <v>85</v>
      </c>
      <c r="L122" s="73" t="s">
        <v>130</v>
      </c>
      <c r="M122" s="74" t="s">
        <v>125</v>
      </c>
      <c r="N122" s="71" t="s">
        <v>51</v>
      </c>
      <c r="O122" s="73"/>
    </row>
    <row r="123" s="3" customFormat="1" ht="18" customHeight="1" spans="1:15">
      <c r="A123" s="47"/>
      <c r="B123" s="48"/>
      <c r="C123" s="49"/>
      <c r="D123" s="50"/>
      <c r="E123" s="78"/>
      <c r="F123" s="48"/>
      <c r="G123" s="33"/>
      <c r="H123" s="52" t="s">
        <v>131</v>
      </c>
      <c r="I123" s="70">
        <v>4374</v>
      </c>
      <c r="J123" s="71" t="s">
        <v>58</v>
      </c>
      <c r="K123" s="75" t="s">
        <v>68</v>
      </c>
      <c r="L123" s="73"/>
      <c r="M123" s="71"/>
      <c r="N123" s="71"/>
      <c r="O123" s="73"/>
    </row>
    <row r="124" s="3" customFormat="1" ht="18" customHeight="1" spans="1:15">
      <c r="A124" s="47">
        <v>43800</v>
      </c>
      <c r="B124" s="48">
        <f t="shared" ref="B124:B132" si="13">ROUND(G124/(1+E124),2)</f>
        <v>410930.1</v>
      </c>
      <c r="C124" s="49"/>
      <c r="D124" s="50" t="s">
        <v>21</v>
      </c>
      <c r="E124" s="78">
        <v>0.03</v>
      </c>
      <c r="F124" s="48">
        <f t="shared" ref="F124:F132" si="14">ROUND(G124/(1+E124)*E124,2)</f>
        <v>12327.9</v>
      </c>
      <c r="G124" s="33">
        <f>23258+100000*4</f>
        <v>423258</v>
      </c>
      <c r="H124" s="52"/>
      <c r="I124" s="70"/>
      <c r="J124" s="71"/>
      <c r="K124" s="72" t="s">
        <v>61</v>
      </c>
      <c r="L124" s="73" t="s">
        <v>132</v>
      </c>
      <c r="M124" s="74" t="s">
        <v>63</v>
      </c>
      <c r="N124" s="71"/>
      <c r="O124" s="73"/>
    </row>
    <row r="125" s="3" customFormat="1" ht="18" customHeight="1" spans="1:15">
      <c r="A125" s="47">
        <v>43800</v>
      </c>
      <c r="B125" s="48">
        <f t="shared" si="13"/>
        <v>395707.96</v>
      </c>
      <c r="C125" s="49"/>
      <c r="D125" s="50" t="s">
        <v>21</v>
      </c>
      <c r="E125" s="78">
        <v>0.13</v>
      </c>
      <c r="F125" s="48">
        <f t="shared" si="14"/>
        <v>51442.04</v>
      </c>
      <c r="G125" s="33">
        <v>447150</v>
      </c>
      <c r="H125" s="52"/>
      <c r="I125" s="70"/>
      <c r="J125" s="71"/>
      <c r="K125" s="72" t="s">
        <v>118</v>
      </c>
      <c r="L125" s="73" t="s">
        <v>133</v>
      </c>
      <c r="M125" s="71" t="s">
        <v>51</v>
      </c>
      <c r="N125" s="71" t="s">
        <v>51</v>
      </c>
      <c r="O125" s="73"/>
    </row>
    <row r="126" s="3" customFormat="1" ht="18" customHeight="1" spans="1:15">
      <c r="A126" s="47">
        <v>43800</v>
      </c>
      <c r="B126" s="48">
        <f t="shared" si="13"/>
        <v>105000</v>
      </c>
      <c r="C126" s="49"/>
      <c r="D126" s="50" t="s">
        <v>134</v>
      </c>
      <c r="E126" s="51"/>
      <c r="F126" s="48">
        <f t="shared" si="14"/>
        <v>0</v>
      </c>
      <c r="G126" s="33">
        <v>105000</v>
      </c>
      <c r="H126" s="52"/>
      <c r="I126" s="70"/>
      <c r="J126" s="71"/>
      <c r="K126" s="72" t="s">
        <v>135</v>
      </c>
      <c r="L126" s="73" t="s">
        <v>136</v>
      </c>
      <c r="M126" s="71"/>
      <c r="N126" s="71" t="s">
        <v>51</v>
      </c>
      <c r="O126" s="73"/>
    </row>
    <row r="127" s="3" customFormat="1" ht="18" customHeight="1" spans="1:15">
      <c r="A127" s="47">
        <v>43800</v>
      </c>
      <c r="B127" s="48">
        <f t="shared" si="13"/>
        <v>226.42</v>
      </c>
      <c r="C127" s="49"/>
      <c r="D127" s="50" t="s">
        <v>21</v>
      </c>
      <c r="E127" s="78">
        <v>0.06</v>
      </c>
      <c r="F127" s="48">
        <f t="shared" si="14"/>
        <v>13.58</v>
      </c>
      <c r="G127" s="33">
        <v>240</v>
      </c>
      <c r="H127" s="52"/>
      <c r="I127" s="70"/>
      <c r="J127" s="71"/>
      <c r="K127" s="72" t="s">
        <v>137</v>
      </c>
      <c r="L127" s="73" t="s">
        <v>138</v>
      </c>
      <c r="M127" s="71"/>
      <c r="N127" s="71"/>
      <c r="O127" s="73"/>
    </row>
    <row r="128" s="3" customFormat="1" ht="18" customHeight="1" spans="1:15">
      <c r="A128" s="47">
        <v>43800</v>
      </c>
      <c r="B128" s="48">
        <f t="shared" si="13"/>
        <v>16084</v>
      </c>
      <c r="C128" s="49"/>
      <c r="D128" s="50" t="s">
        <v>134</v>
      </c>
      <c r="E128" s="51"/>
      <c r="F128" s="48">
        <f t="shared" si="14"/>
        <v>0</v>
      </c>
      <c r="G128" s="33">
        <v>16084</v>
      </c>
      <c r="H128" s="52"/>
      <c r="I128" s="70"/>
      <c r="J128" s="71"/>
      <c r="K128" s="72" t="s">
        <v>139</v>
      </c>
      <c r="L128" s="73" t="s">
        <v>99</v>
      </c>
      <c r="M128" s="71"/>
      <c r="N128" s="71"/>
      <c r="O128" s="73"/>
    </row>
    <row r="129" s="3" customFormat="1" ht="18" customHeight="1" spans="1:15">
      <c r="A129" s="47">
        <v>43800</v>
      </c>
      <c r="B129" s="48">
        <f t="shared" si="13"/>
        <v>214</v>
      </c>
      <c r="C129" s="49"/>
      <c r="D129" s="50" t="s">
        <v>134</v>
      </c>
      <c r="E129" s="51"/>
      <c r="F129" s="48">
        <f t="shared" si="14"/>
        <v>0</v>
      </c>
      <c r="G129" s="33">
        <v>214</v>
      </c>
      <c r="H129" s="52"/>
      <c r="I129" s="70"/>
      <c r="J129" s="71"/>
      <c r="K129" s="75" t="s">
        <v>68</v>
      </c>
      <c r="L129" s="73" t="s">
        <v>140</v>
      </c>
      <c r="M129" s="71"/>
      <c r="N129" s="71"/>
      <c r="O129" s="73"/>
    </row>
    <row r="130" s="3" customFormat="1" ht="18" customHeight="1" spans="1:15">
      <c r="A130" s="47">
        <v>43800</v>
      </c>
      <c r="B130" s="48">
        <f t="shared" si="13"/>
        <v>11047</v>
      </c>
      <c r="C130" s="49"/>
      <c r="D130" s="50" t="s">
        <v>134</v>
      </c>
      <c r="E130" s="51"/>
      <c r="F130" s="48">
        <f t="shared" si="14"/>
        <v>0</v>
      </c>
      <c r="G130" s="33">
        <v>11047</v>
      </c>
      <c r="H130" s="52"/>
      <c r="I130" s="70"/>
      <c r="J130" s="71"/>
      <c r="K130" s="72" t="s">
        <v>139</v>
      </c>
      <c r="L130" s="73" t="s">
        <v>99</v>
      </c>
      <c r="M130" s="71"/>
      <c r="N130" s="71"/>
      <c r="O130" s="73"/>
    </row>
    <row r="131" s="3" customFormat="1" ht="18" customHeight="1" spans="1:15">
      <c r="A131" s="47">
        <v>43800</v>
      </c>
      <c r="B131" s="48">
        <f t="shared" si="13"/>
        <v>504</v>
      </c>
      <c r="C131" s="49"/>
      <c r="D131" s="50" t="s">
        <v>134</v>
      </c>
      <c r="E131" s="51"/>
      <c r="F131" s="48">
        <f t="shared" si="14"/>
        <v>0</v>
      </c>
      <c r="G131" s="33">
        <v>504</v>
      </c>
      <c r="H131" s="52"/>
      <c r="I131" s="70"/>
      <c r="J131" s="71"/>
      <c r="K131" s="75" t="s">
        <v>68</v>
      </c>
      <c r="L131" s="73" t="s">
        <v>141</v>
      </c>
      <c r="M131" s="71"/>
      <c r="N131" s="71"/>
      <c r="O131" s="73"/>
    </row>
    <row r="132" s="3" customFormat="1" ht="18" customHeight="1" spans="1:15">
      <c r="A132" s="47">
        <v>43800</v>
      </c>
      <c r="B132" s="48">
        <f t="shared" si="13"/>
        <v>320</v>
      </c>
      <c r="C132" s="49"/>
      <c r="D132" s="50" t="s">
        <v>134</v>
      </c>
      <c r="E132" s="51"/>
      <c r="F132" s="48">
        <f t="shared" si="14"/>
        <v>0</v>
      </c>
      <c r="G132" s="33">
        <v>320</v>
      </c>
      <c r="H132" s="52"/>
      <c r="I132" s="70"/>
      <c r="J132" s="71"/>
      <c r="K132" s="72" t="s">
        <v>142</v>
      </c>
      <c r="L132" s="73" t="s">
        <v>143</v>
      </c>
      <c r="M132" s="71"/>
      <c r="N132" s="71"/>
      <c r="O132" s="73"/>
    </row>
    <row r="133" s="3" customFormat="1" ht="18" customHeight="1" spans="1:15">
      <c r="A133" s="47"/>
      <c r="B133" s="48"/>
      <c r="C133" s="49"/>
      <c r="D133" s="50"/>
      <c r="E133" s="51"/>
      <c r="F133" s="48"/>
      <c r="G133" s="33" t="s">
        <v>82</v>
      </c>
      <c r="H133" s="52">
        <v>43818</v>
      </c>
      <c r="I133" s="70">
        <v>29111</v>
      </c>
      <c r="J133" s="71" t="s">
        <v>58</v>
      </c>
      <c r="K133" s="72" t="s">
        <v>84</v>
      </c>
      <c r="L133" s="73" t="s">
        <v>117</v>
      </c>
      <c r="M133" s="71"/>
      <c r="N133" s="71"/>
      <c r="O133" s="73"/>
    </row>
    <row r="134" s="3" customFormat="1" ht="18" customHeight="1" spans="1:15">
      <c r="A134" s="47">
        <v>43800</v>
      </c>
      <c r="B134" s="48">
        <f t="shared" ref="B134:B197" si="15">ROUND(G134/(1+E134),2)</f>
        <v>331528.16</v>
      </c>
      <c r="C134" s="49"/>
      <c r="D134" s="50" t="s">
        <v>21</v>
      </c>
      <c r="E134" s="78">
        <v>0.03</v>
      </c>
      <c r="F134" s="48">
        <f t="shared" ref="F134:F197" si="16">ROUND(G134/(1+E134)*E134,2)</f>
        <v>9945.84</v>
      </c>
      <c r="G134" s="33">
        <f>100000*2+45811+95663</f>
        <v>341474</v>
      </c>
      <c r="H134" s="52"/>
      <c r="I134" s="70"/>
      <c r="J134" s="71"/>
      <c r="K134" s="72" t="s">
        <v>80</v>
      </c>
      <c r="L134" s="73" t="s">
        <v>81</v>
      </c>
      <c r="M134" s="71" t="s">
        <v>51</v>
      </c>
      <c r="N134" s="71" t="s">
        <v>51</v>
      </c>
      <c r="O134" s="73"/>
    </row>
    <row r="135" s="3" customFormat="1" ht="18" customHeight="1" spans="1:15">
      <c r="A135" s="47">
        <v>43800</v>
      </c>
      <c r="B135" s="48">
        <f t="shared" si="15"/>
        <v>140784.47</v>
      </c>
      <c r="C135" s="49"/>
      <c r="D135" s="50" t="s">
        <v>21</v>
      </c>
      <c r="E135" s="78">
        <v>0.03</v>
      </c>
      <c r="F135" s="48">
        <f t="shared" si="16"/>
        <v>4223.53</v>
      </c>
      <c r="G135" s="33">
        <f>100000+45008</f>
        <v>145008</v>
      </c>
      <c r="H135" s="52"/>
      <c r="I135" s="70"/>
      <c r="J135" s="71"/>
      <c r="K135" s="72" t="s">
        <v>128</v>
      </c>
      <c r="L135" s="73" t="s">
        <v>144</v>
      </c>
      <c r="M135" s="71" t="s">
        <v>51</v>
      </c>
      <c r="N135" s="71" t="s">
        <v>51</v>
      </c>
      <c r="O135" s="73"/>
    </row>
    <row r="136" s="3" customFormat="1" ht="18" customHeight="1" spans="1:15">
      <c r="A136" s="47">
        <v>43800</v>
      </c>
      <c r="B136" s="48">
        <f t="shared" si="15"/>
        <v>322453.21</v>
      </c>
      <c r="C136" s="49"/>
      <c r="D136" s="50" t="s">
        <v>21</v>
      </c>
      <c r="E136" s="78">
        <v>0.13</v>
      </c>
      <c r="F136" s="48">
        <f t="shared" si="16"/>
        <v>41918.92</v>
      </c>
      <c r="G136" s="33">
        <f>112319.04*3+27415.01</f>
        <v>364372.13</v>
      </c>
      <c r="H136" s="52">
        <v>43803</v>
      </c>
      <c r="I136" s="70">
        <v>850</v>
      </c>
      <c r="J136" s="71" t="s">
        <v>58</v>
      </c>
      <c r="K136" s="72" t="s">
        <v>121</v>
      </c>
      <c r="L136" s="73" t="s">
        <v>145</v>
      </c>
      <c r="M136" s="71" t="s">
        <v>51</v>
      </c>
      <c r="N136" s="71" t="s">
        <v>51</v>
      </c>
      <c r="O136" s="73"/>
    </row>
    <row r="137" s="3" customFormat="1" ht="18" customHeight="1" spans="1:15">
      <c r="A137" s="47">
        <v>43800</v>
      </c>
      <c r="B137" s="48">
        <f t="shared" si="15"/>
        <v>530.97</v>
      </c>
      <c r="C137" s="49"/>
      <c r="D137" s="50" t="s">
        <v>21</v>
      </c>
      <c r="E137" s="78">
        <v>0.13</v>
      </c>
      <c r="F137" s="48">
        <f t="shared" si="16"/>
        <v>69.03</v>
      </c>
      <c r="G137" s="33">
        <v>600</v>
      </c>
      <c r="H137" s="52"/>
      <c r="I137" s="70"/>
      <c r="J137" s="71"/>
      <c r="K137" s="72" t="s">
        <v>85</v>
      </c>
      <c r="L137" s="73" t="s">
        <v>130</v>
      </c>
      <c r="M137" s="71" t="s">
        <v>51</v>
      </c>
      <c r="N137" s="71" t="s">
        <v>51</v>
      </c>
      <c r="O137" s="73"/>
    </row>
    <row r="138" s="3" customFormat="1" ht="18" customHeight="1" spans="1:15">
      <c r="A138" s="47">
        <v>43800</v>
      </c>
      <c r="B138" s="48">
        <f t="shared" si="15"/>
        <v>279</v>
      </c>
      <c r="C138" s="49"/>
      <c r="D138" s="50" t="s">
        <v>67</v>
      </c>
      <c r="E138" s="78"/>
      <c r="F138" s="48">
        <f t="shared" si="16"/>
        <v>0</v>
      </c>
      <c r="G138" s="33">
        <v>279</v>
      </c>
      <c r="H138" s="52"/>
      <c r="I138" s="70"/>
      <c r="J138" s="71"/>
      <c r="K138" s="75" t="s">
        <v>68</v>
      </c>
      <c r="L138" s="73" t="s">
        <v>146</v>
      </c>
      <c r="M138" s="71"/>
      <c r="N138" s="71"/>
      <c r="O138" s="73"/>
    </row>
    <row r="139" s="3" customFormat="1" ht="18" customHeight="1" spans="1:15">
      <c r="A139" s="47">
        <v>43800</v>
      </c>
      <c r="B139" s="48">
        <f t="shared" si="15"/>
        <v>1200</v>
      </c>
      <c r="C139" s="49"/>
      <c r="D139" s="50" t="s">
        <v>67</v>
      </c>
      <c r="E139" s="78"/>
      <c r="F139" s="48">
        <f t="shared" si="16"/>
        <v>0</v>
      </c>
      <c r="G139" s="33">
        <v>1200</v>
      </c>
      <c r="H139" s="52"/>
      <c r="I139" s="70"/>
      <c r="J139" s="71"/>
      <c r="K139" s="75" t="s">
        <v>68</v>
      </c>
      <c r="L139" s="73" t="s">
        <v>147</v>
      </c>
      <c r="M139" s="71"/>
      <c r="N139" s="71"/>
      <c r="O139" s="73"/>
    </row>
    <row r="140" s="3" customFormat="1" ht="18" customHeight="1" spans="1:15">
      <c r="A140" s="47">
        <v>43800</v>
      </c>
      <c r="B140" s="48">
        <f t="shared" si="15"/>
        <v>251</v>
      </c>
      <c r="C140" s="49"/>
      <c r="D140" s="50" t="s">
        <v>67</v>
      </c>
      <c r="E140" s="78"/>
      <c r="F140" s="48">
        <f t="shared" si="16"/>
        <v>0</v>
      </c>
      <c r="G140" s="33">
        <v>251</v>
      </c>
      <c r="H140" s="52"/>
      <c r="I140" s="70"/>
      <c r="J140" s="71"/>
      <c r="K140" s="75" t="s">
        <v>68</v>
      </c>
      <c r="L140" s="73" t="s">
        <v>148</v>
      </c>
      <c r="M140" s="71"/>
      <c r="N140" s="71"/>
      <c r="O140" s="73"/>
    </row>
    <row r="141" s="3" customFormat="1" ht="18" customHeight="1" spans="1:15">
      <c r="A141" s="47">
        <v>43800</v>
      </c>
      <c r="B141" s="48">
        <f t="shared" si="15"/>
        <v>388.5</v>
      </c>
      <c r="C141" s="49"/>
      <c r="D141" s="50" t="s">
        <v>67</v>
      </c>
      <c r="E141" s="78"/>
      <c r="F141" s="48">
        <f t="shared" si="16"/>
        <v>0</v>
      </c>
      <c r="G141" s="33">
        <v>388.5</v>
      </c>
      <c r="H141" s="52"/>
      <c r="I141" s="70"/>
      <c r="J141" s="71"/>
      <c r="K141" s="75" t="s">
        <v>68</v>
      </c>
      <c r="L141" s="73" t="s">
        <v>149</v>
      </c>
      <c r="M141" s="71"/>
      <c r="N141" s="71"/>
      <c r="O141" s="73"/>
    </row>
    <row r="142" s="3" customFormat="1" ht="18" customHeight="1" spans="1:15">
      <c r="A142" s="47">
        <v>43800</v>
      </c>
      <c r="B142" s="48">
        <f t="shared" si="15"/>
        <v>98</v>
      </c>
      <c r="C142" s="49"/>
      <c r="D142" s="50" t="s">
        <v>67</v>
      </c>
      <c r="E142" s="78"/>
      <c r="F142" s="48">
        <f t="shared" si="16"/>
        <v>0</v>
      </c>
      <c r="G142" s="33">
        <v>98</v>
      </c>
      <c r="H142" s="52"/>
      <c r="I142" s="70"/>
      <c r="J142" s="71"/>
      <c r="K142" s="75" t="s">
        <v>68</v>
      </c>
      <c r="L142" s="73" t="s">
        <v>150</v>
      </c>
      <c r="M142" s="71"/>
      <c r="N142" s="71"/>
      <c r="O142" s="73"/>
    </row>
    <row r="143" s="3" customFormat="1" ht="18" customHeight="1" spans="1:15">
      <c r="A143" s="47">
        <v>43800</v>
      </c>
      <c r="B143" s="48">
        <f t="shared" si="15"/>
        <v>300</v>
      </c>
      <c r="C143" s="49"/>
      <c r="D143" s="50" t="s">
        <v>67</v>
      </c>
      <c r="E143" s="51"/>
      <c r="F143" s="48">
        <f t="shared" si="16"/>
        <v>0</v>
      </c>
      <c r="G143" s="33">
        <v>300</v>
      </c>
      <c r="H143" s="52"/>
      <c r="I143" s="70"/>
      <c r="J143" s="71"/>
      <c r="K143" s="75" t="s">
        <v>68</v>
      </c>
      <c r="L143" s="73" t="s">
        <v>151</v>
      </c>
      <c r="M143" s="71"/>
      <c r="N143" s="71"/>
      <c r="O143" s="73"/>
    </row>
    <row r="144" s="3" customFormat="1" ht="18" customHeight="1" spans="1:15">
      <c r="A144" s="47">
        <v>43800</v>
      </c>
      <c r="B144" s="48">
        <f t="shared" si="15"/>
        <v>176588.5</v>
      </c>
      <c r="C144" s="49"/>
      <c r="D144" s="50" t="s">
        <v>21</v>
      </c>
      <c r="E144" s="78">
        <v>0.13</v>
      </c>
      <c r="F144" s="48">
        <f t="shared" si="16"/>
        <v>22956.5</v>
      </c>
      <c r="G144" s="33">
        <v>199545</v>
      </c>
      <c r="H144" s="52"/>
      <c r="I144" s="70"/>
      <c r="J144" s="71"/>
      <c r="K144" s="72" t="s">
        <v>69</v>
      </c>
      <c r="L144" s="73" t="s">
        <v>152</v>
      </c>
      <c r="M144" s="71" t="s">
        <v>51</v>
      </c>
      <c r="N144" s="71" t="s">
        <v>51</v>
      </c>
      <c r="O144" s="73"/>
    </row>
    <row r="145" s="3" customFormat="1" ht="18" customHeight="1" spans="1:15">
      <c r="A145" s="47">
        <v>43800</v>
      </c>
      <c r="B145" s="48">
        <f t="shared" si="15"/>
        <v>17441.75</v>
      </c>
      <c r="C145" s="49"/>
      <c r="D145" s="50" t="s">
        <v>21</v>
      </c>
      <c r="E145" s="78">
        <v>0.03</v>
      </c>
      <c r="F145" s="48">
        <f t="shared" si="16"/>
        <v>523.25</v>
      </c>
      <c r="G145" s="33">
        <v>17965</v>
      </c>
      <c r="H145" s="52">
        <v>43824</v>
      </c>
      <c r="I145" s="70">
        <v>17965</v>
      </c>
      <c r="J145" s="71" t="s">
        <v>58</v>
      </c>
      <c r="K145" s="72" t="s">
        <v>153</v>
      </c>
      <c r="L145" s="73" t="s">
        <v>154</v>
      </c>
      <c r="M145" s="71" t="s">
        <v>51</v>
      </c>
      <c r="N145" s="71" t="s">
        <v>51</v>
      </c>
      <c r="O145" s="73"/>
    </row>
    <row r="146" s="3" customFormat="1" ht="18" customHeight="1" spans="1:15">
      <c r="A146" s="47"/>
      <c r="B146" s="48">
        <f t="shared" si="15"/>
        <v>0</v>
      </c>
      <c r="C146" s="49"/>
      <c r="D146" s="50"/>
      <c r="E146" s="51"/>
      <c r="F146" s="48">
        <f t="shared" si="16"/>
        <v>0</v>
      </c>
      <c r="G146" s="33"/>
      <c r="H146" s="52">
        <v>43824</v>
      </c>
      <c r="I146" s="70">
        <v>2626.5</v>
      </c>
      <c r="J146" s="71" t="s">
        <v>58</v>
      </c>
      <c r="K146" s="72" t="s">
        <v>84</v>
      </c>
      <c r="L146" s="73" t="s">
        <v>117</v>
      </c>
      <c r="M146" s="71"/>
      <c r="N146" s="71"/>
      <c r="O146" s="73"/>
    </row>
    <row r="147" s="3" customFormat="1" ht="18" customHeight="1" spans="1:15">
      <c r="A147" s="47">
        <v>43831</v>
      </c>
      <c r="B147" s="48">
        <f t="shared" si="15"/>
        <v>45504.42</v>
      </c>
      <c r="C147" s="49"/>
      <c r="D147" s="50" t="s">
        <v>21</v>
      </c>
      <c r="E147" s="78">
        <v>0.13</v>
      </c>
      <c r="F147" s="48">
        <f t="shared" si="16"/>
        <v>5915.58</v>
      </c>
      <c r="G147" s="33">
        <v>51420</v>
      </c>
      <c r="H147" s="52"/>
      <c r="I147" s="70"/>
      <c r="J147" s="71"/>
      <c r="K147" s="72" t="s">
        <v>69</v>
      </c>
      <c r="L147" s="73" t="s">
        <v>155</v>
      </c>
      <c r="M147" s="71" t="s">
        <v>51</v>
      </c>
      <c r="N147" s="71" t="s">
        <v>51</v>
      </c>
      <c r="O147" s="73"/>
    </row>
    <row r="148" s="3" customFormat="1" ht="18" customHeight="1" spans="1:15">
      <c r="A148" s="47">
        <v>43831</v>
      </c>
      <c r="B148" s="48">
        <f t="shared" si="15"/>
        <v>85360</v>
      </c>
      <c r="C148" s="49"/>
      <c r="D148" s="50" t="s">
        <v>21</v>
      </c>
      <c r="E148" s="78">
        <v>0.13</v>
      </c>
      <c r="F148" s="48">
        <f t="shared" si="16"/>
        <v>11096.8</v>
      </c>
      <c r="G148" s="33">
        <v>96456.8</v>
      </c>
      <c r="H148" s="52"/>
      <c r="I148" s="70"/>
      <c r="J148" s="71"/>
      <c r="K148" s="72" t="s">
        <v>45</v>
      </c>
      <c r="L148" s="73" t="s">
        <v>156</v>
      </c>
      <c r="M148" s="71" t="s">
        <v>51</v>
      </c>
      <c r="N148" s="71" t="s">
        <v>51</v>
      </c>
      <c r="O148" s="73"/>
    </row>
    <row r="149" s="3" customFormat="1" ht="18" customHeight="1" spans="1:15">
      <c r="A149" s="47">
        <v>43831</v>
      </c>
      <c r="B149" s="48">
        <f t="shared" si="15"/>
        <v>144757.28</v>
      </c>
      <c r="C149" s="49"/>
      <c r="D149" s="50" t="s">
        <v>21</v>
      </c>
      <c r="E149" s="78">
        <v>0.03</v>
      </c>
      <c r="F149" s="48">
        <f t="shared" si="16"/>
        <v>4342.72</v>
      </c>
      <c r="G149" s="33">
        <v>149100</v>
      </c>
      <c r="H149" s="52"/>
      <c r="I149" s="70"/>
      <c r="J149" s="71"/>
      <c r="K149" s="72" t="s">
        <v>157</v>
      </c>
      <c r="L149" s="73" t="s">
        <v>158</v>
      </c>
      <c r="M149" s="71" t="s">
        <v>51</v>
      </c>
      <c r="N149" s="71" t="s">
        <v>51</v>
      </c>
      <c r="O149" s="73"/>
    </row>
    <row r="150" s="3" customFormat="1" ht="18" customHeight="1" spans="1:15">
      <c r="A150" s="47">
        <v>43831</v>
      </c>
      <c r="B150" s="48">
        <f t="shared" si="15"/>
        <v>840</v>
      </c>
      <c r="C150" s="49"/>
      <c r="D150" s="50" t="s">
        <v>67</v>
      </c>
      <c r="E150" s="78"/>
      <c r="F150" s="48">
        <f t="shared" si="16"/>
        <v>0</v>
      </c>
      <c r="G150" s="33">
        <v>840</v>
      </c>
      <c r="H150" s="52"/>
      <c r="I150" s="70"/>
      <c r="J150" s="71"/>
      <c r="K150" s="72" t="s">
        <v>159</v>
      </c>
      <c r="L150" s="73" t="s">
        <v>160</v>
      </c>
      <c r="M150" s="71"/>
      <c r="N150" s="71"/>
      <c r="O150" s="73"/>
    </row>
    <row r="151" s="3" customFormat="1" ht="18" customHeight="1" spans="1:15">
      <c r="A151" s="47">
        <v>43831</v>
      </c>
      <c r="B151" s="48">
        <f t="shared" si="15"/>
        <v>62</v>
      </c>
      <c r="C151" s="49"/>
      <c r="D151" s="50" t="s">
        <v>67</v>
      </c>
      <c r="E151" s="78"/>
      <c r="F151" s="48">
        <f t="shared" si="16"/>
        <v>0</v>
      </c>
      <c r="G151" s="33">
        <v>62</v>
      </c>
      <c r="H151" s="52"/>
      <c r="I151" s="70"/>
      <c r="J151" s="71"/>
      <c r="K151" s="72" t="s">
        <v>161</v>
      </c>
      <c r="L151" s="73"/>
      <c r="M151" s="71"/>
      <c r="N151" s="71"/>
      <c r="O151" s="73"/>
    </row>
    <row r="152" s="3" customFormat="1" ht="18" customHeight="1" spans="1:15">
      <c r="A152" s="47">
        <v>43831</v>
      </c>
      <c r="B152" s="48">
        <f t="shared" si="15"/>
        <v>62102.3</v>
      </c>
      <c r="C152" s="49"/>
      <c r="D152" s="50" t="s">
        <v>21</v>
      </c>
      <c r="E152" s="78">
        <v>0.13</v>
      </c>
      <c r="F152" s="48">
        <f t="shared" si="16"/>
        <v>8073.3</v>
      </c>
      <c r="G152" s="33">
        <v>70175.6</v>
      </c>
      <c r="H152" s="52">
        <v>43851</v>
      </c>
      <c r="I152" s="70">
        <v>70175.6</v>
      </c>
      <c r="J152" s="71" t="s">
        <v>58</v>
      </c>
      <c r="K152" s="72" t="s">
        <v>52</v>
      </c>
      <c r="L152" s="73" t="s">
        <v>162</v>
      </c>
      <c r="M152" s="71"/>
      <c r="N152" s="71" t="s">
        <v>51</v>
      </c>
      <c r="O152" s="73"/>
    </row>
    <row r="153" s="3" customFormat="1" ht="18" customHeight="1" spans="1:17">
      <c r="A153" s="47">
        <v>43831</v>
      </c>
      <c r="B153" s="48">
        <f t="shared" si="15"/>
        <v>180584.07</v>
      </c>
      <c r="C153" s="49"/>
      <c r="D153" s="50" t="s">
        <v>21</v>
      </c>
      <c r="E153" s="78">
        <v>0.13</v>
      </c>
      <c r="F153" s="48">
        <f t="shared" si="16"/>
        <v>23475.93</v>
      </c>
      <c r="G153" s="33">
        <v>204060</v>
      </c>
      <c r="H153" s="52">
        <v>43851</v>
      </c>
      <c r="I153" s="70">
        <v>204060</v>
      </c>
      <c r="J153" s="71" t="s">
        <v>58</v>
      </c>
      <c r="K153" s="72" t="s">
        <v>163</v>
      </c>
      <c r="L153" s="73" t="s">
        <v>164</v>
      </c>
      <c r="M153" s="71"/>
      <c r="N153" s="71" t="s">
        <v>51</v>
      </c>
      <c r="O153" s="73"/>
      <c r="Q153" s="107"/>
    </row>
    <row r="154" s="3" customFormat="1" ht="18" customHeight="1" spans="1:17">
      <c r="A154" s="47">
        <v>43831</v>
      </c>
      <c r="B154" s="48">
        <f t="shared" si="15"/>
        <v>73561.95</v>
      </c>
      <c r="C154" s="49"/>
      <c r="D154" s="50" t="s">
        <v>21</v>
      </c>
      <c r="E154" s="78">
        <v>0.13</v>
      </c>
      <c r="F154" s="48">
        <f t="shared" si="16"/>
        <v>9563.05</v>
      </c>
      <c r="G154" s="33">
        <v>83125</v>
      </c>
      <c r="H154" s="52">
        <v>43851</v>
      </c>
      <c r="I154" s="70">
        <v>159125</v>
      </c>
      <c r="J154" s="71" t="s">
        <v>58</v>
      </c>
      <c r="K154" s="72" t="s">
        <v>165</v>
      </c>
      <c r="L154" s="73" t="s">
        <v>166</v>
      </c>
      <c r="M154" s="95" t="s">
        <v>167</v>
      </c>
      <c r="N154" s="71" t="s">
        <v>51</v>
      </c>
      <c r="O154" s="73"/>
      <c r="Q154" s="107"/>
    </row>
    <row r="155" s="3" customFormat="1" ht="18" customHeight="1" spans="1:17">
      <c r="A155" s="47">
        <v>43831</v>
      </c>
      <c r="B155" s="48">
        <f t="shared" si="15"/>
        <v>34496.63</v>
      </c>
      <c r="C155" s="49"/>
      <c r="D155" s="50" t="s">
        <v>21</v>
      </c>
      <c r="E155" s="78">
        <v>0.13</v>
      </c>
      <c r="F155" s="48">
        <f t="shared" si="16"/>
        <v>4484.56</v>
      </c>
      <c r="G155" s="33">
        <v>38981.19</v>
      </c>
      <c r="H155" s="52"/>
      <c r="I155" s="70"/>
      <c r="J155" s="71"/>
      <c r="K155" s="72" t="s">
        <v>113</v>
      </c>
      <c r="L155" s="73" t="s">
        <v>168</v>
      </c>
      <c r="M155" s="71"/>
      <c r="N155" s="71" t="s">
        <v>51</v>
      </c>
      <c r="O155" s="73"/>
      <c r="Q155" s="107"/>
    </row>
    <row r="156" s="3" customFormat="1" ht="18" customHeight="1" spans="1:17">
      <c r="A156" s="47">
        <v>43831</v>
      </c>
      <c r="B156" s="48">
        <f t="shared" si="15"/>
        <v>89840.71</v>
      </c>
      <c r="C156" s="49"/>
      <c r="D156" s="50" t="s">
        <v>21</v>
      </c>
      <c r="E156" s="78">
        <v>0.13</v>
      </c>
      <c r="F156" s="48">
        <f t="shared" si="16"/>
        <v>11679.29</v>
      </c>
      <c r="G156" s="33">
        <f>11280*9</f>
        <v>101520</v>
      </c>
      <c r="H156" s="52">
        <v>43851</v>
      </c>
      <c r="I156" s="70">
        <v>101520</v>
      </c>
      <c r="J156" s="71" t="s">
        <v>58</v>
      </c>
      <c r="K156" s="72" t="s">
        <v>169</v>
      </c>
      <c r="L156" s="73" t="s">
        <v>170</v>
      </c>
      <c r="M156" s="74" t="s">
        <v>171</v>
      </c>
      <c r="N156" s="71" t="s">
        <v>51</v>
      </c>
      <c r="O156" s="73"/>
      <c r="Q156" s="107"/>
    </row>
    <row r="157" s="3" customFormat="1" ht="18" customHeight="1" spans="1:17">
      <c r="A157" s="47">
        <v>43831</v>
      </c>
      <c r="B157" s="48">
        <f t="shared" si="15"/>
        <v>2523300.97</v>
      </c>
      <c r="C157" s="49"/>
      <c r="D157" s="50" t="s">
        <v>21</v>
      </c>
      <c r="E157" s="78">
        <v>0.03</v>
      </c>
      <c r="F157" s="48">
        <f t="shared" si="16"/>
        <v>75699.03</v>
      </c>
      <c r="G157" s="33">
        <f>99970*25+99750</f>
        <v>2599000</v>
      </c>
      <c r="H157" s="52">
        <v>43851</v>
      </c>
      <c r="I157" s="70">
        <v>2000000</v>
      </c>
      <c r="J157" s="71" t="s">
        <v>58</v>
      </c>
      <c r="K157" s="72" t="s">
        <v>172</v>
      </c>
      <c r="L157" s="73" t="s">
        <v>173</v>
      </c>
      <c r="M157" s="71"/>
      <c r="N157" s="71"/>
      <c r="O157" s="73"/>
      <c r="Q157" s="107"/>
    </row>
    <row r="158" s="3" customFormat="1" ht="18" customHeight="1" spans="1:17">
      <c r="A158" s="47">
        <v>43831</v>
      </c>
      <c r="B158" s="48">
        <f t="shared" si="15"/>
        <v>252903.1</v>
      </c>
      <c r="C158" s="49"/>
      <c r="D158" s="50" t="s">
        <v>21</v>
      </c>
      <c r="E158" s="78">
        <v>0.13</v>
      </c>
      <c r="F158" s="48">
        <f t="shared" si="16"/>
        <v>32877.4</v>
      </c>
      <c r="G158" s="33">
        <f>97280.5+94250+94250</f>
        <v>285780.5</v>
      </c>
      <c r="H158" s="52"/>
      <c r="I158" s="70"/>
      <c r="J158" s="71"/>
      <c r="K158" s="72" t="s">
        <v>105</v>
      </c>
      <c r="L158" s="73" t="s">
        <v>174</v>
      </c>
      <c r="M158" s="71"/>
      <c r="N158" s="71" t="s">
        <v>51</v>
      </c>
      <c r="O158" s="73"/>
      <c r="Q158" s="107"/>
    </row>
    <row r="159" s="3" customFormat="1" ht="18" customHeight="1" spans="1:17">
      <c r="A159" s="47">
        <v>43831</v>
      </c>
      <c r="B159" s="48">
        <f t="shared" si="15"/>
        <v>302195.58</v>
      </c>
      <c r="C159" s="49"/>
      <c r="D159" s="50" t="s">
        <v>21</v>
      </c>
      <c r="E159" s="78">
        <v>0.13</v>
      </c>
      <c r="F159" s="48">
        <f t="shared" si="16"/>
        <v>39285.42</v>
      </c>
      <c r="G159" s="33">
        <f>40131+100450+100450+100450</f>
        <v>341481</v>
      </c>
      <c r="H159" s="52">
        <v>43851</v>
      </c>
      <c r="I159" s="70">
        <v>341481</v>
      </c>
      <c r="J159" s="71" t="s">
        <v>58</v>
      </c>
      <c r="K159" s="72" t="s">
        <v>116</v>
      </c>
      <c r="L159" s="73" t="s">
        <v>175</v>
      </c>
      <c r="M159" s="71"/>
      <c r="N159" s="71" t="s">
        <v>51</v>
      </c>
      <c r="O159" s="73" t="s">
        <v>176</v>
      </c>
      <c r="Q159" s="107"/>
    </row>
    <row r="160" s="3" customFormat="1" ht="18" customHeight="1" spans="1:17">
      <c r="A160" s="47">
        <v>43831</v>
      </c>
      <c r="B160" s="48">
        <f t="shared" si="15"/>
        <v>339751.46</v>
      </c>
      <c r="C160" s="49"/>
      <c r="D160" s="50" t="s">
        <v>21</v>
      </c>
      <c r="E160" s="78">
        <v>0.03</v>
      </c>
      <c r="F160" s="48">
        <f t="shared" si="16"/>
        <v>10192.54</v>
      </c>
      <c r="G160" s="33">
        <f>99960+99960+50064+99960</f>
        <v>349944</v>
      </c>
      <c r="H160" s="52">
        <v>43851</v>
      </c>
      <c r="I160" s="70">
        <v>349944</v>
      </c>
      <c r="J160" s="71" t="s">
        <v>58</v>
      </c>
      <c r="K160" s="72" t="s">
        <v>177</v>
      </c>
      <c r="L160" s="73" t="s">
        <v>178</v>
      </c>
      <c r="M160" s="71"/>
      <c r="N160" s="71" t="s">
        <v>51</v>
      </c>
      <c r="O160" s="73"/>
      <c r="Q160" s="107"/>
    </row>
    <row r="161" s="3" customFormat="1" ht="18" customHeight="1" spans="1:17">
      <c r="A161" s="47">
        <v>43831</v>
      </c>
      <c r="B161" s="48">
        <f t="shared" si="15"/>
        <v>181786.41</v>
      </c>
      <c r="C161" s="49"/>
      <c r="D161" s="50" t="s">
        <v>21</v>
      </c>
      <c r="E161" s="78">
        <v>0.03</v>
      </c>
      <c r="F161" s="48">
        <f t="shared" si="16"/>
        <v>5453.59</v>
      </c>
      <c r="G161" s="33">
        <f>87240+100000</f>
        <v>187240</v>
      </c>
      <c r="H161" s="52">
        <v>43851</v>
      </c>
      <c r="I161" s="70">
        <v>282903</v>
      </c>
      <c r="J161" s="71" t="s">
        <v>58</v>
      </c>
      <c r="K161" s="72" t="s">
        <v>80</v>
      </c>
      <c r="L161" s="73" t="s">
        <v>132</v>
      </c>
      <c r="M161" s="71"/>
      <c r="N161" s="71"/>
      <c r="O161" s="73"/>
      <c r="Q161" s="107"/>
    </row>
    <row r="162" s="3" customFormat="1" ht="18" customHeight="1" spans="1:17">
      <c r="A162" s="47"/>
      <c r="B162" s="48">
        <f t="shared" si="15"/>
        <v>0</v>
      </c>
      <c r="C162" s="49"/>
      <c r="D162" s="50"/>
      <c r="E162" s="78"/>
      <c r="F162" s="48">
        <f t="shared" si="16"/>
        <v>0</v>
      </c>
      <c r="G162" s="33"/>
      <c r="H162" s="90">
        <v>43851</v>
      </c>
      <c r="I162" s="96">
        <v>211750.98</v>
      </c>
      <c r="J162" s="97" t="s">
        <v>58</v>
      </c>
      <c r="K162" s="98" t="s">
        <v>84</v>
      </c>
      <c r="L162" s="73" t="s">
        <v>179</v>
      </c>
      <c r="M162" s="71"/>
      <c r="N162" s="71"/>
      <c r="O162" s="73"/>
      <c r="Q162" s="107"/>
    </row>
    <row r="163" s="3" customFormat="1" ht="18" customHeight="1" spans="1:17">
      <c r="A163" s="47"/>
      <c r="B163" s="48">
        <f t="shared" si="15"/>
        <v>0</v>
      </c>
      <c r="C163" s="49"/>
      <c r="D163" s="50"/>
      <c r="E163" s="78"/>
      <c r="F163" s="48">
        <f t="shared" si="16"/>
        <v>0</v>
      </c>
      <c r="G163" s="33"/>
      <c r="H163" s="52">
        <v>43851</v>
      </c>
      <c r="I163" s="70">
        <v>98130</v>
      </c>
      <c r="J163" s="71" t="s">
        <v>58</v>
      </c>
      <c r="K163" s="72" t="s">
        <v>69</v>
      </c>
      <c r="L163" s="73" t="s">
        <v>155</v>
      </c>
      <c r="M163" s="71"/>
      <c r="N163" s="71"/>
      <c r="O163" s="73"/>
      <c r="Q163" s="107"/>
    </row>
    <row r="164" s="3" customFormat="1" ht="18" customHeight="1" spans="1:17">
      <c r="A164" s="47"/>
      <c r="B164" s="48">
        <f t="shared" si="15"/>
        <v>0</v>
      </c>
      <c r="C164" s="49"/>
      <c r="D164" s="50"/>
      <c r="E164" s="78"/>
      <c r="F164" s="48">
        <f t="shared" si="16"/>
        <v>0</v>
      </c>
      <c r="G164" s="33"/>
      <c r="H164" s="52">
        <v>43851</v>
      </c>
      <c r="I164" s="70">
        <v>65008</v>
      </c>
      <c r="J164" s="71" t="s">
        <v>58</v>
      </c>
      <c r="K164" s="72" t="s">
        <v>128</v>
      </c>
      <c r="L164" s="73" t="s">
        <v>144</v>
      </c>
      <c r="M164" s="71"/>
      <c r="N164" s="71"/>
      <c r="O164" s="73"/>
      <c r="Q164" s="107"/>
    </row>
    <row r="165" s="3" customFormat="1" ht="18" customHeight="1" spans="1:17">
      <c r="A165" s="47"/>
      <c r="B165" s="48">
        <f t="shared" si="15"/>
        <v>0</v>
      </c>
      <c r="C165" s="49"/>
      <c r="D165" s="50"/>
      <c r="E165" s="78"/>
      <c r="F165" s="48">
        <f t="shared" si="16"/>
        <v>0</v>
      </c>
      <c r="G165" s="33"/>
      <c r="H165" s="52">
        <v>43851</v>
      </c>
      <c r="I165" s="70">
        <v>149100</v>
      </c>
      <c r="J165" s="71" t="s">
        <v>58</v>
      </c>
      <c r="K165" s="72" t="s">
        <v>157</v>
      </c>
      <c r="L165" s="73" t="s">
        <v>180</v>
      </c>
      <c r="M165" s="71"/>
      <c r="N165" s="71"/>
      <c r="O165" s="73"/>
      <c r="Q165" s="107"/>
    </row>
    <row r="166" s="3" customFormat="1" ht="18" customHeight="1" spans="1:17">
      <c r="A166" s="47"/>
      <c r="B166" s="48">
        <f t="shared" si="15"/>
        <v>0</v>
      </c>
      <c r="C166" s="49"/>
      <c r="D166" s="50"/>
      <c r="E166" s="78"/>
      <c r="F166" s="48">
        <f t="shared" si="16"/>
        <v>0</v>
      </c>
      <c r="G166" s="33"/>
      <c r="H166" s="90">
        <v>43851</v>
      </c>
      <c r="I166" s="70">
        <v>189029</v>
      </c>
      <c r="J166" s="97" t="s">
        <v>58</v>
      </c>
      <c r="K166" s="98" t="s">
        <v>181</v>
      </c>
      <c r="L166" s="73"/>
      <c r="M166" s="71"/>
      <c r="N166" s="71"/>
      <c r="O166" s="73"/>
      <c r="Q166" s="107"/>
    </row>
    <row r="167" s="3" customFormat="1" ht="18" customHeight="1" spans="1:17">
      <c r="A167" s="47"/>
      <c r="B167" s="48">
        <f t="shared" si="15"/>
        <v>0</v>
      </c>
      <c r="C167" s="49"/>
      <c r="D167" s="50"/>
      <c r="E167" s="78"/>
      <c r="F167" s="48">
        <f t="shared" si="16"/>
        <v>0</v>
      </c>
      <c r="G167" s="33"/>
      <c r="H167" s="52">
        <v>43852</v>
      </c>
      <c r="I167" s="70">
        <v>400000</v>
      </c>
      <c r="J167" s="71" t="s">
        <v>58</v>
      </c>
      <c r="K167" s="72" t="s">
        <v>172</v>
      </c>
      <c r="L167" s="73" t="s">
        <v>132</v>
      </c>
      <c r="M167" s="71"/>
      <c r="N167" s="71"/>
      <c r="O167" s="73"/>
      <c r="Q167" s="107"/>
    </row>
    <row r="168" s="3" customFormat="1" ht="18" customHeight="1" spans="1:17">
      <c r="A168" s="47"/>
      <c r="B168" s="48">
        <f t="shared" si="15"/>
        <v>0</v>
      </c>
      <c r="C168" s="49"/>
      <c r="D168" s="50"/>
      <c r="E168" s="78"/>
      <c r="F168" s="48">
        <f t="shared" si="16"/>
        <v>0</v>
      </c>
      <c r="G168" s="33"/>
      <c r="H168" s="52">
        <v>43852</v>
      </c>
      <c r="I168" s="70">
        <v>50000</v>
      </c>
      <c r="J168" s="71" t="s">
        <v>58</v>
      </c>
      <c r="K168" s="72" t="s">
        <v>182</v>
      </c>
      <c r="L168" s="73" t="s">
        <v>183</v>
      </c>
      <c r="M168" s="71"/>
      <c r="N168" s="71"/>
      <c r="O168" s="73"/>
      <c r="Q168" s="107"/>
    </row>
    <row r="169" s="3" customFormat="1" ht="18" customHeight="1" spans="1:17">
      <c r="A169" s="47"/>
      <c r="B169" s="48">
        <f t="shared" si="15"/>
        <v>0</v>
      </c>
      <c r="C169" s="49"/>
      <c r="D169" s="50"/>
      <c r="E169" s="78"/>
      <c r="F169" s="48">
        <f t="shared" si="16"/>
        <v>0</v>
      </c>
      <c r="G169" s="33"/>
      <c r="H169" s="52">
        <v>43852</v>
      </c>
      <c r="I169" s="70">
        <v>38981.19</v>
      </c>
      <c r="J169" s="71" t="s">
        <v>58</v>
      </c>
      <c r="K169" s="72" t="s">
        <v>113</v>
      </c>
      <c r="L169" s="73" t="s">
        <v>94</v>
      </c>
      <c r="M169" s="71"/>
      <c r="N169" s="71"/>
      <c r="O169" s="73"/>
      <c r="Q169" s="107"/>
    </row>
    <row r="170" s="3" customFormat="1" ht="18" customHeight="1" spans="1:17">
      <c r="A170" s="47"/>
      <c r="B170" s="48">
        <f t="shared" si="15"/>
        <v>0</v>
      </c>
      <c r="C170" s="49"/>
      <c r="D170" s="50"/>
      <c r="E170" s="78"/>
      <c r="F170" s="48">
        <f t="shared" si="16"/>
        <v>0</v>
      </c>
      <c r="G170" s="33"/>
      <c r="H170" s="52">
        <v>43852</v>
      </c>
      <c r="I170" s="70">
        <v>150000</v>
      </c>
      <c r="J170" s="71" t="s">
        <v>58</v>
      </c>
      <c r="K170" s="72" t="s">
        <v>105</v>
      </c>
      <c r="L170" s="73" t="s">
        <v>114</v>
      </c>
      <c r="M170" s="71"/>
      <c r="N170" s="71"/>
      <c r="O170" s="73"/>
      <c r="Q170" s="107"/>
    </row>
    <row r="171" s="3" customFormat="1" ht="18" customHeight="1" spans="1:17">
      <c r="A171" s="47"/>
      <c r="B171" s="48">
        <f t="shared" si="15"/>
        <v>0</v>
      </c>
      <c r="C171" s="49"/>
      <c r="D171" s="50"/>
      <c r="E171" s="78"/>
      <c r="F171" s="48">
        <f t="shared" si="16"/>
        <v>0</v>
      </c>
      <c r="G171" s="33"/>
      <c r="H171" s="52">
        <v>43969</v>
      </c>
      <c r="I171" s="70">
        <v>20468</v>
      </c>
      <c r="J171" s="71" t="s">
        <v>58</v>
      </c>
      <c r="K171" s="72" t="s">
        <v>69</v>
      </c>
      <c r="L171" s="76" t="s">
        <v>184</v>
      </c>
      <c r="M171" s="71"/>
      <c r="N171" s="71"/>
      <c r="O171" s="73" t="s">
        <v>185</v>
      </c>
      <c r="Q171" s="107"/>
    </row>
    <row r="172" s="3" customFormat="1" ht="18" customHeight="1" spans="1:17">
      <c r="A172" s="47">
        <v>43891</v>
      </c>
      <c r="B172" s="48">
        <f t="shared" si="15"/>
        <v>1869</v>
      </c>
      <c r="C172" s="49"/>
      <c r="D172" s="50" t="s">
        <v>67</v>
      </c>
      <c r="E172" s="78"/>
      <c r="F172" s="48">
        <f t="shared" si="16"/>
        <v>0</v>
      </c>
      <c r="G172" s="33">
        <v>1869</v>
      </c>
      <c r="H172" s="52"/>
      <c r="I172" s="70"/>
      <c r="J172" s="71"/>
      <c r="K172" s="72" t="s">
        <v>186</v>
      </c>
      <c r="L172" s="73"/>
      <c r="M172" s="71"/>
      <c r="N172" s="71"/>
      <c r="O172" s="73"/>
      <c r="Q172" s="107"/>
    </row>
    <row r="173" s="3" customFormat="1" ht="18" customHeight="1" spans="1:17">
      <c r="A173" s="47">
        <v>43891</v>
      </c>
      <c r="B173" s="48">
        <f t="shared" si="15"/>
        <v>32269.47</v>
      </c>
      <c r="C173" s="49"/>
      <c r="D173" s="50" t="s">
        <v>67</v>
      </c>
      <c r="E173" s="78"/>
      <c r="F173" s="48">
        <f t="shared" si="16"/>
        <v>0</v>
      </c>
      <c r="G173" s="33">
        <v>32269.47</v>
      </c>
      <c r="H173" s="52"/>
      <c r="I173" s="70"/>
      <c r="J173" s="71"/>
      <c r="K173" s="72" t="s">
        <v>186</v>
      </c>
      <c r="L173" s="73"/>
      <c r="M173" s="71"/>
      <c r="N173" s="71"/>
      <c r="O173" s="73"/>
      <c r="Q173" s="107"/>
    </row>
    <row r="174" s="3" customFormat="1" ht="18" customHeight="1" spans="1:17">
      <c r="A174" s="47">
        <v>43891</v>
      </c>
      <c r="B174" s="48">
        <f t="shared" si="15"/>
        <v>1885</v>
      </c>
      <c r="C174" s="49"/>
      <c r="D174" s="50" t="s">
        <v>67</v>
      </c>
      <c r="E174" s="78"/>
      <c r="F174" s="48">
        <f t="shared" si="16"/>
        <v>0</v>
      </c>
      <c r="G174" s="33">
        <v>1885</v>
      </c>
      <c r="H174" s="52"/>
      <c r="I174" s="70"/>
      <c r="J174" s="71"/>
      <c r="K174" s="72" t="s">
        <v>186</v>
      </c>
      <c r="L174" s="73"/>
      <c r="M174" s="71"/>
      <c r="N174" s="71"/>
      <c r="O174" s="73"/>
      <c r="Q174" s="107"/>
    </row>
    <row r="175" s="3" customFormat="1" ht="18" customHeight="1" spans="1:17">
      <c r="A175" s="47">
        <v>43891</v>
      </c>
      <c r="B175" s="48">
        <f t="shared" si="15"/>
        <v>16142</v>
      </c>
      <c r="C175" s="49"/>
      <c r="D175" s="50" t="s">
        <v>67</v>
      </c>
      <c r="E175" s="78"/>
      <c r="F175" s="48">
        <f t="shared" si="16"/>
        <v>0</v>
      </c>
      <c r="G175" s="33">
        <v>16142</v>
      </c>
      <c r="H175" s="52"/>
      <c r="I175" s="70"/>
      <c r="J175" s="71"/>
      <c r="K175" s="72" t="s">
        <v>186</v>
      </c>
      <c r="L175" s="73"/>
      <c r="M175" s="71"/>
      <c r="N175" s="71"/>
      <c r="O175" s="73"/>
      <c r="Q175" s="107"/>
    </row>
    <row r="176" s="3" customFormat="1" ht="18" customHeight="1" spans="1:17">
      <c r="A176" s="47">
        <v>43891</v>
      </c>
      <c r="B176" s="48">
        <f t="shared" si="15"/>
        <v>2791</v>
      </c>
      <c r="C176" s="49"/>
      <c r="D176" s="50" t="s">
        <v>67</v>
      </c>
      <c r="E176" s="78"/>
      <c r="F176" s="48">
        <f t="shared" si="16"/>
        <v>0</v>
      </c>
      <c r="G176" s="33">
        <v>2791</v>
      </c>
      <c r="H176" s="52"/>
      <c r="I176" s="70"/>
      <c r="J176" s="71"/>
      <c r="K176" s="72" t="s">
        <v>186</v>
      </c>
      <c r="L176" s="73"/>
      <c r="M176" s="71"/>
      <c r="N176" s="71"/>
      <c r="O176" s="73"/>
      <c r="Q176" s="107"/>
    </row>
    <row r="177" s="3" customFormat="1" ht="18" customHeight="1" spans="1:17">
      <c r="A177" s="47">
        <v>43891</v>
      </c>
      <c r="B177" s="48">
        <f t="shared" si="15"/>
        <v>940</v>
      </c>
      <c r="C177" s="49"/>
      <c r="D177" s="50" t="s">
        <v>67</v>
      </c>
      <c r="E177" s="78"/>
      <c r="F177" s="48">
        <f t="shared" si="16"/>
        <v>0</v>
      </c>
      <c r="G177" s="33">
        <v>940</v>
      </c>
      <c r="H177" s="52"/>
      <c r="I177" s="70"/>
      <c r="J177" s="71"/>
      <c r="K177" s="72" t="s">
        <v>186</v>
      </c>
      <c r="L177" s="73"/>
      <c r="M177" s="71"/>
      <c r="N177" s="71"/>
      <c r="O177" s="73"/>
      <c r="Q177" s="107"/>
    </row>
    <row r="178" s="3" customFormat="1" ht="18" customHeight="1" spans="1:17">
      <c r="A178" s="47">
        <v>43941</v>
      </c>
      <c r="B178" s="48">
        <f t="shared" si="15"/>
        <v>560</v>
      </c>
      <c r="C178" s="49"/>
      <c r="D178" s="50" t="s">
        <v>67</v>
      </c>
      <c r="E178" s="78"/>
      <c r="F178" s="48">
        <f t="shared" si="16"/>
        <v>0</v>
      </c>
      <c r="G178" s="33">
        <v>560</v>
      </c>
      <c r="H178" s="52"/>
      <c r="I178" s="70"/>
      <c r="J178" s="71"/>
      <c r="K178" s="72" t="s">
        <v>187</v>
      </c>
      <c r="L178" s="99" t="s">
        <v>188</v>
      </c>
      <c r="M178" s="71"/>
      <c r="N178" s="71"/>
      <c r="O178" s="73"/>
      <c r="Q178" s="107"/>
    </row>
    <row r="179" s="3" customFormat="1" ht="18" customHeight="1" spans="1:17">
      <c r="A179" s="47">
        <v>43941</v>
      </c>
      <c r="B179" s="48">
        <f t="shared" si="15"/>
        <v>300</v>
      </c>
      <c r="C179" s="49"/>
      <c r="D179" s="50" t="s">
        <v>189</v>
      </c>
      <c r="E179" s="78"/>
      <c r="F179" s="48">
        <f t="shared" si="16"/>
        <v>0</v>
      </c>
      <c r="G179" s="33">
        <v>300</v>
      </c>
      <c r="H179" s="52"/>
      <c r="I179" s="70"/>
      <c r="J179" s="71"/>
      <c r="K179" s="72" t="s">
        <v>190</v>
      </c>
      <c r="L179" s="99"/>
      <c r="M179" s="71"/>
      <c r="N179" s="71"/>
      <c r="O179" s="73"/>
      <c r="Q179" s="107"/>
    </row>
    <row r="180" s="3" customFormat="1" ht="18" customHeight="1" spans="1:17">
      <c r="A180" s="47">
        <v>43941</v>
      </c>
      <c r="B180" s="48">
        <f t="shared" si="15"/>
        <v>1238.94</v>
      </c>
      <c r="C180" s="49"/>
      <c r="D180" s="50" t="s">
        <v>21</v>
      </c>
      <c r="E180" s="78">
        <v>0.13</v>
      </c>
      <c r="F180" s="48">
        <f t="shared" si="16"/>
        <v>161.06</v>
      </c>
      <c r="G180" s="33">
        <v>1400</v>
      </c>
      <c r="H180" s="90">
        <v>43916</v>
      </c>
      <c r="I180" s="70">
        <v>5000</v>
      </c>
      <c r="J180" s="71" t="s">
        <v>58</v>
      </c>
      <c r="K180" s="72" t="s">
        <v>85</v>
      </c>
      <c r="L180" s="99" t="s">
        <v>191</v>
      </c>
      <c r="M180" s="74" t="s">
        <v>125</v>
      </c>
      <c r="N180" s="71"/>
      <c r="O180" s="73"/>
      <c r="Q180" s="107"/>
    </row>
    <row r="181" s="3" customFormat="1" ht="18" customHeight="1" spans="1:17">
      <c r="A181" s="47">
        <v>43971</v>
      </c>
      <c r="B181" s="48">
        <f t="shared" si="15"/>
        <v>394</v>
      </c>
      <c r="C181" s="49"/>
      <c r="D181" s="91" t="s">
        <v>192</v>
      </c>
      <c r="E181" s="78"/>
      <c r="F181" s="48">
        <f t="shared" si="16"/>
        <v>0</v>
      </c>
      <c r="G181" s="33">
        <f>80+25+25+40+24+200</f>
        <v>394</v>
      </c>
      <c r="H181" s="90"/>
      <c r="I181" s="70"/>
      <c r="J181" s="71"/>
      <c r="K181" s="100" t="s">
        <v>84</v>
      </c>
      <c r="L181" s="101" t="s">
        <v>193</v>
      </c>
      <c r="M181" s="71"/>
      <c r="N181" s="71"/>
      <c r="O181" s="73"/>
      <c r="Q181" s="107"/>
    </row>
    <row r="182" s="3" customFormat="1" ht="18" customHeight="1" spans="1:17">
      <c r="A182" s="47">
        <v>43971</v>
      </c>
      <c r="B182" s="48">
        <f t="shared" si="15"/>
        <v>518</v>
      </c>
      <c r="C182" s="49"/>
      <c r="D182" s="91" t="s">
        <v>192</v>
      </c>
      <c r="E182" s="78"/>
      <c r="F182" s="48">
        <f t="shared" si="16"/>
        <v>0</v>
      </c>
      <c r="G182" s="33">
        <f>49+29+150+100+35+155</f>
        <v>518</v>
      </c>
      <c r="H182" s="90"/>
      <c r="I182" s="70"/>
      <c r="J182" s="71"/>
      <c r="K182" s="100" t="s">
        <v>84</v>
      </c>
      <c r="L182" s="101" t="s">
        <v>194</v>
      </c>
      <c r="M182" s="71"/>
      <c r="N182" s="71"/>
      <c r="O182" s="73"/>
      <c r="Q182" s="107"/>
    </row>
    <row r="183" s="3" customFormat="1" ht="18" customHeight="1" spans="1:17">
      <c r="A183" s="47">
        <v>43971</v>
      </c>
      <c r="B183" s="48">
        <f t="shared" si="15"/>
        <v>450</v>
      </c>
      <c r="C183" s="49"/>
      <c r="D183" s="50" t="s">
        <v>67</v>
      </c>
      <c r="E183" s="78"/>
      <c r="F183" s="48">
        <f t="shared" si="16"/>
        <v>0</v>
      </c>
      <c r="G183" s="33">
        <v>450</v>
      </c>
      <c r="H183" s="90"/>
      <c r="I183" s="70"/>
      <c r="J183" s="71"/>
      <c r="K183" s="100" t="s">
        <v>84</v>
      </c>
      <c r="L183" s="101" t="s">
        <v>195</v>
      </c>
      <c r="M183" s="71"/>
      <c r="N183" s="71"/>
      <c r="O183" s="73"/>
      <c r="Q183" s="107"/>
    </row>
    <row r="184" s="3" customFormat="1" ht="18" customHeight="1" spans="1:17">
      <c r="A184" s="47">
        <v>43971</v>
      </c>
      <c r="B184" s="48">
        <f t="shared" si="15"/>
        <v>942</v>
      </c>
      <c r="C184" s="49"/>
      <c r="D184" s="91" t="s">
        <v>192</v>
      </c>
      <c r="E184" s="78"/>
      <c r="F184" s="48">
        <f t="shared" si="16"/>
        <v>0</v>
      </c>
      <c r="G184" s="33">
        <v>942</v>
      </c>
      <c r="H184" s="90"/>
      <c r="I184" s="70"/>
      <c r="J184" s="71"/>
      <c r="K184" s="100" t="s">
        <v>84</v>
      </c>
      <c r="L184" s="101" t="s">
        <v>196</v>
      </c>
      <c r="M184" s="71"/>
      <c r="N184" s="71"/>
      <c r="O184" s="73"/>
      <c r="Q184" s="107"/>
    </row>
    <row r="185" s="3" customFormat="1" ht="18" customHeight="1" spans="1:17">
      <c r="A185" s="47">
        <v>43971</v>
      </c>
      <c r="B185" s="48">
        <f t="shared" si="15"/>
        <v>1500</v>
      </c>
      <c r="C185" s="49"/>
      <c r="D185" s="50" t="s">
        <v>67</v>
      </c>
      <c r="E185" s="78"/>
      <c r="F185" s="48">
        <f t="shared" si="16"/>
        <v>0</v>
      </c>
      <c r="G185" s="33">
        <f>1020+480</f>
        <v>1500</v>
      </c>
      <c r="H185" s="90"/>
      <c r="I185" s="70"/>
      <c r="J185" s="71"/>
      <c r="K185" s="100" t="s">
        <v>84</v>
      </c>
      <c r="L185" s="101" t="s">
        <v>197</v>
      </c>
      <c r="M185" s="71"/>
      <c r="N185" s="71"/>
      <c r="O185" s="73"/>
      <c r="Q185" s="107"/>
    </row>
    <row r="186" s="3" customFormat="1" ht="18" customHeight="1" spans="1:17">
      <c r="A186" s="47">
        <v>43971</v>
      </c>
      <c r="B186" s="48">
        <f t="shared" si="15"/>
        <v>559</v>
      </c>
      <c r="C186" s="49"/>
      <c r="D186" s="91" t="s">
        <v>192</v>
      </c>
      <c r="E186" s="78"/>
      <c r="F186" s="48">
        <f t="shared" si="16"/>
        <v>0</v>
      </c>
      <c r="G186" s="33">
        <f>486+73</f>
        <v>559</v>
      </c>
      <c r="H186" s="90"/>
      <c r="I186" s="70"/>
      <c r="J186" s="71"/>
      <c r="K186" s="100" t="s">
        <v>84</v>
      </c>
      <c r="L186" s="101" t="s">
        <v>198</v>
      </c>
      <c r="M186" s="71"/>
      <c r="N186" s="71"/>
      <c r="O186" s="73"/>
      <c r="Q186" s="107"/>
    </row>
    <row r="187" s="3" customFormat="1" ht="18" customHeight="1" spans="1:17">
      <c r="A187" s="47">
        <v>43971</v>
      </c>
      <c r="B187" s="48">
        <f t="shared" si="15"/>
        <v>910</v>
      </c>
      <c r="C187" s="49"/>
      <c r="D187" s="50" t="s">
        <v>67</v>
      </c>
      <c r="E187" s="78"/>
      <c r="F187" s="48">
        <f t="shared" si="16"/>
        <v>0</v>
      </c>
      <c r="G187" s="33">
        <v>910</v>
      </c>
      <c r="H187" s="90"/>
      <c r="I187" s="70"/>
      <c r="J187" s="71"/>
      <c r="K187" s="100" t="s">
        <v>84</v>
      </c>
      <c r="L187" s="101" t="s">
        <v>199</v>
      </c>
      <c r="M187" s="71"/>
      <c r="N187" s="71"/>
      <c r="O187" s="73"/>
      <c r="Q187" s="107"/>
    </row>
    <row r="188" s="3" customFormat="1" ht="18" customHeight="1" spans="1:17">
      <c r="A188" s="47">
        <v>43971</v>
      </c>
      <c r="B188" s="48">
        <f t="shared" si="15"/>
        <v>4424.78</v>
      </c>
      <c r="C188" s="49"/>
      <c r="D188" s="50" t="s">
        <v>21</v>
      </c>
      <c r="E188" s="78">
        <v>0.13</v>
      </c>
      <c r="F188" s="48">
        <f t="shared" si="16"/>
        <v>575.22</v>
      </c>
      <c r="G188" s="33">
        <v>5000</v>
      </c>
      <c r="H188" s="90">
        <v>43945</v>
      </c>
      <c r="I188" s="70">
        <v>5000</v>
      </c>
      <c r="J188" s="71" t="s">
        <v>58</v>
      </c>
      <c r="K188" s="72" t="s">
        <v>85</v>
      </c>
      <c r="L188" s="101" t="s">
        <v>200</v>
      </c>
      <c r="M188" s="74" t="s">
        <v>125</v>
      </c>
      <c r="N188" s="71"/>
      <c r="O188" s="73"/>
      <c r="Q188" s="107"/>
    </row>
    <row r="189" s="3" customFormat="1" ht="18" customHeight="1" spans="1:17">
      <c r="A189" s="47"/>
      <c r="B189" s="48">
        <f t="shared" si="15"/>
        <v>0</v>
      </c>
      <c r="C189" s="49"/>
      <c r="D189" s="50"/>
      <c r="E189" s="78"/>
      <c r="F189" s="48">
        <f t="shared" si="16"/>
        <v>0</v>
      </c>
      <c r="G189" s="33"/>
      <c r="H189" s="90">
        <v>43945</v>
      </c>
      <c r="I189" s="70">
        <v>550</v>
      </c>
      <c r="J189" s="71" t="s">
        <v>58</v>
      </c>
      <c r="K189" s="72" t="s">
        <v>84</v>
      </c>
      <c r="L189" s="102"/>
      <c r="M189" s="71"/>
      <c r="N189" s="71"/>
      <c r="O189" s="73"/>
      <c r="Q189" s="107"/>
    </row>
    <row r="190" s="3" customFormat="1" ht="18" customHeight="1" spans="1:17">
      <c r="A190" s="47"/>
      <c r="B190" s="48">
        <f t="shared" si="15"/>
        <v>0</v>
      </c>
      <c r="C190" s="49"/>
      <c r="D190" s="50"/>
      <c r="E190" s="78"/>
      <c r="F190" s="48">
        <f t="shared" si="16"/>
        <v>0</v>
      </c>
      <c r="G190" s="33"/>
      <c r="H190" s="92">
        <v>43972</v>
      </c>
      <c r="I190" s="70">
        <v>4774</v>
      </c>
      <c r="J190" s="103" t="s">
        <v>58</v>
      </c>
      <c r="K190" s="104" t="s">
        <v>69</v>
      </c>
      <c r="L190" s="99" t="s">
        <v>201</v>
      </c>
      <c r="M190" s="105"/>
      <c r="N190" s="71"/>
      <c r="O190" s="73" t="s">
        <v>185</v>
      </c>
      <c r="Q190" s="107"/>
    </row>
    <row r="191" s="3" customFormat="1" ht="18" customHeight="1" spans="1:17">
      <c r="A191" s="47">
        <v>44002</v>
      </c>
      <c r="B191" s="48">
        <f t="shared" si="15"/>
        <v>667</v>
      </c>
      <c r="C191" s="49"/>
      <c r="D191" s="50" t="s">
        <v>192</v>
      </c>
      <c r="E191" s="78"/>
      <c r="F191" s="48">
        <f t="shared" si="16"/>
        <v>0</v>
      </c>
      <c r="G191" s="93">
        <v>667</v>
      </c>
      <c r="H191" s="94"/>
      <c r="I191" s="70"/>
      <c r="J191" s="71"/>
      <c r="K191" s="106" t="s">
        <v>84</v>
      </c>
      <c r="L191" s="73" t="s">
        <v>202</v>
      </c>
      <c r="M191" s="105"/>
      <c r="N191" s="71"/>
      <c r="O191" s="73"/>
      <c r="Q191" s="107"/>
    </row>
    <row r="192" s="3" customFormat="1" ht="18" customHeight="1" spans="1:17">
      <c r="A192" s="47">
        <v>44002</v>
      </c>
      <c r="B192" s="48">
        <f t="shared" si="15"/>
        <v>1000</v>
      </c>
      <c r="C192" s="49"/>
      <c r="D192" s="50" t="s">
        <v>192</v>
      </c>
      <c r="E192" s="78"/>
      <c r="F192" s="48">
        <f t="shared" si="16"/>
        <v>0</v>
      </c>
      <c r="G192" s="93">
        <v>1000</v>
      </c>
      <c r="H192" s="94"/>
      <c r="I192" s="70"/>
      <c r="J192" s="71"/>
      <c r="K192" s="106" t="s">
        <v>84</v>
      </c>
      <c r="L192" s="73" t="s">
        <v>71</v>
      </c>
      <c r="M192" s="105"/>
      <c r="N192" s="71"/>
      <c r="O192" s="73"/>
      <c r="Q192" s="107"/>
    </row>
    <row r="193" s="3" customFormat="1" ht="18" customHeight="1" spans="1:17">
      <c r="A193" s="47">
        <v>44002</v>
      </c>
      <c r="B193" s="48">
        <f t="shared" si="15"/>
        <v>247.79</v>
      </c>
      <c r="C193" s="49"/>
      <c r="D193" s="50" t="s">
        <v>21</v>
      </c>
      <c r="E193" s="78">
        <v>0.13</v>
      </c>
      <c r="F193" s="48">
        <f t="shared" si="16"/>
        <v>32.21</v>
      </c>
      <c r="G193" s="93">
        <v>280</v>
      </c>
      <c r="H193" s="94"/>
      <c r="I193" s="70"/>
      <c r="J193" s="71"/>
      <c r="K193" s="106" t="s">
        <v>84</v>
      </c>
      <c r="L193" s="73" t="s">
        <v>196</v>
      </c>
      <c r="M193" s="105"/>
      <c r="N193" s="71"/>
      <c r="O193" s="73"/>
      <c r="Q193" s="107"/>
    </row>
    <row r="194" s="3" customFormat="1" ht="18" customHeight="1" spans="1:17">
      <c r="A194" s="47">
        <v>44002</v>
      </c>
      <c r="B194" s="48">
        <f t="shared" si="15"/>
        <v>2502</v>
      </c>
      <c r="C194" s="49"/>
      <c r="D194" s="50" t="s">
        <v>189</v>
      </c>
      <c r="E194" s="78"/>
      <c r="F194" s="48">
        <f t="shared" si="16"/>
        <v>0</v>
      </c>
      <c r="G194" s="93">
        <v>2502</v>
      </c>
      <c r="H194" s="94"/>
      <c r="I194" s="70"/>
      <c r="J194" s="71"/>
      <c r="K194" s="106" t="s">
        <v>84</v>
      </c>
      <c r="L194" s="73" t="s">
        <v>202</v>
      </c>
      <c r="M194" s="105"/>
      <c r="N194" s="71"/>
      <c r="O194" s="73"/>
      <c r="Q194" s="107"/>
    </row>
    <row r="195" s="3" customFormat="1" ht="18" customHeight="1" spans="1:17">
      <c r="A195" s="47">
        <v>44002</v>
      </c>
      <c r="B195" s="48">
        <f t="shared" si="15"/>
        <v>5436</v>
      </c>
      <c r="C195" s="49"/>
      <c r="D195" s="50" t="s">
        <v>67</v>
      </c>
      <c r="E195" s="78"/>
      <c r="F195" s="48">
        <f t="shared" si="16"/>
        <v>0</v>
      </c>
      <c r="G195" s="93">
        <v>5436</v>
      </c>
      <c r="H195" s="94"/>
      <c r="I195" s="70"/>
      <c r="J195" s="71"/>
      <c r="K195" s="106" t="s">
        <v>84</v>
      </c>
      <c r="L195" s="73" t="s">
        <v>203</v>
      </c>
      <c r="M195" s="105"/>
      <c r="N195" s="71"/>
      <c r="O195" s="73"/>
      <c r="Q195" s="107"/>
    </row>
    <row r="196" s="3" customFormat="1" ht="18" customHeight="1" spans="1:17">
      <c r="A196" s="47">
        <v>44002</v>
      </c>
      <c r="B196" s="48">
        <f t="shared" si="15"/>
        <v>500</v>
      </c>
      <c r="C196" s="49"/>
      <c r="D196" s="50" t="s">
        <v>189</v>
      </c>
      <c r="E196" s="78"/>
      <c r="F196" s="48">
        <f t="shared" si="16"/>
        <v>0</v>
      </c>
      <c r="G196" s="93">
        <v>500</v>
      </c>
      <c r="H196" s="94"/>
      <c r="I196" s="70"/>
      <c r="J196" s="71"/>
      <c r="K196" s="106" t="s">
        <v>84</v>
      </c>
      <c r="L196" s="73" t="s">
        <v>202</v>
      </c>
      <c r="M196" s="71"/>
      <c r="N196" s="71"/>
      <c r="O196" s="73"/>
      <c r="Q196" s="107"/>
    </row>
    <row r="197" s="3" customFormat="1" ht="18" customHeight="1" spans="1:17">
      <c r="A197" s="47">
        <v>44002</v>
      </c>
      <c r="B197" s="48">
        <f t="shared" si="15"/>
        <v>315</v>
      </c>
      <c r="C197" s="49"/>
      <c r="D197" s="50" t="s">
        <v>189</v>
      </c>
      <c r="E197" s="78"/>
      <c r="F197" s="48">
        <f t="shared" si="16"/>
        <v>0</v>
      </c>
      <c r="G197" s="93">
        <v>315</v>
      </c>
      <c r="H197" s="94"/>
      <c r="I197" s="70"/>
      <c r="J197" s="71"/>
      <c r="K197" s="106" t="s">
        <v>84</v>
      </c>
      <c r="L197" s="73" t="s">
        <v>204</v>
      </c>
      <c r="M197" s="71"/>
      <c r="N197" s="71"/>
      <c r="O197" s="73"/>
      <c r="Q197" s="107"/>
    </row>
    <row r="198" s="3" customFormat="1" ht="18" customHeight="1" spans="1:17">
      <c r="A198" s="47">
        <v>44063</v>
      </c>
      <c r="B198" s="48">
        <f t="shared" ref="B198:B214" si="17">ROUND(G198/(1+E198),2)</f>
        <v>196886.88</v>
      </c>
      <c r="C198" s="49"/>
      <c r="D198" s="50" t="s">
        <v>21</v>
      </c>
      <c r="E198" s="78">
        <v>0.13</v>
      </c>
      <c r="F198" s="48">
        <f t="shared" ref="F198:F214" si="18">ROUND(G198/(1+E198)*E198,2)</f>
        <v>25595.29</v>
      </c>
      <c r="G198" s="93">
        <v>222482.17</v>
      </c>
      <c r="H198" s="94"/>
      <c r="I198" s="70"/>
      <c r="J198" s="103"/>
      <c r="K198" s="106" t="s">
        <v>205</v>
      </c>
      <c r="L198" s="73" t="s">
        <v>206</v>
      </c>
      <c r="M198" s="74" t="s">
        <v>207</v>
      </c>
      <c r="N198" s="71"/>
      <c r="O198" s="73"/>
      <c r="Q198" s="107"/>
    </row>
    <row r="199" s="3" customFormat="1" ht="18" customHeight="1" spans="1:17">
      <c r="A199" s="47">
        <v>44063</v>
      </c>
      <c r="B199" s="48">
        <f t="shared" si="17"/>
        <v>39500</v>
      </c>
      <c r="C199" s="49"/>
      <c r="D199" s="50" t="s">
        <v>67</v>
      </c>
      <c r="E199" s="78"/>
      <c r="F199" s="48">
        <f t="shared" si="18"/>
        <v>0</v>
      </c>
      <c r="G199" s="93">
        <v>39500</v>
      </c>
      <c r="H199" s="94"/>
      <c r="I199" s="70"/>
      <c r="J199" s="103"/>
      <c r="K199" s="106" t="s">
        <v>208</v>
      </c>
      <c r="L199" s="73" t="s">
        <v>209</v>
      </c>
      <c r="M199" s="74" t="s">
        <v>210</v>
      </c>
      <c r="N199" s="71"/>
      <c r="O199" s="73"/>
      <c r="Q199" s="107"/>
    </row>
    <row r="200" s="3" customFormat="1" ht="18" customHeight="1" spans="1:17">
      <c r="A200" s="47">
        <v>44063</v>
      </c>
      <c r="B200" s="48">
        <f t="shared" si="17"/>
        <v>22338.05</v>
      </c>
      <c r="C200" s="49"/>
      <c r="D200" s="50" t="s">
        <v>21</v>
      </c>
      <c r="E200" s="78">
        <v>0.13</v>
      </c>
      <c r="F200" s="48">
        <f t="shared" si="18"/>
        <v>2903.95</v>
      </c>
      <c r="G200" s="93">
        <v>25242</v>
      </c>
      <c r="H200" s="94"/>
      <c r="I200" s="70"/>
      <c r="J200" s="103"/>
      <c r="K200" s="106" t="s">
        <v>69</v>
      </c>
      <c r="L200" s="73" t="s">
        <v>184</v>
      </c>
      <c r="M200" s="74" t="s">
        <v>211</v>
      </c>
      <c r="N200" s="71"/>
      <c r="O200" s="73"/>
      <c r="Q200" s="107"/>
    </row>
    <row r="201" s="3" customFormat="1" ht="18" customHeight="1" spans="1:17">
      <c r="A201" s="47">
        <v>44063</v>
      </c>
      <c r="B201" s="48">
        <f t="shared" si="17"/>
        <v>7204.58</v>
      </c>
      <c r="C201" s="49"/>
      <c r="D201" s="50" t="s">
        <v>21</v>
      </c>
      <c r="E201" s="78">
        <v>0.13</v>
      </c>
      <c r="F201" s="48">
        <f t="shared" si="18"/>
        <v>936.59</v>
      </c>
      <c r="G201" s="93">
        <v>8141.17</v>
      </c>
      <c r="H201" s="94">
        <v>44027</v>
      </c>
      <c r="I201" s="70">
        <v>8141.17</v>
      </c>
      <c r="J201" s="71" t="s">
        <v>58</v>
      </c>
      <c r="K201" s="106" t="s">
        <v>212</v>
      </c>
      <c r="L201" s="73" t="s">
        <v>213</v>
      </c>
      <c r="M201" s="74" t="s">
        <v>214</v>
      </c>
      <c r="N201" s="71"/>
      <c r="O201" s="73"/>
      <c r="Q201" s="107"/>
    </row>
    <row r="202" s="2" customFormat="1" ht="18" customHeight="1" spans="1:17">
      <c r="A202" s="40">
        <v>44063</v>
      </c>
      <c r="B202" s="41">
        <f t="shared" si="17"/>
        <v>4424.78</v>
      </c>
      <c r="C202" s="42"/>
      <c r="D202" s="43" t="s">
        <v>21</v>
      </c>
      <c r="E202" s="108">
        <v>0.13</v>
      </c>
      <c r="F202" s="41">
        <f t="shared" si="18"/>
        <v>575.22</v>
      </c>
      <c r="G202" s="109">
        <v>5000</v>
      </c>
      <c r="H202" s="110">
        <v>43998</v>
      </c>
      <c r="I202" s="45">
        <v>5000</v>
      </c>
      <c r="J202" s="67" t="s">
        <v>58</v>
      </c>
      <c r="K202" s="112" t="s">
        <v>85</v>
      </c>
      <c r="L202" s="69" t="s">
        <v>191</v>
      </c>
      <c r="M202" s="113" t="s">
        <v>125</v>
      </c>
      <c r="N202" s="67"/>
      <c r="O202" s="69"/>
      <c r="Q202" s="125"/>
    </row>
    <row r="203" s="3" customFormat="1" ht="18" customHeight="1" spans="1:17">
      <c r="A203" s="47">
        <v>44063</v>
      </c>
      <c r="B203" s="48">
        <f t="shared" si="17"/>
        <v>8303.5</v>
      </c>
      <c r="C203" s="49"/>
      <c r="D203" s="50" t="s">
        <v>67</v>
      </c>
      <c r="E203" s="78"/>
      <c r="F203" s="48">
        <f t="shared" si="18"/>
        <v>0</v>
      </c>
      <c r="G203" s="93">
        <v>8303.5</v>
      </c>
      <c r="H203" s="94"/>
      <c r="I203" s="70"/>
      <c r="J203" s="103"/>
      <c r="K203" s="106" t="s">
        <v>215</v>
      </c>
      <c r="L203" s="73" t="s">
        <v>216</v>
      </c>
      <c r="M203" s="71"/>
      <c r="N203" s="71"/>
      <c r="O203" s="73"/>
      <c r="Q203" s="107"/>
    </row>
    <row r="204" s="3" customFormat="1" ht="18" customHeight="1" spans="1:17">
      <c r="A204" s="47">
        <v>44063</v>
      </c>
      <c r="B204" s="48">
        <f t="shared" si="17"/>
        <v>6460</v>
      </c>
      <c r="C204" s="49"/>
      <c r="D204" s="50" t="s">
        <v>67</v>
      </c>
      <c r="E204" s="78"/>
      <c r="F204" s="48">
        <f t="shared" si="18"/>
        <v>0</v>
      </c>
      <c r="G204" s="93">
        <v>6460</v>
      </c>
      <c r="H204" s="94"/>
      <c r="I204" s="70"/>
      <c r="J204" s="103"/>
      <c r="K204" s="106" t="s">
        <v>217</v>
      </c>
      <c r="L204" s="73" t="s">
        <v>218</v>
      </c>
      <c r="M204" s="71"/>
      <c r="N204" s="71"/>
      <c r="O204" s="73"/>
      <c r="Q204" s="107"/>
    </row>
    <row r="205" s="3" customFormat="1" ht="18" customHeight="1" spans="1:17">
      <c r="A205" s="47">
        <v>44063</v>
      </c>
      <c r="B205" s="48">
        <f t="shared" si="17"/>
        <v>9921.5</v>
      </c>
      <c r="C205" s="49"/>
      <c r="D205" s="50" t="s">
        <v>219</v>
      </c>
      <c r="E205" s="78"/>
      <c r="F205" s="48">
        <f t="shared" si="18"/>
        <v>0</v>
      </c>
      <c r="G205" s="93">
        <v>9921.5</v>
      </c>
      <c r="H205" s="94"/>
      <c r="I205" s="70"/>
      <c r="J205" s="103"/>
      <c r="K205" s="106" t="s">
        <v>84</v>
      </c>
      <c r="L205" s="73" t="s">
        <v>71</v>
      </c>
      <c r="M205" s="71"/>
      <c r="N205" s="71"/>
      <c r="O205" s="73"/>
      <c r="Q205" s="107"/>
    </row>
    <row r="206" s="3" customFormat="1" ht="18" customHeight="1" spans="1:19">
      <c r="A206" s="47">
        <v>44063</v>
      </c>
      <c r="B206" s="48">
        <f t="shared" si="17"/>
        <v>14091.84</v>
      </c>
      <c r="C206" s="49"/>
      <c r="D206" s="50" t="s">
        <v>21</v>
      </c>
      <c r="E206" s="78">
        <v>0.03</v>
      </c>
      <c r="F206" s="48">
        <f t="shared" si="18"/>
        <v>422.76</v>
      </c>
      <c r="G206" s="93">
        <v>14514.6</v>
      </c>
      <c r="H206" s="94"/>
      <c r="I206" s="70"/>
      <c r="J206" s="103"/>
      <c r="K206" s="106" t="s">
        <v>84</v>
      </c>
      <c r="L206" s="73" t="s">
        <v>71</v>
      </c>
      <c r="M206" s="71"/>
      <c r="N206" s="71"/>
      <c r="O206" s="73"/>
      <c r="Q206" s="107"/>
      <c r="S206" s="3" t="s">
        <v>82</v>
      </c>
    </row>
    <row r="207" s="3" customFormat="1" ht="18" customHeight="1" spans="1:17">
      <c r="A207" s="47">
        <v>44063</v>
      </c>
      <c r="B207" s="48">
        <f t="shared" si="17"/>
        <v>16104</v>
      </c>
      <c r="C207" s="49"/>
      <c r="D207" s="50" t="s">
        <v>220</v>
      </c>
      <c r="E207" s="78"/>
      <c r="F207" s="48">
        <f t="shared" si="18"/>
        <v>0</v>
      </c>
      <c r="G207" s="93">
        <v>16104</v>
      </c>
      <c r="H207" s="94"/>
      <c r="I207" s="70"/>
      <c r="J207" s="103"/>
      <c r="K207" s="106" t="s">
        <v>84</v>
      </c>
      <c r="L207" s="73" t="s">
        <v>71</v>
      </c>
      <c r="M207" s="71"/>
      <c r="N207" s="71"/>
      <c r="O207" s="73"/>
      <c r="Q207" s="107"/>
    </row>
    <row r="208" s="3" customFormat="1" ht="18" customHeight="1" spans="1:17">
      <c r="A208" s="47">
        <v>44063</v>
      </c>
      <c r="B208" s="48">
        <f t="shared" si="17"/>
        <v>25080.53</v>
      </c>
      <c r="C208" s="49"/>
      <c r="D208" s="50" t="s">
        <v>21</v>
      </c>
      <c r="E208" s="78">
        <v>0.13</v>
      </c>
      <c r="F208" s="48">
        <f t="shared" si="18"/>
        <v>3260.47</v>
      </c>
      <c r="G208" s="93">
        <v>28341</v>
      </c>
      <c r="H208" s="94">
        <v>44027</v>
      </c>
      <c r="I208" s="70">
        <v>28341</v>
      </c>
      <c r="J208" s="71" t="s">
        <v>58</v>
      </c>
      <c r="K208" s="106" t="s">
        <v>118</v>
      </c>
      <c r="L208" s="73" t="s">
        <v>221</v>
      </c>
      <c r="M208" s="74" t="s">
        <v>222</v>
      </c>
      <c r="N208" s="71"/>
      <c r="O208" s="73"/>
      <c r="Q208" s="107"/>
    </row>
    <row r="209" s="3" customFormat="1" ht="18" customHeight="1" spans="1:17">
      <c r="A209" s="47">
        <v>44063</v>
      </c>
      <c r="B209" s="48">
        <f t="shared" si="17"/>
        <v>39001.94</v>
      </c>
      <c r="C209" s="49"/>
      <c r="D209" s="50" t="s">
        <v>21</v>
      </c>
      <c r="E209" s="78">
        <v>0.03</v>
      </c>
      <c r="F209" s="48">
        <f t="shared" si="18"/>
        <v>1170.06</v>
      </c>
      <c r="G209" s="93">
        <v>40172</v>
      </c>
      <c r="H209" s="94">
        <v>44027</v>
      </c>
      <c r="I209" s="70">
        <v>40172</v>
      </c>
      <c r="J209" s="71" t="s">
        <v>58</v>
      </c>
      <c r="K209" s="106" t="s">
        <v>223</v>
      </c>
      <c r="L209" s="73" t="s">
        <v>224</v>
      </c>
      <c r="M209" s="74" t="s">
        <v>225</v>
      </c>
      <c r="N209" s="71"/>
      <c r="O209" s="73"/>
      <c r="Q209" s="107"/>
    </row>
    <row r="210" s="3" customFormat="1" ht="18" customHeight="1" spans="1:17">
      <c r="A210" s="47"/>
      <c r="B210" s="48">
        <f t="shared" si="17"/>
        <v>0</v>
      </c>
      <c r="C210" s="49"/>
      <c r="D210" s="50"/>
      <c r="E210" s="78"/>
      <c r="F210" s="48">
        <f t="shared" si="18"/>
        <v>0</v>
      </c>
      <c r="G210" s="93"/>
      <c r="H210" s="94">
        <v>44071</v>
      </c>
      <c r="I210" s="70">
        <v>-5000</v>
      </c>
      <c r="J210" s="103" t="s">
        <v>58</v>
      </c>
      <c r="K210" s="106" t="s">
        <v>41</v>
      </c>
      <c r="L210" s="73" t="s">
        <v>226</v>
      </c>
      <c r="M210" s="74"/>
      <c r="N210" s="71"/>
      <c r="O210" s="73"/>
      <c r="Q210" s="107"/>
    </row>
    <row r="211" s="3" customFormat="1" ht="18" customHeight="1" spans="1:17">
      <c r="A211" s="47">
        <v>44063</v>
      </c>
      <c r="B211" s="48">
        <f t="shared" si="17"/>
        <v>26476.86</v>
      </c>
      <c r="C211" s="49"/>
      <c r="D211" s="50" t="s">
        <v>21</v>
      </c>
      <c r="E211" s="78">
        <v>0.13</v>
      </c>
      <c r="F211" s="48">
        <f t="shared" si="18"/>
        <v>3441.99</v>
      </c>
      <c r="G211" s="93">
        <v>29918.85</v>
      </c>
      <c r="H211" s="94">
        <v>44074</v>
      </c>
      <c r="I211" s="70">
        <v>29918.85</v>
      </c>
      <c r="J211" s="103" t="s">
        <v>58</v>
      </c>
      <c r="K211" s="106" t="s">
        <v>121</v>
      </c>
      <c r="L211" s="73" t="s">
        <v>227</v>
      </c>
      <c r="M211" s="74" t="s">
        <v>228</v>
      </c>
      <c r="N211" s="71"/>
      <c r="O211" s="73"/>
      <c r="Q211" s="107"/>
    </row>
    <row r="212" s="3" customFormat="1" ht="18" customHeight="1" spans="1:17">
      <c r="A212" s="47"/>
      <c r="B212" s="48">
        <f t="shared" si="17"/>
        <v>0</v>
      </c>
      <c r="C212" s="49"/>
      <c r="D212" s="50"/>
      <c r="E212" s="78"/>
      <c r="F212" s="48">
        <f t="shared" si="18"/>
        <v>0</v>
      </c>
      <c r="G212" s="93"/>
      <c r="H212" s="94">
        <v>44027</v>
      </c>
      <c r="I212" s="70">
        <v>6097</v>
      </c>
      <c r="J212" s="103" t="s">
        <v>58</v>
      </c>
      <c r="K212" s="106" t="s">
        <v>84</v>
      </c>
      <c r="L212" s="73" t="s">
        <v>71</v>
      </c>
      <c r="M212" s="74"/>
      <c r="N212" s="71"/>
      <c r="O212" s="73"/>
      <c r="Q212" s="107"/>
    </row>
    <row r="213" s="3" customFormat="1" ht="18" customHeight="1" spans="1:17">
      <c r="A213" s="47"/>
      <c r="B213" s="48">
        <f t="shared" si="17"/>
        <v>0</v>
      </c>
      <c r="C213" s="49"/>
      <c r="D213" s="50"/>
      <c r="E213" s="78"/>
      <c r="F213" s="48">
        <f t="shared" si="18"/>
        <v>0</v>
      </c>
      <c r="G213" s="93"/>
      <c r="H213" s="94">
        <v>44070</v>
      </c>
      <c r="I213" s="70">
        <v>-6000</v>
      </c>
      <c r="J213" s="114" t="s">
        <v>58</v>
      </c>
      <c r="K213" s="106" t="s">
        <v>39</v>
      </c>
      <c r="L213" s="73"/>
      <c r="M213" s="74"/>
      <c r="N213" s="71"/>
      <c r="O213" s="73"/>
      <c r="Q213" s="107"/>
    </row>
    <row r="214" s="2" customFormat="1" ht="18" customHeight="1" spans="1:17">
      <c r="A214" s="40">
        <v>43831</v>
      </c>
      <c r="B214" s="41">
        <f t="shared" si="17"/>
        <v>67256.64</v>
      </c>
      <c r="C214" s="42"/>
      <c r="D214" s="43" t="s">
        <v>21</v>
      </c>
      <c r="E214" s="108">
        <v>0.13</v>
      </c>
      <c r="F214" s="41">
        <f t="shared" si="18"/>
        <v>8743.36</v>
      </c>
      <c r="G214" s="109">
        <v>76000</v>
      </c>
      <c r="H214" s="110"/>
      <c r="I214" s="45"/>
      <c r="J214" s="115"/>
      <c r="K214" s="68" t="s">
        <v>165</v>
      </c>
      <c r="L214" s="69" t="s">
        <v>229</v>
      </c>
      <c r="M214" s="113"/>
      <c r="N214" s="67"/>
      <c r="O214" s="69"/>
      <c r="Q214" s="125"/>
    </row>
    <row r="215" s="3" customFormat="1" ht="18" customHeight="1" spans="1:17">
      <c r="A215" s="47">
        <v>44124</v>
      </c>
      <c r="B215" s="48">
        <f t="shared" ref="B215:B267" si="19">ROUND(G215/(1+E215),2)</f>
        <v>34746.02</v>
      </c>
      <c r="C215" s="49">
        <v>1</v>
      </c>
      <c r="D215" s="50" t="s">
        <v>21</v>
      </c>
      <c r="E215" s="78">
        <v>0.13</v>
      </c>
      <c r="F215" s="48">
        <f t="shared" ref="F215:F262" si="20">ROUND(G215/(1+E215)*E215,2)</f>
        <v>4516.98</v>
      </c>
      <c r="G215" s="93">
        <v>39263</v>
      </c>
      <c r="H215" s="94"/>
      <c r="I215" s="70"/>
      <c r="J215" s="103"/>
      <c r="K215" s="106" t="s">
        <v>165</v>
      </c>
      <c r="L215" s="73" t="s">
        <v>229</v>
      </c>
      <c r="M215" s="74" t="s">
        <v>167</v>
      </c>
      <c r="N215" s="71"/>
      <c r="O215" s="73"/>
      <c r="Q215" s="107"/>
    </row>
    <row r="216" s="3" customFormat="1" ht="18" customHeight="1" spans="1:17">
      <c r="A216" s="47">
        <v>44124</v>
      </c>
      <c r="B216" s="48">
        <f t="shared" si="19"/>
        <v>4424.78</v>
      </c>
      <c r="C216" s="49">
        <v>1</v>
      </c>
      <c r="D216" s="50" t="s">
        <v>21</v>
      </c>
      <c r="E216" s="78">
        <v>0.13</v>
      </c>
      <c r="F216" s="48">
        <f t="shared" si="20"/>
        <v>575.22</v>
      </c>
      <c r="G216" s="93">
        <v>5000</v>
      </c>
      <c r="H216" s="94"/>
      <c r="I216" s="116"/>
      <c r="J216" s="71"/>
      <c r="K216" s="106" t="s">
        <v>85</v>
      </c>
      <c r="L216" s="73" t="s">
        <v>191</v>
      </c>
      <c r="M216" s="74" t="s">
        <v>125</v>
      </c>
      <c r="N216" s="71"/>
      <c r="O216" s="73"/>
      <c r="Q216" s="107"/>
    </row>
    <row r="217" s="3" customFormat="1" ht="18" customHeight="1" spans="1:17">
      <c r="A217" s="47">
        <v>44155</v>
      </c>
      <c r="B217" s="48">
        <f t="shared" si="19"/>
        <v>1058</v>
      </c>
      <c r="C217" s="49"/>
      <c r="D217" s="50" t="s">
        <v>230</v>
      </c>
      <c r="E217" s="78"/>
      <c r="F217" s="48">
        <f t="shared" si="20"/>
        <v>0</v>
      </c>
      <c r="G217" s="93">
        <f>373+685</f>
        <v>1058</v>
      </c>
      <c r="H217" s="94"/>
      <c r="I217" s="70"/>
      <c r="J217" s="117"/>
      <c r="K217" s="106" t="s">
        <v>84</v>
      </c>
      <c r="L217" s="73" t="s">
        <v>71</v>
      </c>
      <c r="M217" s="74"/>
      <c r="N217" s="71"/>
      <c r="O217" s="73"/>
      <c r="Q217" s="107"/>
    </row>
    <row r="218" s="3" customFormat="1" ht="18" customHeight="1" spans="1:17">
      <c r="A218" s="111">
        <v>44155</v>
      </c>
      <c r="B218" s="48">
        <f t="shared" si="19"/>
        <v>49782.74</v>
      </c>
      <c r="C218" s="49">
        <v>1</v>
      </c>
      <c r="D218" s="50" t="s">
        <v>21</v>
      </c>
      <c r="E218" s="78">
        <v>0.13</v>
      </c>
      <c r="F218" s="48">
        <f t="shared" si="20"/>
        <v>6471.76</v>
      </c>
      <c r="G218" s="93">
        <v>56254.5</v>
      </c>
      <c r="H218" s="94"/>
      <c r="I218" s="70"/>
      <c r="J218" s="103"/>
      <c r="K218" s="106" t="s">
        <v>52</v>
      </c>
      <c r="L218" s="73" t="s">
        <v>231</v>
      </c>
      <c r="M218" s="74" t="s">
        <v>232</v>
      </c>
      <c r="N218" s="71"/>
      <c r="O218" s="73"/>
      <c r="Q218" s="107"/>
    </row>
    <row r="219" s="3" customFormat="1" ht="18" customHeight="1" spans="1:17">
      <c r="A219" s="111">
        <v>44155</v>
      </c>
      <c r="B219" s="48">
        <f t="shared" si="19"/>
        <v>107522.12</v>
      </c>
      <c r="C219" s="49">
        <v>12</v>
      </c>
      <c r="D219" s="50" t="s">
        <v>21</v>
      </c>
      <c r="E219" s="78">
        <v>0.13</v>
      </c>
      <c r="F219" s="48">
        <f t="shared" si="20"/>
        <v>13977.88</v>
      </c>
      <c r="G219" s="93">
        <f>10125*12</f>
        <v>121500</v>
      </c>
      <c r="H219" s="94"/>
      <c r="I219" s="70"/>
      <c r="J219" s="103"/>
      <c r="K219" s="106" t="s">
        <v>169</v>
      </c>
      <c r="L219" s="73" t="s">
        <v>233</v>
      </c>
      <c r="M219" s="74" t="s">
        <v>234</v>
      </c>
      <c r="N219" s="71"/>
      <c r="O219" s="73"/>
      <c r="Q219" s="107"/>
    </row>
    <row r="220" s="3" customFormat="1" ht="22" customHeight="1" spans="1:17">
      <c r="A220" s="111">
        <v>44155</v>
      </c>
      <c r="B220" s="48">
        <f t="shared" si="19"/>
        <v>117915.93</v>
      </c>
      <c r="C220" s="49">
        <v>1</v>
      </c>
      <c r="D220" s="50" t="s">
        <v>21</v>
      </c>
      <c r="E220" s="78">
        <v>0.13</v>
      </c>
      <c r="F220" s="48">
        <f t="shared" si="20"/>
        <v>15329.07</v>
      </c>
      <c r="G220" s="93">
        <v>133245</v>
      </c>
      <c r="H220" s="94"/>
      <c r="I220" s="70"/>
      <c r="J220" s="71"/>
      <c r="K220" s="106" t="s">
        <v>118</v>
      </c>
      <c r="L220" s="73" t="s">
        <v>48</v>
      </c>
      <c r="M220" s="74" t="s">
        <v>222</v>
      </c>
      <c r="N220" s="71"/>
      <c r="O220" s="73"/>
      <c r="Q220" s="107"/>
    </row>
    <row r="221" s="3" customFormat="1" ht="18" customHeight="1" spans="1:17">
      <c r="A221" s="111">
        <v>44166</v>
      </c>
      <c r="B221" s="48">
        <f t="shared" si="19"/>
        <v>226.42</v>
      </c>
      <c r="C221" s="49">
        <v>1</v>
      </c>
      <c r="D221" s="50" t="s">
        <v>21</v>
      </c>
      <c r="E221" s="78">
        <v>0.06</v>
      </c>
      <c r="F221" s="80">
        <f t="shared" si="20"/>
        <v>13.58</v>
      </c>
      <c r="G221" s="93">
        <v>240</v>
      </c>
      <c r="H221" s="94"/>
      <c r="I221" s="70"/>
      <c r="J221" s="103"/>
      <c r="K221" s="106" t="s">
        <v>235</v>
      </c>
      <c r="L221" s="73" t="s">
        <v>236</v>
      </c>
      <c r="M221" s="74"/>
      <c r="N221" s="71"/>
      <c r="O221" s="73"/>
      <c r="Q221" s="107"/>
    </row>
    <row r="222" s="3" customFormat="1" ht="18" customHeight="1" spans="1:17">
      <c r="A222" s="111">
        <v>44166</v>
      </c>
      <c r="B222" s="48">
        <f t="shared" si="19"/>
        <v>36748.72</v>
      </c>
      <c r="C222" s="49">
        <v>1</v>
      </c>
      <c r="D222" s="50" t="s">
        <v>21</v>
      </c>
      <c r="E222" s="78">
        <v>0.13</v>
      </c>
      <c r="F222" s="48">
        <f t="shared" si="20"/>
        <v>4777.33</v>
      </c>
      <c r="G222" s="93">
        <v>41526.05</v>
      </c>
      <c r="H222" s="94"/>
      <c r="I222" s="70"/>
      <c r="J222" s="103"/>
      <c r="K222" s="106" t="s">
        <v>237</v>
      </c>
      <c r="L222" s="73" t="s">
        <v>238</v>
      </c>
      <c r="M222" s="74" t="s">
        <v>239</v>
      </c>
      <c r="N222" s="71"/>
      <c r="O222" s="73"/>
      <c r="Q222" s="107"/>
    </row>
    <row r="223" s="3" customFormat="1" ht="18" customHeight="1" spans="1:17">
      <c r="A223" s="111">
        <v>44166</v>
      </c>
      <c r="B223" s="48">
        <f t="shared" si="19"/>
        <v>470859.22</v>
      </c>
      <c r="C223" s="49">
        <v>5</v>
      </c>
      <c r="D223" s="50" t="s">
        <v>21</v>
      </c>
      <c r="E223" s="78">
        <v>0.03</v>
      </c>
      <c r="F223" s="48">
        <f t="shared" si="20"/>
        <v>14125.78</v>
      </c>
      <c r="G223" s="93">
        <f>400000+84985</f>
        <v>484985</v>
      </c>
      <c r="H223" s="94"/>
      <c r="I223" s="70"/>
      <c r="J223" s="71"/>
      <c r="K223" s="106" t="s">
        <v>61</v>
      </c>
      <c r="L223" s="73" t="s">
        <v>81</v>
      </c>
      <c r="M223" s="74" t="s">
        <v>63</v>
      </c>
      <c r="N223" s="71"/>
      <c r="O223" s="73"/>
      <c r="Q223" s="107"/>
    </row>
    <row r="224" s="3" customFormat="1" ht="18" customHeight="1" spans="1:17">
      <c r="A224" s="47"/>
      <c r="B224" s="48">
        <f t="shared" si="19"/>
        <v>0</v>
      </c>
      <c r="C224" s="49"/>
      <c r="D224" s="50"/>
      <c r="E224" s="78"/>
      <c r="F224" s="48">
        <f t="shared" si="20"/>
        <v>0</v>
      </c>
      <c r="G224" s="93"/>
      <c r="H224" s="94">
        <v>44125</v>
      </c>
      <c r="I224" s="70">
        <v>-64726.5</v>
      </c>
      <c r="J224" s="103" t="s">
        <v>58</v>
      </c>
      <c r="K224" s="106" t="s">
        <v>41</v>
      </c>
      <c r="L224" s="73" t="s">
        <v>240</v>
      </c>
      <c r="M224" s="71"/>
      <c r="N224" s="71"/>
      <c r="O224" s="73"/>
      <c r="Q224" s="107"/>
    </row>
    <row r="225" s="3" customFormat="1" ht="18" customHeight="1" spans="1:17">
      <c r="A225" s="47"/>
      <c r="B225" s="48">
        <f t="shared" si="19"/>
        <v>350680.13</v>
      </c>
      <c r="C225" s="49"/>
      <c r="D225" s="50"/>
      <c r="E225" s="78"/>
      <c r="F225" s="48">
        <f t="shared" si="20"/>
        <v>0</v>
      </c>
      <c r="G225" s="93">
        <v>350680.13</v>
      </c>
      <c r="H225" s="94">
        <v>44125</v>
      </c>
      <c r="I225" s="70">
        <v>25463.5</v>
      </c>
      <c r="J225" s="103" t="s">
        <v>58</v>
      </c>
      <c r="K225" s="106" t="s">
        <v>84</v>
      </c>
      <c r="L225" s="73" t="s">
        <v>71</v>
      </c>
      <c r="M225" s="71" t="s">
        <v>241</v>
      </c>
      <c r="N225" s="71"/>
      <c r="O225" s="73"/>
      <c r="Q225" s="107"/>
    </row>
    <row r="226" s="3" customFormat="1" ht="18" customHeight="1" spans="1:17">
      <c r="A226" s="47"/>
      <c r="B226" s="48">
        <f t="shared" si="19"/>
        <v>0</v>
      </c>
      <c r="C226" s="49"/>
      <c r="D226" s="50"/>
      <c r="E226" s="78"/>
      <c r="F226" s="48">
        <f t="shared" si="20"/>
        <v>0</v>
      </c>
      <c r="G226" s="93"/>
      <c r="H226" s="94">
        <v>44125</v>
      </c>
      <c r="I226" s="70">
        <v>39263</v>
      </c>
      <c r="J226" s="103" t="s">
        <v>58</v>
      </c>
      <c r="K226" s="106" t="s">
        <v>165</v>
      </c>
      <c r="L226" s="73" t="s">
        <v>229</v>
      </c>
      <c r="M226" s="74" t="s">
        <v>242</v>
      </c>
      <c r="N226" s="71"/>
      <c r="O226" s="73"/>
      <c r="Q226" s="107"/>
    </row>
    <row r="227" s="3" customFormat="1" ht="18" customHeight="1" spans="1:17">
      <c r="A227" s="47"/>
      <c r="B227" s="48">
        <f t="shared" si="19"/>
        <v>0</v>
      </c>
      <c r="C227" s="49"/>
      <c r="D227" s="50"/>
      <c r="E227" s="78"/>
      <c r="F227" s="48">
        <f t="shared" si="20"/>
        <v>0</v>
      </c>
      <c r="G227" s="93"/>
      <c r="H227" s="94">
        <v>44133</v>
      </c>
      <c r="I227" s="70">
        <v>-80040.1</v>
      </c>
      <c r="J227" s="103" t="s">
        <v>58</v>
      </c>
      <c r="K227" s="106" t="s">
        <v>41</v>
      </c>
      <c r="L227" s="73" t="s">
        <v>240</v>
      </c>
      <c r="M227" s="74"/>
      <c r="N227" s="71"/>
      <c r="O227" s="73"/>
      <c r="Q227" s="107"/>
    </row>
    <row r="228" s="3" customFormat="1" ht="18" customHeight="1" spans="1:17">
      <c r="A228" s="47"/>
      <c r="B228" s="48">
        <f t="shared" si="19"/>
        <v>0</v>
      </c>
      <c r="C228" s="49"/>
      <c r="D228" s="50"/>
      <c r="E228" s="78"/>
      <c r="F228" s="48">
        <f t="shared" si="20"/>
        <v>0</v>
      </c>
      <c r="G228" s="93"/>
      <c r="H228" s="94">
        <v>44137</v>
      </c>
      <c r="I228" s="118">
        <v>39500</v>
      </c>
      <c r="J228" s="103" t="s">
        <v>58</v>
      </c>
      <c r="K228" s="106" t="s">
        <v>208</v>
      </c>
      <c r="L228" s="73" t="s">
        <v>243</v>
      </c>
      <c r="M228" s="74"/>
      <c r="N228" s="71"/>
      <c r="O228" s="73"/>
      <c r="Q228" s="107"/>
    </row>
    <row r="229" s="3" customFormat="1" ht="18" customHeight="1" spans="1:17">
      <c r="A229" s="47"/>
      <c r="B229" s="48">
        <f t="shared" si="19"/>
        <v>0</v>
      </c>
      <c r="C229" s="49"/>
      <c r="D229" s="50"/>
      <c r="E229" s="78"/>
      <c r="F229" s="48">
        <f t="shared" si="20"/>
        <v>0</v>
      </c>
      <c r="G229" s="93"/>
      <c r="H229" s="94">
        <v>44137</v>
      </c>
      <c r="I229" s="118">
        <v>40540.1</v>
      </c>
      <c r="J229" s="103" t="s">
        <v>58</v>
      </c>
      <c r="K229" s="106" t="s">
        <v>84</v>
      </c>
      <c r="L229" s="73" t="s">
        <v>71</v>
      </c>
      <c r="M229" s="74"/>
      <c r="N229" s="71"/>
      <c r="O229" s="73"/>
      <c r="Q229" s="107"/>
    </row>
    <row r="230" s="3" customFormat="1" ht="18" customHeight="1" spans="1:17">
      <c r="A230" s="47"/>
      <c r="B230" s="48">
        <f t="shared" si="19"/>
        <v>0</v>
      </c>
      <c r="C230" s="49"/>
      <c r="D230" s="50"/>
      <c r="E230" s="78"/>
      <c r="F230" s="48">
        <f t="shared" si="20"/>
        <v>0</v>
      </c>
      <c r="G230" s="93"/>
      <c r="H230" s="94">
        <v>44190</v>
      </c>
      <c r="I230" s="118">
        <v>149766.6</v>
      </c>
      <c r="J230" s="103" t="s">
        <v>22</v>
      </c>
      <c r="K230" s="106" t="s">
        <v>41</v>
      </c>
      <c r="L230" s="119" t="s">
        <v>244</v>
      </c>
      <c r="M230" s="74"/>
      <c r="N230" s="71"/>
      <c r="O230" s="73"/>
      <c r="Q230" s="107"/>
    </row>
    <row r="231" s="3" customFormat="1" ht="18" customHeight="1" spans="1:17">
      <c r="A231" s="47"/>
      <c r="B231" s="48">
        <f t="shared" si="19"/>
        <v>0</v>
      </c>
      <c r="C231" s="49"/>
      <c r="D231" s="50"/>
      <c r="E231" s="78"/>
      <c r="F231" s="48">
        <f t="shared" si="20"/>
        <v>0</v>
      </c>
      <c r="G231" s="93"/>
      <c r="H231" s="94">
        <v>44190</v>
      </c>
      <c r="I231" s="118">
        <v>19400</v>
      </c>
      <c r="J231" s="103" t="s">
        <v>22</v>
      </c>
      <c r="K231" s="106" t="s">
        <v>245</v>
      </c>
      <c r="L231" s="119" t="s">
        <v>246</v>
      </c>
      <c r="M231" s="74"/>
      <c r="N231" s="71"/>
      <c r="O231" s="73"/>
      <c r="Q231" s="107"/>
    </row>
    <row r="232" s="3" customFormat="1" ht="18" customHeight="1" spans="1:17">
      <c r="A232" s="47"/>
      <c r="B232" s="48">
        <f t="shared" si="19"/>
        <v>0</v>
      </c>
      <c r="C232" s="49"/>
      <c r="D232" s="50"/>
      <c r="E232" s="78"/>
      <c r="F232" s="48">
        <f t="shared" si="20"/>
        <v>0</v>
      </c>
      <c r="G232" s="93"/>
      <c r="H232" s="94">
        <v>44190</v>
      </c>
      <c r="I232" s="118">
        <v>98608.38</v>
      </c>
      <c r="J232" s="103" t="s">
        <v>22</v>
      </c>
      <c r="K232" s="106" t="s">
        <v>84</v>
      </c>
      <c r="L232" s="119" t="s">
        <v>247</v>
      </c>
      <c r="M232" s="74"/>
      <c r="N232" s="71"/>
      <c r="O232" s="73"/>
      <c r="Q232" s="107"/>
    </row>
    <row r="233" s="3" customFormat="1" ht="18" customHeight="1" spans="1:17">
      <c r="A233" s="47"/>
      <c r="B233" s="48">
        <f t="shared" si="19"/>
        <v>0</v>
      </c>
      <c r="C233" s="49"/>
      <c r="D233" s="50"/>
      <c r="E233" s="78"/>
      <c r="F233" s="48">
        <f t="shared" si="20"/>
        <v>0</v>
      </c>
      <c r="G233" s="93"/>
      <c r="H233" s="94">
        <v>44190</v>
      </c>
      <c r="I233" s="118">
        <v>408243</v>
      </c>
      <c r="J233" s="103" t="s">
        <v>22</v>
      </c>
      <c r="K233" s="106" t="s">
        <v>248</v>
      </c>
      <c r="L233" s="119" t="s">
        <v>249</v>
      </c>
      <c r="M233" s="74" t="s">
        <v>63</v>
      </c>
      <c r="N233" s="71"/>
      <c r="O233" s="73"/>
      <c r="Q233" s="107"/>
    </row>
    <row r="234" s="3" customFormat="1" ht="18" customHeight="1" spans="1:17">
      <c r="A234" s="47"/>
      <c r="B234" s="48">
        <f t="shared" si="19"/>
        <v>0</v>
      </c>
      <c r="C234" s="49"/>
      <c r="D234" s="50"/>
      <c r="E234" s="78"/>
      <c r="F234" s="48">
        <f t="shared" si="20"/>
        <v>0</v>
      </c>
      <c r="G234" s="93"/>
      <c r="H234" s="94">
        <v>44190</v>
      </c>
      <c r="I234" s="118">
        <v>56254.5</v>
      </c>
      <c r="J234" s="103" t="s">
        <v>22</v>
      </c>
      <c r="K234" s="106" t="s">
        <v>52</v>
      </c>
      <c r="L234" s="119" t="s">
        <v>250</v>
      </c>
      <c r="M234" s="74"/>
      <c r="N234" s="71"/>
      <c r="O234" s="73"/>
      <c r="Q234" s="107"/>
    </row>
    <row r="235" s="3" customFormat="1" ht="18" customHeight="1" spans="1:17">
      <c r="A235" s="111">
        <v>44166</v>
      </c>
      <c r="B235" s="48">
        <f t="shared" si="19"/>
        <v>306141.59</v>
      </c>
      <c r="C235" s="49">
        <v>4</v>
      </c>
      <c r="D235" s="50" t="s">
        <v>21</v>
      </c>
      <c r="E235" s="78">
        <v>0.13</v>
      </c>
      <c r="F235" s="48">
        <f t="shared" si="20"/>
        <v>39798.41</v>
      </c>
      <c r="G235" s="93">
        <f>109690+68300+57300+110650</f>
        <v>345940</v>
      </c>
      <c r="H235" s="94">
        <v>44190</v>
      </c>
      <c r="I235" s="118">
        <v>345940</v>
      </c>
      <c r="J235" s="103" t="s">
        <v>22</v>
      </c>
      <c r="K235" s="106" t="s">
        <v>251</v>
      </c>
      <c r="L235" s="119" t="s">
        <v>252</v>
      </c>
      <c r="M235" s="74" t="s">
        <v>253</v>
      </c>
      <c r="N235" s="71"/>
      <c r="O235" s="73"/>
      <c r="Q235" s="107"/>
    </row>
    <row r="236" s="3" customFormat="1" ht="18" customHeight="1" spans="1:17">
      <c r="A236" s="111">
        <v>44166</v>
      </c>
      <c r="B236" s="48">
        <f t="shared" si="19"/>
        <v>143787.61</v>
      </c>
      <c r="C236" s="49">
        <v>2</v>
      </c>
      <c r="D236" s="50" t="s">
        <v>21</v>
      </c>
      <c r="E236" s="78">
        <v>0.13</v>
      </c>
      <c r="F236" s="48">
        <f t="shared" si="20"/>
        <v>18692.39</v>
      </c>
      <c r="G236" s="93">
        <f>81240+81240</f>
        <v>162480</v>
      </c>
      <c r="H236" s="94"/>
      <c r="I236" s="118"/>
      <c r="J236" s="103"/>
      <c r="K236" s="106" t="s">
        <v>169</v>
      </c>
      <c r="L236" s="73" t="s">
        <v>233</v>
      </c>
      <c r="M236" s="120"/>
      <c r="N236" s="71"/>
      <c r="Q236" s="107"/>
    </row>
    <row r="237" s="3" customFormat="1" ht="18" customHeight="1" spans="1:17">
      <c r="A237" s="111">
        <v>44166</v>
      </c>
      <c r="B237" s="48">
        <f t="shared" si="19"/>
        <v>117.4</v>
      </c>
      <c r="C237" s="49">
        <v>1</v>
      </c>
      <c r="D237" s="50" t="s">
        <v>67</v>
      </c>
      <c r="E237" s="78"/>
      <c r="F237" s="48">
        <f t="shared" si="20"/>
        <v>0</v>
      </c>
      <c r="G237" s="93">
        <v>117.4</v>
      </c>
      <c r="H237" s="94"/>
      <c r="I237" s="118"/>
      <c r="J237" s="103"/>
      <c r="K237" s="106" t="s">
        <v>84</v>
      </c>
      <c r="L237" s="121" t="s">
        <v>254</v>
      </c>
      <c r="M237" s="74"/>
      <c r="N237" s="71"/>
      <c r="O237" s="73"/>
      <c r="Q237" s="107"/>
    </row>
    <row r="238" s="3" customFormat="1" ht="18" customHeight="1" spans="1:17">
      <c r="A238" s="111">
        <v>44166</v>
      </c>
      <c r="B238" s="48">
        <f t="shared" si="19"/>
        <v>321</v>
      </c>
      <c r="C238" s="49">
        <v>5</v>
      </c>
      <c r="D238" s="50" t="s">
        <v>189</v>
      </c>
      <c r="E238" s="78"/>
      <c r="F238" s="48">
        <f t="shared" si="20"/>
        <v>0</v>
      </c>
      <c r="G238" s="93">
        <v>321</v>
      </c>
      <c r="H238" s="94"/>
      <c r="I238" s="118"/>
      <c r="J238" s="103"/>
      <c r="K238" s="106" t="s">
        <v>84</v>
      </c>
      <c r="L238" s="121" t="s">
        <v>254</v>
      </c>
      <c r="M238" s="74"/>
      <c r="N238" s="71"/>
      <c r="O238" s="73"/>
      <c r="Q238" s="107"/>
    </row>
    <row r="239" s="3" customFormat="1" ht="18" customHeight="1" spans="1:17">
      <c r="A239" s="111">
        <v>44166</v>
      </c>
      <c r="B239" s="48">
        <f t="shared" si="19"/>
        <v>115</v>
      </c>
      <c r="C239" s="49">
        <v>10</v>
      </c>
      <c r="D239" s="50" t="s">
        <v>67</v>
      </c>
      <c r="E239" s="78"/>
      <c r="F239" s="48">
        <f t="shared" si="20"/>
        <v>0</v>
      </c>
      <c r="G239" s="93">
        <v>115</v>
      </c>
      <c r="H239" s="94"/>
      <c r="I239" s="118"/>
      <c r="J239" s="103"/>
      <c r="K239" s="106" t="s">
        <v>84</v>
      </c>
      <c r="L239" s="121" t="s">
        <v>254</v>
      </c>
      <c r="M239" s="74"/>
      <c r="N239" s="71"/>
      <c r="O239" s="73"/>
      <c r="Q239" s="107"/>
    </row>
    <row r="240" s="3" customFormat="1" ht="18" customHeight="1" spans="1:17">
      <c r="A240" s="111">
        <v>44166</v>
      </c>
      <c r="B240" s="48">
        <f t="shared" si="19"/>
        <v>20081.31</v>
      </c>
      <c r="C240" s="49">
        <v>1</v>
      </c>
      <c r="D240" s="50" t="s">
        <v>21</v>
      </c>
      <c r="E240" s="78">
        <v>0.13</v>
      </c>
      <c r="F240" s="48">
        <f t="shared" si="20"/>
        <v>2610.57</v>
      </c>
      <c r="G240" s="93">
        <v>22691.88</v>
      </c>
      <c r="H240" s="94"/>
      <c r="I240" s="118"/>
      <c r="J240" s="103"/>
      <c r="K240" s="72" t="s">
        <v>113</v>
      </c>
      <c r="L240" s="73" t="s">
        <v>94</v>
      </c>
      <c r="M240" s="74" t="s">
        <v>255</v>
      </c>
      <c r="N240" s="71"/>
      <c r="O240" s="73"/>
      <c r="Q240" s="107"/>
    </row>
    <row r="241" s="3" customFormat="1" ht="27" customHeight="1" spans="1:17">
      <c r="A241" s="111">
        <v>44166</v>
      </c>
      <c r="B241" s="48">
        <f t="shared" si="19"/>
        <v>18305.07</v>
      </c>
      <c r="C241" s="49">
        <v>1</v>
      </c>
      <c r="D241" s="50" t="s">
        <v>21</v>
      </c>
      <c r="E241" s="78">
        <v>0.13</v>
      </c>
      <c r="F241" s="48">
        <f t="shared" si="20"/>
        <v>2379.66</v>
      </c>
      <c r="G241" s="93">
        <v>20684.73</v>
      </c>
      <c r="H241" s="94"/>
      <c r="I241" s="118"/>
      <c r="J241" s="103"/>
      <c r="K241" s="72" t="s">
        <v>113</v>
      </c>
      <c r="L241" s="73" t="s">
        <v>94</v>
      </c>
      <c r="M241" s="74" t="s">
        <v>256</v>
      </c>
      <c r="N241" s="71"/>
      <c r="O241" s="73"/>
      <c r="Q241" s="107"/>
    </row>
    <row r="242" s="3" customFormat="1" ht="18" customHeight="1" spans="1:17">
      <c r="A242" s="111"/>
      <c r="B242" s="48">
        <f t="shared" si="19"/>
        <v>0</v>
      </c>
      <c r="C242" s="49"/>
      <c r="D242" s="50"/>
      <c r="E242" s="78"/>
      <c r="F242" s="48">
        <f t="shared" si="20"/>
        <v>0</v>
      </c>
      <c r="G242" s="93"/>
      <c r="H242" s="94">
        <v>44195</v>
      </c>
      <c r="I242" s="122">
        <v>199000</v>
      </c>
      <c r="J242" s="123" t="s">
        <v>22</v>
      </c>
      <c r="K242" s="124" t="s">
        <v>172</v>
      </c>
      <c r="L242" s="73" t="s">
        <v>132</v>
      </c>
      <c r="M242" s="74"/>
      <c r="N242" s="71"/>
      <c r="O242" s="73"/>
      <c r="Q242" s="107"/>
    </row>
    <row r="243" s="3" customFormat="1" ht="18" customHeight="1" spans="1:17">
      <c r="A243" s="111"/>
      <c r="B243" s="48">
        <f t="shared" si="19"/>
        <v>0</v>
      </c>
      <c r="C243" s="49"/>
      <c r="D243" s="50"/>
      <c r="E243" s="78"/>
      <c r="F243" s="48">
        <f t="shared" si="20"/>
        <v>0</v>
      </c>
      <c r="G243" s="93"/>
      <c r="H243" s="94">
        <v>44195</v>
      </c>
      <c r="I243" s="122">
        <v>20684.73</v>
      </c>
      <c r="J243" s="123" t="s">
        <v>22</v>
      </c>
      <c r="K243" s="124" t="s">
        <v>113</v>
      </c>
      <c r="L243" s="73" t="s">
        <v>94</v>
      </c>
      <c r="M243" s="74"/>
      <c r="N243" s="71"/>
      <c r="O243" s="73"/>
      <c r="Q243" s="107"/>
    </row>
    <row r="244" s="3" customFormat="1" ht="18" customHeight="1" spans="1:17">
      <c r="A244" s="111"/>
      <c r="B244" s="48">
        <f t="shared" si="19"/>
        <v>0</v>
      </c>
      <c r="C244" s="49"/>
      <c r="D244" s="50"/>
      <c r="E244" s="78"/>
      <c r="F244" s="48">
        <f t="shared" si="20"/>
        <v>0</v>
      </c>
      <c r="G244" s="93"/>
      <c r="H244" s="94">
        <v>44195</v>
      </c>
      <c r="I244" s="122">
        <v>41526.05</v>
      </c>
      <c r="J244" s="123" t="s">
        <v>22</v>
      </c>
      <c r="K244" s="124" t="s">
        <v>237</v>
      </c>
      <c r="L244" s="73" t="s">
        <v>257</v>
      </c>
      <c r="M244" s="74"/>
      <c r="N244" s="71"/>
      <c r="O244" s="73"/>
      <c r="Q244" s="107"/>
    </row>
    <row r="245" s="3" customFormat="1" ht="18" customHeight="1" spans="1:17">
      <c r="A245" s="111"/>
      <c r="B245" s="48">
        <f t="shared" si="19"/>
        <v>0</v>
      </c>
      <c r="C245" s="49"/>
      <c r="D245" s="50"/>
      <c r="E245" s="78"/>
      <c r="F245" s="48">
        <f t="shared" si="20"/>
        <v>0</v>
      </c>
      <c r="G245" s="93"/>
      <c r="H245" s="94">
        <v>44195</v>
      </c>
      <c r="I245" s="122">
        <v>222482.17</v>
      </c>
      <c r="J245" s="123" t="s">
        <v>22</v>
      </c>
      <c r="K245" s="124" t="s">
        <v>205</v>
      </c>
      <c r="L245" s="73" t="s">
        <v>258</v>
      </c>
      <c r="M245" s="74"/>
      <c r="N245" s="71"/>
      <c r="O245" s="73"/>
      <c r="Q245" s="107"/>
    </row>
    <row r="246" s="3" customFormat="1" ht="18" customHeight="1" spans="1:17">
      <c r="A246" s="111"/>
      <c r="B246" s="48">
        <f t="shared" si="19"/>
        <v>0</v>
      </c>
      <c r="C246" s="49"/>
      <c r="D246" s="50"/>
      <c r="E246" s="78"/>
      <c r="F246" s="48">
        <f t="shared" si="20"/>
        <v>0</v>
      </c>
      <c r="G246" s="93"/>
      <c r="H246" s="94">
        <v>44195</v>
      </c>
      <c r="I246" s="122">
        <v>135780.5</v>
      </c>
      <c r="J246" s="123" t="s">
        <v>22</v>
      </c>
      <c r="K246" s="124" t="s">
        <v>105</v>
      </c>
      <c r="L246" s="73" t="s">
        <v>259</v>
      </c>
      <c r="M246" s="74"/>
      <c r="N246" s="71"/>
      <c r="O246" s="73"/>
      <c r="Q246" s="107"/>
    </row>
    <row r="247" s="3" customFormat="1" ht="18" customHeight="1" spans="1:17">
      <c r="A247" s="111"/>
      <c r="B247" s="48">
        <f t="shared" si="19"/>
        <v>0</v>
      </c>
      <c r="C247" s="49"/>
      <c r="D247" s="50"/>
      <c r="E247" s="78"/>
      <c r="F247" s="48">
        <f t="shared" si="20"/>
        <v>0</v>
      </c>
      <c r="G247" s="93"/>
      <c r="H247" s="94">
        <v>44195</v>
      </c>
      <c r="I247" s="122">
        <v>55000</v>
      </c>
      <c r="J247" s="123" t="s">
        <v>22</v>
      </c>
      <c r="K247" s="124" t="s">
        <v>182</v>
      </c>
      <c r="L247" s="73" t="s">
        <v>260</v>
      </c>
      <c r="M247" s="74"/>
      <c r="N247" s="71"/>
      <c r="O247" s="73"/>
      <c r="Q247" s="107"/>
    </row>
    <row r="248" s="3" customFormat="1" ht="18" customHeight="1" spans="1:17">
      <c r="A248" s="111"/>
      <c r="B248" s="48">
        <f t="shared" si="19"/>
        <v>0</v>
      </c>
      <c r="C248" s="49"/>
      <c r="D248" s="50"/>
      <c r="E248" s="78"/>
      <c r="F248" s="48">
        <f t="shared" si="20"/>
        <v>0</v>
      </c>
      <c r="G248" s="93"/>
      <c r="H248" s="94">
        <v>44195</v>
      </c>
      <c r="I248" s="122">
        <v>162480</v>
      </c>
      <c r="J248" s="123" t="s">
        <v>22</v>
      </c>
      <c r="K248" s="124" t="s">
        <v>169</v>
      </c>
      <c r="L248" s="73" t="s">
        <v>261</v>
      </c>
      <c r="M248" s="74"/>
      <c r="N248" s="71"/>
      <c r="O248" s="73"/>
      <c r="Q248" s="107"/>
    </row>
    <row r="249" s="3" customFormat="1" ht="18" customHeight="1" spans="1:17">
      <c r="A249" s="111"/>
      <c r="B249" s="48">
        <f t="shared" si="19"/>
        <v>0</v>
      </c>
      <c r="C249" s="49"/>
      <c r="D249" s="50"/>
      <c r="E249" s="78"/>
      <c r="F249" s="48">
        <f t="shared" si="20"/>
        <v>0</v>
      </c>
      <c r="G249" s="93"/>
      <c r="H249" s="94">
        <v>44195</v>
      </c>
      <c r="I249" s="122">
        <v>96456.8</v>
      </c>
      <c r="J249" s="123" t="s">
        <v>22</v>
      </c>
      <c r="K249" s="124" t="s">
        <v>45</v>
      </c>
      <c r="L249" s="73" t="s">
        <v>94</v>
      </c>
      <c r="M249" s="74"/>
      <c r="N249" s="71"/>
      <c r="O249" s="73"/>
      <c r="Q249" s="107"/>
    </row>
    <row r="250" s="3" customFormat="1" ht="18" customHeight="1" spans="1:17">
      <c r="A250" s="111"/>
      <c r="B250" s="48">
        <f t="shared" si="19"/>
        <v>0</v>
      </c>
      <c r="C250" s="49"/>
      <c r="D250" s="50"/>
      <c r="E250" s="78"/>
      <c r="F250" s="48">
        <f t="shared" si="20"/>
        <v>0</v>
      </c>
      <c r="G250" s="93"/>
      <c r="H250" s="94">
        <v>44195</v>
      </c>
      <c r="I250" s="122">
        <v>133245</v>
      </c>
      <c r="J250" s="123" t="s">
        <v>22</v>
      </c>
      <c r="K250" s="124" t="s">
        <v>118</v>
      </c>
      <c r="L250" s="73" t="s">
        <v>48</v>
      </c>
      <c r="M250" s="74"/>
      <c r="N250" s="71"/>
      <c r="O250" s="73"/>
      <c r="Q250" s="107"/>
    </row>
    <row r="251" s="3" customFormat="1" ht="18" customHeight="1" spans="1:17">
      <c r="A251" s="111"/>
      <c r="B251" s="48">
        <f t="shared" si="19"/>
        <v>0</v>
      </c>
      <c r="C251" s="49"/>
      <c r="D251" s="50"/>
      <c r="E251" s="78"/>
      <c r="F251" s="48">
        <f t="shared" si="20"/>
        <v>0</v>
      </c>
      <c r="G251" s="93"/>
      <c r="H251" s="94">
        <v>44201</v>
      </c>
      <c r="I251" s="122">
        <v>22691.88</v>
      </c>
      <c r="J251" s="123" t="s">
        <v>22</v>
      </c>
      <c r="K251" s="124" t="s">
        <v>113</v>
      </c>
      <c r="L251" s="73" t="s">
        <v>94</v>
      </c>
      <c r="M251" s="74"/>
      <c r="N251" s="71"/>
      <c r="O251" s="73"/>
      <c r="Q251" s="107"/>
    </row>
    <row r="252" s="3" customFormat="1" ht="18" customHeight="1" spans="1:17">
      <c r="A252" s="47">
        <v>44166</v>
      </c>
      <c r="B252" s="48">
        <f t="shared" si="19"/>
        <v>389440.59</v>
      </c>
      <c r="C252" s="49">
        <v>4</v>
      </c>
      <c r="D252" s="50" t="s">
        <v>21</v>
      </c>
      <c r="E252" s="78">
        <v>0.01</v>
      </c>
      <c r="F252" s="48">
        <f t="shared" si="20"/>
        <v>3894.41</v>
      </c>
      <c r="G252" s="33">
        <v>393335</v>
      </c>
      <c r="H252" s="94">
        <v>44201</v>
      </c>
      <c r="I252" s="122">
        <v>393335</v>
      </c>
      <c r="J252" s="123" t="s">
        <v>22</v>
      </c>
      <c r="K252" s="124" t="s">
        <v>80</v>
      </c>
      <c r="L252" s="73" t="s">
        <v>81</v>
      </c>
      <c r="M252" s="74" t="s">
        <v>262</v>
      </c>
      <c r="N252" s="71"/>
      <c r="O252" s="73"/>
      <c r="Q252" s="107"/>
    </row>
    <row r="253" s="3" customFormat="1" ht="18" customHeight="1" spans="1:17">
      <c r="A253" s="111">
        <v>44166</v>
      </c>
      <c r="B253" s="48">
        <f t="shared" si="19"/>
        <v>88622.83</v>
      </c>
      <c r="C253" s="49">
        <v>1</v>
      </c>
      <c r="D253" s="50" t="s">
        <v>21</v>
      </c>
      <c r="E253" s="78">
        <v>0.13</v>
      </c>
      <c r="F253" s="48">
        <f t="shared" si="20"/>
        <v>11520.97</v>
      </c>
      <c r="G253" s="93">
        <v>100143.8</v>
      </c>
      <c r="H253" s="94">
        <v>44201</v>
      </c>
      <c r="I253" s="122">
        <v>100143.8</v>
      </c>
      <c r="J253" s="123" t="s">
        <v>22</v>
      </c>
      <c r="K253" s="124" t="s">
        <v>47</v>
      </c>
      <c r="L253" s="73" t="s">
        <v>263</v>
      </c>
      <c r="M253" s="74" t="s">
        <v>264</v>
      </c>
      <c r="N253" s="71"/>
      <c r="O253" s="73"/>
      <c r="Q253" s="107"/>
    </row>
    <row r="254" s="3" customFormat="1" ht="18" customHeight="1" spans="1:17">
      <c r="A254" s="111">
        <v>44166</v>
      </c>
      <c r="B254" s="48">
        <f t="shared" si="19"/>
        <v>17168.14</v>
      </c>
      <c r="C254" s="49">
        <v>1</v>
      </c>
      <c r="D254" s="50" t="s">
        <v>21</v>
      </c>
      <c r="E254" s="78">
        <v>0.13</v>
      </c>
      <c r="F254" s="48">
        <f t="shared" si="20"/>
        <v>2231.86</v>
      </c>
      <c r="G254" s="93">
        <f>19400</f>
        <v>19400</v>
      </c>
      <c r="H254" s="94"/>
      <c r="I254" s="122"/>
      <c r="J254" s="123"/>
      <c r="K254" s="124" t="s">
        <v>245</v>
      </c>
      <c r="M254" s="74" t="s">
        <v>265</v>
      </c>
      <c r="N254" s="71"/>
      <c r="O254" s="73"/>
      <c r="Q254" s="107"/>
    </row>
    <row r="255" s="3" customFormat="1" ht="18" customHeight="1" spans="1:17">
      <c r="A255" s="111">
        <v>44166</v>
      </c>
      <c r="B255" s="48">
        <f t="shared" si="19"/>
        <v>3927.43</v>
      </c>
      <c r="C255" s="49">
        <v>1</v>
      </c>
      <c r="D255" s="50" t="s">
        <v>21</v>
      </c>
      <c r="E255" s="78">
        <v>0.13</v>
      </c>
      <c r="F255" s="48">
        <f t="shared" si="20"/>
        <v>510.57</v>
      </c>
      <c r="G255" s="93">
        <v>4438</v>
      </c>
      <c r="H255" s="94"/>
      <c r="I255" s="122"/>
      <c r="J255" s="123"/>
      <c r="K255" s="124" t="s">
        <v>59</v>
      </c>
      <c r="L255" s="73" t="s">
        <v>184</v>
      </c>
      <c r="M255" s="74" t="s">
        <v>211</v>
      </c>
      <c r="N255" s="71"/>
      <c r="O255" s="73"/>
      <c r="Q255" s="107"/>
    </row>
    <row r="256" s="3" customFormat="1" ht="18" customHeight="1" spans="1:17">
      <c r="A256" s="111">
        <v>44197</v>
      </c>
      <c r="B256" s="48">
        <f t="shared" si="19"/>
        <v>4788.94</v>
      </c>
      <c r="C256" s="49">
        <v>1</v>
      </c>
      <c r="D256" s="50" t="s">
        <v>21</v>
      </c>
      <c r="E256" s="78">
        <v>0.13</v>
      </c>
      <c r="F256" s="48">
        <f t="shared" si="20"/>
        <v>622.56</v>
      </c>
      <c r="G256" s="93">
        <f>5411.5</f>
        <v>5411.5</v>
      </c>
      <c r="H256" s="94"/>
      <c r="I256" s="122"/>
      <c r="J256" s="123"/>
      <c r="K256" s="124" t="s">
        <v>59</v>
      </c>
      <c r="L256" s="73" t="s">
        <v>184</v>
      </c>
      <c r="M256" s="74" t="s">
        <v>211</v>
      </c>
      <c r="N256" s="71"/>
      <c r="O256" s="73"/>
      <c r="Q256" s="107"/>
    </row>
    <row r="257" s="3" customFormat="1" ht="18" customHeight="1" spans="1:17">
      <c r="A257" s="111">
        <v>44197</v>
      </c>
      <c r="B257" s="48">
        <f t="shared" si="19"/>
        <v>366230.09</v>
      </c>
      <c r="C257" s="49">
        <v>4</v>
      </c>
      <c r="D257" s="50" t="s">
        <v>21</v>
      </c>
      <c r="E257" s="78">
        <v>0.13</v>
      </c>
      <c r="F257" s="48">
        <f t="shared" si="20"/>
        <v>47609.91</v>
      </c>
      <c r="G257" s="93">
        <f>103460*4</f>
        <v>413840</v>
      </c>
      <c r="H257" s="94"/>
      <c r="I257" s="122"/>
      <c r="J257" s="123"/>
      <c r="K257" s="124" t="s">
        <v>105</v>
      </c>
      <c r="L257" s="73" t="s">
        <v>266</v>
      </c>
      <c r="M257" s="74" t="s">
        <v>267</v>
      </c>
      <c r="N257" s="71"/>
      <c r="O257" s="73"/>
      <c r="Q257" s="107"/>
    </row>
    <row r="258" s="3" customFormat="1" ht="18" customHeight="1" spans="1:17">
      <c r="A258" s="111">
        <v>44197</v>
      </c>
      <c r="B258" s="48">
        <f t="shared" si="19"/>
        <v>59405.94</v>
      </c>
      <c r="C258" s="49">
        <v>1</v>
      </c>
      <c r="D258" s="50" t="s">
        <v>21</v>
      </c>
      <c r="E258" s="78">
        <v>0.01</v>
      </c>
      <c r="F258" s="48">
        <f t="shared" si="20"/>
        <v>594.06</v>
      </c>
      <c r="G258" s="93">
        <v>60000</v>
      </c>
      <c r="H258" s="94"/>
      <c r="I258" s="122"/>
      <c r="J258" s="123"/>
      <c r="K258" s="124" t="s">
        <v>80</v>
      </c>
      <c r="L258" s="73" t="s">
        <v>183</v>
      </c>
      <c r="M258" s="74" t="s">
        <v>268</v>
      </c>
      <c r="N258" s="71"/>
      <c r="O258" s="73"/>
      <c r="Q258" s="107"/>
    </row>
    <row r="259" s="3" customFormat="1" ht="26" customHeight="1" spans="1:17">
      <c r="A259" s="111">
        <v>44197</v>
      </c>
      <c r="B259" s="48">
        <f t="shared" si="19"/>
        <v>584803.88</v>
      </c>
      <c r="C259" s="49">
        <v>6</v>
      </c>
      <c r="D259" s="50" t="s">
        <v>21</v>
      </c>
      <c r="E259" s="78">
        <v>0.03</v>
      </c>
      <c r="F259" s="48">
        <f t="shared" si="20"/>
        <v>17544.12</v>
      </c>
      <c r="G259" s="93">
        <f>100392*5+100388</f>
        <v>602348</v>
      </c>
      <c r="H259" s="94"/>
      <c r="I259" s="122"/>
      <c r="J259" s="123"/>
      <c r="K259" s="124" t="s">
        <v>269</v>
      </c>
      <c r="L259" s="73" t="s">
        <v>132</v>
      </c>
      <c r="M259" s="74" t="s">
        <v>270</v>
      </c>
      <c r="N259" s="71"/>
      <c r="O259" s="73"/>
      <c r="Q259" s="107"/>
    </row>
    <row r="260" s="3" customFormat="1" ht="18" customHeight="1" spans="1:17">
      <c r="A260" s="111"/>
      <c r="B260" s="48">
        <f t="shared" si="19"/>
        <v>0</v>
      </c>
      <c r="C260" s="49"/>
      <c r="D260" s="50"/>
      <c r="E260" s="78"/>
      <c r="F260" s="48">
        <f t="shared" si="20"/>
        <v>0</v>
      </c>
      <c r="G260" s="93"/>
      <c r="H260" s="94">
        <v>44207</v>
      </c>
      <c r="I260" s="122">
        <v>5411.5</v>
      </c>
      <c r="J260" s="123" t="s">
        <v>22</v>
      </c>
      <c r="K260" s="124" t="s">
        <v>69</v>
      </c>
      <c r="L260" s="73" t="s">
        <v>184</v>
      </c>
      <c r="M260" s="71"/>
      <c r="N260" s="71"/>
      <c r="O260" s="73"/>
      <c r="Q260" s="107"/>
    </row>
    <row r="261" s="3" customFormat="1" ht="18" customHeight="1" spans="1:17">
      <c r="A261" s="111"/>
      <c r="B261" s="48">
        <f t="shared" si="19"/>
        <v>0</v>
      </c>
      <c r="C261" s="49"/>
      <c r="D261" s="50"/>
      <c r="E261" s="78"/>
      <c r="F261" s="48">
        <f t="shared" si="20"/>
        <v>0</v>
      </c>
      <c r="G261" s="93"/>
      <c r="H261" s="94">
        <v>44207</v>
      </c>
      <c r="I261" s="122">
        <v>4438</v>
      </c>
      <c r="J261" s="123" t="s">
        <v>22</v>
      </c>
      <c r="K261" s="124" t="s">
        <v>69</v>
      </c>
      <c r="L261" s="73" t="s">
        <v>184</v>
      </c>
      <c r="M261" s="71"/>
      <c r="N261" s="71"/>
      <c r="O261" s="73"/>
      <c r="Q261" s="107"/>
    </row>
    <row r="262" s="3" customFormat="1" ht="18" customHeight="1" spans="1:17">
      <c r="A262" s="111"/>
      <c r="B262" s="48">
        <f t="shared" si="19"/>
        <v>0</v>
      </c>
      <c r="C262" s="49"/>
      <c r="D262" s="50"/>
      <c r="E262" s="78"/>
      <c r="F262" s="48">
        <f t="shared" si="20"/>
        <v>0</v>
      </c>
      <c r="G262" s="93"/>
      <c r="H262" s="94">
        <v>44207</v>
      </c>
      <c r="I262" s="122">
        <v>413840</v>
      </c>
      <c r="J262" s="123" t="s">
        <v>22</v>
      </c>
      <c r="K262" s="124" t="s">
        <v>105</v>
      </c>
      <c r="L262" s="73" t="s">
        <v>259</v>
      </c>
      <c r="M262" s="71"/>
      <c r="N262" s="71"/>
      <c r="O262" s="73"/>
      <c r="Q262" s="107"/>
    </row>
    <row r="263" s="3" customFormat="1" ht="18" customHeight="1" spans="1:17">
      <c r="A263" s="111"/>
      <c r="B263" s="48">
        <f t="shared" si="19"/>
        <v>0</v>
      </c>
      <c r="C263" s="49"/>
      <c r="D263" s="50"/>
      <c r="E263" s="78"/>
      <c r="F263" s="48">
        <f t="shared" ref="F263:F268" si="21">ROUND(G263/(1+E263)*E263,2)</f>
        <v>0</v>
      </c>
      <c r="G263" s="93"/>
      <c r="H263" s="94">
        <v>44229</v>
      </c>
      <c r="I263" s="138">
        <v>60000</v>
      </c>
      <c r="J263" s="123" t="s">
        <v>22</v>
      </c>
      <c r="K263" s="139" t="s">
        <v>80</v>
      </c>
      <c r="L263" s="73" t="s">
        <v>183</v>
      </c>
      <c r="M263" s="74" t="s">
        <v>268</v>
      </c>
      <c r="N263" s="71"/>
      <c r="O263" s="73"/>
      <c r="Q263" s="107"/>
    </row>
    <row r="264" s="3" customFormat="1" ht="18" customHeight="1" spans="1:17">
      <c r="A264" s="111"/>
      <c r="B264" s="48">
        <f t="shared" si="19"/>
        <v>0</v>
      </c>
      <c r="C264" s="49"/>
      <c r="D264" s="50"/>
      <c r="E264" s="78"/>
      <c r="F264" s="48">
        <f t="shared" si="21"/>
        <v>0</v>
      </c>
      <c r="G264" s="93"/>
      <c r="H264" s="126">
        <v>44229</v>
      </c>
      <c r="I264" s="96">
        <v>602348</v>
      </c>
      <c r="J264" s="97" t="s">
        <v>22</v>
      </c>
      <c r="K264" s="98" t="s">
        <v>269</v>
      </c>
      <c r="L264" s="73" t="s">
        <v>132</v>
      </c>
      <c r="M264" s="74"/>
      <c r="N264" s="71"/>
      <c r="O264" s="73"/>
      <c r="Q264" s="107"/>
    </row>
    <row r="265" s="3" customFormat="1" ht="18" customHeight="1" spans="1:17">
      <c r="A265" s="111"/>
      <c r="B265" s="48">
        <f t="shared" si="19"/>
        <v>0</v>
      </c>
      <c r="C265" s="49"/>
      <c r="D265" s="50"/>
      <c r="E265" s="78"/>
      <c r="F265" s="48">
        <f t="shared" si="21"/>
        <v>0</v>
      </c>
      <c r="G265" s="93"/>
      <c r="H265" s="126">
        <v>44229</v>
      </c>
      <c r="I265" s="96">
        <v>880.4</v>
      </c>
      <c r="J265" s="140" t="s">
        <v>22</v>
      </c>
      <c r="K265" s="141" t="s">
        <v>84</v>
      </c>
      <c r="L265" s="73" t="s">
        <v>71</v>
      </c>
      <c r="M265" s="74"/>
      <c r="N265" s="71"/>
      <c r="O265" s="73"/>
      <c r="Q265" s="107"/>
    </row>
    <row r="266" s="3" customFormat="1" ht="18" customHeight="1" spans="1:17">
      <c r="A266" s="111"/>
      <c r="B266" s="48">
        <f t="shared" si="19"/>
        <v>0</v>
      </c>
      <c r="C266" s="49"/>
      <c r="D266" s="50"/>
      <c r="E266" s="78"/>
      <c r="F266" s="48">
        <f t="shared" si="21"/>
        <v>0</v>
      </c>
      <c r="G266" s="93"/>
      <c r="H266" s="126">
        <v>44235</v>
      </c>
      <c r="I266" s="96">
        <v>121500</v>
      </c>
      <c r="J266" s="140" t="s">
        <v>22</v>
      </c>
      <c r="K266" s="141" t="s">
        <v>169</v>
      </c>
      <c r="L266" s="73" t="s">
        <v>261</v>
      </c>
      <c r="M266" s="74" t="s">
        <v>271</v>
      </c>
      <c r="N266" s="71" t="s">
        <v>272</v>
      </c>
      <c r="O266" s="73"/>
      <c r="Q266" s="107"/>
    </row>
    <row r="267" s="3" customFormat="1" ht="18" customHeight="1" spans="1:17">
      <c r="A267" s="111">
        <v>44234</v>
      </c>
      <c r="B267" s="48">
        <f t="shared" si="19"/>
        <v>16784</v>
      </c>
      <c r="C267" s="49">
        <v>1</v>
      </c>
      <c r="D267" s="50" t="s">
        <v>134</v>
      </c>
      <c r="E267" s="78"/>
      <c r="F267" s="48">
        <f t="shared" si="21"/>
        <v>0</v>
      </c>
      <c r="G267" s="93">
        <v>16784</v>
      </c>
      <c r="H267" s="126">
        <v>44235</v>
      </c>
      <c r="I267" s="96">
        <v>16784</v>
      </c>
      <c r="J267" s="140" t="s">
        <v>22</v>
      </c>
      <c r="K267" s="141" t="s">
        <v>84</v>
      </c>
      <c r="L267" s="73" t="s">
        <v>71</v>
      </c>
      <c r="M267" s="74"/>
      <c r="N267" s="71"/>
      <c r="O267" s="73"/>
      <c r="Q267" s="107"/>
    </row>
    <row r="268" s="3" customFormat="1" ht="18" customHeight="1" spans="1:17">
      <c r="A268" s="111">
        <v>44317</v>
      </c>
      <c r="B268" s="48">
        <v>844</v>
      </c>
      <c r="C268" s="49">
        <v>12</v>
      </c>
      <c r="D268" s="50" t="s">
        <v>333</v>
      </c>
      <c r="E268" s="78"/>
      <c r="F268" s="48">
        <f t="shared" si="21"/>
        <v>0</v>
      </c>
      <c r="G268" s="93">
        <v>844</v>
      </c>
      <c r="H268" s="126"/>
      <c r="I268" s="122"/>
      <c r="J268" s="142"/>
      <c r="K268" s="141" t="s">
        <v>334</v>
      </c>
      <c r="L268" s="73" t="s">
        <v>71</v>
      </c>
      <c r="M268" s="74"/>
      <c r="N268" s="71"/>
      <c r="O268" s="73"/>
      <c r="Q268" s="107"/>
    </row>
    <row r="269" s="3" customFormat="1" ht="27" customHeight="1" spans="1:17">
      <c r="A269" s="111">
        <v>44348</v>
      </c>
      <c r="B269" s="48">
        <v>541592.94</v>
      </c>
      <c r="C269" s="49">
        <v>7</v>
      </c>
      <c r="D269" s="50" t="s">
        <v>21</v>
      </c>
      <c r="E269" s="78">
        <v>0.13</v>
      </c>
      <c r="F269" s="48">
        <v>70407.06</v>
      </c>
      <c r="G269" s="93">
        <v>612000</v>
      </c>
      <c r="H269" s="126"/>
      <c r="I269" s="122"/>
      <c r="J269" s="142"/>
      <c r="K269" s="141" t="s">
        <v>61</v>
      </c>
      <c r="L269" s="73" t="s">
        <v>104</v>
      </c>
      <c r="M269" s="74" t="s">
        <v>335</v>
      </c>
      <c r="N269" s="143"/>
      <c r="O269" s="144"/>
      <c r="Q269" s="107"/>
    </row>
    <row r="270" s="3" customFormat="1" ht="32" customHeight="1" spans="1:17">
      <c r="A270" s="111">
        <v>44348</v>
      </c>
      <c r="B270" s="48">
        <v>629702.96</v>
      </c>
      <c r="C270" s="49">
        <v>8</v>
      </c>
      <c r="D270" s="50" t="s">
        <v>21</v>
      </c>
      <c r="E270" s="78">
        <v>0.01</v>
      </c>
      <c r="F270" s="48">
        <v>6297.04</v>
      </c>
      <c r="G270" s="93">
        <v>636000</v>
      </c>
      <c r="H270" s="126"/>
      <c r="I270" s="122"/>
      <c r="J270" s="142"/>
      <c r="K270" s="141" t="s">
        <v>172</v>
      </c>
      <c r="L270" s="145" t="s">
        <v>336</v>
      </c>
      <c r="M270" s="71" t="s">
        <v>337</v>
      </c>
      <c r="O270" s="144"/>
      <c r="Q270" s="107"/>
    </row>
    <row r="271" s="3" customFormat="1" ht="27" customHeight="1" spans="1:17">
      <c r="A271" s="111">
        <v>44348</v>
      </c>
      <c r="B271" s="48">
        <v>702184.48</v>
      </c>
      <c r="C271" s="49">
        <v>8</v>
      </c>
      <c r="D271" s="50" t="s">
        <v>21</v>
      </c>
      <c r="E271" s="78">
        <v>0.03</v>
      </c>
      <c r="F271" s="48">
        <v>21065.52</v>
      </c>
      <c r="G271" s="93">
        <v>723250</v>
      </c>
      <c r="H271" s="126"/>
      <c r="I271" s="122"/>
      <c r="J271" s="142"/>
      <c r="K271" s="141" t="s">
        <v>269</v>
      </c>
      <c r="L271" s="73" t="s">
        <v>132</v>
      </c>
      <c r="M271" s="74" t="s">
        <v>338</v>
      </c>
      <c r="N271" s="143"/>
      <c r="O271" s="144"/>
      <c r="Q271" s="107"/>
    </row>
    <row r="272" s="3" customFormat="1" ht="28" customHeight="1" spans="1:17">
      <c r="A272" s="111">
        <v>44348</v>
      </c>
      <c r="B272" s="48">
        <v>483185.83</v>
      </c>
      <c r="C272" s="49">
        <v>6</v>
      </c>
      <c r="D272" s="50" t="s">
        <v>21</v>
      </c>
      <c r="E272" s="78">
        <v>0.13</v>
      </c>
      <c r="F272" s="48">
        <v>62814.17</v>
      </c>
      <c r="G272" s="93">
        <v>546000</v>
      </c>
      <c r="H272" s="126"/>
      <c r="I272" s="122"/>
      <c r="J272" s="142"/>
      <c r="K272" s="141" t="s">
        <v>339</v>
      </c>
      <c r="L272" s="73" t="s">
        <v>340</v>
      </c>
      <c r="M272" s="74" t="s">
        <v>341</v>
      </c>
      <c r="N272" s="143"/>
      <c r="O272" s="144"/>
      <c r="Q272" s="107"/>
    </row>
    <row r="273" s="3" customFormat="1" ht="27" customHeight="1" spans="1:17">
      <c r="A273" s="111"/>
      <c r="B273" s="48"/>
      <c r="C273" s="49"/>
      <c r="D273" s="127"/>
      <c r="E273" s="78"/>
      <c r="F273" s="48"/>
      <c r="G273" s="93"/>
      <c r="H273" s="126">
        <v>44377</v>
      </c>
      <c r="I273" s="122">
        <v>612000</v>
      </c>
      <c r="J273" s="140" t="s">
        <v>22</v>
      </c>
      <c r="K273" s="141" t="s">
        <v>61</v>
      </c>
      <c r="L273" s="73" t="s">
        <v>104</v>
      </c>
      <c r="M273" s="74" t="s">
        <v>335</v>
      </c>
      <c r="N273" s="143"/>
      <c r="O273" s="144"/>
      <c r="Q273" s="107"/>
    </row>
    <row r="274" s="3" customFormat="1" ht="24" customHeight="1" spans="1:17">
      <c r="A274" s="111"/>
      <c r="B274" s="48"/>
      <c r="C274" s="49"/>
      <c r="D274" s="127"/>
      <c r="E274" s="78"/>
      <c r="F274" s="48"/>
      <c r="G274" s="93"/>
      <c r="H274" s="126">
        <v>44377</v>
      </c>
      <c r="I274" s="122">
        <v>723250</v>
      </c>
      <c r="J274" s="140" t="s">
        <v>22</v>
      </c>
      <c r="K274" s="141" t="s">
        <v>269</v>
      </c>
      <c r="L274" s="73" t="s">
        <v>132</v>
      </c>
      <c r="M274" s="74" t="s">
        <v>338</v>
      </c>
      <c r="N274" s="143"/>
      <c r="O274" s="144"/>
      <c r="Q274" s="107"/>
    </row>
    <row r="275" s="3" customFormat="1" ht="26" customHeight="1" spans="1:17">
      <c r="A275" s="111"/>
      <c r="B275" s="48"/>
      <c r="C275" s="49"/>
      <c r="D275" s="127"/>
      <c r="E275" s="78"/>
      <c r="F275" s="48"/>
      <c r="G275" s="93"/>
      <c r="H275" s="126">
        <v>44377</v>
      </c>
      <c r="I275" s="122">
        <v>546000</v>
      </c>
      <c r="J275" s="140" t="s">
        <v>22</v>
      </c>
      <c r="K275" s="141" t="s">
        <v>339</v>
      </c>
      <c r="L275" s="73" t="s">
        <v>340</v>
      </c>
      <c r="M275" s="74" t="s">
        <v>341</v>
      </c>
      <c r="N275" s="143"/>
      <c r="O275" s="144"/>
      <c r="Q275" s="107"/>
    </row>
    <row r="276" s="3" customFormat="1" ht="28" customHeight="1" spans="1:17">
      <c r="A276" s="111"/>
      <c r="B276" s="48"/>
      <c r="C276" s="49"/>
      <c r="D276" s="127"/>
      <c r="E276" s="78"/>
      <c r="F276" s="48"/>
      <c r="G276" s="93"/>
      <c r="H276" s="126">
        <v>44377</v>
      </c>
      <c r="I276" s="122">
        <v>636000</v>
      </c>
      <c r="J276" s="140" t="s">
        <v>22</v>
      </c>
      <c r="K276" s="141" t="s">
        <v>172</v>
      </c>
      <c r="L276" s="73" t="s">
        <v>104</v>
      </c>
      <c r="M276" s="71" t="s">
        <v>337</v>
      </c>
      <c r="N276" s="143"/>
      <c r="O276" s="144"/>
      <c r="Q276" s="107"/>
    </row>
    <row r="277" s="3" customFormat="1" ht="18" customHeight="1" spans="1:17">
      <c r="A277" s="111"/>
      <c r="B277" s="48"/>
      <c r="C277" s="49"/>
      <c r="D277" s="127"/>
      <c r="E277" s="78"/>
      <c r="F277" s="48"/>
      <c r="G277" s="93"/>
      <c r="H277" s="126">
        <v>44377</v>
      </c>
      <c r="I277" s="122">
        <v>81689.23</v>
      </c>
      <c r="J277" s="140" t="s">
        <v>22</v>
      </c>
      <c r="K277" s="141" t="s">
        <v>84</v>
      </c>
      <c r="L277" s="73" t="s">
        <v>342</v>
      </c>
      <c r="M277" s="146"/>
      <c r="N277" s="143"/>
      <c r="O277" s="144"/>
      <c r="Q277" s="107"/>
    </row>
    <row r="278" s="3" customFormat="1" ht="18" customHeight="1" spans="1:17">
      <c r="A278" s="111"/>
      <c r="B278" s="48"/>
      <c r="C278" s="49"/>
      <c r="D278" s="127"/>
      <c r="E278" s="78"/>
      <c r="F278" s="48"/>
      <c r="G278" s="93"/>
      <c r="H278" s="126"/>
      <c r="I278" s="122"/>
      <c r="J278" s="142"/>
      <c r="K278" s="141"/>
      <c r="L278" s="73"/>
      <c r="M278" s="146"/>
      <c r="N278" s="143"/>
      <c r="O278" s="144"/>
      <c r="Q278" s="107"/>
    </row>
    <row r="279" s="3" customFormat="1" ht="18" customHeight="1" spans="1:17">
      <c r="A279" s="111"/>
      <c r="B279" s="48"/>
      <c r="C279" s="49"/>
      <c r="D279" s="127"/>
      <c r="E279" s="78"/>
      <c r="F279" s="48"/>
      <c r="G279" s="93"/>
      <c r="H279" s="126"/>
      <c r="I279" s="122"/>
      <c r="J279" s="142"/>
      <c r="K279" s="141"/>
      <c r="L279" s="73"/>
      <c r="M279" s="146"/>
      <c r="N279" s="143"/>
      <c r="O279" s="144"/>
      <c r="Q279" s="107"/>
    </row>
    <row r="280" s="3" customFormat="1" ht="18" customHeight="1" spans="1:17">
      <c r="A280" s="111"/>
      <c r="B280" s="48"/>
      <c r="C280" s="49"/>
      <c r="D280" s="127"/>
      <c r="E280" s="78"/>
      <c r="F280" s="48"/>
      <c r="G280" s="93"/>
      <c r="H280" s="126"/>
      <c r="I280" s="122"/>
      <c r="J280" s="142"/>
      <c r="K280" s="141"/>
      <c r="L280" s="73"/>
      <c r="M280" s="146"/>
      <c r="N280" s="143"/>
      <c r="O280" s="144"/>
      <c r="Q280" s="107"/>
    </row>
    <row r="281" s="3" customFormat="1" ht="18" customHeight="1" spans="1:17">
      <c r="A281" s="111"/>
      <c r="B281" s="48"/>
      <c r="C281" s="49"/>
      <c r="D281" s="127"/>
      <c r="E281" s="78"/>
      <c r="F281" s="48"/>
      <c r="G281" s="93"/>
      <c r="H281" s="128">
        <v>44377</v>
      </c>
      <c r="I281" s="147">
        <v>73731.43</v>
      </c>
      <c r="J281" s="148" t="s">
        <v>276</v>
      </c>
      <c r="K281" s="149" t="s">
        <v>284</v>
      </c>
      <c r="L281" s="73"/>
      <c r="M281" s="146"/>
      <c r="N281" s="143"/>
      <c r="O281" s="144"/>
      <c r="Q281" s="107"/>
    </row>
    <row r="282" s="3" customFormat="1" ht="24" customHeight="1" spans="1:17">
      <c r="A282" s="111"/>
      <c r="B282" s="48"/>
      <c r="C282" s="49"/>
      <c r="D282" s="127"/>
      <c r="E282" s="78"/>
      <c r="F282" s="48"/>
      <c r="G282" s="93"/>
      <c r="H282" s="128">
        <v>44377</v>
      </c>
      <c r="I282" s="147">
        <v>92085.31</v>
      </c>
      <c r="J282" s="148" t="s">
        <v>276</v>
      </c>
      <c r="K282" s="149" t="s">
        <v>343</v>
      </c>
      <c r="L282" s="73"/>
      <c r="M282" s="146"/>
      <c r="N282" s="143"/>
      <c r="O282" s="144"/>
      <c r="Q282" s="107"/>
    </row>
    <row r="283" s="3" customFormat="1" ht="25" customHeight="1" spans="1:17">
      <c r="A283" s="111"/>
      <c r="B283" s="48"/>
      <c r="C283" s="49"/>
      <c r="D283" s="127"/>
      <c r="E283" s="78"/>
      <c r="F283" s="48"/>
      <c r="G283" s="93"/>
      <c r="H283" s="128">
        <v>44371</v>
      </c>
      <c r="I283" s="147">
        <v>33821.76</v>
      </c>
      <c r="J283" s="148" t="s">
        <v>276</v>
      </c>
      <c r="K283" s="149" t="s">
        <v>287</v>
      </c>
      <c r="L283" s="73"/>
      <c r="M283" s="146"/>
      <c r="N283" s="143"/>
      <c r="O283" s="144"/>
      <c r="Q283" s="107"/>
    </row>
    <row r="284" s="3" customFormat="1" ht="24" customHeight="1" spans="1:17">
      <c r="A284" s="111"/>
      <c r="B284" s="48"/>
      <c r="C284" s="49"/>
      <c r="D284" s="127"/>
      <c r="E284" s="78"/>
      <c r="F284" s="48"/>
      <c r="G284" s="93"/>
      <c r="H284" s="128">
        <v>44371</v>
      </c>
      <c r="I284" s="147">
        <v>3135.28</v>
      </c>
      <c r="J284" s="148" t="s">
        <v>276</v>
      </c>
      <c r="K284" s="149" t="s">
        <v>344</v>
      </c>
      <c r="L284" s="73"/>
      <c r="M284" s="146"/>
      <c r="N284" s="143"/>
      <c r="O284" s="144"/>
      <c r="Q284" s="107"/>
    </row>
    <row r="285" s="3" customFormat="1" ht="27" customHeight="1" spans="1:17">
      <c r="A285" s="111"/>
      <c r="B285" s="48"/>
      <c r="C285" s="49"/>
      <c r="D285" s="127"/>
      <c r="E285" s="78"/>
      <c r="F285" s="48"/>
      <c r="G285" s="93"/>
      <c r="H285" s="128">
        <v>44371</v>
      </c>
      <c r="I285" s="147">
        <v>43836.7</v>
      </c>
      <c r="J285" s="148" t="s">
        <v>276</v>
      </c>
      <c r="K285" s="150" t="s">
        <v>345</v>
      </c>
      <c r="L285" s="73"/>
      <c r="M285" s="146"/>
      <c r="N285" s="143"/>
      <c r="O285" s="144"/>
      <c r="Q285" s="107"/>
    </row>
    <row r="286" s="3" customFormat="1" ht="18" customHeight="1" spans="1:17">
      <c r="A286" s="111"/>
      <c r="B286" s="48"/>
      <c r="C286" s="49"/>
      <c r="D286" s="127"/>
      <c r="E286" s="78"/>
      <c r="F286" s="48"/>
      <c r="G286" s="93"/>
      <c r="H286" s="128">
        <v>44377</v>
      </c>
      <c r="I286" s="147">
        <v>450</v>
      </c>
      <c r="J286" s="148" t="s">
        <v>276</v>
      </c>
      <c r="K286" s="151" t="s">
        <v>277</v>
      </c>
      <c r="L286" s="73"/>
      <c r="M286" s="146"/>
      <c r="N286" s="143"/>
      <c r="O286" s="144"/>
      <c r="Q286" s="107"/>
    </row>
    <row r="287" s="3" customFormat="1" ht="18" customHeight="1" spans="1:17">
      <c r="A287" s="111"/>
      <c r="B287" s="48"/>
      <c r="C287" s="49"/>
      <c r="D287" s="127"/>
      <c r="E287" s="78"/>
      <c r="F287" s="48"/>
      <c r="G287" s="93"/>
      <c r="H287" s="128">
        <v>44371</v>
      </c>
      <c r="I287" s="147">
        <v>500</v>
      </c>
      <c r="J287" s="148" t="s">
        <v>276</v>
      </c>
      <c r="K287" s="149" t="s">
        <v>308</v>
      </c>
      <c r="L287" s="73"/>
      <c r="M287" s="146"/>
      <c r="N287" s="143"/>
      <c r="O287" s="144"/>
      <c r="Q287" s="107"/>
    </row>
    <row r="288" s="3" customFormat="1" ht="18" customHeight="1" spans="1:17">
      <c r="A288" s="111"/>
      <c r="B288" s="48">
        <f t="shared" ref="B288:B328" si="22">ROUND(G288/(1+E288),2)</f>
        <v>0</v>
      </c>
      <c r="C288" s="49"/>
      <c r="D288" s="127"/>
      <c r="E288" s="78"/>
      <c r="F288" s="48">
        <f t="shared" ref="F288:F328" si="23">ROUND(G288/(1+E288)*E288,2)</f>
        <v>0</v>
      </c>
      <c r="G288" s="93"/>
      <c r="H288" s="94" t="s">
        <v>273</v>
      </c>
      <c r="I288" s="152">
        <v>-70468.48</v>
      </c>
      <c r="J288" s="103" t="s">
        <v>274</v>
      </c>
      <c r="K288" s="72" t="s">
        <v>275</v>
      </c>
      <c r="L288" s="73"/>
      <c r="M288" s="146"/>
      <c r="N288" s="143"/>
      <c r="O288" s="144"/>
      <c r="Q288" s="107"/>
    </row>
    <row r="289" s="3" customFormat="1" ht="18" customHeight="1" spans="1:17">
      <c r="A289" s="111"/>
      <c r="B289" s="48">
        <f t="shared" si="22"/>
        <v>0</v>
      </c>
      <c r="C289" s="49"/>
      <c r="D289" s="127"/>
      <c r="E289" s="78"/>
      <c r="F289" s="48">
        <f t="shared" si="23"/>
        <v>0</v>
      </c>
      <c r="G289" s="93"/>
      <c r="H289" s="94" t="s">
        <v>273</v>
      </c>
      <c r="I289" s="122">
        <v>150</v>
      </c>
      <c r="J289" s="103" t="s">
        <v>276</v>
      </c>
      <c r="K289" s="72" t="s">
        <v>277</v>
      </c>
      <c r="L289" s="73"/>
      <c r="M289" s="146"/>
      <c r="N289" s="143"/>
      <c r="O289" s="144"/>
      <c r="Q289" s="107"/>
    </row>
    <row r="290" s="3" customFormat="1" ht="18" customHeight="1" spans="1:17">
      <c r="A290" s="111"/>
      <c r="B290" s="48">
        <f t="shared" si="22"/>
        <v>0</v>
      </c>
      <c r="C290" s="49"/>
      <c r="D290" s="127"/>
      <c r="E290" s="78"/>
      <c r="F290" s="48">
        <f t="shared" si="23"/>
        <v>0</v>
      </c>
      <c r="G290" s="93"/>
      <c r="H290" s="94" t="s">
        <v>273</v>
      </c>
      <c r="I290" s="122">
        <v>150</v>
      </c>
      <c r="J290" s="103" t="s">
        <v>276</v>
      </c>
      <c r="K290" s="72" t="s">
        <v>277</v>
      </c>
      <c r="L290" s="73"/>
      <c r="M290" s="146"/>
      <c r="N290" s="143"/>
      <c r="O290" s="144"/>
      <c r="Q290" s="107"/>
    </row>
    <row r="291" s="3" customFormat="1" ht="18" customHeight="1" spans="1:17">
      <c r="A291" s="111"/>
      <c r="B291" s="48">
        <f t="shared" si="22"/>
        <v>0</v>
      </c>
      <c r="C291" s="49"/>
      <c r="D291" s="127"/>
      <c r="E291" s="78"/>
      <c r="F291" s="48">
        <f t="shared" si="23"/>
        <v>0</v>
      </c>
      <c r="G291" s="93"/>
      <c r="H291" s="94" t="s">
        <v>273</v>
      </c>
      <c r="I291" s="153">
        <v>-425874.723004588</v>
      </c>
      <c r="J291" s="123" t="s">
        <v>274</v>
      </c>
      <c r="K291" s="124" t="s">
        <v>278</v>
      </c>
      <c r="L291" s="73"/>
      <c r="M291" s="146"/>
      <c r="N291" s="143"/>
      <c r="O291" s="144"/>
      <c r="Q291" s="107"/>
    </row>
    <row r="292" s="3" customFormat="1" ht="18" customHeight="1" spans="1:17">
      <c r="A292" s="111"/>
      <c r="B292" s="48">
        <f t="shared" si="22"/>
        <v>0</v>
      </c>
      <c r="C292" s="49"/>
      <c r="D292" s="127"/>
      <c r="E292" s="78"/>
      <c r="F292" s="48">
        <f t="shared" si="23"/>
        <v>0</v>
      </c>
      <c r="G292" s="93"/>
      <c r="H292" s="94" t="s">
        <v>273</v>
      </c>
      <c r="I292" s="152">
        <v>-7000</v>
      </c>
      <c r="J292" s="103" t="s">
        <v>279</v>
      </c>
      <c r="K292" s="72" t="s">
        <v>280</v>
      </c>
      <c r="L292" s="144"/>
      <c r="M292" s="146"/>
      <c r="N292" s="143"/>
      <c r="O292" s="144"/>
      <c r="Q292" s="107"/>
    </row>
    <row r="293" s="3" customFormat="1" ht="18" customHeight="1" spans="1:17">
      <c r="A293" s="111"/>
      <c r="B293" s="48">
        <f t="shared" si="22"/>
        <v>0</v>
      </c>
      <c r="C293" s="49"/>
      <c r="D293" s="127"/>
      <c r="E293" s="78"/>
      <c r="F293" s="48">
        <f t="shared" si="23"/>
        <v>0</v>
      </c>
      <c r="G293" s="93"/>
      <c r="H293" s="94" t="s">
        <v>273</v>
      </c>
      <c r="I293" s="152">
        <v>7000</v>
      </c>
      <c r="J293" s="103" t="s">
        <v>276</v>
      </c>
      <c r="K293" s="72" t="s">
        <v>281</v>
      </c>
      <c r="L293" s="144"/>
      <c r="M293" s="146"/>
      <c r="N293" s="143"/>
      <c r="O293" s="144"/>
      <c r="Q293" s="107"/>
    </row>
    <row r="294" s="3" customFormat="1" ht="18" customHeight="1" spans="1:17">
      <c r="A294" s="111"/>
      <c r="B294" s="48">
        <f t="shared" si="22"/>
        <v>0</v>
      </c>
      <c r="C294" s="49"/>
      <c r="D294" s="127"/>
      <c r="E294" s="78"/>
      <c r="F294" s="48">
        <f t="shared" si="23"/>
        <v>0</v>
      </c>
      <c r="G294" s="93"/>
      <c r="H294" s="94" t="s">
        <v>273</v>
      </c>
      <c r="I294" s="154">
        <v>2000</v>
      </c>
      <c r="J294" s="103" t="s">
        <v>276</v>
      </c>
      <c r="K294" s="72" t="s">
        <v>282</v>
      </c>
      <c r="L294" s="144"/>
      <c r="M294" s="146"/>
      <c r="N294" s="143"/>
      <c r="O294" s="144"/>
      <c r="Q294" s="107"/>
    </row>
    <row r="295" s="3" customFormat="1" ht="18" customHeight="1" spans="1:17">
      <c r="A295" s="111"/>
      <c r="B295" s="48">
        <f t="shared" si="22"/>
        <v>0</v>
      </c>
      <c r="C295" s="49"/>
      <c r="D295" s="86"/>
      <c r="E295" s="78"/>
      <c r="F295" s="48">
        <f t="shared" si="23"/>
        <v>0</v>
      </c>
      <c r="G295" s="93"/>
      <c r="H295" s="94" t="s">
        <v>273</v>
      </c>
      <c r="I295" s="154">
        <v>1850</v>
      </c>
      <c r="J295" s="103" t="s">
        <v>276</v>
      </c>
      <c r="K295" s="72" t="s">
        <v>283</v>
      </c>
      <c r="L295" s="144"/>
      <c r="M295" s="146"/>
      <c r="N295" s="143"/>
      <c r="O295" s="144"/>
      <c r="Q295" s="107"/>
    </row>
    <row r="296" s="3" customFormat="1" ht="18" customHeight="1" spans="1:17">
      <c r="A296" s="129"/>
      <c r="B296" s="48">
        <f t="shared" si="22"/>
        <v>23158</v>
      </c>
      <c r="C296" s="130"/>
      <c r="D296" s="131"/>
      <c r="E296" s="132"/>
      <c r="F296" s="48">
        <f t="shared" si="23"/>
        <v>0</v>
      </c>
      <c r="G296" s="93">
        <f>I296</f>
        <v>23158</v>
      </c>
      <c r="H296" s="94" t="s">
        <v>273</v>
      </c>
      <c r="I296" s="154">
        <v>23158</v>
      </c>
      <c r="J296" s="97" t="s">
        <v>276</v>
      </c>
      <c r="K296" s="98" t="s">
        <v>284</v>
      </c>
      <c r="L296" s="73"/>
      <c r="M296" s="146"/>
      <c r="N296" s="143"/>
      <c r="O296" s="144"/>
      <c r="Q296" s="107"/>
    </row>
    <row r="297" s="3" customFormat="1" ht="18" customHeight="1" spans="1:17">
      <c r="A297" s="47"/>
      <c r="B297" s="48">
        <f t="shared" si="22"/>
        <v>0</v>
      </c>
      <c r="C297" s="49"/>
      <c r="D297" s="133"/>
      <c r="E297" s="78"/>
      <c r="F297" s="48">
        <f t="shared" si="23"/>
        <v>0</v>
      </c>
      <c r="G297" s="93"/>
      <c r="H297" s="94" t="s">
        <v>285</v>
      </c>
      <c r="I297" s="152">
        <v>70468.48</v>
      </c>
      <c r="J297" s="97" t="s">
        <v>276</v>
      </c>
      <c r="K297" s="72" t="s">
        <v>275</v>
      </c>
      <c r="L297" s="73"/>
      <c r="M297" s="146"/>
      <c r="N297" s="143"/>
      <c r="O297" s="73"/>
      <c r="Q297" s="107"/>
    </row>
    <row r="298" s="3" customFormat="1" ht="18" customHeight="1" spans="1:17">
      <c r="A298" s="47"/>
      <c r="B298" s="48">
        <f t="shared" si="22"/>
        <v>63783</v>
      </c>
      <c r="C298" s="49"/>
      <c r="D298" s="133"/>
      <c r="E298" s="78"/>
      <c r="F298" s="48">
        <f t="shared" si="23"/>
        <v>0</v>
      </c>
      <c r="G298" s="93">
        <f>I298</f>
        <v>63783</v>
      </c>
      <c r="H298" s="94" t="s">
        <v>285</v>
      </c>
      <c r="I298" s="154">
        <v>63783</v>
      </c>
      <c r="J298" s="97" t="s">
        <v>276</v>
      </c>
      <c r="K298" s="98" t="s">
        <v>284</v>
      </c>
      <c r="L298" s="73"/>
      <c r="M298" s="146"/>
      <c r="N298" s="143"/>
      <c r="O298" s="73"/>
      <c r="Q298" s="107"/>
    </row>
    <row r="299" s="3" customFormat="1" ht="18" customHeight="1" spans="1:17">
      <c r="A299" s="47"/>
      <c r="B299" s="48">
        <f t="shared" si="22"/>
        <v>0</v>
      </c>
      <c r="C299" s="49"/>
      <c r="D299" s="133"/>
      <c r="E299" s="78"/>
      <c r="F299" s="48">
        <f t="shared" si="23"/>
        <v>0</v>
      </c>
      <c r="G299" s="93"/>
      <c r="H299" s="94" t="s">
        <v>285</v>
      </c>
      <c r="I299" s="152">
        <v>425874.723004588</v>
      </c>
      <c r="J299" s="103" t="s">
        <v>286</v>
      </c>
      <c r="K299" s="98" t="s">
        <v>287</v>
      </c>
      <c r="L299" s="73"/>
      <c r="M299" s="146"/>
      <c r="N299" s="143"/>
      <c r="O299" s="73"/>
      <c r="Q299" s="107"/>
    </row>
    <row r="300" s="3" customFormat="1" ht="18" customHeight="1" spans="1:17">
      <c r="A300" s="47"/>
      <c r="B300" s="48">
        <f t="shared" si="22"/>
        <v>0</v>
      </c>
      <c r="C300" s="49"/>
      <c r="D300" s="133"/>
      <c r="E300" s="78"/>
      <c r="F300" s="48">
        <f t="shared" si="23"/>
        <v>0</v>
      </c>
      <c r="G300" s="93"/>
      <c r="H300" s="94" t="s">
        <v>285</v>
      </c>
      <c r="I300" s="154">
        <v>43470.62</v>
      </c>
      <c r="J300" s="103" t="s">
        <v>276</v>
      </c>
      <c r="K300" s="106" t="s">
        <v>288</v>
      </c>
      <c r="L300" s="73"/>
      <c r="M300" s="146"/>
      <c r="N300" s="143"/>
      <c r="O300" s="73"/>
      <c r="Q300" s="107"/>
    </row>
    <row r="301" s="3" customFormat="1" ht="18" customHeight="1" spans="1:17">
      <c r="A301" s="47"/>
      <c r="B301" s="48">
        <f t="shared" si="22"/>
        <v>0</v>
      </c>
      <c r="C301" s="49"/>
      <c r="D301" s="133"/>
      <c r="E301" s="78"/>
      <c r="F301" s="48">
        <f t="shared" si="23"/>
        <v>0</v>
      </c>
      <c r="G301" s="93"/>
      <c r="H301" s="94" t="s">
        <v>285</v>
      </c>
      <c r="I301" s="154">
        <v>3697</v>
      </c>
      <c r="J301" s="103" t="s">
        <v>276</v>
      </c>
      <c r="K301" s="106" t="s">
        <v>289</v>
      </c>
      <c r="L301" s="73"/>
      <c r="M301" s="146"/>
      <c r="N301" s="143"/>
      <c r="O301" s="73"/>
      <c r="Q301" s="107"/>
    </row>
    <row r="302" s="3" customFormat="1" ht="18" customHeight="1" spans="1:17">
      <c r="A302" s="47"/>
      <c r="B302" s="48">
        <f t="shared" si="22"/>
        <v>0</v>
      </c>
      <c r="C302" s="49"/>
      <c r="D302" s="133"/>
      <c r="E302" s="78"/>
      <c r="F302" s="48">
        <f t="shared" si="23"/>
        <v>0</v>
      </c>
      <c r="G302" s="93"/>
      <c r="H302" s="134" t="s">
        <v>285</v>
      </c>
      <c r="I302" s="152">
        <v>83285.2</v>
      </c>
      <c r="J302" s="155" t="s">
        <v>276</v>
      </c>
      <c r="K302" s="156" t="s">
        <v>290</v>
      </c>
      <c r="L302" s="73"/>
      <c r="M302" s="146"/>
      <c r="N302" s="143"/>
      <c r="O302" s="73"/>
      <c r="Q302" s="107"/>
    </row>
    <row r="303" s="3" customFormat="1" ht="18" customHeight="1" spans="1:17">
      <c r="A303" s="47"/>
      <c r="B303" s="48">
        <f t="shared" si="22"/>
        <v>0</v>
      </c>
      <c r="C303" s="49"/>
      <c r="D303" s="133"/>
      <c r="E303" s="78"/>
      <c r="F303" s="48">
        <f t="shared" si="23"/>
        <v>0</v>
      </c>
      <c r="G303" s="93"/>
      <c r="H303" s="135" t="s">
        <v>285</v>
      </c>
      <c r="I303" s="154">
        <v>217911.84</v>
      </c>
      <c r="J303" s="157" t="s">
        <v>279</v>
      </c>
      <c r="K303" s="158" t="s">
        <v>291</v>
      </c>
      <c r="L303" s="73"/>
      <c r="M303" s="146"/>
      <c r="N303" s="143"/>
      <c r="O303" s="73"/>
      <c r="Q303" s="107"/>
    </row>
    <row r="304" s="3" customFormat="1" ht="18" customHeight="1" spans="1:17">
      <c r="A304" s="47"/>
      <c r="B304" s="48">
        <f t="shared" si="22"/>
        <v>0</v>
      </c>
      <c r="C304" s="49"/>
      <c r="D304" s="133"/>
      <c r="E304" s="78"/>
      <c r="F304" s="48">
        <f t="shared" si="23"/>
        <v>0</v>
      </c>
      <c r="G304" s="93"/>
      <c r="H304" s="136" t="s">
        <v>292</v>
      </c>
      <c r="I304" s="152">
        <v>-25774.34</v>
      </c>
      <c r="J304" s="159" t="s">
        <v>279</v>
      </c>
      <c r="K304" s="156" t="s">
        <v>293</v>
      </c>
      <c r="L304" s="73"/>
      <c r="M304" s="146"/>
      <c r="N304" s="143"/>
      <c r="O304" s="73"/>
      <c r="Q304" s="107"/>
    </row>
    <row r="305" s="3" customFormat="1" ht="18" customHeight="1" spans="1:17">
      <c r="A305" s="47"/>
      <c r="B305" s="48">
        <f t="shared" si="22"/>
        <v>0</v>
      </c>
      <c r="C305" s="49"/>
      <c r="D305" s="133"/>
      <c r="E305" s="78"/>
      <c r="F305" s="48">
        <f t="shared" si="23"/>
        <v>0</v>
      </c>
      <c r="G305" s="93"/>
      <c r="H305" s="136" t="s">
        <v>292</v>
      </c>
      <c r="I305" s="152">
        <v>25774.34</v>
      </c>
      <c r="J305" s="160" t="s">
        <v>276</v>
      </c>
      <c r="K305" s="156" t="s">
        <v>294</v>
      </c>
      <c r="L305" s="73"/>
      <c r="M305" s="146"/>
      <c r="N305" s="143"/>
      <c r="O305" s="73"/>
      <c r="Q305" s="107"/>
    </row>
    <row r="306" s="3" customFormat="1" ht="18" customHeight="1" spans="1:17">
      <c r="A306" s="47"/>
      <c r="B306" s="48">
        <f t="shared" si="22"/>
        <v>0</v>
      </c>
      <c r="C306" s="49"/>
      <c r="D306" s="133"/>
      <c r="E306" s="78"/>
      <c r="F306" s="48">
        <f t="shared" si="23"/>
        <v>0</v>
      </c>
      <c r="G306" s="93"/>
      <c r="H306" s="137" t="s">
        <v>292</v>
      </c>
      <c r="I306" s="152">
        <v>-250</v>
      </c>
      <c r="J306" s="71" t="s">
        <v>279</v>
      </c>
      <c r="K306" s="72" t="s">
        <v>295</v>
      </c>
      <c r="L306" s="73" t="s">
        <v>296</v>
      </c>
      <c r="M306" s="71"/>
      <c r="N306" s="143"/>
      <c r="O306" s="73"/>
      <c r="Q306" s="107"/>
    </row>
    <row r="307" s="3" customFormat="1" ht="18" customHeight="1" spans="1:17">
      <c r="A307" s="47"/>
      <c r="B307" s="48">
        <f t="shared" si="22"/>
        <v>0</v>
      </c>
      <c r="C307" s="49"/>
      <c r="D307" s="133"/>
      <c r="E307" s="78"/>
      <c r="F307" s="48">
        <f t="shared" si="23"/>
        <v>0</v>
      </c>
      <c r="G307" s="93"/>
      <c r="H307" s="137" t="s">
        <v>292</v>
      </c>
      <c r="I307" s="152">
        <v>50</v>
      </c>
      <c r="J307" s="114" t="s">
        <v>276</v>
      </c>
      <c r="K307" s="72" t="s">
        <v>297</v>
      </c>
      <c r="L307" s="73"/>
      <c r="M307" s="71"/>
      <c r="N307" s="143"/>
      <c r="O307" s="73"/>
      <c r="Q307" s="107"/>
    </row>
    <row r="308" s="3" customFormat="1" ht="18" customHeight="1" spans="1:17">
      <c r="A308" s="47"/>
      <c r="B308" s="48">
        <f t="shared" si="22"/>
        <v>0</v>
      </c>
      <c r="C308" s="49"/>
      <c r="D308" s="133"/>
      <c r="E308" s="78"/>
      <c r="F308" s="48">
        <f t="shared" si="23"/>
        <v>0</v>
      </c>
      <c r="G308" s="93"/>
      <c r="H308" s="137" t="s">
        <v>292</v>
      </c>
      <c r="I308" s="161">
        <v>200</v>
      </c>
      <c r="J308" s="114" t="s">
        <v>276</v>
      </c>
      <c r="K308" s="72" t="s">
        <v>297</v>
      </c>
      <c r="L308" s="73"/>
      <c r="M308" s="71"/>
      <c r="N308" s="71"/>
      <c r="O308" s="73"/>
      <c r="Q308" s="107"/>
    </row>
    <row r="309" s="3" customFormat="1" ht="18" customHeight="1" spans="1:17">
      <c r="A309" s="47"/>
      <c r="B309" s="48">
        <f t="shared" si="22"/>
        <v>0</v>
      </c>
      <c r="C309" s="49"/>
      <c r="D309" s="133"/>
      <c r="E309" s="78"/>
      <c r="F309" s="48">
        <f t="shared" si="23"/>
        <v>0</v>
      </c>
      <c r="G309" s="33"/>
      <c r="H309" s="137" t="s">
        <v>292</v>
      </c>
      <c r="I309" s="162">
        <v>-1800</v>
      </c>
      <c r="J309" s="71" t="s">
        <v>279</v>
      </c>
      <c r="K309" s="72" t="s">
        <v>295</v>
      </c>
      <c r="L309" s="99" t="s">
        <v>298</v>
      </c>
      <c r="M309" s="71"/>
      <c r="N309" s="71"/>
      <c r="O309" s="73"/>
      <c r="Q309" s="107"/>
    </row>
    <row r="310" s="3" customFormat="1" ht="18" customHeight="1" spans="1:17">
      <c r="A310" s="47"/>
      <c r="B310" s="48">
        <f t="shared" si="22"/>
        <v>0</v>
      </c>
      <c r="C310" s="49"/>
      <c r="D310" s="50"/>
      <c r="E310" s="78"/>
      <c r="F310" s="48">
        <f t="shared" si="23"/>
        <v>0</v>
      </c>
      <c r="G310" s="33"/>
      <c r="H310" s="137" t="s">
        <v>292</v>
      </c>
      <c r="I310" s="162">
        <v>1800</v>
      </c>
      <c r="J310" s="71" t="s">
        <v>276</v>
      </c>
      <c r="K310" s="72" t="s">
        <v>297</v>
      </c>
      <c r="L310" s="99" t="s">
        <v>299</v>
      </c>
      <c r="M310" s="71"/>
      <c r="N310" s="71"/>
      <c r="O310" s="73"/>
      <c r="Q310" s="107"/>
    </row>
    <row r="311" s="3" customFormat="1" ht="18" customHeight="1" spans="1:17">
      <c r="A311" s="47"/>
      <c r="B311" s="48">
        <f t="shared" si="22"/>
        <v>0</v>
      </c>
      <c r="C311" s="49"/>
      <c r="D311" s="50"/>
      <c r="E311" s="78"/>
      <c r="F311" s="48">
        <f t="shared" si="23"/>
        <v>0</v>
      </c>
      <c r="G311" s="33"/>
      <c r="H311" s="137" t="s">
        <v>292</v>
      </c>
      <c r="I311" s="162">
        <v>-680400</v>
      </c>
      <c r="J311" s="71" t="s">
        <v>274</v>
      </c>
      <c r="K311" s="72" t="s">
        <v>300</v>
      </c>
      <c r="L311" s="99"/>
      <c r="M311" s="71"/>
      <c r="N311" s="71"/>
      <c r="O311" s="73"/>
      <c r="Q311" s="107"/>
    </row>
    <row r="312" s="3" customFormat="1" ht="18" customHeight="1" spans="1:17">
      <c r="A312" s="47"/>
      <c r="B312" s="48">
        <f t="shared" si="22"/>
        <v>0</v>
      </c>
      <c r="C312" s="49"/>
      <c r="D312" s="50"/>
      <c r="E312" s="78"/>
      <c r="F312" s="48">
        <f t="shared" si="23"/>
        <v>0</v>
      </c>
      <c r="G312" s="33"/>
      <c r="H312" s="137" t="s">
        <v>292</v>
      </c>
      <c r="I312" s="162">
        <v>-84973</v>
      </c>
      <c r="J312" s="97" t="s">
        <v>274</v>
      </c>
      <c r="K312" s="98" t="s">
        <v>301</v>
      </c>
      <c r="L312" s="73"/>
      <c r="M312" s="71"/>
      <c r="N312" s="71"/>
      <c r="O312" s="73"/>
      <c r="Q312" s="107"/>
    </row>
    <row r="313" s="3" customFormat="1" ht="18" customHeight="1" spans="1:19">
      <c r="A313" s="47"/>
      <c r="B313" s="48">
        <f t="shared" si="22"/>
        <v>0</v>
      </c>
      <c r="C313" s="49"/>
      <c r="D313" s="50"/>
      <c r="E313" s="78"/>
      <c r="F313" s="48">
        <f t="shared" si="23"/>
        <v>0</v>
      </c>
      <c r="G313" s="33"/>
      <c r="H313" s="137" t="s">
        <v>292</v>
      </c>
      <c r="I313" s="162">
        <v>84973</v>
      </c>
      <c r="J313" s="97" t="s">
        <v>276</v>
      </c>
      <c r="K313" s="98" t="s">
        <v>302</v>
      </c>
      <c r="L313" s="73"/>
      <c r="M313" s="71"/>
      <c r="N313" s="71"/>
      <c r="O313" s="73"/>
      <c r="P313" s="3">
        <f>I320+I325</f>
        <v>-192137.5</v>
      </c>
      <c r="Q313" s="107"/>
      <c r="S313" s="3" t="s">
        <v>82</v>
      </c>
    </row>
    <row r="314" s="3" customFormat="1" ht="18" customHeight="1" spans="1:17">
      <c r="A314" s="47"/>
      <c r="B314" s="48">
        <f t="shared" si="22"/>
        <v>0</v>
      </c>
      <c r="C314" s="49"/>
      <c r="D314" s="50"/>
      <c r="E314" s="78"/>
      <c r="F314" s="48">
        <f t="shared" si="23"/>
        <v>0</v>
      </c>
      <c r="G314" s="33"/>
      <c r="H314" s="137" t="s">
        <v>292</v>
      </c>
      <c r="I314" s="162">
        <v>680400</v>
      </c>
      <c r="J314" s="97" t="s">
        <v>286</v>
      </c>
      <c r="K314" s="98" t="s">
        <v>303</v>
      </c>
      <c r="L314" s="73"/>
      <c r="M314" s="71"/>
      <c r="N314" s="71"/>
      <c r="O314" s="73"/>
      <c r="Q314" s="107"/>
    </row>
    <row r="315" s="3" customFormat="1" ht="18" customHeight="1" spans="1:17">
      <c r="A315" s="47"/>
      <c r="B315" s="48">
        <f t="shared" si="22"/>
        <v>0</v>
      </c>
      <c r="C315" s="49"/>
      <c r="D315" s="50"/>
      <c r="E315" s="78"/>
      <c r="F315" s="48">
        <f t="shared" si="23"/>
        <v>0</v>
      </c>
      <c r="G315" s="33"/>
      <c r="H315" s="137" t="s">
        <v>292</v>
      </c>
      <c r="I315" s="162">
        <v>-189029</v>
      </c>
      <c r="J315" s="97" t="s">
        <v>304</v>
      </c>
      <c r="K315" s="98" t="s">
        <v>305</v>
      </c>
      <c r="L315" s="73"/>
      <c r="M315" s="71"/>
      <c r="N315" s="71"/>
      <c r="O315" s="73"/>
      <c r="Q315" s="107"/>
    </row>
    <row r="316" s="3" customFormat="1" ht="18" customHeight="1" spans="1:17">
      <c r="A316" s="47"/>
      <c r="B316" s="48">
        <f t="shared" si="22"/>
        <v>0</v>
      </c>
      <c r="C316" s="49"/>
      <c r="D316" s="50"/>
      <c r="E316" s="51"/>
      <c r="F316" s="48">
        <f t="shared" si="23"/>
        <v>0</v>
      </c>
      <c r="G316" s="33"/>
      <c r="H316" s="137" t="s">
        <v>292</v>
      </c>
      <c r="I316" s="162">
        <v>87576</v>
      </c>
      <c r="J316" s="97" t="s">
        <v>276</v>
      </c>
      <c r="K316" s="163" t="s">
        <v>306</v>
      </c>
      <c r="L316" s="73"/>
      <c r="M316" s="71"/>
      <c r="N316" s="71"/>
      <c r="O316" s="73"/>
      <c r="Q316" s="107"/>
    </row>
    <row r="317" s="3" customFormat="1" ht="18" customHeight="1" spans="1:18">
      <c r="A317" s="47"/>
      <c r="B317" s="48">
        <f t="shared" si="22"/>
        <v>0</v>
      </c>
      <c r="C317" s="49"/>
      <c r="D317" s="50"/>
      <c r="E317" s="51"/>
      <c r="F317" s="48">
        <f t="shared" si="23"/>
        <v>0</v>
      </c>
      <c r="G317" s="33"/>
      <c r="H317" s="137" t="s">
        <v>292</v>
      </c>
      <c r="I317" s="162">
        <v>4821</v>
      </c>
      <c r="J317" s="97" t="s">
        <v>276</v>
      </c>
      <c r="K317" s="98" t="s">
        <v>307</v>
      </c>
      <c r="L317" s="73"/>
      <c r="M317" s="71"/>
      <c r="N317" s="71"/>
      <c r="O317" s="73"/>
      <c r="Q317" s="107"/>
      <c r="R317" s="3" t="s">
        <v>82</v>
      </c>
    </row>
    <row r="318" s="3" customFormat="1" ht="18" customHeight="1" spans="1:17">
      <c r="A318" s="47"/>
      <c r="B318" s="48">
        <f t="shared" si="22"/>
        <v>0</v>
      </c>
      <c r="C318" s="49"/>
      <c r="D318" s="50"/>
      <c r="E318" s="51"/>
      <c r="F318" s="48">
        <f t="shared" si="23"/>
        <v>0</v>
      </c>
      <c r="G318" s="33"/>
      <c r="H318" s="137" t="s">
        <v>292</v>
      </c>
      <c r="I318" s="162">
        <v>500</v>
      </c>
      <c r="J318" s="97" t="s">
        <v>276</v>
      </c>
      <c r="K318" s="98" t="s">
        <v>308</v>
      </c>
      <c r="L318" s="73"/>
      <c r="M318" s="71"/>
      <c r="N318" s="71"/>
      <c r="O318" s="73"/>
      <c r="Q318" s="107"/>
    </row>
    <row r="319" s="3" customFormat="1" ht="18" customHeight="1" spans="1:17">
      <c r="A319" s="47"/>
      <c r="B319" s="48">
        <f t="shared" si="22"/>
        <v>96132</v>
      </c>
      <c r="C319" s="49"/>
      <c r="D319" s="50"/>
      <c r="E319" s="51"/>
      <c r="F319" s="48">
        <f t="shared" si="23"/>
        <v>0</v>
      </c>
      <c r="G319" s="33">
        <f>96132</f>
        <v>96132</v>
      </c>
      <c r="H319" s="137" t="s">
        <v>292</v>
      </c>
      <c r="I319" s="162">
        <f t="shared" ref="I319:I324" si="24">G319</f>
        <v>96132</v>
      </c>
      <c r="J319" s="97" t="s">
        <v>276</v>
      </c>
      <c r="K319" s="98" t="s">
        <v>284</v>
      </c>
      <c r="L319" s="73"/>
      <c r="M319" s="71"/>
      <c r="N319" s="71"/>
      <c r="O319" s="73"/>
      <c r="Q319" s="107"/>
    </row>
    <row r="320" s="3" customFormat="1" ht="18" customHeight="1" spans="1:18">
      <c r="A320" s="47"/>
      <c r="B320" s="48">
        <f t="shared" si="22"/>
        <v>0</v>
      </c>
      <c r="C320" s="49"/>
      <c r="D320" s="50"/>
      <c r="E320" s="51"/>
      <c r="F320" s="48">
        <f t="shared" si="23"/>
        <v>0</v>
      </c>
      <c r="G320" s="33"/>
      <c r="H320" s="137" t="s">
        <v>292</v>
      </c>
      <c r="I320" s="162">
        <v>-155889.5</v>
      </c>
      <c r="J320" s="71" t="s">
        <v>304</v>
      </c>
      <c r="K320" s="72" t="s">
        <v>309</v>
      </c>
      <c r="L320" s="73"/>
      <c r="M320" s="71"/>
      <c r="N320" s="71"/>
      <c r="O320" s="73"/>
      <c r="Q320" s="107"/>
      <c r="R320" s="3" t="s">
        <v>82</v>
      </c>
    </row>
    <row r="321" s="3" customFormat="1" ht="18" customHeight="1" spans="1:17">
      <c r="A321" s="47"/>
      <c r="B321" s="48">
        <f t="shared" si="22"/>
        <v>0</v>
      </c>
      <c r="C321" s="49"/>
      <c r="D321" s="50"/>
      <c r="E321" s="51"/>
      <c r="F321" s="48">
        <f t="shared" si="23"/>
        <v>0</v>
      </c>
      <c r="G321" s="33"/>
      <c r="H321" s="137" t="s">
        <v>292</v>
      </c>
      <c r="I321" s="162">
        <v>23725</v>
      </c>
      <c r="J321" s="71" t="s">
        <v>276</v>
      </c>
      <c r="K321" s="196" t="s">
        <v>306</v>
      </c>
      <c r="L321" s="73"/>
      <c r="M321" s="71"/>
      <c r="N321" s="71"/>
      <c r="O321" s="73"/>
      <c r="Q321" s="107"/>
    </row>
    <row r="322" s="3" customFormat="1" ht="18" customHeight="1" spans="1:17">
      <c r="A322" s="47"/>
      <c r="B322" s="48">
        <f t="shared" si="22"/>
        <v>0</v>
      </c>
      <c r="C322" s="49"/>
      <c r="D322" s="50"/>
      <c r="E322" s="51"/>
      <c r="F322" s="48">
        <f t="shared" si="23"/>
        <v>0</v>
      </c>
      <c r="G322" s="33"/>
      <c r="H322" s="137" t="s">
        <v>292</v>
      </c>
      <c r="I322" s="162">
        <v>1424</v>
      </c>
      <c r="J322" s="71" t="s">
        <v>276</v>
      </c>
      <c r="K322" s="72" t="s">
        <v>307</v>
      </c>
      <c r="L322" s="73"/>
      <c r="M322" s="71"/>
      <c r="N322" s="71"/>
      <c r="O322" s="73"/>
      <c r="Q322" s="107"/>
    </row>
    <row r="323" s="3" customFormat="1" ht="18" customHeight="1" spans="1:17">
      <c r="A323" s="47"/>
      <c r="B323" s="48">
        <f t="shared" si="22"/>
        <v>51720.5</v>
      </c>
      <c r="C323" s="49"/>
      <c r="D323" s="50"/>
      <c r="E323" s="51"/>
      <c r="F323" s="48">
        <f t="shared" si="23"/>
        <v>0</v>
      </c>
      <c r="G323" s="33">
        <v>51720.5</v>
      </c>
      <c r="H323" s="137" t="s">
        <v>292</v>
      </c>
      <c r="I323" s="162">
        <f t="shared" si="24"/>
        <v>51720.5</v>
      </c>
      <c r="J323" s="71" t="s">
        <v>276</v>
      </c>
      <c r="K323" s="72" t="s">
        <v>284</v>
      </c>
      <c r="L323" s="73"/>
      <c r="M323" s="71"/>
      <c r="N323" s="71"/>
      <c r="O323" s="73"/>
      <c r="Q323" s="107"/>
    </row>
    <row r="324" s="3" customFormat="1" ht="18" customHeight="1" spans="1:17">
      <c r="A324" s="47"/>
      <c r="B324" s="48">
        <f t="shared" si="22"/>
        <v>79020</v>
      </c>
      <c r="C324" s="49"/>
      <c r="D324" s="50"/>
      <c r="E324" s="51"/>
      <c r="F324" s="48">
        <f t="shared" si="23"/>
        <v>0</v>
      </c>
      <c r="G324" s="33">
        <f>79020</f>
        <v>79020</v>
      </c>
      <c r="H324" s="137" t="s">
        <v>292</v>
      </c>
      <c r="I324" s="162">
        <f t="shared" si="24"/>
        <v>79020</v>
      </c>
      <c r="J324" s="71" t="s">
        <v>276</v>
      </c>
      <c r="K324" s="98" t="s">
        <v>284</v>
      </c>
      <c r="L324" s="121"/>
      <c r="M324" s="71"/>
      <c r="N324" s="71"/>
      <c r="O324" s="73"/>
      <c r="Q324" s="107"/>
    </row>
    <row r="325" s="3" customFormat="1" ht="18" customHeight="1" spans="1:15">
      <c r="A325" s="47"/>
      <c r="B325" s="48">
        <f t="shared" si="22"/>
        <v>0</v>
      </c>
      <c r="C325" s="49"/>
      <c r="D325" s="50"/>
      <c r="E325" s="51"/>
      <c r="F325" s="48">
        <f t="shared" si="23"/>
        <v>0</v>
      </c>
      <c r="G325" s="33"/>
      <c r="H325" s="137" t="s">
        <v>292</v>
      </c>
      <c r="I325" s="162">
        <v>-36248</v>
      </c>
      <c r="J325" s="71" t="s">
        <v>304</v>
      </c>
      <c r="K325" s="72" t="s">
        <v>310</v>
      </c>
      <c r="L325" s="73"/>
      <c r="M325" s="71"/>
      <c r="N325" s="71"/>
      <c r="O325" s="73"/>
    </row>
    <row r="326" s="3" customFormat="1" ht="18" customHeight="1" spans="1:15">
      <c r="A326" s="47"/>
      <c r="B326" s="48">
        <f t="shared" si="22"/>
        <v>0</v>
      </c>
      <c r="C326" s="49"/>
      <c r="D326" s="50"/>
      <c r="E326" s="51"/>
      <c r="F326" s="48">
        <f t="shared" si="23"/>
        <v>0</v>
      </c>
      <c r="G326" s="33"/>
      <c r="H326" s="137" t="s">
        <v>292</v>
      </c>
      <c r="I326" s="197">
        <v>36248</v>
      </c>
      <c r="J326" s="60" t="s">
        <v>276</v>
      </c>
      <c r="K326" s="72" t="s">
        <v>311</v>
      </c>
      <c r="L326" s="73"/>
      <c r="M326" s="71"/>
      <c r="N326" s="71"/>
      <c r="O326" s="73"/>
    </row>
    <row r="327" s="3" customFormat="1" ht="18" customHeight="1" spans="1:15">
      <c r="A327" s="47"/>
      <c r="B327" s="48">
        <f t="shared" si="22"/>
        <v>0</v>
      </c>
      <c r="C327" s="49"/>
      <c r="D327" s="50"/>
      <c r="E327" s="51"/>
      <c r="F327" s="48">
        <f t="shared" si="23"/>
        <v>0</v>
      </c>
      <c r="G327" s="33"/>
      <c r="H327" s="137" t="s">
        <v>292</v>
      </c>
      <c r="I327" s="197">
        <v>-632155</v>
      </c>
      <c r="J327" s="60" t="s">
        <v>274</v>
      </c>
      <c r="K327" s="72" t="s">
        <v>312</v>
      </c>
      <c r="L327" s="73"/>
      <c r="M327" s="71"/>
      <c r="N327" s="71"/>
      <c r="O327" s="73"/>
    </row>
    <row r="328" s="3" customFormat="1" ht="18" customHeight="1" spans="1:15">
      <c r="A328" s="47"/>
      <c r="B328" s="48">
        <f>ROUND(G328/(1+E328),2)</f>
        <v>0</v>
      </c>
      <c r="C328" s="49"/>
      <c r="D328" s="50"/>
      <c r="E328" s="51"/>
      <c r="F328" s="48">
        <f>ROUND(G328/(1+E328)*E328,2)</f>
        <v>0</v>
      </c>
      <c r="G328" s="33"/>
      <c r="H328" s="137" t="s">
        <v>292</v>
      </c>
      <c r="I328" s="197">
        <v>632155</v>
      </c>
      <c r="J328" s="60" t="s">
        <v>286</v>
      </c>
      <c r="K328" s="72" t="s">
        <v>313</v>
      </c>
      <c r="L328" s="73"/>
      <c r="M328" s="71"/>
      <c r="N328" s="71"/>
      <c r="O328" s="73"/>
    </row>
    <row r="329" s="1" customFormat="1" ht="18" customHeight="1" spans="1:15">
      <c r="A329" s="35" t="s">
        <v>23</v>
      </c>
      <c r="B329" s="164">
        <f>SUM(B17:B328)</f>
        <v>16697851.72</v>
      </c>
      <c r="C329" s="35"/>
      <c r="D329" s="165"/>
      <c r="E329" s="166"/>
      <c r="F329" s="167">
        <f>SUM(F17:F328)</f>
        <v>1198653.07</v>
      </c>
      <c r="G329" s="168">
        <f>SUM(G17:G328)</f>
        <v>17896504.79</v>
      </c>
      <c r="H329" s="169"/>
      <c r="I329" s="25">
        <f>SUM(I17:I328)</f>
        <v>18515348.19</v>
      </c>
      <c r="J329" s="198"/>
      <c r="K329" s="199"/>
      <c r="L329" s="37"/>
      <c r="M329" s="60"/>
      <c r="N329" s="60"/>
      <c r="O329" s="37"/>
    </row>
    <row r="330" s="1" customFormat="1" ht="18" customHeight="1" spans="1:22">
      <c r="A330" s="170" t="s">
        <v>314</v>
      </c>
      <c r="B330" s="170">
        <f>B14*0.96</f>
        <v>17066192.9394495</v>
      </c>
      <c r="C330" s="170"/>
      <c r="D330" s="171"/>
      <c r="E330" s="172"/>
      <c r="F330" s="170"/>
      <c r="G330" s="173"/>
      <c r="H330" s="28" t="s">
        <v>315</v>
      </c>
      <c r="I330" s="25">
        <f>I14-I329</f>
        <v>861891.699999999</v>
      </c>
      <c r="J330" s="200" t="s">
        <v>82</v>
      </c>
      <c r="K330" s="201"/>
      <c r="M330" s="200"/>
      <c r="N330" s="200"/>
      <c r="V330" s="1" t="s">
        <v>82</v>
      </c>
    </row>
    <row r="331" s="1" customFormat="1" ht="18" customHeight="1" spans="1:14">
      <c r="A331" s="170" t="s">
        <v>316</v>
      </c>
      <c r="B331" s="170">
        <f>B330-B329</f>
        <v>368341.219449537</v>
      </c>
      <c r="C331" s="170"/>
      <c r="D331" s="171"/>
      <c r="E331" s="172"/>
      <c r="F331" s="174"/>
      <c r="G331" s="175"/>
      <c r="H331" s="176"/>
      <c r="I331" s="175">
        <v>1108502.18</v>
      </c>
      <c r="J331" s="200"/>
      <c r="K331" s="201"/>
      <c r="M331" s="200"/>
      <c r="N331" s="200"/>
    </row>
    <row r="332" s="1" customFormat="1" ht="18" customHeight="1" spans="1:11">
      <c r="A332" s="5" t="s">
        <v>317</v>
      </c>
      <c r="B332" s="6"/>
      <c r="C332" s="5"/>
      <c r="D332" s="177"/>
      <c r="E332" s="7"/>
      <c r="F332" s="6"/>
      <c r="G332" s="9"/>
      <c r="H332" s="7"/>
      <c r="I332" s="9">
        <f>I330-I331</f>
        <v>-246610.48</v>
      </c>
      <c r="J332" s="10"/>
      <c r="K332" s="11"/>
    </row>
    <row r="333" s="1" customFormat="1" ht="31" customHeight="1" spans="1:13">
      <c r="A333" s="28" t="s">
        <v>318</v>
      </c>
      <c r="B333" s="26" t="s">
        <v>319</v>
      </c>
      <c r="C333" s="37"/>
      <c r="D333" s="178" t="s">
        <v>318</v>
      </c>
      <c r="E333" s="25" t="s">
        <v>16</v>
      </c>
      <c r="F333" s="26" t="s">
        <v>319</v>
      </c>
      <c r="G333" s="59" t="s">
        <v>320</v>
      </c>
      <c r="H333" s="59" t="s">
        <v>321</v>
      </c>
      <c r="I333" s="59" t="s">
        <v>322</v>
      </c>
      <c r="J333" s="59" t="s">
        <v>323</v>
      </c>
      <c r="K333" s="202" t="s">
        <v>346</v>
      </c>
      <c r="L333" s="203" t="s">
        <v>347</v>
      </c>
      <c r="M333" s="37"/>
    </row>
    <row r="334" s="1" customFormat="1" ht="18" customHeight="1" spans="1:13">
      <c r="A334" s="37" t="s">
        <v>324</v>
      </c>
      <c r="B334" s="23">
        <f>(B330-B329)*0.25</f>
        <v>92085.3048623842</v>
      </c>
      <c r="C334" s="37"/>
      <c r="D334" s="179" t="s">
        <v>325</v>
      </c>
      <c r="E334" s="28" t="s">
        <v>326</v>
      </c>
      <c r="F334" s="167">
        <f>F14-F329</f>
        <v>45756.8318348597</v>
      </c>
      <c r="G334" s="167"/>
      <c r="H334" s="167"/>
      <c r="I334" s="204">
        <v>23012.8018348626</v>
      </c>
      <c r="J334" s="204">
        <v>74361.7847706422</v>
      </c>
      <c r="K334" s="204">
        <f>F12-SUM(F221:F272)</f>
        <v>-90757.664770642</v>
      </c>
      <c r="L334" s="205">
        <v>39139.91</v>
      </c>
      <c r="M334" s="37"/>
    </row>
    <row r="335" s="1" customFormat="1" ht="18" customHeight="1" spans="1:13">
      <c r="A335" s="37" t="s">
        <v>327</v>
      </c>
      <c r="B335" s="180" t="s">
        <v>328</v>
      </c>
      <c r="C335" s="37"/>
      <c r="D335" s="181" t="s">
        <v>329</v>
      </c>
      <c r="E335" s="59">
        <v>0.07</v>
      </c>
      <c r="F335" s="17">
        <f>F334*E335</f>
        <v>3202.97822844018</v>
      </c>
      <c r="G335" s="59"/>
      <c r="H335" s="17"/>
      <c r="I335" s="59">
        <v>1610.89612844038</v>
      </c>
      <c r="J335" s="59">
        <v>5205.32493394495</v>
      </c>
      <c r="K335" s="59">
        <f>K334*E335</f>
        <v>-6353.03653394494</v>
      </c>
      <c r="L335" s="206">
        <f>L334*E335</f>
        <v>2739.7937</v>
      </c>
      <c r="M335" s="37"/>
    </row>
    <row r="336" s="1" customFormat="1" ht="18" customHeight="1" spans="1:13">
      <c r="A336" s="37" t="s">
        <v>307</v>
      </c>
      <c r="B336" s="180"/>
      <c r="C336" s="37"/>
      <c r="D336" s="181" t="s">
        <v>330</v>
      </c>
      <c r="E336" s="59">
        <v>0.03</v>
      </c>
      <c r="F336" s="17">
        <f>F334*E336</f>
        <v>1372.70495504579</v>
      </c>
      <c r="G336" s="59"/>
      <c r="H336" s="17"/>
      <c r="I336" s="59">
        <v>690.384055045877</v>
      </c>
      <c r="J336" s="59">
        <v>2230.85354311927</v>
      </c>
      <c r="K336" s="59">
        <f>K334*E336</f>
        <v>-2722.72994311926</v>
      </c>
      <c r="L336" s="206">
        <f>L334*E336</f>
        <v>1174.1973</v>
      </c>
      <c r="M336" s="37"/>
    </row>
    <row r="337" s="1" customFormat="1" ht="18" customHeight="1" spans="1:13">
      <c r="A337" s="37"/>
      <c r="B337" s="182"/>
      <c r="C337" s="37"/>
      <c r="D337" s="181" t="s">
        <v>331</v>
      </c>
      <c r="E337" s="59">
        <v>0.02</v>
      </c>
      <c r="F337" s="17">
        <f>F334*E337</f>
        <v>915.136636697194</v>
      </c>
      <c r="G337" s="59"/>
      <c r="H337" s="17"/>
      <c r="I337" s="59">
        <v>460.256036697251</v>
      </c>
      <c r="J337" s="59">
        <v>1487.23569541284</v>
      </c>
      <c r="K337" s="59">
        <f>K334*E337</f>
        <v>-1815.15329541284</v>
      </c>
      <c r="L337" s="206">
        <f>L334*E337</f>
        <v>782.7982</v>
      </c>
      <c r="M337" s="37"/>
    </row>
    <row r="338" s="1" customFormat="1" ht="18" customHeight="1" spans="1:13">
      <c r="A338" s="34" t="s">
        <v>332</v>
      </c>
      <c r="B338" s="183">
        <f>SUM(B334:B337)</f>
        <v>92085.3048623842</v>
      </c>
      <c r="C338" s="37"/>
      <c r="D338" s="184" t="s">
        <v>332</v>
      </c>
      <c r="E338" s="34"/>
      <c r="F338" s="167">
        <f>SUM(F334:F337)</f>
        <v>51247.6516550428</v>
      </c>
      <c r="G338" s="167"/>
      <c r="H338" s="167"/>
      <c r="I338" s="204">
        <v>25774.3380550461</v>
      </c>
      <c r="J338" s="204">
        <v>83285.1989431193</v>
      </c>
      <c r="K338" s="204">
        <f>SUM(K334:K337)</f>
        <v>-101648.584543119</v>
      </c>
      <c r="L338" s="205">
        <f>SUM(L334:L337)</f>
        <v>43836.6992</v>
      </c>
      <c r="M338" s="37"/>
    </row>
    <row r="339" s="1" customFormat="1" ht="18" customHeight="1" spans="1:13">
      <c r="A339" s="5"/>
      <c r="B339" s="6"/>
      <c r="C339" s="5"/>
      <c r="D339" s="185" t="s">
        <v>327</v>
      </c>
      <c r="E339" s="186">
        <v>0.0003</v>
      </c>
      <c r="F339" s="17">
        <f>G14*E339</f>
        <v>5813.17197</v>
      </c>
      <c r="G339" s="187" t="s">
        <v>328</v>
      </c>
      <c r="H339" s="188" t="s">
        <v>328</v>
      </c>
      <c r="I339" s="59">
        <f>G10*E339</f>
        <v>956.742867</v>
      </c>
      <c r="J339" s="59">
        <f>G11*E339</f>
        <v>347.375766</v>
      </c>
      <c r="K339" s="59">
        <f>G12*E339</f>
        <v>1105.971483</v>
      </c>
      <c r="L339" s="37"/>
      <c r="M339" s="37"/>
    </row>
    <row r="340" s="1" customFormat="1" ht="18" customHeight="1" spans="1:13">
      <c r="A340" s="5"/>
      <c r="B340" s="6"/>
      <c r="C340" s="5"/>
      <c r="D340" s="185" t="s">
        <v>307</v>
      </c>
      <c r="E340" s="186">
        <v>0.0006</v>
      </c>
      <c r="F340" s="17">
        <f>B14*E340</f>
        <v>10666.370587156</v>
      </c>
      <c r="G340" s="59">
        <f>B7*E340</f>
        <v>1423.4989706422</v>
      </c>
      <c r="H340" s="17">
        <f>SUM(B8:B9)*E340</f>
        <v>4820.68791743119</v>
      </c>
      <c r="I340" s="59">
        <f>B10*E340</f>
        <v>1755.49149908257</v>
      </c>
      <c r="J340" s="59">
        <f>B11*E340</f>
        <v>637.386726605502</v>
      </c>
      <c r="K340" s="59">
        <f>B12*E340</f>
        <v>2029.3054733945</v>
      </c>
      <c r="L340" s="37"/>
      <c r="M340" s="37"/>
    </row>
    <row r="341" s="1" customFormat="1" ht="18" customHeight="1" spans="1:13">
      <c r="A341" s="5"/>
      <c r="B341" s="6"/>
      <c r="C341" s="5"/>
      <c r="D341" s="189" t="s">
        <v>332</v>
      </c>
      <c r="E341" s="166"/>
      <c r="F341" s="35">
        <f>F340+F339</f>
        <v>16479.542557156</v>
      </c>
      <c r="G341" s="25">
        <f>G340</f>
        <v>1423.4989706422</v>
      </c>
      <c r="H341" s="35">
        <f>H340</f>
        <v>4820.68791743119</v>
      </c>
      <c r="I341" s="25">
        <f>I340+I339</f>
        <v>2712.23436608257</v>
      </c>
      <c r="J341" s="25">
        <f>J340+J339</f>
        <v>984.762492605502</v>
      </c>
      <c r="K341" s="25">
        <f>K340+K339</f>
        <v>3135.2769563945</v>
      </c>
      <c r="L341" s="37"/>
      <c r="M341" s="37"/>
    </row>
    <row r="342" s="1" customFormat="1" ht="18" customHeight="1" spans="1:13">
      <c r="A342" s="5"/>
      <c r="B342" s="6"/>
      <c r="C342" s="5"/>
      <c r="D342" s="190" t="s">
        <v>23</v>
      </c>
      <c r="E342" s="191"/>
      <c r="F342" s="191">
        <f t="shared" ref="F342:K342" si="25">F338+F341</f>
        <v>67727.1942121988</v>
      </c>
      <c r="G342" s="192">
        <f t="shared" si="25"/>
        <v>1423.4989706422</v>
      </c>
      <c r="H342" s="191">
        <f t="shared" si="25"/>
        <v>4820.68791743119</v>
      </c>
      <c r="I342" s="192">
        <f t="shared" si="25"/>
        <v>28486.5724211287</v>
      </c>
      <c r="J342" s="192">
        <f t="shared" si="25"/>
        <v>84269.9614357248</v>
      </c>
      <c r="K342" s="192">
        <f t="shared" si="25"/>
        <v>-98513.3075867246</v>
      </c>
      <c r="L342" s="37"/>
      <c r="M342" s="37"/>
    </row>
    <row r="343" s="1" customFormat="1" ht="23" customHeight="1" spans="1:13">
      <c r="A343" s="5"/>
      <c r="B343" s="6"/>
      <c r="C343" s="5"/>
      <c r="D343" s="193" t="s">
        <v>324</v>
      </c>
      <c r="E343" s="194">
        <v>0.01</v>
      </c>
      <c r="F343" s="35">
        <f>B7*E343+SUM(G8:G11)*E343</f>
        <v>154771.434444037</v>
      </c>
      <c r="G343" s="25">
        <f>B7*E343</f>
        <v>23724.9828440367</v>
      </c>
      <c r="H343" s="195">
        <f>SUM(G8:G9)*E343</f>
        <v>87575.8305</v>
      </c>
      <c r="I343" s="25">
        <f>G10*E343</f>
        <v>31891.4289</v>
      </c>
      <c r="J343" s="25">
        <f>G11*E343</f>
        <v>11579.1922</v>
      </c>
      <c r="K343" s="25">
        <f>B12*E343</f>
        <v>33821.7578899083</v>
      </c>
      <c r="L343" s="37"/>
      <c r="M343" s="37"/>
    </row>
    <row r="344" s="1" customFormat="1" ht="23" customHeight="1" spans="1:13">
      <c r="A344" s="5"/>
      <c r="B344" s="6"/>
      <c r="C344" s="5"/>
      <c r="D344" s="193" t="s">
        <v>343</v>
      </c>
      <c r="E344" s="194"/>
      <c r="F344" s="35"/>
      <c r="G344" s="25"/>
      <c r="H344" s="195"/>
      <c r="I344" s="25"/>
      <c r="J344" s="25"/>
      <c r="K344" s="25">
        <f>B331*0.25</f>
        <v>92085.3048623842</v>
      </c>
      <c r="L344" s="37"/>
      <c r="M344" s="37"/>
    </row>
    <row r="345" s="1" customFormat="1" ht="17" customHeight="1" spans="1:11">
      <c r="A345" s="5"/>
      <c r="B345" s="6"/>
      <c r="C345" s="5"/>
      <c r="D345" s="8"/>
      <c r="E345" s="7"/>
      <c r="F345" s="6"/>
      <c r="G345" s="9"/>
      <c r="H345" s="7"/>
      <c r="I345" s="9"/>
      <c r="J345" s="10"/>
      <c r="K345" s="11">
        <v>92085.31</v>
      </c>
    </row>
    <row r="346" s="1" customFormat="1" ht="17" customHeight="1" spans="1:11">
      <c r="A346" s="5"/>
      <c r="B346" s="6"/>
      <c r="C346" s="5"/>
      <c r="D346" s="8"/>
      <c r="E346" s="7"/>
      <c r="F346" s="6"/>
      <c r="G346" s="9"/>
      <c r="H346" s="7"/>
      <c r="I346" s="9"/>
      <c r="J346" s="10"/>
      <c r="K346" s="11"/>
    </row>
    <row r="347" s="1" customFormat="1" ht="17" customHeight="1" spans="1:11">
      <c r="A347" s="5"/>
      <c r="B347" s="6"/>
      <c r="C347" s="5"/>
      <c r="D347" s="8"/>
      <c r="E347" s="7"/>
      <c r="F347" s="6"/>
      <c r="G347" s="9"/>
      <c r="H347" s="7"/>
      <c r="I347" s="9"/>
      <c r="J347" s="10"/>
      <c r="K347" s="11"/>
    </row>
    <row r="348" s="1" customFormat="1" ht="17" customHeight="1" spans="1:11">
      <c r="A348" s="5"/>
      <c r="B348" s="6"/>
      <c r="C348" s="5"/>
      <c r="D348" s="8"/>
      <c r="E348" s="7"/>
      <c r="F348" s="6"/>
      <c r="G348" s="9"/>
      <c r="H348" s="7"/>
      <c r="I348" s="9"/>
      <c r="J348" s="10"/>
      <c r="K348" s="11"/>
    </row>
    <row r="349" s="1" customFormat="1" ht="17" customHeight="1" spans="1:11">
      <c r="A349" s="5"/>
      <c r="B349" s="6"/>
      <c r="C349" s="5"/>
      <c r="D349" s="8"/>
      <c r="E349" s="7"/>
      <c r="F349" s="6"/>
      <c r="G349" s="9"/>
      <c r="H349" s="6"/>
      <c r="I349" s="9"/>
      <c r="J349" s="10"/>
      <c r="K349" s="11"/>
    </row>
    <row r="350" s="1" customFormat="1" ht="17" customHeight="1" spans="1:11">
      <c r="A350" s="5"/>
      <c r="B350" s="6"/>
      <c r="C350" s="5"/>
      <c r="D350" s="8"/>
      <c r="E350" s="7"/>
      <c r="F350" s="6"/>
      <c r="G350" s="9"/>
      <c r="H350" s="7"/>
      <c r="I350" s="9">
        <f>53846.6-5388.11-8743.36-575.22</f>
        <v>39139.91</v>
      </c>
      <c r="J350" s="10"/>
      <c r="K350" s="11"/>
    </row>
    <row r="351" s="1" customFormat="1" ht="17" customHeight="1" spans="1:11">
      <c r="A351" s="5"/>
      <c r="B351" s="6"/>
      <c r="C351" s="5"/>
      <c r="D351" s="8"/>
      <c r="E351" s="7"/>
      <c r="F351" s="6"/>
      <c r="G351" s="9"/>
      <c r="H351" s="7"/>
      <c r="I351" s="9"/>
      <c r="J351" s="10"/>
      <c r="K351" s="11"/>
    </row>
    <row r="352" s="1" customFormat="1" ht="17" customHeight="1" spans="1:11">
      <c r="A352" s="5"/>
      <c r="B352" s="6"/>
      <c r="C352" s="5"/>
      <c r="D352" s="8"/>
      <c r="E352" s="7"/>
      <c r="F352" s="6"/>
      <c r="G352" s="9"/>
      <c r="H352" s="7"/>
      <c r="I352" s="9"/>
      <c r="J352" s="10"/>
      <c r="K352" s="11"/>
    </row>
    <row r="353" s="1" customFormat="1" ht="17" customHeight="1" spans="1:11">
      <c r="A353" s="5"/>
      <c r="B353" s="6"/>
      <c r="C353" s="5"/>
      <c r="D353" s="8"/>
      <c r="E353" s="7"/>
      <c r="F353" s="6"/>
      <c r="G353" s="9"/>
      <c r="H353" s="7"/>
      <c r="I353" s="9"/>
      <c r="J353" s="10"/>
      <c r="K353" s="11"/>
    </row>
    <row r="354" s="1" customFormat="1" ht="17" customHeight="1" spans="1:12">
      <c r="A354" s="5"/>
      <c r="B354" s="6"/>
      <c r="C354" s="5"/>
      <c r="D354" s="8"/>
      <c r="E354" s="7"/>
      <c r="F354" s="6"/>
      <c r="G354" s="9"/>
      <c r="H354" s="7"/>
      <c r="I354" s="9"/>
      <c r="J354" s="10"/>
      <c r="K354" s="11"/>
      <c r="L354" s="1" t="s">
        <v>82</v>
      </c>
    </row>
    <row r="355" s="1" customFormat="1" ht="17" customHeight="1" spans="1:11">
      <c r="A355" s="5"/>
      <c r="B355" s="6"/>
      <c r="C355" s="7"/>
      <c r="D355" s="8"/>
      <c r="E355" s="7"/>
      <c r="F355" s="6"/>
      <c r="G355" s="9"/>
      <c r="H355" s="7"/>
      <c r="I355" s="9"/>
      <c r="J355" s="10"/>
      <c r="K355" s="11"/>
    </row>
    <row r="356" s="1" customFormat="1" ht="17" customHeight="1" spans="1:11">
      <c r="A356" s="5"/>
      <c r="B356" s="6"/>
      <c r="C356" s="7"/>
      <c r="D356" s="8"/>
      <c r="E356" s="7"/>
      <c r="F356" s="6"/>
      <c r="G356" s="9"/>
      <c r="H356" s="7"/>
      <c r="I356" s="9"/>
      <c r="J356" s="10"/>
      <c r="K356" s="11"/>
    </row>
    <row r="357" s="1" customFormat="1" ht="17" customHeight="1" spans="1:11">
      <c r="A357" s="5"/>
      <c r="B357" s="6"/>
      <c r="C357" s="7"/>
      <c r="D357" s="8"/>
      <c r="E357" s="7"/>
      <c r="F357" s="6"/>
      <c r="G357" s="9"/>
      <c r="H357" s="7"/>
      <c r="I357" s="9"/>
      <c r="J357" s="10"/>
      <c r="K357" s="11"/>
    </row>
    <row r="358" s="1" customFormat="1" ht="17" customHeight="1" spans="1:11">
      <c r="A358" s="5"/>
      <c r="B358" s="6"/>
      <c r="C358" s="7"/>
      <c r="D358" s="8"/>
      <c r="E358" s="7"/>
      <c r="F358" s="6"/>
      <c r="G358" s="9"/>
      <c r="H358" s="7"/>
      <c r="I358" s="9"/>
      <c r="J358" s="10"/>
      <c r="K358" s="11"/>
    </row>
    <row r="359" s="1" customFormat="1" ht="17" customHeight="1" spans="1:11">
      <c r="A359" s="5"/>
      <c r="B359" s="6"/>
      <c r="C359" s="7"/>
      <c r="D359" s="8"/>
      <c r="E359" s="7"/>
      <c r="F359" s="6"/>
      <c r="G359" s="9"/>
      <c r="H359" s="7"/>
      <c r="I359" s="9"/>
      <c r="J359" s="10"/>
      <c r="K359" s="11"/>
    </row>
    <row r="360" s="1" customFormat="1" ht="17" customHeight="1" spans="1:11">
      <c r="A360" s="5"/>
      <c r="B360" s="6"/>
      <c r="C360" s="7"/>
      <c r="D360" s="8"/>
      <c r="E360" s="7"/>
      <c r="F360" s="6"/>
      <c r="G360" s="9"/>
      <c r="H360" s="7"/>
      <c r="I360" s="9"/>
      <c r="J360" s="10"/>
      <c r="K360" s="11"/>
    </row>
    <row r="361" s="1" customFormat="1" ht="17" customHeight="1" spans="1:11">
      <c r="A361" s="5"/>
      <c r="B361" s="6"/>
      <c r="C361" s="7"/>
      <c r="D361" s="8"/>
      <c r="E361" s="7"/>
      <c r="F361" s="6"/>
      <c r="G361" s="9"/>
      <c r="H361" s="7"/>
      <c r="I361" s="9"/>
      <c r="J361" s="10"/>
      <c r="K361" s="11"/>
    </row>
    <row r="362" s="1" customFormat="1" ht="17" customHeight="1" spans="1:11">
      <c r="A362" s="5"/>
      <c r="B362" s="6"/>
      <c r="C362" s="7"/>
      <c r="D362" s="8"/>
      <c r="E362" s="7"/>
      <c r="F362" s="6"/>
      <c r="G362" s="9"/>
      <c r="H362" s="7"/>
      <c r="I362" s="9"/>
      <c r="J362" s="10"/>
      <c r="K362" s="11"/>
    </row>
    <row r="363" s="1" customFormat="1" ht="17" customHeight="1" spans="1:11">
      <c r="A363" s="5"/>
      <c r="B363" s="6"/>
      <c r="C363" s="7"/>
      <c r="D363" s="8"/>
      <c r="E363" s="7"/>
      <c r="F363" s="6"/>
      <c r="G363" s="9"/>
      <c r="H363" s="7"/>
      <c r="I363" s="9"/>
      <c r="J363" s="10"/>
      <c r="K363" s="11"/>
    </row>
    <row r="364" s="1" customFormat="1" ht="17" customHeight="1" spans="1:11">
      <c r="A364" s="5"/>
      <c r="B364" s="6"/>
      <c r="C364" s="7"/>
      <c r="D364" s="8"/>
      <c r="E364" s="7"/>
      <c r="F364" s="6"/>
      <c r="G364" s="9"/>
      <c r="H364" s="7"/>
      <c r="I364" s="9"/>
      <c r="J364" s="10"/>
      <c r="K364" s="11"/>
    </row>
    <row r="365" s="1" customFormat="1" ht="17" customHeight="1" spans="1:11">
      <c r="A365" s="5"/>
      <c r="B365" s="6"/>
      <c r="C365" s="7"/>
      <c r="D365" s="8"/>
      <c r="E365" s="7"/>
      <c r="F365" s="6"/>
      <c r="G365" s="9"/>
      <c r="H365" s="7"/>
      <c r="I365" s="9"/>
      <c r="J365" s="10"/>
      <c r="K365" s="11"/>
    </row>
    <row r="366" s="1" customFormat="1" ht="17" customHeight="1" spans="1:11">
      <c r="A366" s="5"/>
      <c r="B366" s="6"/>
      <c r="C366" s="7"/>
      <c r="D366" s="8"/>
      <c r="E366" s="7"/>
      <c r="F366" s="6"/>
      <c r="G366" s="9"/>
      <c r="H366" s="7"/>
      <c r="I366" s="9"/>
      <c r="J366" s="10"/>
      <c r="K366" s="11"/>
    </row>
    <row r="367" s="1" customFormat="1" ht="17" customHeight="1" spans="1:11">
      <c r="A367" s="5"/>
      <c r="B367" s="6"/>
      <c r="C367" s="7"/>
      <c r="D367" s="8"/>
      <c r="E367" s="7"/>
      <c r="F367" s="6"/>
      <c r="G367" s="9"/>
      <c r="H367" s="7"/>
      <c r="I367" s="9"/>
      <c r="J367" s="10"/>
      <c r="K367" s="11"/>
    </row>
    <row r="368" s="1" customFormat="1" ht="17" customHeight="1" spans="1:11">
      <c r="A368" s="5"/>
      <c r="B368" s="6"/>
      <c r="C368" s="7"/>
      <c r="D368" s="8"/>
      <c r="E368" s="7"/>
      <c r="F368" s="6"/>
      <c r="G368" s="9"/>
      <c r="H368" s="7"/>
      <c r="I368" s="9"/>
      <c r="J368" s="10"/>
      <c r="K368" s="11"/>
    </row>
    <row r="369" s="1" customFormat="1" ht="17" customHeight="1" spans="1:11">
      <c r="A369" s="5"/>
      <c r="B369" s="6"/>
      <c r="C369" s="7"/>
      <c r="D369" s="8"/>
      <c r="E369" s="7"/>
      <c r="F369" s="6"/>
      <c r="G369" s="9"/>
      <c r="H369" s="7"/>
      <c r="I369" s="9"/>
      <c r="J369" s="10"/>
      <c r="K369" s="11"/>
    </row>
    <row r="370" s="1" customFormat="1" ht="17" customHeight="1" spans="1:11">
      <c r="A370" s="5"/>
      <c r="B370" s="6"/>
      <c r="C370" s="7"/>
      <c r="D370" s="8"/>
      <c r="E370" s="7"/>
      <c r="F370" s="6"/>
      <c r="G370" s="9"/>
      <c r="H370" s="7"/>
      <c r="I370" s="9"/>
      <c r="J370" s="10"/>
      <c r="K370" s="11"/>
    </row>
    <row r="371" s="1" customFormat="1" ht="17" customHeight="1" spans="1:11">
      <c r="A371" s="5"/>
      <c r="B371" s="6"/>
      <c r="C371" s="7"/>
      <c r="D371" s="8"/>
      <c r="E371" s="7"/>
      <c r="F371" s="6"/>
      <c r="G371" s="9"/>
      <c r="H371" s="7"/>
      <c r="I371" s="9"/>
      <c r="J371" s="10"/>
      <c r="K371" s="11"/>
    </row>
    <row r="372" s="1" customFormat="1" ht="17" customHeight="1" spans="1:11">
      <c r="A372" s="5"/>
      <c r="B372" s="6"/>
      <c r="C372" s="7"/>
      <c r="D372" s="8"/>
      <c r="E372" s="7"/>
      <c r="F372" s="6"/>
      <c r="G372" s="9"/>
      <c r="H372" s="7"/>
      <c r="I372" s="9"/>
      <c r="J372" s="10"/>
      <c r="K372" s="11"/>
    </row>
    <row r="373" s="1" customFormat="1" ht="17" customHeight="1" spans="1:11">
      <c r="A373" s="5"/>
      <c r="B373" s="6"/>
      <c r="C373" s="7"/>
      <c r="D373" s="8"/>
      <c r="E373" s="7"/>
      <c r="F373" s="6"/>
      <c r="G373" s="9"/>
      <c r="H373" s="7"/>
      <c r="I373" s="9"/>
      <c r="J373" s="10"/>
      <c r="K373" s="11"/>
    </row>
    <row r="374" s="1" customFormat="1" ht="17" customHeight="1" spans="1:11">
      <c r="A374" s="5"/>
      <c r="B374" s="6"/>
      <c r="C374" s="7"/>
      <c r="D374" s="8"/>
      <c r="E374" s="7"/>
      <c r="F374" s="6"/>
      <c r="G374" s="9"/>
      <c r="H374" s="7"/>
      <c r="I374" s="9"/>
      <c r="J374" s="10"/>
      <c r="K374" s="11"/>
    </row>
  </sheetData>
  <protectedRanges>
    <protectedRange sqref="K53:L55 K58:L58 L56:L57 L59" name="区域1"/>
    <protectedRange sqref="I60" name="区域1_1"/>
    <protectedRange sqref="K60:L60" name="区域1_2"/>
    <protectedRange sqref="K62:L62" name="区域1_3"/>
    <protectedRange sqref="I62" name="区域1_4"/>
    <protectedRange sqref="L64 K65:L65" name="区域1_5"/>
    <protectedRange sqref="I64:I65" name="区域1_6"/>
    <protectedRange sqref="L171" name="区域1_7"/>
  </protectedRanges>
  <autoFilter ref="A16:V272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75" right="0.75" top="1" bottom="1" header="0.511805555555556" footer="0.511805555555556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旧</vt:lpstr>
      <vt:lpstr>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WPS_1559024150</cp:lastModifiedBy>
  <dcterms:created xsi:type="dcterms:W3CDTF">2016-07-12T06:03:00Z</dcterms:created>
  <cp:lastPrinted>2016-11-23T10:22:00Z</cp:lastPrinted>
  <dcterms:modified xsi:type="dcterms:W3CDTF">2021-06-30T02:58:51Z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2052-11.1.0.10640</vt:lpwstr>
  </property>
  <property fmtid="{D5CDD505-2E9C-101B-9397-08002B2CF9AE}" pid="3" name="ICV">
    <vt:lpwstr>545066B919954DE2B25BE40522F8DAC9</vt:lpwstr>
  </property>
  <property fmtid="{D5CDD505-2E9C-101B-9397-08002B2CF9AE}" pid="4" name="KSOReadingLayout">
    <vt:bool>true</vt:bool>
  </property>
</Properties>
</file>