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新!$A$21:$O$102</definedName>
  </definedNames>
  <calcPr calcId="144525" concurrentCalc="0"/>
</workbook>
</file>

<file path=xl/comments1.xml><?xml version="1.0" encoding="utf-8"?>
<comments xmlns="http://schemas.openxmlformats.org/spreadsheetml/2006/main">
  <authors>
    <author>cw01</author>
    <author>cw05</author>
    <author>qyr</author>
    <author>lenovo</author>
  </authors>
  <commentList>
    <comment ref="F8" authorId="0">
      <text>
        <r>
          <rPr>
            <sz val="9"/>
            <rFont val="宋体"/>
            <charset val="134"/>
          </rPr>
          <t>cw01:
异地完税证明未缴 先暂扣</t>
        </r>
      </text>
    </comment>
    <comment ref="A91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92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L95" authorId="2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L96" authorId="2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异地已预缴186.61</t>
        </r>
      </text>
    </comment>
    <comment ref="M96" authorId="2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异地已预缴105.32</t>
        </r>
      </text>
    </comment>
    <comment ref="E97" authorId="3">
      <text>
        <r>
          <rPr>
            <sz val="9"/>
            <rFont val="宋体"/>
            <charset val="134"/>
          </rPr>
          <t>lenovo:
此项目企税按照1个点扣除 （朱敏）</t>
        </r>
      </text>
    </comment>
    <comment ref="H98" authorId="0">
      <text>
        <r>
          <rPr>
            <sz val="9"/>
            <rFont val="宋体"/>
            <charset val="134"/>
          </rPr>
          <t>cw01:
异地未预缴
2个点增值税暂扣</t>
        </r>
      </text>
    </comment>
  </commentList>
</comments>
</file>

<file path=xl/comments2.xml><?xml version="1.0" encoding="utf-8"?>
<comments xmlns="http://schemas.openxmlformats.org/spreadsheetml/2006/main">
  <authors>
    <author>cw01</author>
    <author>cw05</author>
    <author>lenovo</author>
  </authors>
  <commentList>
    <comment ref="F8" authorId="0">
      <text>
        <r>
          <rPr>
            <sz val="9"/>
            <rFont val="宋体"/>
            <charset val="134"/>
          </rPr>
          <t>cw01:
异地完税证明未缴 先暂扣</t>
        </r>
      </text>
    </comment>
    <comment ref="A61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2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67" authorId="2">
      <text>
        <r>
          <rPr>
            <sz val="9"/>
            <rFont val="宋体"/>
            <charset val="134"/>
          </rPr>
          <t>lenovo:
此项目企税按照1个点扣除 （朱敏）</t>
        </r>
      </text>
    </comment>
    <comment ref="H68" authorId="0">
      <text>
        <r>
          <rPr>
            <sz val="9"/>
            <rFont val="宋体"/>
            <charset val="134"/>
          </rPr>
          <t>cw01:
异地未预缴
2个点增值税暂扣</t>
        </r>
      </text>
    </comment>
  </commentList>
</comments>
</file>

<file path=xl/sharedStrings.xml><?xml version="1.0" encoding="utf-8"?>
<sst xmlns="http://schemas.openxmlformats.org/spreadsheetml/2006/main" count="488" uniqueCount="131">
  <si>
    <t>C11083   无为县姚沟镇2019年四好农村路扩面延伸工程-南都村,姚沟社区,新城村,飞雁村</t>
  </si>
  <si>
    <t>中标日期</t>
  </si>
  <si>
    <t>中标价</t>
  </si>
  <si>
    <t>负责人</t>
  </si>
  <si>
    <t>王冬汉</t>
  </si>
  <si>
    <t>建设单位</t>
  </si>
  <si>
    <t>无为县姚沟镇人民政府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</si>
  <si>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</si>
  <si>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</si>
  <si>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</si>
  <si>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</si>
  <si>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</si>
  <si>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</si>
  <si>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</si>
  <si>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</si>
  <si>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</si>
  <si>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</si>
  <si>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</si>
  <si>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</si>
  <si>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</si>
  <si>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</si>
  <si>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</si>
  <si>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</si>
  <si>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</si>
  <si>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</si>
  <si>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</si>
  <si>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</si>
  <si>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</si>
  <si>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</si>
  <si>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</si>
  <si>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</si>
  <si>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</si>
  <si>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</si>
  <si>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</si>
  <si>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</si>
  <si>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</si>
  <si>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</si>
  <si>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</si>
  <si>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芜湖曹汉商贸有限公司</t>
  </si>
  <si>
    <t>黄砂1200吨</t>
  </si>
  <si>
    <t>假票</t>
  </si>
  <si>
    <t>芜湖超勇机械租赁有限公司</t>
  </si>
  <si>
    <t>机械租赁</t>
  </si>
  <si>
    <t>石子（无数量）</t>
  </si>
  <si>
    <t>芜湖超易商贸有限公司</t>
  </si>
  <si>
    <t>水泥200吨</t>
  </si>
  <si>
    <t>芜湖富超建筑劳务有限公司</t>
  </si>
  <si>
    <t>人工费</t>
  </si>
  <si>
    <t>南陵县月琴建材经营部</t>
  </si>
  <si>
    <t>黄沙1859吨</t>
  </si>
  <si>
    <t>水泥1085.25吨</t>
  </si>
  <si>
    <t>徽行</t>
  </si>
  <si>
    <t>夏超</t>
  </si>
  <si>
    <t>繁昌县银桥物资商贸有限公司</t>
  </si>
  <si>
    <t>水泥1400吨</t>
  </si>
  <si>
    <t>有</t>
  </si>
  <si>
    <t>石子2025吨</t>
  </si>
  <si>
    <t>水泥425吨</t>
  </si>
  <si>
    <t>石子950吨</t>
  </si>
  <si>
    <t>租赁费</t>
  </si>
  <si>
    <t>1份</t>
  </si>
  <si>
    <t>普（邮政代）</t>
  </si>
  <si>
    <t>汤先和</t>
  </si>
  <si>
    <t>石子609吨</t>
  </si>
  <si>
    <t>2021-160-1#合同价7万</t>
  </si>
  <si>
    <t>代开票承诺原件已收到</t>
  </si>
  <si>
    <t>夏为伍</t>
  </si>
  <si>
    <t>石子696吨</t>
  </si>
  <si>
    <t>2021-160-2#合同价8万</t>
  </si>
  <si>
    <t>谢梦香</t>
  </si>
  <si>
    <t>石子861吨</t>
  </si>
  <si>
    <t>2021-160-3#合同价99000</t>
  </si>
  <si>
    <t>倪亚玲</t>
  </si>
  <si>
    <t>石子783吨</t>
  </si>
  <si>
    <t>2021-160-4合同价9万</t>
  </si>
  <si>
    <t>石子</t>
  </si>
  <si>
    <t>退还业主-无为县财政局姚沟镇财政所，农行无为姚沟分理处</t>
  </si>
  <si>
    <t>普代</t>
  </si>
  <si>
    <t>汤光兰</t>
  </si>
  <si>
    <t>11083-2021-002#-95688.59</t>
  </si>
  <si>
    <t>李龙飞</t>
  </si>
  <si>
    <t>11083-2022-001#-95700</t>
  </si>
  <si>
    <t>扣</t>
  </si>
  <si>
    <t>税金滞纳金</t>
  </si>
  <si>
    <t>2021年10月开票印花税</t>
  </si>
  <si>
    <t>2021年10月开票增值税及附加</t>
  </si>
  <si>
    <t>外经证</t>
  </si>
  <si>
    <t>手续费</t>
  </si>
  <si>
    <t>补扣</t>
  </si>
  <si>
    <t>企税1%</t>
  </si>
  <si>
    <t>2021年2月开票印花税</t>
  </si>
  <si>
    <t>2021年2月开票增值税及附加</t>
  </si>
  <si>
    <t>4次</t>
  </si>
  <si>
    <t>管理费</t>
  </si>
  <si>
    <t>3次</t>
  </si>
  <si>
    <t>退</t>
  </si>
  <si>
    <t xml:space="preserve">之前暂扣增值税异地预缴两个点  </t>
  </si>
  <si>
    <t>2次</t>
  </si>
  <si>
    <t>增值税及附加</t>
  </si>
  <si>
    <t>暂扣</t>
  </si>
  <si>
    <t>增值税及附加（异地未预缴2个点）</t>
  </si>
  <si>
    <t>1次</t>
  </si>
  <si>
    <t xml:space="preserve">外经证 </t>
  </si>
  <si>
    <t>建造师暂用费</t>
  </si>
  <si>
    <t xml:space="preserve"> </t>
  </si>
  <si>
    <t>应提供成本</t>
  </si>
  <si>
    <t>可支付金额</t>
  </si>
  <si>
    <t>尚需提供成本</t>
  </si>
  <si>
    <t>公司代缴税金：</t>
  </si>
  <si>
    <t>税种</t>
  </si>
  <si>
    <t>税额</t>
  </si>
  <si>
    <t>19.8月份开票扣税</t>
  </si>
  <si>
    <t>8月份2次开票扣税</t>
  </si>
  <si>
    <t>19.12月开票扣税</t>
  </si>
  <si>
    <t>20.1月开票扣税</t>
  </si>
  <si>
    <t>2021年2月开票税金</t>
  </si>
  <si>
    <t>2021年10月开票税金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</si>
  <si>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</si>
  <si>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</si>
  <si>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</si>
  <si>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</si>
  <si>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</si>
  <si>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</si>
  <si>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</si>
  <si>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</si>
  <si>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</si>
  <si>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</si>
  <si>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企税1%（补算1-5次）</t>
  </si>
  <si>
    <t>无为县姚沟镇2019年四好农村路扩面延伸工程-南都村,姚沟社区,新城村,飞雁村</t>
  </si>
  <si>
    <t xml:space="preserve">5次 </t>
  </si>
  <si>
    <t>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</si>
</sst>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  <numFmt numFmtId="178" formatCode="yy/m/d;@"/>
    <numFmt numFmtId="179" formatCode="#,##0.00_ "/>
    <numFmt numFmtId="180" formatCode="#,##0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17" borderId="13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23" fillId="18" borderId="14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</cellStyleXfs>
  <cellXfs count="98">
    <xf numFmtId="0" fontId="0" fillId="0" borderId="0" xfId="0"/>
    <xf numFmtId="0" fontId="1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0" fontId="4" fillId="0" borderId="0" xfId="0" applyFont="1"/>
    <xf numFmtId="179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9" fontId="6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6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3" borderId="2" xfId="11" applyFont="1" applyFill="1" applyBorder="1" applyAlignment="1">
      <alignment horizontal="center" vertical="center"/>
    </xf>
    <xf numFmtId="9" fontId="1" fillId="3" borderId="2" xfId="11" applyNumberFormat="1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7" fontId="6" fillId="5" borderId="2" xfId="0" applyNumberFormat="1" applyFont="1" applyFill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Fill="1" applyAlignment="1"/>
    <xf numFmtId="179" fontId="2" fillId="0" borderId="2" xfId="0" applyNumberFormat="1" applyFont="1" applyBorder="1" applyAlignment="1" applyProtection="1">
      <alignment horizontal="center" vertical="center" wrapText="1"/>
    </xf>
    <xf numFmtId="177" fontId="2" fillId="6" borderId="2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7" fontId="7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 wrapText="1"/>
    </xf>
    <xf numFmtId="179" fontId="4" fillId="0" borderId="0" xfId="0" applyNumberFormat="1" applyFont="1"/>
    <xf numFmtId="179" fontId="2" fillId="0" borderId="2" xfId="0" applyNumberFormat="1" applyFont="1" applyFill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179" fontId="2" fillId="2" borderId="2" xfId="0" applyNumberFormat="1" applyFont="1" applyFill="1" applyBorder="1" applyAlignment="1">
      <alignment vertical="center"/>
    </xf>
    <xf numFmtId="179" fontId="1" fillId="0" borderId="2" xfId="0" applyNumberFormat="1" applyFont="1" applyBorder="1" applyAlignment="1">
      <alignment vertical="center"/>
    </xf>
    <xf numFmtId="179" fontId="1" fillId="6" borderId="2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3" borderId="2" xfId="11" applyNumberFormat="1" applyFont="1" applyFill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right" vertical="center"/>
    </xf>
    <xf numFmtId="0" fontId="8" fillId="0" borderId="2" xfId="0" applyNumberFormat="1" applyFont="1" applyBorder="1" applyAlignment="1">
      <alignment vertical="center"/>
    </xf>
    <xf numFmtId="0" fontId="2" fillId="0" borderId="0" xfId="0" applyFont="1" applyFill="1" applyAlignment="1"/>
    <xf numFmtId="177" fontId="8" fillId="0" borderId="2" xfId="0" applyNumberFormat="1" applyFont="1" applyBorder="1" applyAlignment="1">
      <alignment vertical="center" wrapText="1"/>
    </xf>
    <xf numFmtId="179" fontId="2" fillId="0" borderId="2" xfId="0" applyNumberFormat="1" applyFont="1" applyBorder="1" applyAlignment="1" applyProtection="1">
      <alignment horizontal="right" vertical="center" wrapText="1"/>
    </xf>
    <xf numFmtId="177" fontId="1" fillId="0" borderId="2" xfId="0" applyNumberFormat="1" applyFont="1" applyBorder="1" applyAlignment="1">
      <alignment vertical="center" wrapText="1"/>
    </xf>
    <xf numFmtId="179" fontId="2" fillId="6" borderId="2" xfId="0" applyNumberFormat="1" applyFont="1" applyFill="1" applyBorder="1" applyAlignment="1">
      <alignment horizontal="right" vertical="center"/>
    </xf>
    <xf numFmtId="179" fontId="2" fillId="6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7" fontId="1" fillId="0" borderId="6" xfId="0" applyNumberFormat="1" applyFont="1" applyBorder="1" applyAlignment="1">
      <alignment horizontal="center" vertical="center" wrapText="1"/>
    </xf>
    <xf numFmtId="177" fontId="1" fillId="0" borderId="7" xfId="0" applyNumberFormat="1" applyFont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9" fontId="8" fillId="6" borderId="2" xfId="0" applyNumberFormat="1" applyFont="1" applyFill="1" applyBorder="1" applyAlignment="1">
      <alignment vertical="center"/>
    </xf>
    <xf numFmtId="179" fontId="6" fillId="4" borderId="2" xfId="0" applyNumberFormat="1" applyFont="1" applyFill="1" applyBorder="1" applyAlignment="1">
      <alignment vertical="center"/>
    </xf>
    <xf numFmtId="179" fontId="6" fillId="5" borderId="2" xfId="0" applyNumberFormat="1" applyFont="1" applyFill="1" applyBorder="1" applyAlignment="1">
      <alignment vertical="center"/>
    </xf>
    <xf numFmtId="179" fontId="6" fillId="0" borderId="3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179" fontId="2" fillId="7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6"/>
  <sheetViews>
    <sheetView tabSelected="1" topLeftCell="A40" workbookViewId="0">
      <selection activeCell="K54" sqref="K54:K5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4.5" style="4" customWidth="1"/>
    <col min="9" max="9" width="13.875" style="3" customWidth="1"/>
    <col min="10" max="10" width="6.125" style="5" customWidth="1"/>
    <col min="11" max="11" width="31.5" style="6" customWidth="1"/>
    <col min="12" max="12" width="14.875" style="6" customWidth="1"/>
    <col min="13" max="13" width="29.125" style="6" customWidth="1"/>
    <col min="14" max="14" width="7.125" style="6" customWidth="1"/>
    <col min="15" max="15" width="17.875" style="64" customWidth="1"/>
    <col min="16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43539</v>
      </c>
      <c r="C2" s="11" t="s">
        <v>2</v>
      </c>
      <c r="D2" s="65">
        <v>4120484.07</v>
      </c>
      <c r="E2" s="13" t="s">
        <v>3</v>
      </c>
      <c r="F2" s="14" t="s">
        <v>4</v>
      </c>
      <c r="G2" s="15" t="s">
        <v>5</v>
      </c>
      <c r="H2" s="16" t="s">
        <v>6</v>
      </c>
      <c r="I2" s="49"/>
      <c r="J2" s="50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1"/>
      <c r="J3" s="18"/>
      <c r="K3" s="18"/>
      <c r="L3" s="18"/>
    </row>
    <row r="4" ht="18" customHeight="1" spans="1:12">
      <c r="A4" s="2" t="s">
        <v>9</v>
      </c>
      <c r="H4" s="18"/>
      <c r="I4" s="51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43682</v>
      </c>
      <c r="B7" s="11">
        <f t="shared" ref="B7:B12" si="0">G7/(1+C7+E7)</f>
        <v>458715.596330275</v>
      </c>
      <c r="C7" s="24">
        <v>0.02</v>
      </c>
      <c r="D7" s="66">
        <f t="shared" ref="D7:D12" si="1">G7/(1+E7+C7)*C7</f>
        <v>9174.3119266055</v>
      </c>
      <c r="E7" s="24">
        <v>0.07</v>
      </c>
      <c r="F7" s="11">
        <f t="shared" ref="F7:F12" si="2">G7/(1+C7+E7)*E7</f>
        <v>32110.0917431193</v>
      </c>
      <c r="G7" s="67">
        <v>500000</v>
      </c>
      <c r="H7" s="22">
        <v>43683</v>
      </c>
      <c r="I7" s="11">
        <v>500000</v>
      </c>
      <c r="J7" s="52" t="s">
        <v>21</v>
      </c>
    </row>
    <row r="8" ht="18" customHeight="1" spans="1:10">
      <c r="A8" s="22">
        <v>43700</v>
      </c>
      <c r="B8" s="11">
        <f t="shared" si="0"/>
        <v>1405137.6146789</v>
      </c>
      <c r="C8" s="24">
        <v>0.02</v>
      </c>
      <c r="D8" s="66">
        <f t="shared" si="1"/>
        <v>28102.752293578</v>
      </c>
      <c r="E8" s="24">
        <v>0.07</v>
      </c>
      <c r="F8" s="11">
        <f t="shared" si="2"/>
        <v>98359.6330275229</v>
      </c>
      <c r="G8" s="67">
        <v>1531600</v>
      </c>
      <c r="H8" s="22">
        <v>43704</v>
      </c>
      <c r="I8" s="11">
        <v>531600</v>
      </c>
      <c r="J8" s="52" t="s">
        <v>21</v>
      </c>
    </row>
    <row r="9" ht="18" customHeight="1" spans="1:10">
      <c r="A9" s="22">
        <v>43817</v>
      </c>
      <c r="B9" s="11">
        <f t="shared" si="0"/>
        <v>782568.80733945</v>
      </c>
      <c r="C9" s="24">
        <v>0.02</v>
      </c>
      <c r="D9" s="66">
        <f t="shared" si="1"/>
        <v>15651.376146789</v>
      </c>
      <c r="E9" s="27">
        <v>0.07</v>
      </c>
      <c r="F9" s="11">
        <f t="shared" si="2"/>
        <v>54779.8165137615</v>
      </c>
      <c r="G9" s="67">
        <v>853000</v>
      </c>
      <c r="H9" s="22">
        <v>43706</v>
      </c>
      <c r="I9" s="11">
        <v>1000000</v>
      </c>
      <c r="J9" s="52" t="s">
        <v>21</v>
      </c>
    </row>
    <row r="10" ht="18" customHeight="1" spans="1:10">
      <c r="A10" s="22">
        <v>43846</v>
      </c>
      <c r="B10" s="11">
        <f t="shared" si="0"/>
        <v>376146.788990826</v>
      </c>
      <c r="C10" s="24">
        <v>0.02</v>
      </c>
      <c r="D10" s="66">
        <f t="shared" si="1"/>
        <v>7522.93577981651</v>
      </c>
      <c r="E10" s="27">
        <v>0.07</v>
      </c>
      <c r="F10" s="11">
        <f t="shared" si="2"/>
        <v>26330.2752293578</v>
      </c>
      <c r="G10" s="67">
        <v>410000</v>
      </c>
      <c r="H10" s="22">
        <v>43826</v>
      </c>
      <c r="I10" s="11">
        <v>853000</v>
      </c>
      <c r="J10" s="52" t="s">
        <v>21</v>
      </c>
    </row>
    <row r="11" ht="18" customHeight="1" spans="1:10">
      <c r="A11" s="22">
        <v>44231</v>
      </c>
      <c r="B11" s="11">
        <f t="shared" si="0"/>
        <v>311009.174311927</v>
      </c>
      <c r="C11" s="27">
        <v>0.02</v>
      </c>
      <c r="D11" s="66">
        <f t="shared" si="1"/>
        <v>6220.18348623853</v>
      </c>
      <c r="E11" s="27">
        <v>0.07</v>
      </c>
      <c r="F11" s="11">
        <f t="shared" si="2"/>
        <v>21770.6422018349</v>
      </c>
      <c r="G11" s="67">
        <v>339000</v>
      </c>
      <c r="H11" s="22">
        <v>43852</v>
      </c>
      <c r="I11" s="11">
        <v>410000</v>
      </c>
      <c r="J11" s="52" t="s">
        <v>21</v>
      </c>
    </row>
    <row r="12" ht="18" customHeight="1" spans="1:10">
      <c r="A12" s="22">
        <v>44480</v>
      </c>
      <c r="B12" s="11">
        <f t="shared" si="0"/>
        <v>175538.697247706</v>
      </c>
      <c r="C12" s="27">
        <v>0.02</v>
      </c>
      <c r="D12" s="66">
        <f t="shared" si="1"/>
        <v>3510.77394495413</v>
      </c>
      <c r="E12" s="27">
        <v>0.07</v>
      </c>
      <c r="F12" s="11">
        <f t="shared" si="2"/>
        <v>12287.7088073394</v>
      </c>
      <c r="G12" s="68">
        <v>191337.18</v>
      </c>
      <c r="H12" s="22">
        <v>44257</v>
      </c>
      <c r="I12" s="11">
        <v>339000</v>
      </c>
      <c r="J12" s="52" t="s">
        <v>22</v>
      </c>
    </row>
    <row r="13" ht="18" customHeight="1" spans="1:10">
      <c r="A13" s="22"/>
      <c r="B13" s="11"/>
      <c r="C13" s="27"/>
      <c r="D13" s="66"/>
      <c r="E13" s="27"/>
      <c r="F13" s="11"/>
      <c r="G13" s="67"/>
      <c r="H13" s="22">
        <v>44314</v>
      </c>
      <c r="I13" s="11">
        <v>120000</v>
      </c>
      <c r="J13" s="52" t="s">
        <v>22</v>
      </c>
    </row>
    <row r="14" ht="18" customHeight="1" spans="1:10">
      <c r="A14" s="22"/>
      <c r="B14" s="11"/>
      <c r="C14" s="27"/>
      <c r="D14" s="66"/>
      <c r="E14" s="27"/>
      <c r="F14" s="11"/>
      <c r="G14" s="67"/>
      <c r="H14" s="22">
        <v>44314</v>
      </c>
      <c r="I14" s="11">
        <v>410000</v>
      </c>
      <c r="J14" s="52" t="s">
        <v>22</v>
      </c>
    </row>
    <row r="15" ht="18" customHeight="1" spans="1:10">
      <c r="A15" s="22"/>
      <c r="B15" s="11"/>
      <c r="C15" s="27"/>
      <c r="D15" s="66"/>
      <c r="E15" s="27"/>
      <c r="F15" s="11"/>
      <c r="G15" s="67"/>
      <c r="H15" s="22">
        <v>44830</v>
      </c>
      <c r="I15" s="11">
        <v>191337.18</v>
      </c>
      <c r="J15" s="52" t="s">
        <v>22</v>
      </c>
    </row>
    <row r="16" ht="18" customHeight="1" spans="1:10">
      <c r="A16" s="22"/>
      <c r="B16" s="11"/>
      <c r="C16" s="27"/>
      <c r="D16" s="66"/>
      <c r="E16" s="27"/>
      <c r="F16" s="11"/>
      <c r="G16" s="67"/>
      <c r="H16" s="22"/>
      <c r="I16" s="11"/>
      <c r="J16" s="52"/>
    </row>
    <row r="17" ht="18" customHeight="1" spans="1:10">
      <c r="A17" s="22"/>
      <c r="B17" s="11"/>
      <c r="C17" s="27"/>
      <c r="D17" s="66"/>
      <c r="E17" s="27"/>
      <c r="F17" s="11"/>
      <c r="G17" s="67"/>
      <c r="H17" s="22"/>
      <c r="I17" s="11"/>
      <c r="J17" s="52"/>
    </row>
    <row r="18" ht="18" customHeight="1" spans="1:10">
      <c r="A18" s="22"/>
      <c r="B18" s="11">
        <f>G18/(1+C18+E18)</f>
        <v>0</v>
      </c>
      <c r="C18" s="24"/>
      <c r="D18" s="66">
        <f>G18/(1+E18+C18)*C18</f>
        <v>0</v>
      </c>
      <c r="E18" s="27"/>
      <c r="F18" s="11">
        <f>G18/(1+C18+E18)*E18</f>
        <v>0</v>
      </c>
      <c r="G18" s="67"/>
      <c r="H18" s="22"/>
      <c r="I18" s="11"/>
      <c r="J18" s="52"/>
    </row>
    <row r="19" ht="18" customHeight="1" spans="1:10">
      <c r="A19" s="28" t="s">
        <v>23</v>
      </c>
      <c r="B19" s="30">
        <f>SUM(B7:B18)</f>
        <v>3509116.67889908</v>
      </c>
      <c r="C19" s="30"/>
      <c r="D19" s="30">
        <f>SUM(D7:D18)</f>
        <v>70182.3335779817</v>
      </c>
      <c r="E19" s="30"/>
      <c r="F19" s="30">
        <f>SUM(F7:F18)</f>
        <v>245638.167522936</v>
      </c>
      <c r="G19" s="30">
        <f>SUM(G7:G18)</f>
        <v>3824937.18</v>
      </c>
      <c r="H19" s="31"/>
      <c r="I19" s="30">
        <f>SUM(I7:I18)</f>
        <v>4354937.18</v>
      </c>
      <c r="J19" s="31"/>
    </row>
    <row r="20" ht="18" customHeight="1" spans="1:12">
      <c r="A20" s="2" t="s">
        <v>24</v>
      </c>
      <c r="I20" s="3">
        <f>I19-G19</f>
        <v>530000</v>
      </c>
      <c r="J20" s="4"/>
      <c r="K20" s="4"/>
      <c r="L20" s="5"/>
    </row>
    <row r="21" ht="18" customHeight="1" spans="1:15">
      <c r="A21" s="32" t="s">
        <v>25</v>
      </c>
      <c r="B21" s="20" t="s">
        <v>26</v>
      </c>
      <c r="C21" s="19" t="s">
        <v>27</v>
      </c>
      <c r="D21" s="19" t="s">
        <v>28</v>
      </c>
      <c r="E21" s="19" t="s">
        <v>16</v>
      </c>
      <c r="F21" s="20" t="s">
        <v>29</v>
      </c>
      <c r="G21" s="20" t="s">
        <v>14</v>
      </c>
      <c r="H21" s="19" t="s">
        <v>30</v>
      </c>
      <c r="I21" s="20" t="s">
        <v>31</v>
      </c>
      <c r="J21" s="19" t="s">
        <v>20</v>
      </c>
      <c r="K21" s="53" t="s">
        <v>32</v>
      </c>
      <c r="L21" s="21" t="s">
        <v>33</v>
      </c>
      <c r="M21" s="21" t="s">
        <v>34</v>
      </c>
      <c r="N21" s="21" t="s">
        <v>35</v>
      </c>
      <c r="O21" s="76" t="s">
        <v>36</v>
      </c>
    </row>
    <row r="22" s="1" customFormat="1" ht="18" customHeight="1" spans="1:15">
      <c r="A22" s="33">
        <v>43678</v>
      </c>
      <c r="B22" s="69">
        <f t="shared" ref="B22:B60" si="3">ROUND(G22/(1+E22),2)</f>
        <v>106194.69</v>
      </c>
      <c r="C22" s="34"/>
      <c r="D22" s="35" t="s">
        <v>37</v>
      </c>
      <c r="E22" s="36">
        <v>0.13</v>
      </c>
      <c r="F22" s="69">
        <f t="shared" ref="F22:F60" si="4">ROUND(G22/(1+E22)*E22,2)</f>
        <v>13805.31</v>
      </c>
      <c r="G22" s="67">
        <v>120000</v>
      </c>
      <c r="H22" s="22">
        <v>43689</v>
      </c>
      <c r="I22" s="77">
        <v>120000</v>
      </c>
      <c r="J22" s="52" t="s">
        <v>21</v>
      </c>
      <c r="K22" s="78" t="s">
        <v>38</v>
      </c>
      <c r="L22" s="79" t="s">
        <v>39</v>
      </c>
      <c r="M22" s="56"/>
      <c r="N22" s="56"/>
      <c r="O22" s="80" t="s">
        <v>40</v>
      </c>
    </row>
    <row r="23" s="1" customFormat="1" ht="18" customHeight="1" spans="1:15">
      <c r="A23" s="33">
        <v>43678</v>
      </c>
      <c r="B23" s="69">
        <f t="shared" si="3"/>
        <v>48543.69</v>
      </c>
      <c r="C23" s="34"/>
      <c r="D23" s="35" t="s">
        <v>37</v>
      </c>
      <c r="E23" s="36">
        <v>0.03</v>
      </c>
      <c r="F23" s="69">
        <f t="shared" si="4"/>
        <v>1456.31</v>
      </c>
      <c r="G23" s="67">
        <v>50000</v>
      </c>
      <c r="H23" s="22">
        <v>43689</v>
      </c>
      <c r="I23" s="81">
        <v>29012</v>
      </c>
      <c r="J23" s="52" t="s">
        <v>21</v>
      </c>
      <c r="K23" s="54" t="s">
        <v>41</v>
      </c>
      <c r="L23" s="79" t="s">
        <v>42</v>
      </c>
      <c r="M23" s="56"/>
      <c r="N23" s="56"/>
      <c r="O23" s="82"/>
    </row>
    <row r="24" s="1" customFormat="1" ht="18" customHeight="1" spans="1:15">
      <c r="A24" s="33">
        <v>43678</v>
      </c>
      <c r="B24" s="69">
        <f t="shared" si="3"/>
        <v>97087.38</v>
      </c>
      <c r="C24" s="34"/>
      <c r="D24" s="35" t="s">
        <v>37</v>
      </c>
      <c r="E24" s="36">
        <v>0.03</v>
      </c>
      <c r="F24" s="70">
        <f t="shared" si="4"/>
        <v>2912.62</v>
      </c>
      <c r="G24" s="67">
        <v>100000</v>
      </c>
      <c r="H24" s="22">
        <v>43689</v>
      </c>
      <c r="I24" s="77">
        <v>100000</v>
      </c>
      <c r="J24" s="52" t="s">
        <v>21</v>
      </c>
      <c r="K24" s="54" t="s">
        <v>41</v>
      </c>
      <c r="L24" s="79" t="s">
        <v>43</v>
      </c>
      <c r="M24" s="56"/>
      <c r="N24" s="56"/>
      <c r="O24" s="82"/>
    </row>
    <row r="25" s="1" customFormat="1" ht="18" customHeight="1" spans="1:15">
      <c r="A25" s="33">
        <v>43678</v>
      </c>
      <c r="B25" s="69">
        <f t="shared" si="3"/>
        <v>70796.46</v>
      </c>
      <c r="C25" s="34"/>
      <c r="D25" s="35" t="s">
        <v>37</v>
      </c>
      <c r="E25" s="36">
        <v>0.13</v>
      </c>
      <c r="F25" s="70">
        <f t="shared" si="4"/>
        <v>9203.54</v>
      </c>
      <c r="G25" s="67">
        <v>80000</v>
      </c>
      <c r="H25" s="22">
        <v>43689</v>
      </c>
      <c r="I25" s="77">
        <v>80000</v>
      </c>
      <c r="J25" s="52" t="s">
        <v>21</v>
      </c>
      <c r="K25" s="54" t="s">
        <v>44</v>
      </c>
      <c r="L25" s="79" t="s">
        <v>45</v>
      </c>
      <c r="M25" s="56"/>
      <c r="N25" s="56"/>
      <c r="O25" s="82"/>
    </row>
    <row r="26" s="1" customFormat="1" ht="18" customHeight="1" spans="1:15">
      <c r="A26" s="33">
        <v>43678</v>
      </c>
      <c r="B26" s="69">
        <f t="shared" si="3"/>
        <v>145631.07</v>
      </c>
      <c r="C26" s="34"/>
      <c r="D26" s="35" t="s">
        <v>37</v>
      </c>
      <c r="E26" s="36">
        <v>0.03</v>
      </c>
      <c r="F26" s="70">
        <f t="shared" si="4"/>
        <v>4368.93</v>
      </c>
      <c r="G26" s="67">
        <v>150000</v>
      </c>
      <c r="H26" s="22">
        <v>43689</v>
      </c>
      <c r="I26" s="77">
        <v>150000</v>
      </c>
      <c r="J26" s="52" t="s">
        <v>21</v>
      </c>
      <c r="K26" s="54" t="s">
        <v>46</v>
      </c>
      <c r="L26" s="79" t="s">
        <v>47</v>
      </c>
      <c r="M26" s="56"/>
      <c r="N26" s="56"/>
      <c r="O26" s="82"/>
    </row>
    <row r="27" s="1" customFormat="1" ht="18" customHeight="1" spans="1:15">
      <c r="A27" s="33">
        <v>43678</v>
      </c>
      <c r="B27" s="69">
        <f t="shared" si="3"/>
        <v>446601.94</v>
      </c>
      <c r="C27" s="34"/>
      <c r="D27" s="35" t="s">
        <v>37</v>
      </c>
      <c r="E27" s="37">
        <v>0.03</v>
      </c>
      <c r="F27" s="70">
        <f t="shared" si="4"/>
        <v>13398.06</v>
      </c>
      <c r="G27" s="67">
        <v>460000</v>
      </c>
      <c r="H27" s="22">
        <v>43707</v>
      </c>
      <c r="I27" s="77">
        <v>460000</v>
      </c>
      <c r="J27" s="52" t="s">
        <v>21</v>
      </c>
      <c r="K27" s="54" t="s">
        <v>46</v>
      </c>
      <c r="L27" s="55" t="s">
        <v>47</v>
      </c>
      <c r="M27" s="56"/>
      <c r="N27" s="56"/>
      <c r="O27" s="82"/>
    </row>
    <row r="28" s="1" customFormat="1" ht="18" customHeight="1" spans="1:15">
      <c r="A28" s="33">
        <v>43678</v>
      </c>
      <c r="B28" s="69">
        <f t="shared" si="3"/>
        <v>148543.69</v>
      </c>
      <c r="C28" s="34"/>
      <c r="D28" s="35" t="s">
        <v>37</v>
      </c>
      <c r="E28" s="37">
        <v>0.03</v>
      </c>
      <c r="F28" s="70">
        <f t="shared" si="4"/>
        <v>4456.31</v>
      </c>
      <c r="G28" s="67">
        <v>153000</v>
      </c>
      <c r="H28" s="22">
        <v>43707</v>
      </c>
      <c r="I28" s="77">
        <v>69215</v>
      </c>
      <c r="J28" s="52" t="s">
        <v>21</v>
      </c>
      <c r="K28" s="54" t="s">
        <v>41</v>
      </c>
      <c r="L28" s="55" t="s">
        <v>42</v>
      </c>
      <c r="M28" s="56"/>
      <c r="N28" s="56"/>
      <c r="O28" s="82"/>
    </row>
    <row r="29" s="1" customFormat="1" ht="18" customHeight="1" spans="1:15">
      <c r="A29" s="33">
        <v>43678</v>
      </c>
      <c r="B29" s="69">
        <f t="shared" si="3"/>
        <v>289902.91</v>
      </c>
      <c r="C29" s="34"/>
      <c r="D29" s="35" t="s">
        <v>37</v>
      </c>
      <c r="E29" s="37">
        <v>0.03</v>
      </c>
      <c r="F29" s="70">
        <f t="shared" si="4"/>
        <v>8697.09</v>
      </c>
      <c r="G29" s="67">
        <v>298600</v>
      </c>
      <c r="H29" s="22">
        <v>43707</v>
      </c>
      <c r="I29" s="77">
        <v>298600</v>
      </c>
      <c r="J29" s="52" t="s">
        <v>21</v>
      </c>
      <c r="K29" s="54" t="s">
        <v>41</v>
      </c>
      <c r="L29" s="55" t="s">
        <v>43</v>
      </c>
      <c r="M29" s="56"/>
      <c r="N29" s="56"/>
      <c r="O29" s="82"/>
    </row>
    <row r="30" s="1" customFormat="1" ht="18" customHeight="1" spans="1:15">
      <c r="A30" s="33">
        <v>43678</v>
      </c>
      <c r="B30" s="69">
        <f t="shared" si="3"/>
        <v>164513.27</v>
      </c>
      <c r="C30" s="34"/>
      <c r="D30" s="35" t="s">
        <v>37</v>
      </c>
      <c r="E30" s="37">
        <v>0.13</v>
      </c>
      <c r="F30" s="70">
        <f t="shared" si="4"/>
        <v>21386.73</v>
      </c>
      <c r="G30" s="67">
        <v>185900</v>
      </c>
      <c r="H30" s="22">
        <v>43707</v>
      </c>
      <c r="I30" s="77">
        <v>185900</v>
      </c>
      <c r="J30" s="52" t="s">
        <v>21</v>
      </c>
      <c r="K30" s="54" t="s">
        <v>48</v>
      </c>
      <c r="L30" s="55" t="s">
        <v>49</v>
      </c>
      <c r="M30" s="56"/>
      <c r="N30" s="56"/>
      <c r="O30" s="82"/>
    </row>
    <row r="31" s="1" customFormat="1" ht="18" customHeight="1" spans="1:15">
      <c r="A31" s="33">
        <v>43678</v>
      </c>
      <c r="B31" s="69">
        <f t="shared" si="3"/>
        <v>384159.29</v>
      </c>
      <c r="C31" s="34"/>
      <c r="D31" s="35" t="s">
        <v>37</v>
      </c>
      <c r="E31" s="37">
        <v>0.13</v>
      </c>
      <c r="F31" s="70">
        <f t="shared" si="4"/>
        <v>49940.71</v>
      </c>
      <c r="G31" s="67">
        <v>434100</v>
      </c>
      <c r="H31" s="22">
        <v>43707</v>
      </c>
      <c r="I31" s="77">
        <v>434100</v>
      </c>
      <c r="J31" s="52" t="s">
        <v>21</v>
      </c>
      <c r="K31" s="54" t="s">
        <v>48</v>
      </c>
      <c r="L31" s="55" t="s">
        <v>50</v>
      </c>
      <c r="M31" s="56"/>
      <c r="N31" s="56"/>
      <c r="O31" s="82"/>
    </row>
    <row r="32" s="1" customFormat="1" ht="18" customHeight="1" spans="1:15">
      <c r="A32" s="33"/>
      <c r="B32" s="69">
        <f t="shared" si="3"/>
        <v>0</v>
      </c>
      <c r="C32" s="34"/>
      <c r="D32" s="35"/>
      <c r="E32" s="37"/>
      <c r="F32" s="70">
        <f t="shared" si="4"/>
        <v>0</v>
      </c>
      <c r="G32" s="67"/>
      <c r="H32" s="22">
        <v>43710</v>
      </c>
      <c r="I32" s="81">
        <v>104773</v>
      </c>
      <c r="J32" s="52" t="s">
        <v>21</v>
      </c>
      <c r="K32" s="54" t="s">
        <v>41</v>
      </c>
      <c r="L32" s="55" t="s">
        <v>42</v>
      </c>
      <c r="M32" s="56"/>
      <c r="N32" s="56"/>
      <c r="O32" s="82"/>
    </row>
    <row r="33" s="1" customFormat="1" ht="18" customHeight="1" spans="1:15">
      <c r="A33" s="33"/>
      <c r="B33" s="69">
        <f t="shared" si="3"/>
        <v>0</v>
      </c>
      <c r="C33" s="34"/>
      <c r="D33" s="35"/>
      <c r="E33" s="37"/>
      <c r="F33" s="70">
        <f t="shared" si="4"/>
        <v>0</v>
      </c>
      <c r="G33" s="67"/>
      <c r="H33" s="22">
        <v>43710</v>
      </c>
      <c r="I33" s="77">
        <v>-104773</v>
      </c>
      <c r="J33" s="52" t="s">
        <v>51</v>
      </c>
      <c r="K33" s="54" t="s">
        <v>52</v>
      </c>
      <c r="L33" s="55"/>
      <c r="M33" s="56"/>
      <c r="N33" s="56"/>
      <c r="O33" s="82"/>
    </row>
    <row r="34" s="1" customFormat="1" ht="18" customHeight="1" spans="1:15">
      <c r="A34" s="33">
        <v>43800</v>
      </c>
      <c r="B34" s="69">
        <f t="shared" si="3"/>
        <v>309734.51</v>
      </c>
      <c r="C34" s="34"/>
      <c r="D34" s="35" t="s">
        <v>37</v>
      </c>
      <c r="E34" s="37">
        <v>0.13</v>
      </c>
      <c r="F34" s="69">
        <f t="shared" si="4"/>
        <v>40265.49</v>
      </c>
      <c r="G34" s="67">
        <f>87500+87500+87500+87500</f>
        <v>350000</v>
      </c>
      <c r="H34" s="22">
        <v>43830</v>
      </c>
      <c r="I34" s="77">
        <v>350000</v>
      </c>
      <c r="J34" s="52" t="s">
        <v>21</v>
      </c>
      <c r="K34" s="54" t="s">
        <v>53</v>
      </c>
      <c r="L34" s="55" t="s">
        <v>54</v>
      </c>
      <c r="M34" s="56" t="s">
        <v>55</v>
      </c>
      <c r="N34" s="56" t="s">
        <v>55</v>
      </c>
      <c r="O34" s="82"/>
    </row>
    <row r="35" s="1" customFormat="1" ht="18" customHeight="1" spans="1:15">
      <c r="A35" s="33">
        <v>43800</v>
      </c>
      <c r="B35" s="69">
        <f t="shared" si="3"/>
        <v>248543.69</v>
      </c>
      <c r="C35" s="34"/>
      <c r="D35" s="35" t="s">
        <v>37</v>
      </c>
      <c r="E35" s="37">
        <v>0.03</v>
      </c>
      <c r="F35" s="69">
        <f t="shared" si="4"/>
        <v>7456.31</v>
      </c>
      <c r="G35" s="67">
        <f>2*100000+56000</f>
        <v>256000</v>
      </c>
      <c r="H35" s="22">
        <v>43830</v>
      </c>
      <c r="I35" s="77">
        <v>256000</v>
      </c>
      <c r="J35" s="52" t="s">
        <v>21</v>
      </c>
      <c r="K35" s="54" t="s">
        <v>46</v>
      </c>
      <c r="L35" s="55" t="s">
        <v>47</v>
      </c>
      <c r="M35" s="56" t="s">
        <v>55</v>
      </c>
      <c r="N35" s="56"/>
      <c r="O35" s="82"/>
    </row>
    <row r="36" s="1" customFormat="1" ht="18" customHeight="1" spans="1:15">
      <c r="A36" s="33">
        <v>43800</v>
      </c>
      <c r="B36" s="69">
        <f t="shared" si="3"/>
        <v>82524.27</v>
      </c>
      <c r="C36" s="34"/>
      <c r="D36" s="35" t="s">
        <v>37</v>
      </c>
      <c r="E36" s="37">
        <v>0.03</v>
      </c>
      <c r="F36" s="69">
        <f t="shared" si="4"/>
        <v>2475.73</v>
      </c>
      <c r="G36" s="67">
        <v>85000</v>
      </c>
      <c r="H36" s="22">
        <v>43830</v>
      </c>
      <c r="I36" s="81">
        <v>54311</v>
      </c>
      <c r="J36" s="52" t="s">
        <v>21</v>
      </c>
      <c r="K36" s="54" t="s">
        <v>41</v>
      </c>
      <c r="L36" s="55" t="s">
        <v>42</v>
      </c>
      <c r="M36" s="56" t="s">
        <v>55</v>
      </c>
      <c r="N36" s="56"/>
      <c r="O36" s="82"/>
    </row>
    <row r="37" s="1" customFormat="1" ht="18" customHeight="1" spans="1:15">
      <c r="A37" s="33">
        <v>43800</v>
      </c>
      <c r="B37" s="69">
        <f t="shared" si="3"/>
        <v>157281.55</v>
      </c>
      <c r="C37" s="34"/>
      <c r="D37" s="35" t="s">
        <v>37</v>
      </c>
      <c r="E37" s="37">
        <v>0.03</v>
      </c>
      <c r="F37" s="69">
        <f t="shared" si="4"/>
        <v>4718.45</v>
      </c>
      <c r="G37" s="67">
        <f>80000+82000</f>
        <v>162000</v>
      </c>
      <c r="H37" s="22">
        <v>43830</v>
      </c>
      <c r="I37" s="77">
        <v>162000</v>
      </c>
      <c r="J37" s="52" t="s">
        <v>21</v>
      </c>
      <c r="K37" s="54" t="s">
        <v>41</v>
      </c>
      <c r="L37" s="55" t="s">
        <v>56</v>
      </c>
      <c r="M37" s="56" t="s">
        <v>55</v>
      </c>
      <c r="N37" s="56" t="s">
        <v>55</v>
      </c>
      <c r="O37" s="82"/>
    </row>
    <row r="38" s="1" customFormat="1" ht="18" customHeight="1" spans="1:15">
      <c r="A38" s="33">
        <v>43831</v>
      </c>
      <c r="B38" s="69">
        <f t="shared" si="3"/>
        <v>150442.48</v>
      </c>
      <c r="C38" s="34"/>
      <c r="D38" s="35" t="s">
        <v>37</v>
      </c>
      <c r="E38" s="37">
        <v>0.13</v>
      </c>
      <c r="F38" s="69">
        <f t="shared" si="4"/>
        <v>19557.52</v>
      </c>
      <c r="G38" s="67">
        <f>70000+100000</f>
        <v>170000</v>
      </c>
      <c r="H38" s="22">
        <v>43852</v>
      </c>
      <c r="I38" s="83">
        <v>170000</v>
      </c>
      <c r="J38" s="52" t="s">
        <v>21</v>
      </c>
      <c r="K38" s="54" t="s">
        <v>44</v>
      </c>
      <c r="L38" s="55" t="s">
        <v>57</v>
      </c>
      <c r="M38" s="56" t="s">
        <v>55</v>
      </c>
      <c r="N38" s="56" t="s">
        <v>55</v>
      </c>
      <c r="O38" s="82"/>
    </row>
    <row r="39" s="1" customFormat="1" ht="18" customHeight="1" spans="1:15">
      <c r="A39" s="33">
        <v>43831</v>
      </c>
      <c r="B39" s="69">
        <f t="shared" si="3"/>
        <v>73786.41</v>
      </c>
      <c r="C39" s="34"/>
      <c r="D39" s="35" t="s">
        <v>37</v>
      </c>
      <c r="E39" s="37">
        <v>0.03</v>
      </c>
      <c r="F39" s="69">
        <f t="shared" si="4"/>
        <v>2213.59</v>
      </c>
      <c r="G39" s="67">
        <v>76000</v>
      </c>
      <c r="H39" s="22">
        <v>43852</v>
      </c>
      <c r="I39" s="83">
        <v>71600</v>
      </c>
      <c r="J39" s="52" t="s">
        <v>21</v>
      </c>
      <c r="K39" s="54" t="s">
        <v>41</v>
      </c>
      <c r="L39" s="55" t="s">
        <v>58</v>
      </c>
      <c r="M39" s="56" t="s">
        <v>55</v>
      </c>
      <c r="N39" s="56"/>
      <c r="O39" s="82"/>
    </row>
    <row r="40" s="1" customFormat="1" ht="18" customHeight="1" spans="1:15">
      <c r="A40" s="33">
        <v>43831</v>
      </c>
      <c r="B40" s="69">
        <f t="shared" si="3"/>
        <v>39805.83</v>
      </c>
      <c r="C40" s="34"/>
      <c r="D40" s="35" t="s">
        <v>37</v>
      </c>
      <c r="E40" s="37">
        <v>0.03</v>
      </c>
      <c r="F40" s="69">
        <f t="shared" si="4"/>
        <v>1194.17</v>
      </c>
      <c r="G40" s="67">
        <v>41000</v>
      </c>
      <c r="H40" s="22">
        <v>43852</v>
      </c>
      <c r="I40" s="83">
        <v>41000</v>
      </c>
      <c r="J40" s="52" t="s">
        <v>21</v>
      </c>
      <c r="K40" s="54" t="s">
        <v>41</v>
      </c>
      <c r="L40" s="55" t="s">
        <v>59</v>
      </c>
      <c r="M40" s="56" t="s">
        <v>55</v>
      </c>
      <c r="N40" s="56"/>
      <c r="O40" s="82"/>
    </row>
    <row r="41" s="1" customFormat="1" ht="18" customHeight="1" spans="1:15">
      <c r="A41" s="33">
        <v>43831</v>
      </c>
      <c r="B41" s="69">
        <f t="shared" si="3"/>
        <v>119417.48</v>
      </c>
      <c r="C41" s="34"/>
      <c r="D41" s="35" t="s">
        <v>37</v>
      </c>
      <c r="E41" s="37">
        <v>0.03</v>
      </c>
      <c r="F41" s="69">
        <f t="shared" si="4"/>
        <v>3582.52</v>
      </c>
      <c r="G41" s="67">
        <f>100000+23000</f>
        <v>123000</v>
      </c>
      <c r="H41" s="22">
        <v>43852</v>
      </c>
      <c r="I41" s="83">
        <v>123000</v>
      </c>
      <c r="J41" s="52" t="s">
        <v>21</v>
      </c>
      <c r="K41" s="54" t="s">
        <v>46</v>
      </c>
      <c r="L41" s="55" t="s">
        <v>47</v>
      </c>
      <c r="M41" s="56" t="s">
        <v>55</v>
      </c>
      <c r="N41" s="56"/>
      <c r="O41" s="82"/>
    </row>
    <row r="42" s="1" customFormat="1" ht="18" customHeight="1" spans="1:15">
      <c r="A42" s="71">
        <v>44256</v>
      </c>
      <c r="B42" s="11">
        <f t="shared" si="3"/>
        <v>70000</v>
      </c>
      <c r="C42" s="72" t="s">
        <v>60</v>
      </c>
      <c r="D42" s="73" t="s">
        <v>61</v>
      </c>
      <c r="E42" s="74"/>
      <c r="F42" s="11">
        <f t="shared" si="4"/>
        <v>0</v>
      </c>
      <c r="G42" s="68">
        <v>70000</v>
      </c>
      <c r="H42" s="22"/>
      <c r="I42" s="84"/>
      <c r="J42" s="52"/>
      <c r="K42" s="85" t="s">
        <v>62</v>
      </c>
      <c r="L42" s="31" t="s">
        <v>63</v>
      </c>
      <c r="M42" s="52" t="s">
        <v>64</v>
      </c>
      <c r="N42" s="56"/>
      <c r="O42" s="86" t="s">
        <v>65</v>
      </c>
    </row>
    <row r="43" s="1" customFormat="1" ht="18" customHeight="1" spans="1:15">
      <c r="A43" s="71">
        <v>44256</v>
      </c>
      <c r="B43" s="11">
        <f t="shared" si="3"/>
        <v>80000</v>
      </c>
      <c r="C43" s="72" t="s">
        <v>60</v>
      </c>
      <c r="D43" s="73" t="s">
        <v>61</v>
      </c>
      <c r="E43" s="74"/>
      <c r="F43" s="11">
        <f t="shared" si="4"/>
        <v>0</v>
      </c>
      <c r="G43" s="68">
        <v>80000</v>
      </c>
      <c r="H43" s="22"/>
      <c r="I43" s="84"/>
      <c r="J43" s="52"/>
      <c r="K43" s="85" t="s">
        <v>66</v>
      </c>
      <c r="L43" s="31" t="s">
        <v>67</v>
      </c>
      <c r="M43" s="52" t="s">
        <v>68</v>
      </c>
      <c r="N43" s="56"/>
      <c r="O43" s="87"/>
    </row>
    <row r="44" s="1" customFormat="1" ht="18" customHeight="1" spans="1:15">
      <c r="A44" s="71">
        <v>44256</v>
      </c>
      <c r="B44" s="11">
        <f t="shared" si="3"/>
        <v>99000</v>
      </c>
      <c r="C44" s="72" t="s">
        <v>60</v>
      </c>
      <c r="D44" s="73" t="s">
        <v>61</v>
      </c>
      <c r="E44" s="74"/>
      <c r="F44" s="11">
        <f t="shared" si="4"/>
        <v>0</v>
      </c>
      <c r="G44" s="68">
        <v>99000</v>
      </c>
      <c r="H44" s="22"/>
      <c r="I44" s="84"/>
      <c r="J44" s="52"/>
      <c r="K44" s="85" t="s">
        <v>69</v>
      </c>
      <c r="L44" s="31" t="s">
        <v>70</v>
      </c>
      <c r="M44" s="52" t="s">
        <v>71</v>
      </c>
      <c r="N44" s="56"/>
      <c r="O44" s="87"/>
    </row>
    <row r="45" s="1" customFormat="1" ht="18" customHeight="1" spans="1:15">
      <c r="A45" s="71">
        <v>44256</v>
      </c>
      <c r="B45" s="11">
        <f t="shared" si="3"/>
        <v>90000</v>
      </c>
      <c r="C45" s="72" t="s">
        <v>60</v>
      </c>
      <c r="D45" s="73" t="s">
        <v>61</v>
      </c>
      <c r="E45" s="74"/>
      <c r="F45" s="11">
        <f t="shared" si="4"/>
        <v>0</v>
      </c>
      <c r="G45" s="68">
        <v>90000</v>
      </c>
      <c r="H45" s="22"/>
      <c r="I45" s="84"/>
      <c r="J45" s="52"/>
      <c r="K45" s="85" t="s">
        <v>72</v>
      </c>
      <c r="L45" s="31" t="s">
        <v>73</v>
      </c>
      <c r="M45" s="52" t="s">
        <v>74</v>
      </c>
      <c r="N45" s="56"/>
      <c r="O45" s="88"/>
    </row>
    <row r="46" s="1" customFormat="1" ht="18" customHeight="1" spans="1:15">
      <c r="A46" s="71"/>
      <c r="B46" s="11">
        <f>ROUND(G46/(1+E46),2)</f>
        <v>0</v>
      </c>
      <c r="C46" s="72"/>
      <c r="D46" s="73"/>
      <c r="E46" s="74"/>
      <c r="F46" s="11">
        <f>ROUND(G46/(1+E46)*E46,2)</f>
        <v>0</v>
      </c>
      <c r="G46" s="68"/>
      <c r="H46" s="75">
        <v>44271</v>
      </c>
      <c r="I46" s="70">
        <v>70000</v>
      </c>
      <c r="J46" s="56" t="s">
        <v>51</v>
      </c>
      <c r="K46" s="54" t="s">
        <v>62</v>
      </c>
      <c r="L46" s="31" t="s">
        <v>75</v>
      </c>
      <c r="M46" s="52"/>
      <c r="N46" s="56"/>
      <c r="O46" s="88"/>
    </row>
    <row r="47" s="1" customFormat="1" ht="18" customHeight="1" spans="1:15">
      <c r="A47" s="71"/>
      <c r="B47" s="11">
        <f>ROUND(G47/(1+E47),2)</f>
        <v>0</v>
      </c>
      <c r="C47" s="72"/>
      <c r="D47" s="73"/>
      <c r="E47" s="74"/>
      <c r="F47" s="11">
        <f>ROUND(G47/(1+E47)*E47,2)</f>
        <v>0</v>
      </c>
      <c r="G47" s="68"/>
      <c r="H47" s="75">
        <v>44271</v>
      </c>
      <c r="I47" s="70">
        <v>80000</v>
      </c>
      <c r="J47" s="56" t="s">
        <v>51</v>
      </c>
      <c r="K47" s="54" t="s">
        <v>66</v>
      </c>
      <c r="L47" s="31" t="s">
        <v>75</v>
      </c>
      <c r="M47" s="52"/>
      <c r="N47" s="56"/>
      <c r="O47" s="88"/>
    </row>
    <row r="48" s="1" customFormat="1" ht="18" customHeight="1" spans="1:15">
      <c r="A48" s="71"/>
      <c r="B48" s="11">
        <f>ROUND(G48/(1+E48),2)</f>
        <v>0</v>
      </c>
      <c r="C48" s="72"/>
      <c r="D48" s="73"/>
      <c r="E48" s="74"/>
      <c r="F48" s="11">
        <f>ROUND(G48/(1+E48)*E48,2)</f>
        <v>0</v>
      </c>
      <c r="G48" s="68"/>
      <c r="H48" s="75">
        <v>44271</v>
      </c>
      <c r="I48" s="70">
        <v>99000</v>
      </c>
      <c r="J48" s="56" t="s">
        <v>51</v>
      </c>
      <c r="K48" s="54" t="s">
        <v>69</v>
      </c>
      <c r="L48" s="31" t="s">
        <v>75</v>
      </c>
      <c r="M48" s="52"/>
      <c r="N48" s="56"/>
      <c r="O48" s="88"/>
    </row>
    <row r="49" s="1" customFormat="1" ht="18" customHeight="1" spans="1:15">
      <c r="A49" s="71"/>
      <c r="B49" s="11">
        <f>ROUND(G49/(1+E49),2)</f>
        <v>0</v>
      </c>
      <c r="C49" s="72"/>
      <c r="D49" s="73"/>
      <c r="E49" s="74"/>
      <c r="F49" s="11">
        <f>ROUND(G49/(1+E49)*E49,2)</f>
        <v>0</v>
      </c>
      <c r="G49" s="68"/>
      <c r="H49" s="75">
        <v>44271</v>
      </c>
      <c r="I49" s="70">
        <v>59749.18</v>
      </c>
      <c r="J49" s="56" t="s">
        <v>51</v>
      </c>
      <c r="K49" s="54" t="s">
        <v>72</v>
      </c>
      <c r="L49" s="31" t="s">
        <v>75</v>
      </c>
      <c r="M49" s="52"/>
      <c r="N49" s="56"/>
      <c r="O49" s="88"/>
    </row>
    <row r="50" s="1" customFormat="1" ht="18" customHeight="1" spans="1:15">
      <c r="A50" s="71"/>
      <c r="B50" s="11">
        <f>ROUND(G50/(1+E50),2)</f>
        <v>0</v>
      </c>
      <c r="C50" s="72"/>
      <c r="D50" s="73"/>
      <c r="E50" s="74"/>
      <c r="F50" s="11">
        <f>ROUND(G50/(1+E50)*E50,2)</f>
        <v>0</v>
      </c>
      <c r="G50" s="68"/>
      <c r="H50" s="22">
        <v>44314</v>
      </c>
      <c r="I50" s="84">
        <v>530000</v>
      </c>
      <c r="J50" s="52" t="s">
        <v>21</v>
      </c>
      <c r="K50" s="85" t="s">
        <v>76</v>
      </c>
      <c r="L50" s="31"/>
      <c r="M50" s="52"/>
      <c r="N50" s="56"/>
      <c r="O50" s="88"/>
    </row>
    <row r="51" s="1" customFormat="1" ht="18" customHeight="1" spans="1:15">
      <c r="A51" s="71">
        <v>44805</v>
      </c>
      <c r="B51" s="11">
        <f>ROUND(G51/(1+E51),2)</f>
        <v>95688.59</v>
      </c>
      <c r="C51" s="72">
        <v>1</v>
      </c>
      <c r="D51" s="73" t="s">
        <v>77</v>
      </c>
      <c r="E51" s="74"/>
      <c r="F51" s="11">
        <f>ROUND(G51/(1+E51)*E51,2)</f>
        <v>0</v>
      </c>
      <c r="G51" s="68">
        <v>95688.59</v>
      </c>
      <c r="H51" s="22"/>
      <c r="I51" s="84"/>
      <c r="J51" s="52"/>
      <c r="K51" s="85" t="s">
        <v>78</v>
      </c>
      <c r="L51" s="31"/>
      <c r="M51" s="52" t="s">
        <v>79</v>
      </c>
      <c r="N51" s="56"/>
      <c r="O51" s="88"/>
    </row>
    <row r="52" s="1" customFormat="1" ht="18" customHeight="1" spans="1:15">
      <c r="A52" s="71">
        <v>44805</v>
      </c>
      <c r="B52" s="11">
        <f>ROUND(G52/(1+E52),2)</f>
        <v>95700</v>
      </c>
      <c r="C52" s="72">
        <v>1</v>
      </c>
      <c r="D52" s="73" t="s">
        <v>77</v>
      </c>
      <c r="E52" s="74"/>
      <c r="F52" s="11">
        <f>ROUND(G52/(1+E52)*E52,2)</f>
        <v>0</v>
      </c>
      <c r="G52" s="68">
        <v>95700</v>
      </c>
      <c r="H52" s="22"/>
      <c r="I52" s="84"/>
      <c r="J52" s="52"/>
      <c r="K52" s="85" t="s">
        <v>80</v>
      </c>
      <c r="L52" s="31"/>
      <c r="M52" s="52" t="s">
        <v>81</v>
      </c>
      <c r="N52" s="56"/>
      <c r="O52" s="88"/>
    </row>
    <row r="53" s="1" customFormat="1" ht="18" customHeight="1" spans="1:15">
      <c r="A53" s="71"/>
      <c r="B53" s="11"/>
      <c r="C53" s="72"/>
      <c r="D53" s="73"/>
      <c r="E53" s="74"/>
      <c r="F53" s="11"/>
      <c r="G53" s="68"/>
      <c r="H53" s="22"/>
      <c r="I53" s="84"/>
      <c r="J53" s="52"/>
      <c r="K53" s="85"/>
      <c r="L53" s="31"/>
      <c r="M53" s="89"/>
      <c r="N53" s="56"/>
      <c r="O53" s="88"/>
    </row>
    <row r="54" s="1" customFormat="1" ht="18" customHeight="1" spans="1:15">
      <c r="A54" s="71"/>
      <c r="B54" s="11"/>
      <c r="C54" s="72"/>
      <c r="D54" s="73"/>
      <c r="E54" s="74"/>
      <c r="F54" s="11"/>
      <c r="G54" s="68"/>
      <c r="H54" s="22"/>
      <c r="I54" s="84"/>
      <c r="J54" s="52"/>
      <c r="K54" s="85"/>
      <c r="L54" s="31"/>
      <c r="M54" s="89"/>
      <c r="N54" s="56"/>
      <c r="O54" s="88"/>
    </row>
    <row r="55" s="1" customFormat="1" ht="18" customHeight="1" spans="1:15">
      <c r="A55" s="71"/>
      <c r="B55" s="11"/>
      <c r="C55" s="72"/>
      <c r="D55" s="73"/>
      <c r="E55" s="74"/>
      <c r="F55" s="11"/>
      <c r="G55" s="68"/>
      <c r="H55" s="22"/>
      <c r="I55" s="84"/>
      <c r="J55" s="52"/>
      <c r="K55" s="85"/>
      <c r="L55" s="31"/>
      <c r="M55" s="89"/>
      <c r="N55" s="56"/>
      <c r="O55" s="88"/>
    </row>
    <row r="56" s="1" customFormat="1" ht="18" customHeight="1" spans="1:15">
      <c r="A56" s="71"/>
      <c r="B56" s="11"/>
      <c r="C56" s="72"/>
      <c r="D56" s="73"/>
      <c r="E56" s="74"/>
      <c r="F56" s="11"/>
      <c r="G56" s="68"/>
      <c r="H56" s="22"/>
      <c r="I56" s="84"/>
      <c r="J56" s="52"/>
      <c r="K56" s="85"/>
      <c r="L56" s="31"/>
      <c r="M56" s="89"/>
      <c r="N56" s="56"/>
      <c r="O56" s="88"/>
    </row>
    <row r="57" s="1" customFormat="1" ht="18" customHeight="1" spans="1:15">
      <c r="A57" s="71"/>
      <c r="B57" s="11"/>
      <c r="C57" s="72"/>
      <c r="D57" s="73"/>
      <c r="E57" s="74"/>
      <c r="F57" s="11"/>
      <c r="G57" s="68"/>
      <c r="H57" s="22"/>
      <c r="I57" s="84"/>
      <c r="J57" s="52"/>
      <c r="K57" s="85"/>
      <c r="L57" s="31"/>
      <c r="M57" s="89"/>
      <c r="N57" s="56"/>
      <c r="O57" s="88"/>
    </row>
    <row r="58" s="1" customFormat="1" ht="18" customHeight="1" spans="1:15">
      <c r="A58" s="71"/>
      <c r="B58" s="11">
        <f t="shared" ref="B58:B69" si="5">ROUND(G58/(1+E58),2)</f>
        <v>0</v>
      </c>
      <c r="C58" s="72"/>
      <c r="D58" s="73"/>
      <c r="E58" s="74"/>
      <c r="F58" s="11">
        <f t="shared" ref="F58:F66" si="6">ROUND(G58/(1+E58)*E58,2)</f>
        <v>0</v>
      </c>
      <c r="G58" s="68"/>
      <c r="H58" s="22"/>
      <c r="I58" s="84"/>
      <c r="J58" s="52"/>
      <c r="K58" s="85"/>
      <c r="L58" s="31"/>
      <c r="M58" s="52"/>
      <c r="N58" s="56"/>
      <c r="O58" s="88"/>
    </row>
    <row r="59" s="1" customFormat="1" ht="18" customHeight="1" spans="1:15">
      <c r="A59" s="71"/>
      <c r="B59" s="11">
        <f t="shared" si="5"/>
        <v>0</v>
      </c>
      <c r="C59" s="72"/>
      <c r="D59" s="73"/>
      <c r="E59" s="74"/>
      <c r="F59" s="11">
        <f t="shared" si="6"/>
        <v>0</v>
      </c>
      <c r="G59" s="68"/>
      <c r="H59" s="22"/>
      <c r="I59" s="90">
        <v>205</v>
      </c>
      <c r="J59" s="89" t="s">
        <v>82</v>
      </c>
      <c r="K59" s="78" t="s">
        <v>83</v>
      </c>
      <c r="L59" s="31"/>
      <c r="M59" s="52"/>
      <c r="N59" s="56"/>
      <c r="O59" s="88"/>
    </row>
    <row r="60" s="1" customFormat="1" ht="18" customHeight="1" spans="1:15">
      <c r="A60" s="71"/>
      <c r="B60" s="11">
        <f t="shared" si="5"/>
        <v>0</v>
      </c>
      <c r="C60" s="72"/>
      <c r="D60" s="73"/>
      <c r="E60" s="74"/>
      <c r="F60" s="11">
        <f t="shared" si="6"/>
        <v>0</v>
      </c>
      <c r="G60" s="68"/>
      <c r="H60" s="22"/>
      <c r="I60" s="90">
        <v>57.4</v>
      </c>
      <c r="J60" s="89" t="s">
        <v>82</v>
      </c>
      <c r="K60" s="78" t="s">
        <v>84</v>
      </c>
      <c r="L60" s="31"/>
      <c r="M60" s="52"/>
      <c r="N60" s="56"/>
      <c r="O60" s="88"/>
    </row>
    <row r="61" s="1" customFormat="1" ht="18" customHeight="1" spans="1:15">
      <c r="A61" s="71"/>
      <c r="B61" s="11">
        <f t="shared" si="5"/>
        <v>0</v>
      </c>
      <c r="C61" s="72"/>
      <c r="D61" s="73"/>
      <c r="E61" s="74"/>
      <c r="F61" s="11">
        <f t="shared" si="6"/>
        <v>0</v>
      </c>
      <c r="G61" s="68"/>
      <c r="H61" s="22"/>
      <c r="I61" s="90">
        <v>13762.23</v>
      </c>
      <c r="J61" s="89" t="s">
        <v>82</v>
      </c>
      <c r="K61" s="78" t="s">
        <v>85</v>
      </c>
      <c r="L61" s="31"/>
      <c r="M61" s="52"/>
      <c r="N61" s="56"/>
      <c r="O61" s="88"/>
    </row>
    <row r="62" s="1" customFormat="1" ht="18" customHeight="1" spans="1:15">
      <c r="A62" s="71"/>
      <c r="B62" s="11">
        <f t="shared" si="5"/>
        <v>0</v>
      </c>
      <c r="C62" s="72"/>
      <c r="D62" s="73"/>
      <c r="E62" s="74"/>
      <c r="F62" s="11">
        <f t="shared" si="6"/>
        <v>0</v>
      </c>
      <c r="G62" s="68"/>
      <c r="H62" s="22"/>
      <c r="I62" s="90">
        <v>500</v>
      </c>
      <c r="J62" s="89" t="s">
        <v>82</v>
      </c>
      <c r="K62" s="78" t="s">
        <v>86</v>
      </c>
      <c r="L62" s="31"/>
      <c r="M62" s="52"/>
      <c r="N62" s="56"/>
      <c r="O62" s="88"/>
    </row>
    <row r="63" s="1" customFormat="1" ht="18" customHeight="1" spans="1:15">
      <c r="A63" s="71"/>
      <c r="B63" s="11">
        <f t="shared" si="5"/>
        <v>0</v>
      </c>
      <c r="C63" s="72"/>
      <c r="D63" s="73"/>
      <c r="E63" s="74"/>
      <c r="F63" s="11">
        <f t="shared" si="6"/>
        <v>0</v>
      </c>
      <c r="G63" s="68"/>
      <c r="H63" s="22">
        <v>44267</v>
      </c>
      <c r="I63" s="84">
        <v>200</v>
      </c>
      <c r="J63" s="52" t="s">
        <v>82</v>
      </c>
      <c r="K63" s="54" t="s">
        <v>87</v>
      </c>
      <c r="L63" s="31"/>
      <c r="M63" s="52"/>
      <c r="N63" s="56"/>
      <c r="O63" s="88"/>
    </row>
    <row r="64" s="1" customFormat="1" ht="18" customHeight="1" spans="1:15">
      <c r="A64" s="71"/>
      <c r="B64" s="11">
        <f t="shared" si="5"/>
        <v>0</v>
      </c>
      <c r="C64" s="72"/>
      <c r="D64" s="73"/>
      <c r="E64" s="74"/>
      <c r="F64" s="11">
        <f t="shared" si="6"/>
        <v>0</v>
      </c>
      <c r="G64" s="68"/>
      <c r="H64" s="22">
        <v>44267</v>
      </c>
      <c r="I64" s="84">
        <v>500</v>
      </c>
      <c r="J64" s="52" t="s">
        <v>82</v>
      </c>
      <c r="K64" s="54" t="s">
        <v>86</v>
      </c>
      <c r="L64" s="31"/>
      <c r="M64" s="52"/>
      <c r="N64" s="56"/>
      <c r="O64" s="88"/>
    </row>
    <row r="65" s="1" customFormat="1" ht="18" customHeight="1" spans="1:15">
      <c r="A65" s="71"/>
      <c r="B65" s="11">
        <f t="shared" si="5"/>
        <v>0</v>
      </c>
      <c r="C65" s="72"/>
      <c r="D65" s="73"/>
      <c r="E65" s="74"/>
      <c r="F65" s="11">
        <f t="shared" si="6"/>
        <v>0</v>
      </c>
      <c r="G65" s="68"/>
      <c r="H65" s="22">
        <v>44267</v>
      </c>
      <c r="I65" s="84">
        <v>1676</v>
      </c>
      <c r="J65" s="52" t="s">
        <v>88</v>
      </c>
      <c r="K65" s="54" t="s">
        <v>89</v>
      </c>
      <c r="L65" s="31"/>
      <c r="M65" s="52"/>
      <c r="N65" s="56"/>
      <c r="O65" s="88"/>
    </row>
    <row r="66" s="1" customFormat="1" ht="18" customHeight="1" spans="1:15">
      <c r="A66" s="33"/>
      <c r="B66" s="11">
        <f t="shared" si="5"/>
        <v>0</v>
      </c>
      <c r="C66" s="34"/>
      <c r="D66" s="35"/>
      <c r="E66" s="37"/>
      <c r="F66" s="11">
        <f t="shared" si="6"/>
        <v>0</v>
      </c>
      <c r="G66" s="67"/>
      <c r="H66" s="22">
        <v>44267</v>
      </c>
      <c r="I66" s="84">
        <v>3390</v>
      </c>
      <c r="J66" s="52" t="s">
        <v>82</v>
      </c>
      <c r="K66" s="54" t="s">
        <v>89</v>
      </c>
      <c r="L66" s="55"/>
      <c r="M66" s="56"/>
      <c r="N66" s="56"/>
      <c r="O66" s="82"/>
    </row>
    <row r="67" s="1" customFormat="1" ht="18" customHeight="1" spans="1:15">
      <c r="A67" s="33"/>
      <c r="B67" s="69">
        <f t="shared" si="5"/>
        <v>0</v>
      </c>
      <c r="C67" s="34"/>
      <c r="D67" s="35"/>
      <c r="E67" s="37"/>
      <c r="F67" s="69">
        <f t="shared" ref="F67:F85" si="7">ROUND(G67/(1+E67)*E67,2)</f>
        <v>0</v>
      </c>
      <c r="G67" s="67"/>
      <c r="H67" s="22">
        <v>44267</v>
      </c>
      <c r="I67" s="11">
        <v>101.7</v>
      </c>
      <c r="J67" s="52" t="s">
        <v>82</v>
      </c>
      <c r="K67" s="54" t="s">
        <v>90</v>
      </c>
      <c r="L67" s="55"/>
      <c r="M67" s="56"/>
      <c r="N67" s="56"/>
      <c r="O67" s="82"/>
    </row>
    <row r="68" s="1" customFormat="1" ht="18" customHeight="1" spans="1:15">
      <c r="A68" s="33"/>
      <c r="B68" s="69">
        <f t="shared" si="5"/>
        <v>0</v>
      </c>
      <c r="C68" s="34"/>
      <c r="D68" s="35"/>
      <c r="E68" s="37"/>
      <c r="F68" s="69">
        <f t="shared" si="7"/>
        <v>0</v>
      </c>
      <c r="G68" s="67"/>
      <c r="H68" s="22">
        <v>44267</v>
      </c>
      <c r="I68" s="84">
        <v>24383.12</v>
      </c>
      <c r="J68" s="52" t="s">
        <v>82</v>
      </c>
      <c r="K68" s="54" t="s">
        <v>91</v>
      </c>
      <c r="L68" s="55"/>
      <c r="M68" s="56"/>
      <c r="N68" s="56"/>
      <c r="O68" s="82"/>
    </row>
    <row r="69" s="1" customFormat="1" ht="18" customHeight="1" spans="1:15">
      <c r="A69" s="33"/>
      <c r="B69" s="69">
        <f t="shared" si="5"/>
        <v>0</v>
      </c>
      <c r="C69" s="34"/>
      <c r="D69" s="35"/>
      <c r="E69" s="37"/>
      <c r="F69" s="69">
        <f t="shared" si="7"/>
        <v>0</v>
      </c>
      <c r="G69" s="67"/>
      <c r="H69" s="22">
        <v>43852</v>
      </c>
      <c r="I69" s="96">
        <v>300</v>
      </c>
      <c r="J69" s="52" t="s">
        <v>82</v>
      </c>
      <c r="K69" s="54" t="s">
        <v>87</v>
      </c>
      <c r="L69" s="55"/>
      <c r="M69" s="56"/>
      <c r="N69" s="56"/>
      <c r="O69" s="82"/>
    </row>
    <row r="70" s="1" customFormat="1" ht="18" customHeight="1" spans="1:15">
      <c r="A70" s="33"/>
      <c r="B70" s="69">
        <f t="shared" ref="B67:B85" si="8">ROUND(G70/(1+E70),2)</f>
        <v>0</v>
      </c>
      <c r="C70" s="34"/>
      <c r="D70" s="35"/>
      <c r="E70" s="37"/>
      <c r="F70" s="69">
        <f t="shared" si="7"/>
        <v>0</v>
      </c>
      <c r="G70" s="67"/>
      <c r="H70" s="22" t="s">
        <v>92</v>
      </c>
      <c r="I70" s="96">
        <v>4100</v>
      </c>
      <c r="J70" s="52" t="s">
        <v>82</v>
      </c>
      <c r="K70" s="54" t="s">
        <v>89</v>
      </c>
      <c r="L70" s="55"/>
      <c r="M70" s="56"/>
      <c r="N70" s="56"/>
      <c r="O70" s="82"/>
    </row>
    <row r="71" s="1" customFormat="1" ht="18" customHeight="1" spans="1:15">
      <c r="A71" s="33"/>
      <c r="B71" s="69">
        <f t="shared" si="8"/>
        <v>0</v>
      </c>
      <c r="C71" s="34"/>
      <c r="D71" s="35"/>
      <c r="E71" s="37"/>
      <c r="F71" s="69">
        <f t="shared" si="7"/>
        <v>0</v>
      </c>
      <c r="G71" s="67"/>
      <c r="H71" s="22">
        <v>43829</v>
      </c>
      <c r="I71" s="96">
        <v>350</v>
      </c>
      <c r="J71" s="52" t="s">
        <v>82</v>
      </c>
      <c r="K71" s="54" t="s">
        <v>87</v>
      </c>
      <c r="L71" s="55"/>
      <c r="M71" s="56"/>
      <c r="N71" s="56"/>
      <c r="O71" s="82"/>
    </row>
    <row r="72" s="1" customFormat="1" ht="18" customHeight="1" spans="1:15">
      <c r="A72" s="33"/>
      <c r="B72" s="69">
        <f t="shared" si="8"/>
        <v>0</v>
      </c>
      <c r="C72" s="34"/>
      <c r="D72" s="35"/>
      <c r="E72" s="37"/>
      <c r="F72" s="69">
        <f t="shared" si="7"/>
        <v>0</v>
      </c>
      <c r="G72" s="67"/>
      <c r="H72" s="22" t="s">
        <v>92</v>
      </c>
      <c r="I72" s="96">
        <v>500</v>
      </c>
      <c r="J72" s="52" t="s">
        <v>82</v>
      </c>
      <c r="K72" s="54" t="s">
        <v>86</v>
      </c>
      <c r="L72" s="55"/>
      <c r="M72" s="56"/>
      <c r="N72" s="56"/>
      <c r="O72" s="82"/>
    </row>
    <row r="73" s="1" customFormat="1" ht="18" customHeight="1" spans="1:15">
      <c r="A73" s="33"/>
      <c r="B73" s="69">
        <f t="shared" si="8"/>
        <v>52223</v>
      </c>
      <c r="C73" s="34"/>
      <c r="D73" s="35"/>
      <c r="E73" s="37"/>
      <c r="F73" s="69">
        <f t="shared" si="7"/>
        <v>0</v>
      </c>
      <c r="G73" s="67">
        <v>52223</v>
      </c>
      <c r="H73" s="22" t="s">
        <v>92</v>
      </c>
      <c r="I73" s="96">
        <f>G73</f>
        <v>52223</v>
      </c>
      <c r="J73" s="52" t="s">
        <v>82</v>
      </c>
      <c r="K73" s="54" t="s">
        <v>93</v>
      </c>
      <c r="L73" s="55"/>
      <c r="M73" s="56"/>
      <c r="N73" s="56"/>
      <c r="O73" s="82"/>
    </row>
    <row r="74" s="1" customFormat="1" ht="18" customHeight="1" spans="1:15">
      <c r="A74" s="33"/>
      <c r="B74" s="69">
        <f t="shared" si="8"/>
        <v>0</v>
      </c>
      <c r="C74" s="34"/>
      <c r="D74" s="35"/>
      <c r="E74" s="37"/>
      <c r="F74" s="69">
        <f t="shared" si="7"/>
        <v>0</v>
      </c>
      <c r="G74" s="67"/>
      <c r="H74" s="22" t="s">
        <v>94</v>
      </c>
      <c r="I74" s="96">
        <v>8530</v>
      </c>
      <c r="J74" s="52" t="s">
        <v>82</v>
      </c>
      <c r="K74" s="54" t="s">
        <v>89</v>
      </c>
      <c r="L74" s="55"/>
      <c r="M74" s="56"/>
      <c r="N74" s="56"/>
      <c r="O74" s="82"/>
    </row>
    <row r="75" s="1" customFormat="1" ht="18" customHeight="1" spans="1:15">
      <c r="A75" s="33"/>
      <c r="B75" s="69">
        <f t="shared" si="8"/>
        <v>0</v>
      </c>
      <c r="C75" s="34"/>
      <c r="D75" s="35"/>
      <c r="E75" s="37"/>
      <c r="F75" s="69">
        <f t="shared" si="7"/>
        <v>0</v>
      </c>
      <c r="G75" s="67"/>
      <c r="H75" s="22" t="s">
        <v>92</v>
      </c>
      <c r="I75" s="96">
        <v>-30914</v>
      </c>
      <c r="J75" s="52" t="s">
        <v>95</v>
      </c>
      <c r="K75" s="54" t="s">
        <v>96</v>
      </c>
      <c r="L75" s="55"/>
      <c r="M75" s="56"/>
      <c r="N75" s="56"/>
      <c r="O75" s="82"/>
    </row>
    <row r="76" s="1" customFormat="1" ht="18" customHeight="1" spans="1:15">
      <c r="A76" s="33"/>
      <c r="B76" s="69">
        <f t="shared" si="8"/>
        <v>0</v>
      </c>
      <c r="C76" s="34"/>
      <c r="D76" s="35"/>
      <c r="E76" s="37"/>
      <c r="F76" s="69">
        <f t="shared" si="7"/>
        <v>0</v>
      </c>
      <c r="G76" s="67"/>
      <c r="H76" s="22" t="s">
        <v>97</v>
      </c>
      <c r="I76" s="96">
        <v>14052</v>
      </c>
      <c r="J76" s="52" t="s">
        <v>82</v>
      </c>
      <c r="K76" s="54" t="s">
        <v>89</v>
      </c>
      <c r="L76" s="55"/>
      <c r="M76" s="56"/>
      <c r="N76" s="56"/>
      <c r="O76" s="82"/>
    </row>
    <row r="77" s="1" customFormat="1" ht="18" customHeight="1" spans="1:15">
      <c r="A77" s="33"/>
      <c r="B77" s="69">
        <f t="shared" si="8"/>
        <v>0</v>
      </c>
      <c r="C77" s="34"/>
      <c r="D77" s="35"/>
      <c r="E77" s="37"/>
      <c r="F77" s="69">
        <f t="shared" si="7"/>
        <v>0</v>
      </c>
      <c r="G77" s="67"/>
      <c r="H77" s="22" t="s">
        <v>97</v>
      </c>
      <c r="I77" s="96">
        <v>529</v>
      </c>
      <c r="J77" s="52" t="s">
        <v>82</v>
      </c>
      <c r="K77" s="54" t="s">
        <v>98</v>
      </c>
      <c r="L77" s="55"/>
      <c r="M77" s="56"/>
      <c r="N77" s="56"/>
      <c r="O77" s="82"/>
    </row>
    <row r="78" s="1" customFormat="1" ht="18" customHeight="1" spans="1:15">
      <c r="A78" s="33"/>
      <c r="B78" s="69">
        <f t="shared" si="8"/>
        <v>0</v>
      </c>
      <c r="C78" s="34"/>
      <c r="D78" s="35"/>
      <c r="E78" s="37"/>
      <c r="F78" s="69">
        <f t="shared" si="7"/>
        <v>0</v>
      </c>
      <c r="G78" s="67"/>
      <c r="H78" s="22" t="s">
        <v>97</v>
      </c>
      <c r="I78" s="84">
        <v>30914</v>
      </c>
      <c r="J78" s="52" t="s">
        <v>99</v>
      </c>
      <c r="K78" s="54" t="s">
        <v>100</v>
      </c>
      <c r="L78" s="55"/>
      <c r="M78" s="56"/>
      <c r="N78" s="56"/>
      <c r="O78" s="82"/>
    </row>
    <row r="79" s="1" customFormat="1" ht="18" customHeight="1" spans="1:15">
      <c r="A79" s="33"/>
      <c r="B79" s="69">
        <f t="shared" si="8"/>
        <v>38290</v>
      </c>
      <c r="C79" s="34"/>
      <c r="D79" s="35"/>
      <c r="E79" s="36"/>
      <c r="F79" s="69">
        <f t="shared" si="7"/>
        <v>0</v>
      </c>
      <c r="G79" s="67">
        <v>38290</v>
      </c>
      <c r="H79" s="22" t="s">
        <v>97</v>
      </c>
      <c r="I79" s="96">
        <f>G79</f>
        <v>38290</v>
      </c>
      <c r="J79" s="52" t="s">
        <v>82</v>
      </c>
      <c r="K79" s="54" t="s">
        <v>93</v>
      </c>
      <c r="L79" s="55"/>
      <c r="M79" s="56"/>
      <c r="N79" s="56"/>
      <c r="O79" s="82"/>
    </row>
    <row r="80" s="1" customFormat="1" ht="18" customHeight="1" spans="1:15">
      <c r="A80" s="33"/>
      <c r="B80" s="69">
        <f t="shared" si="8"/>
        <v>0</v>
      </c>
      <c r="C80" s="34"/>
      <c r="D80" s="35"/>
      <c r="E80" s="36"/>
      <c r="F80" s="69">
        <f t="shared" si="7"/>
        <v>0</v>
      </c>
      <c r="G80" s="67"/>
      <c r="H80" s="22" t="s">
        <v>101</v>
      </c>
      <c r="I80" s="96">
        <v>500</v>
      </c>
      <c r="J80" s="52" t="s">
        <v>82</v>
      </c>
      <c r="K80" s="54" t="s">
        <v>102</v>
      </c>
      <c r="L80" s="55"/>
      <c r="M80" s="56"/>
      <c r="N80" s="56"/>
      <c r="O80" s="82"/>
    </row>
    <row r="81" s="1" customFormat="1" ht="18" customHeight="1" spans="1:15">
      <c r="A81" s="33"/>
      <c r="B81" s="69">
        <f t="shared" si="8"/>
        <v>0</v>
      </c>
      <c r="C81" s="34"/>
      <c r="D81" s="35"/>
      <c r="E81" s="36"/>
      <c r="F81" s="69">
        <f t="shared" si="7"/>
        <v>0</v>
      </c>
      <c r="G81" s="67"/>
      <c r="H81" s="22" t="s">
        <v>101</v>
      </c>
      <c r="I81" s="96">
        <v>4588</v>
      </c>
      <c r="J81" s="52" t="s">
        <v>82</v>
      </c>
      <c r="K81" s="54" t="s">
        <v>89</v>
      </c>
      <c r="L81" s="55"/>
      <c r="M81" s="56"/>
      <c r="N81" s="56"/>
      <c r="O81" s="82"/>
    </row>
    <row r="82" s="1" customFormat="1" ht="18" customHeight="1" spans="1:15">
      <c r="A82" s="33"/>
      <c r="B82" s="69">
        <f t="shared" si="8"/>
        <v>0</v>
      </c>
      <c r="C82" s="34"/>
      <c r="D82" s="35"/>
      <c r="E82" s="36"/>
      <c r="F82" s="69">
        <f t="shared" si="7"/>
        <v>0</v>
      </c>
      <c r="G82" s="67"/>
      <c r="H82" s="22" t="s">
        <v>101</v>
      </c>
      <c r="I82" s="84">
        <v>400</v>
      </c>
      <c r="J82" s="52" t="s">
        <v>82</v>
      </c>
      <c r="K82" s="54" t="s">
        <v>98</v>
      </c>
      <c r="L82" s="55"/>
      <c r="M82" s="56"/>
      <c r="N82" s="56"/>
      <c r="O82" s="82"/>
    </row>
    <row r="83" s="1" customFormat="1" ht="18" customHeight="1" spans="1:15">
      <c r="A83" s="33"/>
      <c r="B83" s="69">
        <f t="shared" si="8"/>
        <v>0</v>
      </c>
      <c r="C83" s="34"/>
      <c r="D83" s="35"/>
      <c r="E83" s="36"/>
      <c r="F83" s="69">
        <f t="shared" si="7"/>
        <v>0</v>
      </c>
      <c r="G83" s="67"/>
      <c r="H83" s="22" t="s">
        <v>101</v>
      </c>
      <c r="I83" s="96">
        <v>3000</v>
      </c>
      <c r="J83" s="52" t="s">
        <v>82</v>
      </c>
      <c r="K83" s="54" t="s">
        <v>103</v>
      </c>
      <c r="L83" s="55"/>
      <c r="M83" s="56"/>
      <c r="N83" s="56"/>
      <c r="O83" s="82"/>
    </row>
    <row r="84" s="1" customFormat="1" ht="18" customHeight="1" spans="1:20">
      <c r="A84" s="33"/>
      <c r="B84" s="69">
        <f t="shared" si="8"/>
        <v>12500</v>
      </c>
      <c r="C84" s="34"/>
      <c r="D84" s="35"/>
      <c r="E84" s="36"/>
      <c r="F84" s="69">
        <f t="shared" si="7"/>
        <v>0</v>
      </c>
      <c r="G84" s="67">
        <f>12500</f>
        <v>12500</v>
      </c>
      <c r="H84" s="22" t="s">
        <v>101</v>
      </c>
      <c r="I84" s="11">
        <f>G84</f>
        <v>12500</v>
      </c>
      <c r="J84" s="52" t="s">
        <v>82</v>
      </c>
      <c r="K84" s="54" t="s">
        <v>93</v>
      </c>
      <c r="L84" s="55"/>
      <c r="M84" s="56"/>
      <c r="N84" s="56"/>
      <c r="O84" s="82"/>
      <c r="T84" s="1" t="s">
        <v>104</v>
      </c>
    </row>
    <row r="85" ht="18" customHeight="1" spans="1:15">
      <c r="A85" s="30" t="s">
        <v>23</v>
      </c>
      <c r="B85" s="91">
        <f>SUM(B22:B84)</f>
        <v>3716912.2</v>
      </c>
      <c r="C85" s="30"/>
      <c r="D85" s="39"/>
      <c r="E85" s="39"/>
      <c r="F85" s="92">
        <f>SUM(F22:F84)</f>
        <v>211089.39</v>
      </c>
      <c r="G85" s="93">
        <f>SUM(G22:G84)</f>
        <v>3928001.59</v>
      </c>
      <c r="H85" s="42"/>
      <c r="I85" s="30">
        <f>SUM(I22:I84)</f>
        <v>4178124.63</v>
      </c>
      <c r="J85" s="60"/>
      <c r="K85" s="39"/>
      <c r="L85" s="31"/>
      <c r="M85" s="52"/>
      <c r="N85" s="52"/>
      <c r="O85" s="97"/>
    </row>
    <row r="86" ht="18" customHeight="1" spans="1:14">
      <c r="A86" s="43" t="s">
        <v>105</v>
      </c>
      <c r="B86" s="43">
        <f>B19*0.99</f>
        <v>3474025.51211009</v>
      </c>
      <c r="C86" s="43"/>
      <c r="D86" s="45"/>
      <c r="E86" s="45"/>
      <c r="F86" s="44"/>
      <c r="G86" s="43">
        <f>G19-G85</f>
        <v>-103064.41</v>
      </c>
      <c r="H86" s="21" t="s">
        <v>106</v>
      </c>
      <c r="I86" s="30">
        <f>I19-I85</f>
        <v>176812.549999999</v>
      </c>
      <c r="J86" s="6"/>
      <c r="K86" s="61"/>
      <c r="M86" s="62"/>
      <c r="N86" s="62"/>
    </row>
    <row r="87" ht="18" customHeight="1" spans="1:16">
      <c r="A87" s="43" t="s">
        <v>107</v>
      </c>
      <c r="B87" s="43">
        <f>B86-B85</f>
        <v>-242886.68788991</v>
      </c>
      <c r="C87" s="43"/>
      <c r="D87" s="45"/>
      <c r="E87" s="45"/>
      <c r="F87" s="44"/>
      <c r="G87" s="44"/>
      <c r="H87" s="46"/>
      <c r="I87" s="44"/>
      <c r="J87" s="6"/>
      <c r="K87" s="61"/>
      <c r="M87" s="62"/>
      <c r="N87" s="62"/>
      <c r="P87" s="6" t="s">
        <v>104</v>
      </c>
    </row>
    <row r="88" ht="18" customHeight="1" spans="1:3">
      <c r="A88" s="2" t="s">
        <v>108</v>
      </c>
      <c r="C88" s="2"/>
    </row>
    <row r="89" ht="18" customHeight="1" spans="1:13">
      <c r="A89" s="21" t="s">
        <v>109</v>
      </c>
      <c r="B89" s="20" t="s">
        <v>110</v>
      </c>
      <c r="C89" s="31"/>
      <c r="D89" s="21" t="s">
        <v>109</v>
      </c>
      <c r="E89" s="19" t="s">
        <v>16</v>
      </c>
      <c r="F89" s="20" t="s">
        <v>110</v>
      </c>
      <c r="G89" s="20" t="s">
        <v>111</v>
      </c>
      <c r="H89" s="20" t="s">
        <v>112</v>
      </c>
      <c r="I89" s="23" t="s">
        <v>113</v>
      </c>
      <c r="K89" s="20" t="s">
        <v>114</v>
      </c>
      <c r="L89" s="11" t="s">
        <v>115</v>
      </c>
      <c r="M89" s="11" t="s">
        <v>116</v>
      </c>
    </row>
    <row r="90" ht="18" customHeight="1" spans="1:13">
      <c r="A90" s="31" t="s">
        <v>117</v>
      </c>
      <c r="B90" s="17">
        <f>(B86-B85)*0.25</f>
        <v>-60721.6719724775</v>
      </c>
      <c r="C90" s="31"/>
      <c r="D90" s="28" t="s">
        <v>118</v>
      </c>
      <c r="E90" s="21" t="s">
        <v>119</v>
      </c>
      <c r="F90" s="92">
        <f>F19-F85</f>
        <v>34548.777522936</v>
      </c>
      <c r="G90" s="92">
        <f>F7-F22-F23-F24-F25-F26</f>
        <v>363.381743119302</v>
      </c>
      <c r="H90" s="92">
        <f>F8-F27-F28-F29-F30-F31</f>
        <v>480.733027522911</v>
      </c>
      <c r="I90" s="40">
        <v>0</v>
      </c>
      <c r="K90" s="40">
        <f>F9+F10-SUM(F34:F41)</f>
        <v>-353.688256880705</v>
      </c>
      <c r="L90" s="92">
        <f>F11</f>
        <v>21770.6422018349</v>
      </c>
      <c r="M90" s="92">
        <f>F12</f>
        <v>12287.7088073394</v>
      </c>
    </row>
    <row r="91" ht="18" customHeight="1" spans="1:13">
      <c r="A91" s="31" t="s">
        <v>120</v>
      </c>
      <c r="B91" s="47" t="s">
        <v>121</v>
      </c>
      <c r="C91" s="31"/>
      <c r="D91" s="48" t="s">
        <v>122</v>
      </c>
      <c r="E91" s="13">
        <v>0.07</v>
      </c>
      <c r="F91" s="11">
        <f>F90*E91</f>
        <v>2418.41442660552</v>
      </c>
      <c r="G91" s="11">
        <f>G90*0.05</f>
        <v>18.1690871559651</v>
      </c>
      <c r="H91" s="11">
        <f>H90*0.05</f>
        <v>24.0366513761455</v>
      </c>
      <c r="I91" s="23">
        <v>0</v>
      </c>
      <c r="K91" s="23"/>
      <c r="L91" s="11">
        <f>L90*0.07</f>
        <v>1523.94495412844</v>
      </c>
      <c r="M91" s="11">
        <f>M90*E91</f>
        <v>860.139616513758</v>
      </c>
    </row>
    <row r="92" ht="18" customHeight="1" spans="1:13">
      <c r="A92" s="31" t="s">
        <v>123</v>
      </c>
      <c r="B92" s="47" t="s">
        <v>121</v>
      </c>
      <c r="C92" s="31"/>
      <c r="D92" s="48" t="s">
        <v>124</v>
      </c>
      <c r="E92" s="13">
        <v>0.03</v>
      </c>
      <c r="F92" s="11">
        <f>F90*E92</f>
        <v>1036.46332568808</v>
      </c>
      <c r="G92" s="11">
        <f>G90*E92</f>
        <v>10.9014522935791</v>
      </c>
      <c r="H92" s="11">
        <f>H90*E92</f>
        <v>14.4219908256873</v>
      </c>
      <c r="I92" s="23">
        <v>0</v>
      </c>
      <c r="K92" s="23"/>
      <c r="L92" s="11">
        <f>L90*E92</f>
        <v>653.119266055047</v>
      </c>
      <c r="M92" s="11">
        <f>M90*E92</f>
        <v>368.631264220182</v>
      </c>
    </row>
    <row r="93" ht="18" customHeight="1" spans="1:13">
      <c r="A93" s="31"/>
      <c r="B93" s="23"/>
      <c r="C93" s="31"/>
      <c r="D93" s="48" t="s">
        <v>125</v>
      </c>
      <c r="E93" s="13">
        <v>0.02</v>
      </c>
      <c r="F93" s="11">
        <f>F90*E93</f>
        <v>690.975550458721</v>
      </c>
      <c r="G93" s="11">
        <f>G90*E93</f>
        <v>7.26763486238604</v>
      </c>
      <c r="H93" s="11">
        <f>H90*E93</f>
        <v>9.61466055045821</v>
      </c>
      <c r="I93" s="23">
        <v>0</v>
      </c>
      <c r="K93" s="23"/>
      <c r="L93" s="11">
        <f>L90*E93</f>
        <v>435.412844036698</v>
      </c>
      <c r="M93" s="11">
        <f>M90*E93</f>
        <v>245.754176146788</v>
      </c>
    </row>
    <row r="94" ht="18" customHeight="1" spans="1:13">
      <c r="A94" s="28" t="s">
        <v>126</v>
      </c>
      <c r="B94" s="38">
        <f t="shared" ref="B94:H94" si="9">SUM(B90:B93)</f>
        <v>-60721.6719724775</v>
      </c>
      <c r="C94" s="31"/>
      <c r="D94" s="32" t="s">
        <v>126</v>
      </c>
      <c r="E94" s="9"/>
      <c r="F94" s="92">
        <f t="shared" si="9"/>
        <v>38694.6308256883</v>
      </c>
      <c r="G94" s="92">
        <f t="shared" si="9"/>
        <v>399.719917431232</v>
      </c>
      <c r="H94" s="92">
        <f t="shared" si="9"/>
        <v>528.806330275202</v>
      </c>
      <c r="I94" s="40">
        <v>0</v>
      </c>
      <c r="K94" s="40" t="s">
        <v>104</v>
      </c>
      <c r="L94" s="92">
        <f>SUM(L90:L93)</f>
        <v>24383.1192660551</v>
      </c>
      <c r="M94" s="92">
        <f>SUM(M90:M93)</f>
        <v>13762.2338642201</v>
      </c>
    </row>
    <row r="95" ht="18" customHeight="1" spans="3:13">
      <c r="C95" s="2"/>
      <c r="D95" s="13" t="s">
        <v>120</v>
      </c>
      <c r="E95" s="94">
        <v>0.0003</v>
      </c>
      <c r="F95" s="11">
        <f>G19*E95</f>
        <v>1147.481154</v>
      </c>
      <c r="G95" s="30"/>
      <c r="H95" s="30"/>
      <c r="I95" s="23"/>
      <c r="K95" s="29"/>
      <c r="L95" s="11">
        <f>G11*0.0003</f>
        <v>101.7</v>
      </c>
      <c r="M95" s="11">
        <f>G12*E95</f>
        <v>57.401154</v>
      </c>
    </row>
    <row r="96" ht="18" customHeight="1" spans="3:13">
      <c r="C96" s="2"/>
      <c r="D96" s="13" t="s">
        <v>123</v>
      </c>
      <c r="E96" s="94">
        <v>0.0006</v>
      </c>
      <c r="F96" s="11">
        <f>B19*E96</f>
        <v>2105.47000733945</v>
      </c>
      <c r="G96" s="30"/>
      <c r="H96" s="30"/>
      <c r="I96" s="23"/>
      <c r="K96" s="29"/>
      <c r="L96" s="11">
        <v>0</v>
      </c>
      <c r="M96" s="11">
        <v>0</v>
      </c>
    </row>
    <row r="97" ht="18" customHeight="1" spans="3:13">
      <c r="C97" s="2"/>
      <c r="D97" s="30" t="s">
        <v>117</v>
      </c>
      <c r="E97" s="39">
        <v>0.01</v>
      </c>
      <c r="F97" s="30">
        <f>G19*E97</f>
        <v>38249.3718</v>
      </c>
      <c r="G97" s="30">
        <f>B7*E97</f>
        <v>4587.15596330275</v>
      </c>
      <c r="H97" s="30">
        <f>B8*E97</f>
        <v>14051.376146789</v>
      </c>
      <c r="I97" s="29">
        <f>G9*E97</f>
        <v>8530</v>
      </c>
      <c r="K97" s="29">
        <f>G10*E97</f>
        <v>4100</v>
      </c>
      <c r="L97" s="30">
        <f>G11*E97</f>
        <v>3390</v>
      </c>
      <c r="M97" s="30">
        <f>SUM(M95:M96)</f>
        <v>57.401154</v>
      </c>
    </row>
    <row r="98" ht="18" customHeight="1" spans="3:13">
      <c r="C98" s="2"/>
      <c r="F98" s="4"/>
      <c r="G98" s="95"/>
      <c r="H98" s="92">
        <f>D8</f>
        <v>28102.752293578</v>
      </c>
      <c r="K98" s="11" t="s">
        <v>127</v>
      </c>
      <c r="L98" s="30">
        <f>F97-I81-I76-I74-I70-I66</f>
        <v>3589.3718</v>
      </c>
      <c r="M98" s="30">
        <f>G12*E97</f>
        <v>1913.3718</v>
      </c>
    </row>
    <row r="99" ht="18" customHeight="1" spans="3:8">
      <c r="C99" s="2"/>
      <c r="F99" s="4"/>
      <c r="G99" s="4"/>
      <c r="H99" s="11">
        <f>H98*E91</f>
        <v>1967.19266055046</v>
      </c>
    </row>
    <row r="100" ht="18" customHeight="1" spans="3:8">
      <c r="C100" s="2"/>
      <c r="F100" s="4"/>
      <c r="G100" s="4"/>
      <c r="H100" s="11">
        <f>H98*E92</f>
        <v>843.082568807339</v>
      </c>
    </row>
    <row r="101" spans="3:8">
      <c r="C101" s="2"/>
      <c r="F101" s="4"/>
      <c r="G101" s="4"/>
      <c r="H101" s="11">
        <f>H98*E93</f>
        <v>562.05504587156</v>
      </c>
    </row>
    <row r="102" spans="3:8">
      <c r="C102" s="2"/>
      <c r="F102" s="4"/>
      <c r="G102" s="4"/>
      <c r="H102" s="92">
        <f>SUM(H98:H101)</f>
        <v>31475.0825688074</v>
      </c>
    </row>
    <row r="103" spans="3:3">
      <c r="C103" s="2"/>
    </row>
    <row r="104" spans="3:3">
      <c r="C104" s="2"/>
    </row>
    <row r="105" spans="3:3">
      <c r="C105" s="2"/>
    </row>
    <row r="106" spans="3:3">
      <c r="C106" s="2"/>
    </row>
    <row r="107" spans="3:3">
      <c r="C107" s="2"/>
    </row>
    <row r="108" spans="3:3">
      <c r="C108" s="2"/>
    </row>
    <row r="109" spans="3:3">
      <c r="C109" s="2"/>
    </row>
    <row r="110" spans="3:3">
      <c r="C110" s="2"/>
    </row>
    <row r="111" spans="3:3">
      <c r="C111" s="2"/>
    </row>
    <row r="112" spans="3:3">
      <c r="C112" s="2"/>
    </row>
    <row r="113" spans="3:3">
      <c r="C113" s="2"/>
    </row>
    <row r="114" spans="3:3">
      <c r="C114" s="2"/>
    </row>
    <row r="115" spans="3:3">
      <c r="C115" s="2"/>
    </row>
    <row r="116" spans="3:3">
      <c r="C116" s="2"/>
    </row>
  </sheetData>
  <protectedRanges>
    <protectedRange sqref="I23" name="区域1"/>
    <protectedRange sqref="I32" name="区域1_1"/>
  </protectedRanges>
  <autoFilter ref="A21:O102">
    <extLst/>
  </autoFilter>
  <mergeCells count="9">
    <mergeCell ref="A1:J1"/>
    <mergeCell ref="H2:J2"/>
    <mergeCell ref="C5:D5"/>
    <mergeCell ref="E5:F5"/>
    <mergeCell ref="H5:J5"/>
    <mergeCell ref="A5:A6"/>
    <mergeCell ref="B5:B6"/>
    <mergeCell ref="G5:G6"/>
    <mergeCell ref="O42:O45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6"/>
  <sheetViews>
    <sheetView topLeftCell="A40" workbookViewId="0">
      <selection activeCell="K36" sqref="K36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4.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128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43539</v>
      </c>
      <c r="C2" s="11" t="s">
        <v>2</v>
      </c>
      <c r="D2" s="12">
        <v>4120484.07</v>
      </c>
      <c r="E2" s="13" t="s">
        <v>3</v>
      </c>
      <c r="F2" s="14" t="s">
        <v>4</v>
      </c>
      <c r="G2" s="15" t="s">
        <v>5</v>
      </c>
      <c r="H2" s="16" t="s">
        <v>6</v>
      </c>
      <c r="I2" s="49"/>
      <c r="J2" s="50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1"/>
      <c r="J3" s="18"/>
      <c r="K3" s="18"/>
      <c r="L3" s="18"/>
    </row>
    <row r="4" ht="18" customHeight="1" spans="1:12">
      <c r="A4" s="2" t="s">
        <v>9</v>
      </c>
      <c r="H4" s="18"/>
      <c r="I4" s="51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43682</v>
      </c>
      <c r="B7" s="23">
        <f t="shared" ref="B7:B8" si="0">G7/(1+C7+E7)</f>
        <v>458715.596330275</v>
      </c>
      <c r="C7" s="24">
        <v>0.02</v>
      </c>
      <c r="D7" s="25">
        <f t="shared" ref="D7:D8" si="1">G7/(1+E7+C7)*C7</f>
        <v>9174.3119266055</v>
      </c>
      <c r="E7" s="24">
        <v>0.07</v>
      </c>
      <c r="F7" s="23">
        <f t="shared" ref="F7:F8" si="2">G7/(1+C7+E7)*E7</f>
        <v>32110.0917431193</v>
      </c>
      <c r="G7" s="26">
        <v>500000</v>
      </c>
      <c r="H7" s="22">
        <v>43683</v>
      </c>
      <c r="I7" s="23">
        <v>500000</v>
      </c>
      <c r="J7" s="52" t="s">
        <v>21</v>
      </c>
    </row>
    <row r="8" ht="18" customHeight="1" spans="1:10">
      <c r="A8" s="22">
        <v>43700</v>
      </c>
      <c r="B8" s="23">
        <f t="shared" si="0"/>
        <v>1405137.6146789</v>
      </c>
      <c r="C8" s="24">
        <v>0.02</v>
      </c>
      <c r="D8" s="25">
        <f t="shared" si="1"/>
        <v>28102.752293578</v>
      </c>
      <c r="E8" s="24">
        <v>0.07</v>
      </c>
      <c r="F8" s="23">
        <f t="shared" si="2"/>
        <v>98359.6330275229</v>
      </c>
      <c r="G8" s="26">
        <v>1531600</v>
      </c>
      <c r="H8" s="22">
        <v>43704</v>
      </c>
      <c r="I8" s="23">
        <v>531600</v>
      </c>
      <c r="J8" s="52" t="s">
        <v>21</v>
      </c>
    </row>
    <row r="9" ht="18" customHeight="1" spans="1:10">
      <c r="A9" s="22">
        <v>43817</v>
      </c>
      <c r="B9" s="23">
        <f t="shared" ref="B9:B10" si="3">G9/(1+C9+E9)</f>
        <v>782568.80733945</v>
      </c>
      <c r="C9" s="24">
        <v>0.02</v>
      </c>
      <c r="D9" s="25">
        <f t="shared" ref="D9:D10" si="4">G9/(1+E9+C9)*C9</f>
        <v>15651.376146789</v>
      </c>
      <c r="E9" s="27">
        <v>0.07</v>
      </c>
      <c r="F9" s="23">
        <f t="shared" ref="F9:F10" si="5">G9/(1+C9+E9)*E9</f>
        <v>54779.8165137615</v>
      </c>
      <c r="G9" s="26">
        <v>853000</v>
      </c>
      <c r="H9" s="22">
        <v>43706</v>
      </c>
      <c r="I9" s="23">
        <v>1000000</v>
      </c>
      <c r="J9" s="52" t="s">
        <v>21</v>
      </c>
    </row>
    <row r="10" ht="18" customHeight="1" spans="1:10">
      <c r="A10" s="22">
        <v>43846</v>
      </c>
      <c r="B10" s="23">
        <f t="shared" si="3"/>
        <v>376146.788990826</v>
      </c>
      <c r="C10" s="24">
        <v>0.02</v>
      </c>
      <c r="D10" s="25">
        <f t="shared" si="4"/>
        <v>7522.93577981651</v>
      </c>
      <c r="E10" s="27">
        <v>0.07</v>
      </c>
      <c r="F10" s="23">
        <f t="shared" si="5"/>
        <v>26330.2752293578</v>
      </c>
      <c r="G10" s="26">
        <v>410000</v>
      </c>
      <c r="H10" s="22">
        <v>43826</v>
      </c>
      <c r="I10" s="23">
        <v>853000</v>
      </c>
      <c r="J10" s="52" t="s">
        <v>21</v>
      </c>
    </row>
    <row r="11" ht="18" customHeight="1" spans="1:10">
      <c r="A11" s="22"/>
      <c r="B11" s="23"/>
      <c r="C11" s="24"/>
      <c r="D11" s="25"/>
      <c r="E11" s="27"/>
      <c r="F11" s="23"/>
      <c r="G11" s="26"/>
      <c r="H11" s="22">
        <v>43852</v>
      </c>
      <c r="I11" s="23">
        <v>410000</v>
      </c>
      <c r="J11" s="52" t="s">
        <v>21</v>
      </c>
    </row>
    <row r="12" ht="18" customHeight="1" spans="1:10">
      <c r="A12" s="28" t="s">
        <v>23</v>
      </c>
      <c r="B12" s="29">
        <f>SUM(B7:B11)</f>
        <v>3022568.80733945</v>
      </c>
      <c r="C12" s="30"/>
      <c r="D12" s="29">
        <f>SUM(D7:D11)</f>
        <v>60451.376146789</v>
      </c>
      <c r="E12" s="30"/>
      <c r="F12" s="29">
        <f>SUM(F7:F11)</f>
        <v>211579.816513761</v>
      </c>
      <c r="G12" s="29">
        <f>SUM(G7:G11)</f>
        <v>3294600</v>
      </c>
      <c r="H12" s="31"/>
      <c r="I12" s="29">
        <f>SUM(I7:I11)</f>
        <v>3294600</v>
      </c>
      <c r="J12" s="31"/>
    </row>
    <row r="13" ht="18" customHeight="1" spans="1:12">
      <c r="A13" s="2" t="s">
        <v>24</v>
      </c>
      <c r="J13" s="4"/>
      <c r="K13" s="4"/>
      <c r="L13" s="5"/>
    </row>
    <row r="14" ht="18" customHeight="1" spans="1:15">
      <c r="A14" s="32" t="s">
        <v>25</v>
      </c>
      <c r="B14" s="20" t="s">
        <v>26</v>
      </c>
      <c r="C14" s="19" t="s">
        <v>27</v>
      </c>
      <c r="D14" s="19" t="s">
        <v>28</v>
      </c>
      <c r="E14" s="19" t="s">
        <v>16</v>
      </c>
      <c r="F14" s="20" t="s">
        <v>29</v>
      </c>
      <c r="G14" s="20" t="s">
        <v>14</v>
      </c>
      <c r="H14" s="19" t="s">
        <v>30</v>
      </c>
      <c r="I14" s="20" t="s">
        <v>31</v>
      </c>
      <c r="J14" s="19" t="s">
        <v>20</v>
      </c>
      <c r="K14" s="53" t="s">
        <v>32</v>
      </c>
      <c r="L14" s="21" t="s">
        <v>33</v>
      </c>
      <c r="M14" s="21" t="s">
        <v>34</v>
      </c>
      <c r="N14" s="21" t="s">
        <v>35</v>
      </c>
      <c r="O14" s="21" t="s">
        <v>36</v>
      </c>
    </row>
    <row r="15" s="1" customFormat="1" ht="18" customHeight="1" spans="1:15">
      <c r="A15" s="33"/>
      <c r="B15" s="17">
        <f t="shared" ref="B15:B41" si="6">ROUND(G15/(1+E15),2)</f>
        <v>0</v>
      </c>
      <c r="C15" s="34"/>
      <c r="D15" s="35"/>
      <c r="E15" s="36"/>
      <c r="F15" s="17">
        <f t="shared" ref="F15:F42" si="7">ROUND(G15/(1+E15)*E15,2)</f>
        <v>0</v>
      </c>
      <c r="G15" s="26"/>
      <c r="H15" s="22"/>
      <c r="I15" s="23"/>
      <c r="J15" s="52"/>
      <c r="K15" s="54"/>
      <c r="L15" s="55"/>
      <c r="M15" s="56"/>
      <c r="N15" s="56"/>
      <c r="O15" s="55"/>
    </row>
    <row r="16" s="1" customFormat="1" ht="18" customHeight="1" spans="1:15">
      <c r="A16" s="33">
        <v>43678</v>
      </c>
      <c r="B16" s="17">
        <f t="shared" si="6"/>
        <v>106194.69</v>
      </c>
      <c r="C16" s="34"/>
      <c r="D16" s="35" t="s">
        <v>37</v>
      </c>
      <c r="E16" s="36">
        <v>0.13</v>
      </c>
      <c r="F16" s="17">
        <f t="shared" si="7"/>
        <v>13805.31</v>
      </c>
      <c r="G16" s="26">
        <v>120000</v>
      </c>
      <c r="H16" s="22">
        <v>43689</v>
      </c>
      <c r="I16" s="23">
        <v>120000</v>
      </c>
      <c r="J16" s="52" t="s">
        <v>21</v>
      </c>
      <c r="K16" s="54" t="s">
        <v>38</v>
      </c>
      <c r="L16" s="57" t="s">
        <v>39</v>
      </c>
      <c r="M16" s="56"/>
      <c r="N16" s="56"/>
      <c r="O16" s="55"/>
    </row>
    <row r="17" s="1" customFormat="1" ht="18" customHeight="1" spans="1:15">
      <c r="A17" s="33">
        <v>43678</v>
      </c>
      <c r="B17" s="17">
        <f t="shared" si="6"/>
        <v>48543.69</v>
      </c>
      <c r="C17" s="34"/>
      <c r="D17" s="35" t="s">
        <v>37</v>
      </c>
      <c r="E17" s="36">
        <v>0.03</v>
      </c>
      <c r="F17" s="17">
        <f t="shared" si="7"/>
        <v>1456.31</v>
      </c>
      <c r="G17" s="26">
        <v>50000</v>
      </c>
      <c r="H17" s="22">
        <v>43689</v>
      </c>
      <c r="I17" s="58">
        <v>29012</v>
      </c>
      <c r="J17" s="52" t="s">
        <v>21</v>
      </c>
      <c r="K17" s="54" t="s">
        <v>41</v>
      </c>
      <c r="L17" s="57" t="s">
        <v>42</v>
      </c>
      <c r="M17" s="56"/>
      <c r="N17" s="56"/>
      <c r="O17" s="55"/>
    </row>
    <row r="18" s="1" customFormat="1" ht="18" customHeight="1" spans="1:15">
      <c r="A18" s="33">
        <v>43678</v>
      </c>
      <c r="B18" s="17">
        <f t="shared" si="6"/>
        <v>97087.38</v>
      </c>
      <c r="C18" s="34"/>
      <c r="D18" s="35" t="s">
        <v>37</v>
      </c>
      <c r="E18" s="36">
        <v>0.03</v>
      </c>
      <c r="F18" s="17">
        <f t="shared" si="7"/>
        <v>2912.62</v>
      </c>
      <c r="G18" s="26">
        <v>100000</v>
      </c>
      <c r="H18" s="22">
        <v>43689</v>
      </c>
      <c r="I18" s="23">
        <v>100000</v>
      </c>
      <c r="J18" s="52" t="s">
        <v>21</v>
      </c>
      <c r="K18" s="54" t="s">
        <v>41</v>
      </c>
      <c r="L18" s="57" t="s">
        <v>43</v>
      </c>
      <c r="M18" s="56"/>
      <c r="N18" s="56"/>
      <c r="O18" s="55"/>
    </row>
    <row r="19" s="1" customFormat="1" ht="18" customHeight="1" spans="1:15">
      <c r="A19" s="33">
        <v>43678</v>
      </c>
      <c r="B19" s="17">
        <f t="shared" si="6"/>
        <v>70796.46</v>
      </c>
      <c r="C19" s="34"/>
      <c r="D19" s="35" t="s">
        <v>37</v>
      </c>
      <c r="E19" s="36">
        <v>0.13</v>
      </c>
      <c r="F19" s="17">
        <f t="shared" si="7"/>
        <v>9203.54</v>
      </c>
      <c r="G19" s="26">
        <v>80000</v>
      </c>
      <c r="H19" s="22">
        <v>43689</v>
      </c>
      <c r="I19" s="23">
        <v>80000</v>
      </c>
      <c r="J19" s="52" t="s">
        <v>21</v>
      </c>
      <c r="K19" s="54" t="s">
        <v>44</v>
      </c>
      <c r="L19" s="57" t="s">
        <v>45</v>
      </c>
      <c r="M19" s="56"/>
      <c r="N19" s="56"/>
      <c r="O19" s="55"/>
    </row>
    <row r="20" s="1" customFormat="1" ht="18" customHeight="1" spans="1:15">
      <c r="A20" s="33">
        <v>43678</v>
      </c>
      <c r="B20" s="17">
        <f t="shared" si="6"/>
        <v>145631.07</v>
      </c>
      <c r="C20" s="34"/>
      <c r="D20" s="35" t="s">
        <v>37</v>
      </c>
      <c r="E20" s="36">
        <v>0.03</v>
      </c>
      <c r="F20" s="17">
        <f t="shared" si="7"/>
        <v>4368.93</v>
      </c>
      <c r="G20" s="26">
        <v>150000</v>
      </c>
      <c r="H20" s="22">
        <v>43689</v>
      </c>
      <c r="I20" s="23">
        <v>150000</v>
      </c>
      <c r="J20" s="52" t="s">
        <v>21</v>
      </c>
      <c r="K20" s="54" t="s">
        <v>46</v>
      </c>
      <c r="L20" s="57" t="s">
        <v>47</v>
      </c>
      <c r="M20" s="56"/>
      <c r="N20" s="56"/>
      <c r="O20" s="55"/>
    </row>
    <row r="21" s="1" customFormat="1" ht="18" customHeight="1" spans="1:15">
      <c r="A21" s="33">
        <v>43678</v>
      </c>
      <c r="B21" s="17">
        <f t="shared" si="6"/>
        <v>446601.94</v>
      </c>
      <c r="C21" s="34"/>
      <c r="D21" s="35" t="s">
        <v>37</v>
      </c>
      <c r="E21" s="37">
        <v>0.03</v>
      </c>
      <c r="F21" s="17">
        <f t="shared" si="7"/>
        <v>13398.06</v>
      </c>
      <c r="G21" s="26">
        <v>460000</v>
      </c>
      <c r="H21" s="22">
        <v>43707</v>
      </c>
      <c r="I21" s="23">
        <v>460000</v>
      </c>
      <c r="J21" s="52" t="s">
        <v>21</v>
      </c>
      <c r="K21" s="54" t="s">
        <v>46</v>
      </c>
      <c r="L21" s="55" t="s">
        <v>47</v>
      </c>
      <c r="M21" s="56"/>
      <c r="N21" s="56"/>
      <c r="O21" s="55"/>
    </row>
    <row r="22" s="1" customFormat="1" ht="18" customHeight="1" spans="1:15">
      <c r="A22" s="33">
        <v>43678</v>
      </c>
      <c r="B22" s="17">
        <f t="shared" si="6"/>
        <v>148543.69</v>
      </c>
      <c r="C22" s="34"/>
      <c r="D22" s="35" t="s">
        <v>37</v>
      </c>
      <c r="E22" s="37">
        <v>0.03</v>
      </c>
      <c r="F22" s="17">
        <f t="shared" si="7"/>
        <v>4456.31</v>
      </c>
      <c r="G22" s="26">
        <v>153000</v>
      </c>
      <c r="H22" s="22">
        <v>43707</v>
      </c>
      <c r="I22" s="23">
        <v>69215</v>
      </c>
      <c r="J22" s="52" t="s">
        <v>21</v>
      </c>
      <c r="K22" s="54" t="s">
        <v>41</v>
      </c>
      <c r="L22" s="55" t="s">
        <v>42</v>
      </c>
      <c r="M22" s="56"/>
      <c r="N22" s="56"/>
      <c r="O22" s="55"/>
    </row>
    <row r="23" s="1" customFormat="1" ht="18" customHeight="1" spans="1:15">
      <c r="A23" s="33">
        <v>43678</v>
      </c>
      <c r="B23" s="17">
        <f t="shared" si="6"/>
        <v>289902.91</v>
      </c>
      <c r="C23" s="34"/>
      <c r="D23" s="35" t="s">
        <v>37</v>
      </c>
      <c r="E23" s="37">
        <v>0.03</v>
      </c>
      <c r="F23" s="17">
        <f t="shared" si="7"/>
        <v>8697.09</v>
      </c>
      <c r="G23" s="26">
        <v>298600</v>
      </c>
      <c r="H23" s="22">
        <v>43707</v>
      </c>
      <c r="I23" s="23">
        <v>298600</v>
      </c>
      <c r="J23" s="52" t="s">
        <v>21</v>
      </c>
      <c r="K23" s="54" t="s">
        <v>41</v>
      </c>
      <c r="L23" s="55" t="s">
        <v>43</v>
      </c>
      <c r="M23" s="56"/>
      <c r="N23" s="56"/>
      <c r="O23" s="55"/>
    </row>
    <row r="24" s="1" customFormat="1" ht="18" customHeight="1" spans="1:15">
      <c r="A24" s="33">
        <v>43678</v>
      </c>
      <c r="B24" s="17">
        <f t="shared" si="6"/>
        <v>164513.27</v>
      </c>
      <c r="C24" s="34"/>
      <c r="D24" s="35" t="s">
        <v>37</v>
      </c>
      <c r="E24" s="37">
        <v>0.13</v>
      </c>
      <c r="F24" s="17">
        <f t="shared" si="7"/>
        <v>21386.73</v>
      </c>
      <c r="G24" s="26">
        <v>185900</v>
      </c>
      <c r="H24" s="22">
        <v>43707</v>
      </c>
      <c r="I24" s="23">
        <v>185900</v>
      </c>
      <c r="J24" s="52" t="s">
        <v>21</v>
      </c>
      <c r="K24" s="54" t="s">
        <v>48</v>
      </c>
      <c r="L24" s="55" t="s">
        <v>49</v>
      </c>
      <c r="M24" s="56"/>
      <c r="N24" s="56"/>
      <c r="O24" s="55"/>
    </row>
    <row r="25" s="1" customFormat="1" ht="18" customHeight="1" spans="1:15">
      <c r="A25" s="33">
        <v>43678</v>
      </c>
      <c r="B25" s="17">
        <f t="shared" si="6"/>
        <v>384159.29</v>
      </c>
      <c r="C25" s="34"/>
      <c r="D25" s="35" t="s">
        <v>37</v>
      </c>
      <c r="E25" s="37">
        <v>0.13</v>
      </c>
      <c r="F25" s="17">
        <f t="shared" si="7"/>
        <v>49940.71</v>
      </c>
      <c r="G25" s="26">
        <v>434100</v>
      </c>
      <c r="H25" s="22">
        <v>43707</v>
      </c>
      <c r="I25" s="23">
        <v>434100</v>
      </c>
      <c r="J25" s="52" t="s">
        <v>21</v>
      </c>
      <c r="K25" s="54" t="s">
        <v>48</v>
      </c>
      <c r="L25" s="55" t="s">
        <v>50</v>
      </c>
      <c r="M25" s="56"/>
      <c r="N25" s="56"/>
      <c r="O25" s="55"/>
    </row>
    <row r="26" s="1" customFormat="1" ht="18" customHeight="1" spans="1:15">
      <c r="A26" s="33"/>
      <c r="B26" s="17">
        <f t="shared" si="6"/>
        <v>0</v>
      </c>
      <c r="C26" s="34"/>
      <c r="D26" s="35"/>
      <c r="E26" s="37"/>
      <c r="F26" s="17">
        <f t="shared" si="7"/>
        <v>0</v>
      </c>
      <c r="G26" s="26"/>
      <c r="H26" s="22">
        <v>43710</v>
      </c>
      <c r="I26" s="58">
        <v>104773</v>
      </c>
      <c r="J26" s="52" t="s">
        <v>21</v>
      </c>
      <c r="K26" s="54" t="s">
        <v>41</v>
      </c>
      <c r="L26" s="55" t="s">
        <v>42</v>
      </c>
      <c r="M26" s="56"/>
      <c r="N26" s="56"/>
      <c r="O26" s="55"/>
    </row>
    <row r="27" s="1" customFormat="1" ht="18" customHeight="1" spans="1:15">
      <c r="A27" s="33"/>
      <c r="B27" s="17">
        <f t="shared" si="6"/>
        <v>0</v>
      </c>
      <c r="C27" s="34"/>
      <c r="D27" s="35"/>
      <c r="E27" s="37"/>
      <c r="F27" s="17">
        <f t="shared" si="7"/>
        <v>0</v>
      </c>
      <c r="G27" s="26"/>
      <c r="H27" s="22">
        <v>43710</v>
      </c>
      <c r="I27" s="23">
        <v>-104773</v>
      </c>
      <c r="J27" s="52" t="s">
        <v>51</v>
      </c>
      <c r="K27" s="54" t="s">
        <v>52</v>
      </c>
      <c r="L27" s="55"/>
      <c r="M27" s="56"/>
      <c r="N27" s="56"/>
      <c r="O27" s="55"/>
    </row>
    <row r="28" s="1" customFormat="1" ht="18" customHeight="1" spans="1:15">
      <c r="A28" s="33">
        <v>43800</v>
      </c>
      <c r="B28" s="17">
        <f t="shared" si="6"/>
        <v>309734.51</v>
      </c>
      <c r="C28" s="34"/>
      <c r="D28" s="35" t="s">
        <v>37</v>
      </c>
      <c r="E28" s="37">
        <v>0.13</v>
      </c>
      <c r="F28" s="17">
        <f t="shared" si="7"/>
        <v>40265.49</v>
      </c>
      <c r="G28" s="26">
        <f>87500+87500+87500+87500</f>
        <v>350000</v>
      </c>
      <c r="H28" s="22">
        <v>43830</v>
      </c>
      <c r="I28" s="23">
        <v>350000</v>
      </c>
      <c r="J28" s="52" t="s">
        <v>21</v>
      </c>
      <c r="K28" s="54" t="s">
        <v>53</v>
      </c>
      <c r="L28" s="55" t="s">
        <v>54</v>
      </c>
      <c r="M28" s="56" t="s">
        <v>55</v>
      </c>
      <c r="N28" s="56" t="s">
        <v>55</v>
      </c>
      <c r="O28" s="55"/>
    </row>
    <row r="29" s="1" customFormat="1" ht="18" customHeight="1" spans="1:15">
      <c r="A29" s="33">
        <v>43800</v>
      </c>
      <c r="B29" s="17">
        <f t="shared" si="6"/>
        <v>248543.69</v>
      </c>
      <c r="C29" s="34"/>
      <c r="D29" s="35" t="s">
        <v>37</v>
      </c>
      <c r="E29" s="37">
        <v>0.03</v>
      </c>
      <c r="F29" s="17">
        <f t="shared" si="7"/>
        <v>7456.31</v>
      </c>
      <c r="G29" s="26">
        <f>2*100000+56000</f>
        <v>256000</v>
      </c>
      <c r="H29" s="22">
        <v>43830</v>
      </c>
      <c r="I29" s="23">
        <v>256000</v>
      </c>
      <c r="J29" s="52" t="s">
        <v>21</v>
      </c>
      <c r="K29" s="54" t="s">
        <v>46</v>
      </c>
      <c r="L29" s="55" t="s">
        <v>47</v>
      </c>
      <c r="M29" s="56" t="s">
        <v>55</v>
      </c>
      <c r="N29" s="56"/>
      <c r="O29" s="55"/>
    </row>
    <row r="30" s="1" customFormat="1" ht="18" customHeight="1" spans="1:15">
      <c r="A30" s="33">
        <v>43800</v>
      </c>
      <c r="B30" s="17">
        <f t="shared" si="6"/>
        <v>82524.27</v>
      </c>
      <c r="C30" s="34"/>
      <c r="D30" s="35" t="s">
        <v>37</v>
      </c>
      <c r="E30" s="37">
        <v>0.03</v>
      </c>
      <c r="F30" s="17">
        <f t="shared" si="7"/>
        <v>2475.73</v>
      </c>
      <c r="G30" s="26">
        <v>85000</v>
      </c>
      <c r="H30" s="22">
        <v>43830</v>
      </c>
      <c r="I30" s="58">
        <v>54311</v>
      </c>
      <c r="J30" s="52" t="s">
        <v>21</v>
      </c>
      <c r="K30" s="54" t="s">
        <v>41</v>
      </c>
      <c r="L30" s="55" t="s">
        <v>42</v>
      </c>
      <c r="M30" s="56" t="s">
        <v>55</v>
      </c>
      <c r="N30" s="56"/>
      <c r="O30" s="55"/>
    </row>
    <row r="31" s="1" customFormat="1" ht="18" customHeight="1" spans="1:15">
      <c r="A31" s="33">
        <v>43800</v>
      </c>
      <c r="B31" s="17">
        <f t="shared" si="6"/>
        <v>157281.55</v>
      </c>
      <c r="C31" s="34"/>
      <c r="D31" s="35" t="s">
        <v>37</v>
      </c>
      <c r="E31" s="37">
        <v>0.03</v>
      </c>
      <c r="F31" s="17">
        <f t="shared" si="7"/>
        <v>4718.45</v>
      </c>
      <c r="G31" s="26">
        <f>80000+82000</f>
        <v>162000</v>
      </c>
      <c r="H31" s="22">
        <v>43830</v>
      </c>
      <c r="I31" s="23">
        <v>162000</v>
      </c>
      <c r="J31" s="52" t="s">
        <v>21</v>
      </c>
      <c r="K31" s="54" t="s">
        <v>41</v>
      </c>
      <c r="L31" s="55" t="s">
        <v>56</v>
      </c>
      <c r="M31" s="56" t="s">
        <v>55</v>
      </c>
      <c r="N31" s="56" t="s">
        <v>55</v>
      </c>
      <c r="O31" s="55"/>
    </row>
    <row r="32" s="1" customFormat="1" ht="18" customHeight="1" spans="1:15">
      <c r="A32" s="33">
        <v>43831</v>
      </c>
      <c r="B32" s="17">
        <f t="shared" si="6"/>
        <v>150442.48</v>
      </c>
      <c r="C32" s="34"/>
      <c r="D32" s="35" t="s">
        <v>37</v>
      </c>
      <c r="E32" s="37">
        <v>0.13</v>
      </c>
      <c r="F32" s="17">
        <f t="shared" si="7"/>
        <v>19557.52</v>
      </c>
      <c r="G32" s="26">
        <f>70000+100000</f>
        <v>170000</v>
      </c>
      <c r="H32" s="22">
        <v>43852</v>
      </c>
      <c r="I32" s="59">
        <v>170000</v>
      </c>
      <c r="J32" s="52" t="s">
        <v>21</v>
      </c>
      <c r="K32" s="54" t="s">
        <v>44</v>
      </c>
      <c r="L32" s="55" t="s">
        <v>57</v>
      </c>
      <c r="M32" s="56"/>
      <c r="N32" s="56"/>
      <c r="O32" s="55"/>
    </row>
    <row r="33" s="1" customFormat="1" ht="18" customHeight="1" spans="1:15">
      <c r="A33" s="33">
        <v>43831</v>
      </c>
      <c r="B33" s="17">
        <f t="shared" si="6"/>
        <v>73786.41</v>
      </c>
      <c r="C33" s="34"/>
      <c r="D33" s="35" t="s">
        <v>37</v>
      </c>
      <c r="E33" s="37">
        <v>0.03</v>
      </c>
      <c r="F33" s="17">
        <f t="shared" si="7"/>
        <v>2213.59</v>
      </c>
      <c r="G33" s="26">
        <v>76000</v>
      </c>
      <c r="H33" s="22">
        <v>43852</v>
      </c>
      <c r="I33" s="59">
        <v>71600</v>
      </c>
      <c r="J33" s="52" t="s">
        <v>21</v>
      </c>
      <c r="K33" s="54" t="s">
        <v>41</v>
      </c>
      <c r="L33" s="55" t="s">
        <v>58</v>
      </c>
      <c r="M33" s="56"/>
      <c r="N33" s="56"/>
      <c r="O33" s="55"/>
    </row>
    <row r="34" s="1" customFormat="1" ht="18" customHeight="1" spans="1:15">
      <c r="A34" s="33">
        <v>43831</v>
      </c>
      <c r="B34" s="17">
        <f t="shared" si="6"/>
        <v>39805.83</v>
      </c>
      <c r="C34" s="34"/>
      <c r="D34" s="35" t="s">
        <v>37</v>
      </c>
      <c r="E34" s="37">
        <v>0.03</v>
      </c>
      <c r="F34" s="17">
        <f t="shared" si="7"/>
        <v>1194.17</v>
      </c>
      <c r="G34" s="26">
        <v>41000</v>
      </c>
      <c r="H34" s="22">
        <v>43852</v>
      </c>
      <c r="I34" s="59">
        <v>41000</v>
      </c>
      <c r="J34" s="52" t="s">
        <v>21</v>
      </c>
      <c r="K34" s="54" t="s">
        <v>41</v>
      </c>
      <c r="L34" s="55" t="s">
        <v>59</v>
      </c>
      <c r="M34" s="56"/>
      <c r="N34" s="56"/>
      <c r="O34" s="55"/>
    </row>
    <row r="35" s="1" customFormat="1" ht="18" customHeight="1" spans="1:15">
      <c r="A35" s="33">
        <v>43831</v>
      </c>
      <c r="B35" s="17">
        <f t="shared" si="6"/>
        <v>119417.48</v>
      </c>
      <c r="C35" s="34"/>
      <c r="D35" s="35" t="s">
        <v>37</v>
      </c>
      <c r="E35" s="37">
        <v>0.03</v>
      </c>
      <c r="F35" s="17">
        <f t="shared" si="7"/>
        <v>3582.52</v>
      </c>
      <c r="G35" s="26">
        <f>100000+23000</f>
        <v>123000</v>
      </c>
      <c r="H35" s="22">
        <v>43852</v>
      </c>
      <c r="I35" s="59">
        <v>123000</v>
      </c>
      <c r="J35" s="52" t="s">
        <v>21</v>
      </c>
      <c r="K35" s="54" t="s">
        <v>46</v>
      </c>
      <c r="L35" s="55" t="s">
        <v>47</v>
      </c>
      <c r="M35" s="56"/>
      <c r="N35" s="56"/>
      <c r="O35" s="55"/>
    </row>
    <row r="36" s="1" customFormat="1" ht="18" customHeight="1" spans="1:15">
      <c r="A36" s="33"/>
      <c r="B36" s="17">
        <f t="shared" si="6"/>
        <v>0</v>
      </c>
      <c r="C36" s="34"/>
      <c r="D36" s="35"/>
      <c r="E36" s="37"/>
      <c r="F36" s="17">
        <f t="shared" si="7"/>
        <v>0</v>
      </c>
      <c r="G36" s="26"/>
      <c r="H36" s="22"/>
      <c r="I36" s="23"/>
      <c r="J36" s="52"/>
      <c r="K36" s="54"/>
      <c r="L36" s="55"/>
      <c r="M36" s="56"/>
      <c r="N36" s="56"/>
      <c r="O36" s="55"/>
    </row>
    <row r="37" s="1" customFormat="1" ht="18" customHeight="1" spans="1:15">
      <c r="A37" s="33"/>
      <c r="B37" s="17">
        <f t="shared" si="6"/>
        <v>0</v>
      </c>
      <c r="C37" s="34"/>
      <c r="D37" s="35"/>
      <c r="E37" s="37"/>
      <c r="F37" s="17">
        <f t="shared" si="7"/>
        <v>0</v>
      </c>
      <c r="G37" s="26"/>
      <c r="H37" s="22"/>
      <c r="I37" s="23"/>
      <c r="J37" s="52"/>
      <c r="K37" s="54"/>
      <c r="L37" s="55"/>
      <c r="M37" s="56"/>
      <c r="N37" s="56"/>
      <c r="O37" s="55"/>
    </row>
    <row r="38" s="1" customFormat="1" ht="18" customHeight="1" spans="1:15">
      <c r="A38" s="33"/>
      <c r="B38" s="17">
        <f t="shared" si="6"/>
        <v>0</v>
      </c>
      <c r="C38" s="34"/>
      <c r="D38" s="35"/>
      <c r="E38" s="37"/>
      <c r="F38" s="17">
        <f t="shared" si="7"/>
        <v>0</v>
      </c>
      <c r="G38" s="26"/>
      <c r="H38" s="22">
        <v>43852</v>
      </c>
      <c r="I38" s="23">
        <v>300</v>
      </c>
      <c r="J38" s="52" t="s">
        <v>82</v>
      </c>
      <c r="K38" s="54" t="s">
        <v>87</v>
      </c>
      <c r="L38" s="55"/>
      <c r="M38" s="56"/>
      <c r="N38" s="56"/>
      <c r="O38" s="55"/>
    </row>
    <row r="39" s="1" customFormat="1" ht="18" customHeight="1" spans="1:15">
      <c r="A39" s="33"/>
      <c r="B39" s="17">
        <f t="shared" si="6"/>
        <v>0</v>
      </c>
      <c r="C39" s="34"/>
      <c r="D39" s="35"/>
      <c r="E39" s="37"/>
      <c r="F39" s="17">
        <f t="shared" si="7"/>
        <v>0</v>
      </c>
      <c r="G39" s="26"/>
      <c r="H39" s="22" t="s">
        <v>129</v>
      </c>
      <c r="I39" s="23">
        <v>4100</v>
      </c>
      <c r="J39" s="52" t="s">
        <v>82</v>
      </c>
      <c r="K39" s="54" t="s">
        <v>89</v>
      </c>
      <c r="L39" s="55"/>
      <c r="M39" s="56"/>
      <c r="N39" s="56"/>
      <c r="O39" s="55"/>
    </row>
    <row r="40" s="1" customFormat="1" ht="18" customHeight="1" spans="1:15">
      <c r="A40" s="33"/>
      <c r="B40" s="17">
        <f t="shared" si="6"/>
        <v>0</v>
      </c>
      <c r="C40" s="34"/>
      <c r="D40" s="35"/>
      <c r="E40" s="37"/>
      <c r="F40" s="17">
        <f t="shared" si="7"/>
        <v>0</v>
      </c>
      <c r="G40" s="26"/>
      <c r="H40" s="22">
        <v>43829</v>
      </c>
      <c r="I40" s="23">
        <v>350</v>
      </c>
      <c r="J40" s="52" t="s">
        <v>82</v>
      </c>
      <c r="K40" s="54" t="s">
        <v>87</v>
      </c>
      <c r="L40" s="55"/>
      <c r="M40" s="56"/>
      <c r="N40" s="56"/>
      <c r="O40" s="55"/>
    </row>
    <row r="41" s="1" customFormat="1" ht="18" customHeight="1" spans="1:15">
      <c r="A41" s="33"/>
      <c r="B41" s="17">
        <f t="shared" si="6"/>
        <v>0</v>
      </c>
      <c r="C41" s="34"/>
      <c r="D41" s="35"/>
      <c r="E41" s="37"/>
      <c r="F41" s="17">
        <f t="shared" si="7"/>
        <v>0</v>
      </c>
      <c r="G41" s="26"/>
      <c r="H41" s="22" t="s">
        <v>92</v>
      </c>
      <c r="I41" s="23">
        <v>500</v>
      </c>
      <c r="J41" s="52" t="s">
        <v>82</v>
      </c>
      <c r="K41" s="54" t="s">
        <v>86</v>
      </c>
      <c r="L41" s="55"/>
      <c r="M41" s="56"/>
      <c r="N41" s="56"/>
      <c r="O41" s="55"/>
    </row>
    <row r="42" s="1" customFormat="1" ht="18" customHeight="1" spans="1:15">
      <c r="A42" s="33"/>
      <c r="B42" s="17">
        <f t="shared" ref="B42:B50" si="8">ROUND(G42/(1+E42),2)</f>
        <v>52223</v>
      </c>
      <c r="C42" s="34"/>
      <c r="D42" s="35"/>
      <c r="E42" s="37"/>
      <c r="F42" s="17">
        <f t="shared" si="7"/>
        <v>0</v>
      </c>
      <c r="G42" s="26">
        <v>52223</v>
      </c>
      <c r="H42" s="22" t="s">
        <v>92</v>
      </c>
      <c r="I42" s="23">
        <f>G42</f>
        <v>52223</v>
      </c>
      <c r="J42" s="52" t="s">
        <v>82</v>
      </c>
      <c r="K42" s="54" t="s">
        <v>93</v>
      </c>
      <c r="L42" s="55"/>
      <c r="M42" s="56"/>
      <c r="N42" s="56"/>
      <c r="O42" s="55"/>
    </row>
    <row r="43" s="1" customFormat="1" ht="18" customHeight="1" spans="1:15">
      <c r="A43" s="33"/>
      <c r="B43" s="17">
        <f t="shared" si="8"/>
        <v>0</v>
      </c>
      <c r="C43" s="34"/>
      <c r="D43" s="35"/>
      <c r="E43" s="37"/>
      <c r="F43" s="17">
        <f t="shared" ref="F42:F50" si="9">ROUND(G43/(1+E43)*E43,2)</f>
        <v>0</v>
      </c>
      <c r="G43" s="26"/>
      <c r="H43" s="22" t="s">
        <v>92</v>
      </c>
      <c r="I43" s="23">
        <v>8530</v>
      </c>
      <c r="J43" s="52" t="s">
        <v>82</v>
      </c>
      <c r="K43" s="54" t="s">
        <v>89</v>
      </c>
      <c r="L43" s="55"/>
      <c r="M43" s="56"/>
      <c r="N43" s="56"/>
      <c r="O43" s="55"/>
    </row>
    <row r="44" s="1" customFormat="1" ht="18" customHeight="1" spans="1:15">
      <c r="A44" s="33"/>
      <c r="B44" s="17">
        <f t="shared" si="8"/>
        <v>0</v>
      </c>
      <c r="C44" s="34"/>
      <c r="D44" s="35"/>
      <c r="E44" s="37"/>
      <c r="F44" s="17">
        <f t="shared" si="9"/>
        <v>0</v>
      </c>
      <c r="G44" s="26"/>
      <c r="H44" s="22" t="s">
        <v>92</v>
      </c>
      <c r="I44" s="23">
        <v>-30914</v>
      </c>
      <c r="J44" s="52" t="s">
        <v>95</v>
      </c>
      <c r="K44" s="54" t="s">
        <v>96</v>
      </c>
      <c r="L44" s="55"/>
      <c r="M44" s="56"/>
      <c r="N44" s="56"/>
      <c r="O44" s="55"/>
    </row>
    <row r="45" s="1" customFormat="1" ht="18" customHeight="1" spans="1:15">
      <c r="A45" s="33"/>
      <c r="B45" s="17">
        <f t="shared" si="8"/>
        <v>0</v>
      </c>
      <c r="C45" s="34"/>
      <c r="D45" s="35"/>
      <c r="E45" s="37"/>
      <c r="F45" s="17">
        <f t="shared" si="9"/>
        <v>0</v>
      </c>
      <c r="G45" s="26"/>
      <c r="H45" s="22" t="s">
        <v>97</v>
      </c>
      <c r="I45" s="23">
        <v>14052</v>
      </c>
      <c r="J45" s="52" t="s">
        <v>82</v>
      </c>
      <c r="K45" s="54" t="s">
        <v>89</v>
      </c>
      <c r="L45" s="55"/>
      <c r="M45" s="56"/>
      <c r="N45" s="56"/>
      <c r="O45" s="55"/>
    </row>
    <row r="46" s="1" customFormat="1" ht="18" customHeight="1" spans="1:15">
      <c r="A46" s="33"/>
      <c r="B46" s="17">
        <f t="shared" si="8"/>
        <v>0</v>
      </c>
      <c r="C46" s="34"/>
      <c r="D46" s="35"/>
      <c r="E46" s="37"/>
      <c r="F46" s="17">
        <f t="shared" si="9"/>
        <v>0</v>
      </c>
      <c r="G46" s="26"/>
      <c r="H46" s="22" t="s">
        <v>97</v>
      </c>
      <c r="I46" s="23">
        <v>529</v>
      </c>
      <c r="J46" s="52" t="s">
        <v>82</v>
      </c>
      <c r="K46" s="54" t="s">
        <v>98</v>
      </c>
      <c r="L46" s="55"/>
      <c r="M46" s="56"/>
      <c r="N46" s="56"/>
      <c r="O46" s="55"/>
    </row>
    <row r="47" s="1" customFormat="1" ht="18" customHeight="1" spans="1:15">
      <c r="A47" s="33"/>
      <c r="B47" s="17">
        <f t="shared" si="8"/>
        <v>0</v>
      </c>
      <c r="C47" s="34"/>
      <c r="D47" s="35"/>
      <c r="E47" s="37"/>
      <c r="F47" s="17">
        <f t="shared" si="9"/>
        <v>0</v>
      </c>
      <c r="G47" s="26"/>
      <c r="H47" s="22" t="s">
        <v>97</v>
      </c>
      <c r="I47" s="23">
        <v>30914</v>
      </c>
      <c r="J47" s="52" t="s">
        <v>99</v>
      </c>
      <c r="K47" s="54" t="s">
        <v>100</v>
      </c>
      <c r="L47" s="55"/>
      <c r="M47" s="56"/>
      <c r="N47" s="56"/>
      <c r="O47" s="55"/>
    </row>
    <row r="48" s="1" customFormat="1" ht="18" customHeight="1" spans="1:15">
      <c r="A48" s="33"/>
      <c r="B48" s="17">
        <f t="shared" si="8"/>
        <v>38290</v>
      </c>
      <c r="C48" s="34"/>
      <c r="D48" s="35"/>
      <c r="E48" s="36"/>
      <c r="F48" s="17">
        <f t="shared" si="9"/>
        <v>0</v>
      </c>
      <c r="G48" s="26">
        <v>38290</v>
      </c>
      <c r="H48" s="22" t="s">
        <v>97</v>
      </c>
      <c r="I48" s="23">
        <f>G48</f>
        <v>38290</v>
      </c>
      <c r="J48" s="52" t="s">
        <v>82</v>
      </c>
      <c r="K48" s="54" t="s">
        <v>93</v>
      </c>
      <c r="L48" s="55"/>
      <c r="M48" s="56"/>
      <c r="N48" s="56"/>
      <c r="O48" s="98" t="s">
        <v>130</v>
      </c>
    </row>
    <row r="49" s="1" customFormat="1" ht="18" customHeight="1" spans="1:15">
      <c r="A49" s="33"/>
      <c r="B49" s="17">
        <f t="shared" si="8"/>
        <v>0</v>
      </c>
      <c r="C49" s="34"/>
      <c r="D49" s="35"/>
      <c r="E49" s="36"/>
      <c r="F49" s="17">
        <f t="shared" si="9"/>
        <v>0</v>
      </c>
      <c r="G49" s="26"/>
      <c r="H49" s="22" t="s">
        <v>101</v>
      </c>
      <c r="I49" s="23">
        <v>500</v>
      </c>
      <c r="J49" s="52" t="s">
        <v>82</v>
      </c>
      <c r="K49" s="54" t="s">
        <v>102</v>
      </c>
      <c r="L49" s="55"/>
      <c r="M49" s="56"/>
      <c r="N49" s="56"/>
      <c r="O49" s="55"/>
    </row>
    <row r="50" s="1" customFormat="1" ht="18" customHeight="1" spans="1:15">
      <c r="A50" s="33"/>
      <c r="B50" s="17">
        <f t="shared" si="8"/>
        <v>0</v>
      </c>
      <c r="C50" s="34"/>
      <c r="D50" s="35"/>
      <c r="E50" s="36"/>
      <c r="F50" s="17">
        <f t="shared" si="9"/>
        <v>0</v>
      </c>
      <c r="G50" s="26"/>
      <c r="H50" s="22" t="s">
        <v>101</v>
      </c>
      <c r="I50" s="23">
        <v>4588</v>
      </c>
      <c r="J50" s="52" t="s">
        <v>82</v>
      </c>
      <c r="K50" s="54" t="s">
        <v>89</v>
      </c>
      <c r="L50" s="55"/>
      <c r="M50" s="56"/>
      <c r="N50" s="56"/>
      <c r="O50" s="55"/>
    </row>
    <row r="51" s="1" customFormat="1" ht="18" customHeight="1" spans="1:15">
      <c r="A51" s="33"/>
      <c r="B51" s="17">
        <f t="shared" ref="B51:B54" si="10">ROUND(G51/(1+E51),2)</f>
        <v>0</v>
      </c>
      <c r="C51" s="34"/>
      <c r="D51" s="35"/>
      <c r="E51" s="36"/>
      <c r="F51" s="17">
        <f t="shared" ref="F51:F54" si="11">ROUND(G51/(1+E51)*E51,2)</f>
        <v>0</v>
      </c>
      <c r="G51" s="26"/>
      <c r="H51" s="22" t="s">
        <v>101</v>
      </c>
      <c r="I51" s="23">
        <v>400</v>
      </c>
      <c r="J51" s="52" t="s">
        <v>82</v>
      </c>
      <c r="K51" s="54" t="s">
        <v>98</v>
      </c>
      <c r="L51" s="55"/>
      <c r="M51" s="56"/>
      <c r="N51" s="56"/>
      <c r="O51" s="55"/>
    </row>
    <row r="52" s="1" customFormat="1" ht="18" customHeight="1" spans="1:15">
      <c r="A52" s="33"/>
      <c r="B52" s="17">
        <f t="shared" si="10"/>
        <v>0</v>
      </c>
      <c r="C52" s="34"/>
      <c r="D52" s="35"/>
      <c r="E52" s="36"/>
      <c r="F52" s="17">
        <f t="shared" si="11"/>
        <v>0</v>
      </c>
      <c r="G52" s="26"/>
      <c r="H52" s="22" t="s">
        <v>101</v>
      </c>
      <c r="I52" s="23">
        <v>3000</v>
      </c>
      <c r="J52" s="52" t="s">
        <v>82</v>
      </c>
      <c r="K52" s="54" t="s">
        <v>103</v>
      </c>
      <c r="L52" s="55"/>
      <c r="M52" s="56"/>
      <c r="N52" s="56"/>
      <c r="O52" s="55"/>
    </row>
    <row r="53" s="1" customFormat="1" ht="18" customHeight="1" spans="1:20">
      <c r="A53" s="33"/>
      <c r="B53" s="17">
        <f t="shared" si="10"/>
        <v>12500</v>
      </c>
      <c r="C53" s="34"/>
      <c r="D53" s="35"/>
      <c r="E53" s="36"/>
      <c r="F53" s="17">
        <f t="shared" si="11"/>
        <v>0</v>
      </c>
      <c r="G53" s="26">
        <f>12500</f>
        <v>12500</v>
      </c>
      <c r="H53" s="22" t="s">
        <v>101</v>
      </c>
      <c r="I53" s="23">
        <f>G53</f>
        <v>12500</v>
      </c>
      <c r="J53" s="52" t="s">
        <v>82</v>
      </c>
      <c r="K53" s="54" t="s">
        <v>93</v>
      </c>
      <c r="L53" s="55"/>
      <c r="M53" s="56"/>
      <c r="N53" s="56"/>
      <c r="O53" s="55"/>
      <c r="T53" s="1" t="s">
        <v>104</v>
      </c>
    </row>
    <row r="54" s="1" customFormat="1" ht="18" customHeight="1" spans="1:15">
      <c r="A54" s="33"/>
      <c r="B54" s="17">
        <f t="shared" si="10"/>
        <v>0</v>
      </c>
      <c r="C54" s="34"/>
      <c r="D54" s="35"/>
      <c r="E54" s="36"/>
      <c r="F54" s="17">
        <f t="shared" si="11"/>
        <v>0</v>
      </c>
      <c r="G54" s="26"/>
      <c r="H54" s="22"/>
      <c r="I54" s="23"/>
      <c r="J54" s="52"/>
      <c r="K54" s="54"/>
      <c r="L54" s="55"/>
      <c r="M54" s="56"/>
      <c r="N54" s="56"/>
      <c r="O54" s="55"/>
    </row>
    <row r="55" ht="18" customHeight="1" spans="1:15">
      <c r="A55" s="30" t="s">
        <v>23</v>
      </c>
      <c r="B55" s="38">
        <f t="shared" ref="B55:G55" si="12">SUM(B15:B54)</f>
        <v>3186523.61</v>
      </c>
      <c r="C55" s="30"/>
      <c r="D55" s="39"/>
      <c r="E55" s="39"/>
      <c r="F55" s="40">
        <f t="shared" si="12"/>
        <v>211089.39</v>
      </c>
      <c r="G55" s="41">
        <f t="shared" si="12"/>
        <v>3397613</v>
      </c>
      <c r="H55" s="42"/>
      <c r="I55" s="29">
        <f>SUM(I15:I54)</f>
        <v>3294600</v>
      </c>
      <c r="J55" s="60"/>
      <c r="K55" s="39"/>
      <c r="L55" s="31"/>
      <c r="M55" s="52"/>
      <c r="N55" s="52"/>
      <c r="O55" s="31"/>
    </row>
    <row r="56" ht="18" customHeight="1" spans="1:14">
      <c r="A56" s="43" t="s">
        <v>105</v>
      </c>
      <c r="B56" s="44">
        <f>B12*0.99</f>
        <v>2992343.11926606</v>
      </c>
      <c r="C56" s="43"/>
      <c r="D56" s="45"/>
      <c r="E56" s="45"/>
      <c r="F56" s="44"/>
      <c r="G56" s="44">
        <f>G12-G55</f>
        <v>-103013</v>
      </c>
      <c r="H56" s="21" t="s">
        <v>106</v>
      </c>
      <c r="I56" s="29">
        <f>I12-I55</f>
        <v>0</v>
      </c>
      <c r="J56" s="6"/>
      <c r="K56" s="61"/>
      <c r="M56" s="62"/>
      <c r="N56" s="62"/>
    </row>
    <row r="57" ht="18" customHeight="1" spans="1:16">
      <c r="A57" s="43" t="s">
        <v>107</v>
      </c>
      <c r="B57" s="44">
        <f>B56-B55</f>
        <v>-194180.490733943</v>
      </c>
      <c r="C57" s="43"/>
      <c r="D57" s="45"/>
      <c r="E57" s="45"/>
      <c r="F57" s="44"/>
      <c r="G57" s="44"/>
      <c r="H57" s="46"/>
      <c r="I57" s="44"/>
      <c r="J57" s="6"/>
      <c r="K57" s="61"/>
      <c r="M57" s="62"/>
      <c r="N57" s="62"/>
      <c r="P57" s="6" t="s">
        <v>104</v>
      </c>
    </row>
    <row r="58" ht="18" customHeight="1" spans="1:3">
      <c r="A58" s="2" t="s">
        <v>108</v>
      </c>
      <c r="C58" s="2"/>
    </row>
    <row r="59" ht="18" customHeight="1" spans="1:11">
      <c r="A59" s="21" t="s">
        <v>109</v>
      </c>
      <c r="B59" s="20" t="s">
        <v>110</v>
      </c>
      <c r="C59" s="31"/>
      <c r="D59" s="21" t="s">
        <v>109</v>
      </c>
      <c r="E59" s="19" t="s">
        <v>16</v>
      </c>
      <c r="F59" s="20" t="s">
        <v>110</v>
      </c>
      <c r="G59" s="20" t="s">
        <v>111</v>
      </c>
      <c r="H59" s="20" t="s">
        <v>112</v>
      </c>
      <c r="I59" s="3" t="s">
        <v>113</v>
      </c>
      <c r="K59" s="20" t="s">
        <v>114</v>
      </c>
    </row>
    <row r="60" ht="18" customHeight="1" spans="1:11">
      <c r="A60" s="31" t="s">
        <v>117</v>
      </c>
      <c r="B60" s="17">
        <f>(B56-B55)*0.25</f>
        <v>-48545.1226834859</v>
      </c>
      <c r="C60" s="31"/>
      <c r="D60" s="28" t="s">
        <v>118</v>
      </c>
      <c r="E60" s="21" t="s">
        <v>119</v>
      </c>
      <c r="F60" s="40">
        <f>F12-F55</f>
        <v>490.426513761515</v>
      </c>
      <c r="G60" s="40">
        <f>F7-F16-F17-F18-F19-F20</f>
        <v>363.381743119302</v>
      </c>
      <c r="H60" s="40">
        <f>F8-F21-F22-F23-F24-F25</f>
        <v>480.733027522911</v>
      </c>
      <c r="I60" s="3">
        <v>0</v>
      </c>
      <c r="K60" s="40">
        <f>F9+F10-SUM(F28:F35)</f>
        <v>-353.688256880705</v>
      </c>
    </row>
    <row r="61" ht="18" customHeight="1" spans="1:12">
      <c r="A61" s="31" t="s">
        <v>120</v>
      </c>
      <c r="B61" s="47" t="s">
        <v>121</v>
      </c>
      <c r="C61" s="31"/>
      <c r="D61" s="48" t="s">
        <v>122</v>
      </c>
      <c r="E61" s="13">
        <v>0.05</v>
      </c>
      <c r="F61" s="23">
        <f>F60*E61</f>
        <v>24.5213256880757</v>
      </c>
      <c r="G61" s="23">
        <f>G60*E61</f>
        <v>18.1690871559651</v>
      </c>
      <c r="H61" s="23">
        <f>H60*E61</f>
        <v>24.0366513761455</v>
      </c>
      <c r="I61" s="3">
        <v>0</v>
      </c>
      <c r="K61" s="23"/>
      <c r="L61" s="6" t="s">
        <v>104</v>
      </c>
    </row>
    <row r="62" ht="18" customHeight="1" spans="1:11">
      <c r="A62" s="31" t="s">
        <v>123</v>
      </c>
      <c r="B62" s="47" t="s">
        <v>121</v>
      </c>
      <c r="C62" s="31"/>
      <c r="D62" s="48" t="s">
        <v>124</v>
      </c>
      <c r="E62" s="13">
        <v>0.03</v>
      </c>
      <c r="F62" s="23">
        <f>F60*E62</f>
        <v>14.7127954128454</v>
      </c>
      <c r="G62" s="23">
        <f>G60*E62</f>
        <v>10.9014522935791</v>
      </c>
      <c r="H62" s="23">
        <f>H60*E62</f>
        <v>14.4219908256873</v>
      </c>
      <c r="I62" s="3">
        <v>0</v>
      </c>
      <c r="K62" s="23"/>
    </row>
    <row r="63" ht="18" customHeight="1" spans="1:11">
      <c r="A63" s="31"/>
      <c r="B63" s="23"/>
      <c r="C63" s="31"/>
      <c r="D63" s="48" t="s">
        <v>125</v>
      </c>
      <c r="E63" s="13">
        <v>0.02</v>
      </c>
      <c r="F63" s="23">
        <f>F60*E63</f>
        <v>9.8085302752303</v>
      </c>
      <c r="G63" s="23">
        <f>G60*E63</f>
        <v>7.26763486238604</v>
      </c>
      <c r="H63" s="23">
        <f>H60*E63</f>
        <v>9.61466055045821</v>
      </c>
      <c r="I63" s="3">
        <v>0</v>
      </c>
      <c r="K63" s="23"/>
    </row>
    <row r="64" ht="18" customHeight="1" spans="1:11">
      <c r="A64" s="28" t="s">
        <v>126</v>
      </c>
      <c r="B64" s="38">
        <f t="shared" ref="B64:H64" si="13">SUM(B60:B63)</f>
        <v>-48545.1226834859</v>
      </c>
      <c r="C64" s="31"/>
      <c r="D64" s="32" t="s">
        <v>126</v>
      </c>
      <c r="E64" s="28"/>
      <c r="F64" s="40">
        <f t="shared" si="13"/>
        <v>539.469165137666</v>
      </c>
      <c r="G64" s="40">
        <f t="shared" si="13"/>
        <v>399.719917431232</v>
      </c>
      <c r="H64" s="40">
        <f t="shared" si="13"/>
        <v>528.806330275202</v>
      </c>
      <c r="I64" s="3">
        <v>0</v>
      </c>
      <c r="K64" s="40" t="s">
        <v>104</v>
      </c>
    </row>
    <row r="65" ht="18" customHeight="1" spans="3:11">
      <c r="C65" s="2"/>
      <c r="D65" s="19" t="s">
        <v>126</v>
      </c>
      <c r="E65" s="39"/>
      <c r="F65" s="29"/>
      <c r="G65" s="29"/>
      <c r="H65" s="29"/>
      <c r="K65" s="29"/>
    </row>
    <row r="66" ht="18" customHeight="1" spans="3:11">
      <c r="C66" s="2"/>
      <c r="D66" s="19" t="s">
        <v>23</v>
      </c>
      <c r="E66" s="30"/>
      <c r="F66" s="29"/>
      <c r="G66" s="29"/>
      <c r="H66" s="29"/>
      <c r="K66" s="29"/>
    </row>
    <row r="67" ht="18" customHeight="1" spans="3:11">
      <c r="C67" s="2"/>
      <c r="D67" s="30" t="s">
        <v>117</v>
      </c>
      <c r="E67" s="39">
        <v>0.01</v>
      </c>
      <c r="F67" s="29">
        <f>B12*E67</f>
        <v>30225.6880733945</v>
      </c>
      <c r="G67" s="29">
        <f>B7*E67</f>
        <v>4587.15596330275</v>
      </c>
      <c r="H67" s="29">
        <f>B8*E67</f>
        <v>14051.376146789</v>
      </c>
      <c r="I67" s="3">
        <f>G9*E67</f>
        <v>8530</v>
      </c>
      <c r="K67" s="29">
        <f>G10*E67</f>
        <v>4100</v>
      </c>
    </row>
    <row r="68" ht="18" customHeight="1" spans="3:8">
      <c r="C68" s="2"/>
      <c r="G68" s="63"/>
      <c r="H68" s="40">
        <f>D8</f>
        <v>28102.752293578</v>
      </c>
    </row>
    <row r="69" ht="18" customHeight="1" spans="3:8">
      <c r="C69" s="2"/>
      <c r="H69" s="23">
        <f>H68*E61</f>
        <v>1405.1376146789</v>
      </c>
    </row>
    <row r="70" ht="18" customHeight="1" spans="3:8">
      <c r="C70" s="2"/>
      <c r="H70" s="23">
        <f>H68*E62</f>
        <v>843.08256880734</v>
      </c>
    </row>
    <row r="71" spans="3:8">
      <c r="C71" s="2"/>
      <c r="H71" s="23">
        <f>H68*E63</f>
        <v>562.05504587156</v>
      </c>
    </row>
    <row r="72" spans="3:8">
      <c r="C72" s="2"/>
      <c r="H72" s="40">
        <f>SUM(H68:H71)</f>
        <v>30913.0275229358</v>
      </c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  <row r="78" spans="3:3">
      <c r="C78" s="2"/>
    </row>
    <row r="79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  <row r="84" spans="3:3">
      <c r="C84" s="2"/>
    </row>
    <row r="85" spans="3:3">
      <c r="C85" s="2"/>
    </row>
    <row r="86" spans="3:3">
      <c r="C86" s="2"/>
    </row>
  </sheetData>
  <protectedRanges>
    <protectedRange sqref="I17" name="区域1"/>
    <protectedRange sqref="I26" name="区域1_1"/>
  </protectedRanges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" rangeCreator="" othersAccessPermission="edit"/>
    <arrUserId title="区域1_1" rangeCreator="" othersAccessPermission="edit"/>
  </rangeList>
  <rangeList sheetStid="1" master="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2022-09-27T07:57:28Z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09E79DE6F3EE4278AD91E836AF3FE24B</vt:lpwstr>
  </property>
</Properties>
</file>