
<file path=[Content_Types].xml><?xml version="1.0" encoding="utf-8"?>
<Types xmlns="http://schemas.openxmlformats.org/package/2006/content-types">
  <Default Extension="wmf" ContentType="image/x-wmf"/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新" sheetId="2" r:id="rId1"/>
    <sheet name="旧" sheetId="1" r:id="rId2"/>
  </sheets>
  <definedNames>
    <definedName name="_xlnm._FilterDatabase" localSheetId="0" hidden="1">新!$A$35:$T$105</definedName>
    <definedName name="_xlnm._FilterDatabase" localSheetId="1" hidden="1">旧!$A$27:$S$86</definedName>
  </definedNames>
  <calcPr calcId="144525" concurrentCalc="0"/>
</workbook>
</file>

<file path=xl/comments1.xml><?xml version="1.0" encoding="utf-8"?>
<comments xmlns="http://schemas.openxmlformats.org/spreadsheetml/2006/main">
  <authors>
    <author>cw09</author>
    <author>cw01</author>
    <author>cw05</author>
  </authors>
  <commentList>
    <comment ref="L2" authorId="0">
      <text>
        <r>
          <rPr>
            <sz val="9"/>
            <rFont val="宋体"/>
            <charset val="134"/>
          </rPr>
          <t>cw09:
已扣  2020.1.2</t>
        </r>
      </text>
    </comment>
    <comment ref="D8" authorId="1">
      <text>
        <r>
          <rPr>
            <sz val="9"/>
            <rFont val="宋体"/>
            <charset val="134"/>
          </rPr>
          <t>cw01:
异地多缴城建税1034.86元</t>
        </r>
      </text>
    </comment>
    <comment ref="D92" authorId="0">
      <text>
        <r>
          <rPr>
            <sz val="9"/>
            <rFont val="宋体"/>
            <charset val="134"/>
          </rPr>
          <t>cw09:
合作人给业主多开了发票1W</t>
        </r>
      </text>
    </comment>
    <comment ref="A96" authorId="2">
      <text>
        <r>
          <rPr>
            <sz val="9"/>
            <rFont val="宋体"/>
            <charset val="134"/>
          </rPr>
          <t>cw05:
当地未缴，本地代扣代缴，含税价*0.0003。</t>
        </r>
      </text>
    </comment>
    <comment ref="A97" authorId="2">
      <text>
        <r>
          <rPr>
            <sz val="9"/>
            <rFont val="宋体"/>
            <charset val="134"/>
          </rPr>
          <t>cw05:
当地未缴，本地代扣代缴，不含税销售额*0.0006</t>
        </r>
      </text>
    </comment>
  </commentList>
</comments>
</file>

<file path=xl/comments2.xml><?xml version="1.0" encoding="utf-8"?>
<comments xmlns="http://schemas.openxmlformats.org/spreadsheetml/2006/main">
  <authors>
    <author>cw09</author>
    <author>cw01</author>
    <author>cw05</author>
  </authors>
  <commentList>
    <comment ref="K2" authorId="0">
      <text>
        <r>
          <rPr>
            <sz val="9"/>
            <rFont val="宋体"/>
            <charset val="134"/>
          </rPr>
          <t>cw09:
已扣  2020.1.2</t>
        </r>
      </text>
    </comment>
    <comment ref="D8" authorId="1">
      <text>
        <r>
          <rPr>
            <sz val="9"/>
            <rFont val="宋体"/>
            <charset val="134"/>
          </rPr>
          <t>cw01:
异地多缴城建税1034.86元</t>
        </r>
      </text>
    </comment>
    <comment ref="D74" authorId="0">
      <text>
        <r>
          <rPr>
            <sz val="9"/>
            <rFont val="宋体"/>
            <charset val="134"/>
          </rPr>
          <t>cw09:
合作人给业主多开了发票1W</t>
        </r>
      </text>
    </comment>
    <comment ref="A78" authorId="2">
      <text>
        <r>
          <rPr>
            <sz val="9"/>
            <rFont val="宋体"/>
            <charset val="134"/>
          </rPr>
          <t>cw05:
当地未缴，本地代扣代缴，含税价*0.0003。</t>
        </r>
      </text>
    </comment>
    <comment ref="A79" authorId="2">
      <text>
        <r>
          <rPr>
            <sz val="9"/>
            <rFont val="宋体"/>
            <charset val="134"/>
          </rPr>
          <t>cw05:
当地未缴，本地代扣代缴，不含税销售额*0.0006</t>
        </r>
      </text>
    </comment>
  </commentList>
</comments>
</file>

<file path=xl/sharedStrings.xml><?xml version="1.0" encoding="utf-8"?>
<sst xmlns="http://schemas.openxmlformats.org/spreadsheetml/2006/main" count="532" uniqueCount="137">
  <si>
    <t>C10959  2019年界首市农村公路扩面（组组道）工程施工07标段</t>
  </si>
  <si>
    <t>中标日期</t>
  </si>
  <si>
    <t>中标价</t>
  </si>
  <si>
    <t>负责人</t>
  </si>
  <si>
    <t>赵勇</t>
  </si>
  <si>
    <t>建设单位</t>
  </si>
  <si>
    <t>界首市地方公路管理站</t>
  </si>
  <si>
    <t>多开1万给业主；扣25%所得</t>
  </si>
  <si>
    <t>企税1.6%</t>
  </si>
  <si>
    <t>施总</t>
  </si>
  <si>
    <t>决算日期</t>
  </si>
  <si>
    <t>决算价</t>
  </si>
  <si>
    <t>销售开票：</t>
  </si>
  <si>
    <t>石灰150万左右</t>
  </si>
  <si>
    <t>开票日期</t>
  </si>
  <si>
    <t>收入金额</t>
  </si>
  <si>
    <t>工程地缴税</t>
  </si>
  <si>
    <t>企业本地缴税</t>
  </si>
  <si>
    <t>价税合计</t>
  </si>
  <si>
    <t>到款情况</t>
  </si>
  <si>
    <t>税率</t>
  </si>
  <si>
    <t>增值税额</t>
  </si>
  <si>
    <t>日期</t>
  </si>
  <si>
    <t>金额</t>
  </si>
  <si>
    <t>银行</t>
  </si>
  <si>
    <t>专户到账</t>
  </si>
  <si>
    <t>中行</t>
  </si>
  <si>
    <t>专户</t>
  </si>
  <si>
    <t>民工工资保证金</t>
  </si>
  <si>
    <t>后期退专户</t>
  </si>
  <si>
    <t>履约保证金</t>
  </si>
  <si>
    <t>基本户</t>
  </si>
  <si>
    <t>手续费</t>
  </si>
  <si>
    <t>利息</t>
  </si>
  <si>
    <t>20-5-</t>
  </si>
  <si>
    <t>专户差额</t>
  </si>
  <si>
    <t>新中行</t>
  </si>
  <si>
    <t>付质保金</t>
  </si>
  <si>
    <t>企业网银手续费</t>
  </si>
  <si>
    <t xml:space="preserve">                                            </t>
  </si>
  <si>
    <t xml:space="preserve">利息                       </t>
  </si>
  <si>
    <t xml:space="preserve">                                  </t>
  </si>
  <si>
    <t>合计</t>
  </si>
  <si>
    <t>材料发票：</t>
  </si>
  <si>
    <t>认证日期</t>
  </si>
  <si>
    <t>成本金额</t>
  </si>
  <si>
    <t>份数</t>
  </si>
  <si>
    <t>类型</t>
  </si>
  <si>
    <t>进项税额</t>
  </si>
  <si>
    <t>付款日期</t>
  </si>
  <si>
    <t>付款金额</t>
  </si>
  <si>
    <t>周转金</t>
  </si>
  <si>
    <t>销货单位</t>
  </si>
  <si>
    <t>货物</t>
  </si>
  <si>
    <t>合同</t>
  </si>
  <si>
    <t>发货单</t>
  </si>
  <si>
    <t>备注</t>
  </si>
  <si>
    <t>专</t>
  </si>
  <si>
    <t>蒙城县元春木业有限公司</t>
  </si>
  <si>
    <t>壳子板120立方</t>
  </si>
  <si>
    <t>有</t>
  </si>
  <si>
    <t>界首市富恒建材销售有限公司</t>
  </si>
  <si>
    <t>石子6250吨</t>
  </si>
  <si>
    <t>界首市顺亚建材销售有限公司</t>
  </si>
  <si>
    <t>沙子4000吨</t>
  </si>
  <si>
    <t>界首市光武镇路峰机械租赁部</t>
  </si>
  <si>
    <t>机械租赁费</t>
  </si>
  <si>
    <t>阜阳市益德水泥有限公司</t>
  </si>
  <si>
    <t>水泥</t>
  </si>
  <si>
    <t>水泥2222.2吨</t>
  </si>
  <si>
    <t>徽行</t>
  </si>
  <si>
    <t>丁军召</t>
  </si>
  <si>
    <t>代付材料款</t>
  </si>
  <si>
    <t>江西刘周贸易有限公司</t>
  </si>
  <si>
    <t>石子4812.5吨</t>
  </si>
  <si>
    <t>沙子593.91吨</t>
  </si>
  <si>
    <t>退代付材料款</t>
  </si>
  <si>
    <t>界首市顺枫建筑工程有限公司</t>
  </si>
  <si>
    <t>建筑生石灰1600吨</t>
  </si>
  <si>
    <t>界首市聚源建筑工程有限公司</t>
  </si>
  <si>
    <t>工程劳务费</t>
  </si>
  <si>
    <t>谢玉峰</t>
  </si>
  <si>
    <t>亚太财产保险有限公司安徽分公司</t>
  </si>
  <si>
    <t>保险</t>
  </si>
  <si>
    <t>劳务费</t>
  </si>
  <si>
    <t>机械租赁</t>
  </si>
  <si>
    <t>沙子</t>
  </si>
  <si>
    <t>生石灰款</t>
  </si>
  <si>
    <t>11次</t>
  </si>
  <si>
    <t>扣</t>
  </si>
  <si>
    <t>退</t>
  </si>
  <si>
    <t>谢玉峰 结算承诺书</t>
  </si>
  <si>
    <t>10次</t>
  </si>
  <si>
    <t>差额</t>
  </si>
  <si>
    <t>专户利息手续费</t>
  </si>
  <si>
    <t>项目成本够</t>
  </si>
  <si>
    <t>补扣1.6%企税</t>
  </si>
  <si>
    <t>9次</t>
  </si>
  <si>
    <t>外经证500+印章7000</t>
  </si>
  <si>
    <t>转账费</t>
  </si>
  <si>
    <t>管理费</t>
  </si>
  <si>
    <t>7次</t>
  </si>
  <si>
    <t>项目成本不够</t>
  </si>
  <si>
    <r>
      <rPr>
        <sz val="9"/>
        <rFont val="宋体"/>
        <charset val="134"/>
        <scheme val="minor"/>
      </rPr>
      <t>企税（多给业主开1w的票）</t>
    </r>
    <r>
      <rPr>
        <sz val="9"/>
        <rFont val="宋体"/>
        <charset val="134"/>
        <scheme val="minor"/>
      </rPr>
      <t>1.6%</t>
    </r>
  </si>
  <si>
    <t>增值税及附加</t>
  </si>
  <si>
    <t>第四次</t>
  </si>
  <si>
    <t>建造师费用</t>
  </si>
  <si>
    <t>第二次暂扣企税</t>
  </si>
  <si>
    <t>第三次</t>
  </si>
  <si>
    <t>朱敏那边暂扣材料款</t>
  </si>
  <si>
    <t>第二次</t>
  </si>
  <si>
    <t>暂扣</t>
  </si>
  <si>
    <t xml:space="preserve">企税 </t>
  </si>
  <si>
    <t>代办费500+建造师</t>
  </si>
  <si>
    <t xml:space="preserve"> </t>
  </si>
  <si>
    <t>应提供成本</t>
  </si>
  <si>
    <t>可支付金额</t>
  </si>
  <si>
    <t>尚需提供成本</t>
  </si>
  <si>
    <t>公司代缴税金：</t>
  </si>
  <si>
    <t>税种</t>
  </si>
  <si>
    <t>税额</t>
  </si>
  <si>
    <t>19年5月开票扣税</t>
  </si>
  <si>
    <t>19.6月开票扣税</t>
  </si>
  <si>
    <t>19.8月开票扣税</t>
  </si>
  <si>
    <t>19.12月开票扣税</t>
  </si>
  <si>
    <t>企业所得税</t>
  </si>
  <si>
    <t>增值税</t>
  </si>
  <si>
    <t>印花税</t>
  </si>
  <si>
    <t>已交</t>
  </si>
  <si>
    <t>城市维护建设税</t>
  </si>
  <si>
    <t>水利基金</t>
  </si>
  <si>
    <t>教育费附加</t>
  </si>
  <si>
    <t>地方教育费附加</t>
  </si>
  <si>
    <t>小计</t>
  </si>
  <si>
    <t>2019年界首市农村公路扩面（组组道）工程施工07标段</t>
  </si>
  <si>
    <t>企税（多给业主开1w的票）</t>
  </si>
  <si>
    <t>代办费</t>
  </si>
</sst>
</file>

<file path=xl/styles.xml><?xml version="1.0" encoding="utf-8"?>
<styleSheet xmlns="http://schemas.openxmlformats.org/spreadsheetml/2006/main">
  <numFmts count="10">
    <numFmt numFmtId="176" formatCode="#,##0_ "/>
    <numFmt numFmtId="177" formatCode="yyyy&quot;年&quot;m&quot;月&quot;;@"/>
    <numFmt numFmtId="178" formatCode="#,##0.00_ "/>
    <numFmt numFmtId="42" formatCode="_ &quot;￥&quot;* #,##0_ ;_ &quot;￥&quot;* \-#,##0_ ;_ &quot;￥&quot;* &quot;-&quot;_ ;_ @_ "/>
    <numFmt numFmtId="179" formatCode="yy/m/d;@"/>
    <numFmt numFmtId="44" formatCode="_ &quot;￥&quot;* #,##0.00_ ;_ &quot;￥&quot;* \-#,##0.00_ ;_ &quot;￥&quot;* &quot;-&quot;??_ ;_ @_ "/>
    <numFmt numFmtId="41" formatCode="_ * #,##0_ ;_ * \-#,##0_ ;_ * &quot;-&quot;_ ;_ @_ "/>
    <numFmt numFmtId="180" formatCode="0.00_ "/>
    <numFmt numFmtId="43" formatCode="_ * #,##0.00_ ;_ * \-#,##0.00_ ;_ * &quot;-&quot;??_ ;_ @_ "/>
    <numFmt numFmtId="181" formatCode="0.00000_ "/>
  </numFmts>
  <fonts count="29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9"/>
      <color rgb="FFFF0000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6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6" fillId="25" borderId="12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15" fillId="17" borderId="11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</cellStyleXfs>
  <cellXfs count="104">
    <xf numFmtId="0" fontId="0" fillId="0" borderId="0" xfId="0"/>
    <xf numFmtId="0" fontId="1" fillId="0" borderId="0" xfId="0" applyFont="1" applyBorder="1" applyAlignment="1">
      <alignment vertical="center"/>
    </xf>
    <xf numFmtId="179" fontId="2" fillId="0" borderId="0" xfId="0" applyNumberFormat="1" applyFont="1" applyBorder="1" applyAlignment="1">
      <alignment vertical="center"/>
    </xf>
    <xf numFmtId="180" fontId="2" fillId="0" borderId="0" xfId="0" applyNumberFormat="1" applyFont="1" applyBorder="1" applyAlignment="1">
      <alignment vertical="center"/>
    </xf>
    <xf numFmtId="178" fontId="2" fillId="0" borderId="0" xfId="0" applyNumberFormat="1" applyFont="1" applyBorder="1" applyAlignment="1">
      <alignment vertical="center"/>
    </xf>
    <xf numFmtId="10" fontId="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vertical="center"/>
    </xf>
    <xf numFmtId="179" fontId="3" fillId="0" borderId="1" xfId="0" applyNumberFormat="1" applyFont="1" applyBorder="1" applyAlignment="1">
      <alignment horizontal="center" vertical="center"/>
    </xf>
    <xf numFmtId="180" fontId="3" fillId="0" borderId="1" xfId="0" applyNumberFormat="1" applyFont="1" applyBorder="1" applyAlignment="1">
      <alignment horizontal="center" vertical="center"/>
    </xf>
    <xf numFmtId="179" fontId="2" fillId="0" borderId="2" xfId="0" applyNumberFormat="1" applyFont="1" applyBorder="1" applyAlignment="1">
      <alignment vertical="center"/>
    </xf>
    <xf numFmtId="14" fontId="1" fillId="0" borderId="2" xfId="0" applyNumberFormat="1" applyFont="1" applyBorder="1" applyAlignment="1">
      <alignment vertical="center"/>
    </xf>
    <xf numFmtId="178" fontId="2" fillId="0" borderId="2" xfId="0" applyNumberFormat="1" applyFont="1" applyBorder="1" applyAlignment="1">
      <alignment vertical="center"/>
    </xf>
    <xf numFmtId="180" fontId="4" fillId="0" borderId="2" xfId="0" applyNumberFormat="1" applyFont="1" applyBorder="1" applyAlignment="1">
      <alignment horizontal="center" vertical="center"/>
    </xf>
    <xf numFmtId="178" fontId="2" fillId="0" borderId="2" xfId="0" applyNumberFormat="1" applyFont="1" applyBorder="1" applyAlignment="1">
      <alignment horizontal="center" vertical="center"/>
    </xf>
    <xf numFmtId="180" fontId="2" fillId="0" borderId="2" xfId="0" applyNumberFormat="1" applyFont="1" applyBorder="1" applyAlignment="1">
      <alignment horizontal="center" vertical="center"/>
    </xf>
    <xf numFmtId="179" fontId="2" fillId="0" borderId="3" xfId="0" applyNumberFormat="1" applyFont="1" applyBorder="1" applyAlignment="1">
      <alignment horizontal="left" vertical="center"/>
    </xf>
    <xf numFmtId="180" fontId="1" fillId="0" borderId="2" xfId="0" applyNumberFormat="1" applyFont="1" applyBorder="1" applyAlignment="1">
      <alignment vertical="center"/>
    </xf>
    <xf numFmtId="179" fontId="3" fillId="0" borderId="0" xfId="0" applyNumberFormat="1" applyFont="1" applyBorder="1" applyAlignment="1">
      <alignment horizontal="center" vertical="center"/>
    </xf>
    <xf numFmtId="178" fontId="5" fillId="0" borderId="2" xfId="0" applyNumberFormat="1" applyFont="1" applyBorder="1" applyAlignment="1">
      <alignment horizontal="center" vertical="center"/>
    </xf>
    <xf numFmtId="180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9" fontId="2" fillId="0" borderId="2" xfId="0" applyNumberFormat="1" applyFont="1" applyBorder="1" applyAlignment="1">
      <alignment horizontal="center" vertical="center"/>
    </xf>
    <xf numFmtId="180" fontId="2" fillId="0" borderId="2" xfId="0" applyNumberFormat="1" applyFont="1" applyBorder="1" applyAlignment="1">
      <alignment vertical="center"/>
    </xf>
    <xf numFmtId="9" fontId="2" fillId="0" borderId="2" xfId="11" applyFont="1" applyBorder="1" applyAlignment="1">
      <alignment horizontal="center" vertical="center"/>
    </xf>
    <xf numFmtId="180" fontId="2" fillId="0" borderId="2" xfId="0" applyNumberFormat="1" applyFont="1" applyFill="1" applyBorder="1" applyAlignment="1">
      <alignment vertical="center"/>
    </xf>
    <xf numFmtId="180" fontId="1" fillId="2" borderId="2" xfId="0" applyNumberFormat="1" applyFont="1" applyFill="1" applyBorder="1" applyAlignment="1">
      <alignment vertical="center"/>
    </xf>
    <xf numFmtId="9" fontId="2" fillId="0" borderId="2" xfId="11" applyNumberFormat="1" applyFont="1" applyBorder="1" applyAlignment="1">
      <alignment horizontal="center" vertical="center"/>
    </xf>
    <xf numFmtId="179" fontId="5" fillId="0" borderId="2" xfId="0" applyNumberFormat="1" applyFont="1" applyBorder="1" applyAlignment="1">
      <alignment vertical="center"/>
    </xf>
    <xf numFmtId="180" fontId="5" fillId="0" borderId="2" xfId="0" applyNumberFormat="1" applyFont="1" applyBorder="1" applyAlignment="1">
      <alignment vertical="center"/>
    </xf>
    <xf numFmtId="178" fontId="5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179" fontId="5" fillId="0" borderId="2" xfId="0" applyNumberFormat="1" applyFont="1" applyBorder="1" applyAlignment="1">
      <alignment horizontal="center" vertical="center"/>
    </xf>
    <xf numFmtId="177" fontId="2" fillId="0" borderId="2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9" fontId="2" fillId="3" borderId="2" xfId="11" applyFont="1" applyFill="1" applyBorder="1" applyAlignment="1">
      <alignment horizontal="center" vertical="center"/>
    </xf>
    <xf numFmtId="180" fontId="2" fillId="2" borderId="2" xfId="0" applyNumberFormat="1" applyFont="1" applyFill="1" applyBorder="1" applyAlignment="1">
      <alignment vertical="center"/>
    </xf>
    <xf numFmtId="176" fontId="1" fillId="0" borderId="2" xfId="0" applyNumberFormat="1" applyFont="1" applyBorder="1" applyAlignment="1">
      <alignment horizontal="center" vertical="center"/>
    </xf>
    <xf numFmtId="9" fontId="1" fillId="3" borderId="2" xfId="11" applyFont="1" applyFill="1" applyBorder="1" applyAlignment="1">
      <alignment horizontal="center" vertical="center"/>
    </xf>
    <xf numFmtId="177" fontId="1" fillId="0" borderId="2" xfId="0" applyNumberFormat="1" applyFont="1" applyBorder="1" applyAlignment="1">
      <alignment horizontal="center" vertical="center"/>
    </xf>
    <xf numFmtId="9" fontId="1" fillId="3" borderId="2" xfId="11" applyNumberFormat="1" applyFont="1" applyFill="1" applyBorder="1" applyAlignment="1">
      <alignment horizontal="center" vertical="center"/>
    </xf>
    <xf numFmtId="180" fontId="2" fillId="0" borderId="4" xfId="0" applyNumberFormat="1" applyFont="1" applyBorder="1" applyAlignment="1">
      <alignment horizontal="left" vertical="center"/>
    </xf>
    <xf numFmtId="179" fontId="2" fillId="0" borderId="5" xfId="0" applyNumberFormat="1" applyFont="1" applyBorder="1" applyAlignment="1">
      <alignment horizontal="left" vertical="center"/>
    </xf>
    <xf numFmtId="179" fontId="6" fillId="0" borderId="0" xfId="0" applyNumberFormat="1" applyFont="1" applyBorder="1" applyAlignment="1">
      <alignment horizontal="center" vertical="center"/>
    </xf>
    <xf numFmtId="180" fontId="3" fillId="0" borderId="0" xfId="0" applyNumberFormat="1" applyFont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179" fontId="2" fillId="4" borderId="2" xfId="0" applyNumberFormat="1" applyFont="1" applyFill="1" applyBorder="1" applyAlignment="1">
      <alignment horizontal="center" vertical="center"/>
    </xf>
    <xf numFmtId="180" fontId="2" fillId="4" borderId="2" xfId="0" applyNumberFormat="1" applyFont="1" applyFill="1" applyBorder="1" applyAlignment="1">
      <alignment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vertical="center"/>
    </xf>
    <xf numFmtId="179" fontId="2" fillId="4" borderId="0" xfId="0" applyNumberFormat="1" applyFont="1" applyFill="1" applyBorder="1" applyAlignment="1">
      <alignment horizontal="center" vertical="center"/>
    </xf>
    <xf numFmtId="180" fontId="2" fillId="4" borderId="0" xfId="0" applyNumberFormat="1" applyFont="1" applyFill="1" applyBorder="1" applyAlignment="1">
      <alignment vertical="center"/>
    </xf>
    <xf numFmtId="10" fontId="5" fillId="0" borderId="2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vertical="center"/>
    </xf>
    <xf numFmtId="180" fontId="7" fillId="0" borderId="2" xfId="0" applyNumberFormat="1" applyFont="1" applyBorder="1" applyAlignment="1">
      <alignment vertical="center"/>
    </xf>
    <xf numFmtId="0" fontId="7" fillId="0" borderId="2" xfId="0" applyNumberFormat="1" applyFont="1" applyBorder="1" applyAlignment="1">
      <alignment vertical="center"/>
    </xf>
    <xf numFmtId="0" fontId="1" fillId="0" borderId="2" xfId="0" applyNumberFormat="1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178" fontId="2" fillId="0" borderId="2" xfId="0" applyNumberFormat="1" applyFont="1" applyBorder="1" applyAlignment="1" applyProtection="1">
      <alignment horizontal="center" vertical="center" wrapText="1"/>
    </xf>
    <xf numFmtId="9" fontId="1" fillId="0" borderId="2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1" fillId="0" borderId="2" xfId="0" applyNumberFormat="1" applyFont="1" applyBorder="1" applyAlignment="1">
      <alignment horizontal="center" vertical="center"/>
    </xf>
    <xf numFmtId="180" fontId="5" fillId="4" borderId="2" xfId="0" applyNumberFormat="1" applyFont="1" applyFill="1" applyBorder="1" applyAlignment="1">
      <alignment vertical="center"/>
    </xf>
    <xf numFmtId="0" fontId="5" fillId="0" borderId="2" xfId="0" applyNumberFormat="1" applyFont="1" applyBorder="1" applyAlignment="1">
      <alignment vertical="center"/>
    </xf>
    <xf numFmtId="180" fontId="5" fillId="5" borderId="2" xfId="0" applyNumberFormat="1" applyFont="1" applyFill="1" applyBorder="1" applyAlignment="1">
      <alignment vertical="center"/>
    </xf>
    <xf numFmtId="180" fontId="5" fillId="0" borderId="3" xfId="0" applyNumberFormat="1" applyFont="1" applyBorder="1" applyAlignment="1">
      <alignment vertical="center"/>
    </xf>
    <xf numFmtId="0" fontId="5" fillId="0" borderId="2" xfId="0" applyFont="1" applyBorder="1" applyAlignment="1">
      <alignment vertical="center"/>
    </xf>
    <xf numFmtId="178" fontId="5" fillId="0" borderId="0" xfId="0" applyNumberFormat="1" applyFont="1" applyBorder="1" applyAlignment="1">
      <alignment vertical="center"/>
    </xf>
    <xf numFmtId="180" fontId="5" fillId="0" borderId="0" xfId="0" applyNumberFormat="1" applyFont="1" applyBorder="1" applyAlignment="1">
      <alignment vertical="center"/>
    </xf>
    <xf numFmtId="0" fontId="5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180" fontId="2" fillId="0" borderId="2" xfId="0" applyNumberFormat="1" applyFont="1" applyBorder="1" applyAlignment="1">
      <alignment horizontal="right" vertical="center"/>
    </xf>
    <xf numFmtId="179" fontId="2" fillId="0" borderId="2" xfId="0" applyNumberFormat="1" applyFont="1" applyBorder="1" applyAlignment="1">
      <alignment horizontal="right" vertical="center"/>
    </xf>
    <xf numFmtId="0" fontId="2" fillId="0" borderId="5" xfId="0" applyFont="1" applyBorder="1" applyAlignment="1">
      <alignment vertical="center"/>
    </xf>
    <xf numFmtId="10" fontId="5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178" fontId="4" fillId="0" borderId="2" xfId="0" applyNumberFormat="1" applyFont="1" applyBorder="1" applyAlignment="1">
      <alignment horizontal="center" vertical="center"/>
    </xf>
    <xf numFmtId="178" fontId="2" fillId="0" borderId="2" xfId="0" applyNumberFormat="1" applyFont="1" applyBorder="1" applyAlignment="1">
      <alignment horizontal="left" vertical="center"/>
    </xf>
    <xf numFmtId="178" fontId="2" fillId="0" borderId="2" xfId="0" applyNumberFormat="1" applyFont="1" applyFill="1" applyBorder="1" applyAlignment="1">
      <alignment vertical="center"/>
    </xf>
    <xf numFmtId="178" fontId="1" fillId="2" borderId="2" xfId="0" applyNumberFormat="1" applyFont="1" applyFill="1" applyBorder="1" applyAlignment="1">
      <alignment vertical="center"/>
    </xf>
    <xf numFmtId="178" fontId="2" fillId="2" borderId="2" xfId="0" applyNumberFormat="1" applyFont="1" applyFill="1" applyBorder="1" applyAlignment="1">
      <alignment vertical="center"/>
    </xf>
    <xf numFmtId="178" fontId="1" fillId="0" borderId="2" xfId="0" applyNumberFormat="1" applyFont="1" applyBorder="1" applyAlignment="1">
      <alignment vertical="center"/>
    </xf>
    <xf numFmtId="179" fontId="1" fillId="0" borderId="2" xfId="0" applyNumberFormat="1" applyFont="1" applyBorder="1" applyAlignment="1">
      <alignment horizontal="center" vertical="center"/>
    </xf>
    <xf numFmtId="178" fontId="2" fillId="4" borderId="2" xfId="0" applyNumberFormat="1" applyFont="1" applyFill="1" applyBorder="1" applyAlignment="1">
      <alignment vertical="center"/>
    </xf>
    <xf numFmtId="0" fontId="2" fillId="4" borderId="2" xfId="0" applyFont="1" applyFill="1" applyBorder="1" applyAlignment="1">
      <alignment horizontal="left" vertical="center"/>
    </xf>
    <xf numFmtId="178" fontId="2" fillId="4" borderId="0" xfId="0" applyNumberFormat="1" applyFont="1" applyFill="1" applyBorder="1" applyAlignment="1">
      <alignment vertical="center"/>
    </xf>
    <xf numFmtId="14" fontId="2" fillId="4" borderId="6" xfId="0" applyNumberFormat="1" applyFont="1" applyFill="1" applyBorder="1" applyAlignment="1">
      <alignment horizontal="center" vertical="center"/>
    </xf>
    <xf numFmtId="178" fontId="2" fillId="4" borderId="6" xfId="0" applyNumberFormat="1" applyFont="1" applyFill="1" applyBorder="1" applyAlignment="1">
      <alignment vertical="center"/>
    </xf>
    <xf numFmtId="0" fontId="2" fillId="4" borderId="6" xfId="0" applyFont="1" applyFill="1" applyBorder="1" applyAlignment="1">
      <alignment horizontal="left" vertical="center"/>
    </xf>
    <xf numFmtId="14" fontId="2" fillId="4" borderId="2" xfId="0" applyNumberFormat="1" applyFont="1" applyFill="1" applyBorder="1" applyAlignment="1">
      <alignment horizontal="center" vertical="center"/>
    </xf>
    <xf numFmtId="178" fontId="2" fillId="0" borderId="2" xfId="0" applyNumberFormat="1" applyFont="1" applyBorder="1" applyAlignment="1">
      <alignment horizontal="right" vertical="center"/>
    </xf>
    <xf numFmtId="178" fontId="7" fillId="0" borderId="2" xfId="0" applyNumberFormat="1" applyFont="1" applyBorder="1" applyAlignment="1">
      <alignment vertical="center"/>
    </xf>
    <xf numFmtId="178" fontId="2" fillId="0" borderId="2" xfId="0" applyNumberFormat="1" applyFont="1" applyBorder="1" applyAlignment="1" applyProtection="1">
      <alignment horizontal="right" vertical="center" wrapText="1"/>
    </xf>
    <xf numFmtId="178" fontId="1" fillId="0" borderId="2" xfId="0" applyNumberFormat="1" applyFont="1" applyBorder="1" applyAlignment="1">
      <alignment horizontal="right" vertical="center"/>
    </xf>
    <xf numFmtId="178" fontId="5" fillId="4" borderId="2" xfId="0" applyNumberFormat="1" applyFont="1" applyFill="1" applyBorder="1" applyAlignment="1">
      <alignment vertical="center"/>
    </xf>
    <xf numFmtId="178" fontId="5" fillId="5" borderId="2" xfId="0" applyNumberFormat="1" applyFont="1" applyFill="1" applyBorder="1" applyAlignment="1">
      <alignment vertical="center"/>
    </xf>
    <xf numFmtId="178" fontId="5" fillId="0" borderId="3" xfId="0" applyNumberFormat="1" applyFont="1" applyBorder="1" applyAlignment="1">
      <alignment vertical="center"/>
    </xf>
    <xf numFmtId="178" fontId="5" fillId="0" borderId="5" xfId="0" applyNumberFormat="1" applyFont="1" applyBorder="1" applyAlignment="1">
      <alignment vertical="center"/>
    </xf>
    <xf numFmtId="181" fontId="5" fillId="0" borderId="0" xfId="0" applyNumberFormat="1" applyFont="1" applyBorder="1" applyAlignment="1">
      <alignment vertical="center"/>
    </xf>
    <xf numFmtId="180" fontId="5" fillId="0" borderId="0" xfId="0" applyNumberFormat="1" applyFont="1" applyBorder="1" applyAlignment="1">
      <alignment horizontal="center" vertical="center"/>
    </xf>
    <xf numFmtId="178" fontId="5" fillId="5" borderId="0" xfId="0" applyNumberFormat="1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21"/>
  <sheetViews>
    <sheetView tabSelected="1" topLeftCell="A64" workbookViewId="0">
      <selection activeCell="J93" sqref="J93"/>
    </sheetView>
  </sheetViews>
  <sheetFormatPr defaultColWidth="9" defaultRowHeight="11.25"/>
  <cols>
    <col min="1" max="1" width="10.775" style="2" customWidth="1"/>
    <col min="2" max="2" width="14" style="3" customWidth="1"/>
    <col min="3" max="3" width="12.4416666666667" style="4" customWidth="1"/>
    <col min="4" max="4" width="13.3333333333333" style="4" customWidth="1"/>
    <col min="5" max="5" width="6" style="4" customWidth="1"/>
    <col min="6" max="6" width="13.1083333333333" style="3" customWidth="1"/>
    <col min="7" max="7" width="14.1083333333333" style="3" customWidth="1"/>
    <col min="8" max="8" width="10.775" style="4" customWidth="1"/>
    <col min="9" max="9" width="14.775" style="3" customWidth="1"/>
    <col min="10" max="10" width="13.8833333333333" style="3" customWidth="1"/>
    <col min="11" max="11" width="9.10833333333333" style="5" customWidth="1"/>
    <col min="12" max="12" width="31.4416666666667" style="6" customWidth="1"/>
    <col min="13" max="13" width="15.1083333333333" style="6" customWidth="1"/>
    <col min="14" max="14" width="6" style="6" customWidth="1"/>
    <col min="15" max="15" width="5.66666666666667" style="6" customWidth="1"/>
    <col min="16" max="16" width="9" style="6"/>
    <col min="17" max="17" width="9.66666666666667" style="6"/>
    <col min="18" max="16384" width="9" style="6"/>
  </cols>
  <sheetData>
    <row r="1" ht="21.9" customHeight="1" spans="1:13">
      <c r="A1" s="7" t="s">
        <v>0</v>
      </c>
      <c r="B1" s="7"/>
      <c r="C1" s="7"/>
      <c r="D1" s="7"/>
      <c r="E1" s="7"/>
      <c r="F1" s="8"/>
      <c r="G1" s="8"/>
      <c r="H1" s="7"/>
      <c r="I1" s="8"/>
      <c r="J1" s="8"/>
      <c r="K1" s="7"/>
      <c r="L1" s="17"/>
      <c r="M1" s="17"/>
    </row>
    <row r="2" ht="18" customHeight="1" spans="1:19">
      <c r="A2" s="9" t="s">
        <v>1</v>
      </c>
      <c r="B2" s="10">
        <v>43497</v>
      </c>
      <c r="C2" s="11" t="s">
        <v>2</v>
      </c>
      <c r="D2" s="79">
        <v>9879341.59</v>
      </c>
      <c r="E2" s="13" t="s">
        <v>3</v>
      </c>
      <c r="F2" s="11" t="s">
        <v>4</v>
      </c>
      <c r="G2" s="14" t="s">
        <v>5</v>
      </c>
      <c r="H2" s="15" t="s">
        <v>6</v>
      </c>
      <c r="I2" s="41"/>
      <c r="J2" s="41"/>
      <c r="K2" s="42"/>
      <c r="L2" s="43" t="s">
        <v>7</v>
      </c>
      <c r="M2" s="17"/>
      <c r="R2" s="63" t="s">
        <v>8</v>
      </c>
      <c r="S2" s="63" t="s">
        <v>9</v>
      </c>
    </row>
    <row r="3" ht="18" customHeight="1" spans="1:13">
      <c r="A3" s="9" t="s">
        <v>10</v>
      </c>
      <c r="B3" s="16"/>
      <c r="C3" s="11" t="s">
        <v>11</v>
      </c>
      <c r="D3" s="80">
        <v>9948225.71</v>
      </c>
      <c r="H3" s="17"/>
      <c r="I3" s="44"/>
      <c r="J3" s="44"/>
      <c r="K3" s="17"/>
      <c r="L3" s="17"/>
      <c r="M3" s="17"/>
    </row>
    <row r="4" ht="18" customHeight="1" spans="1:13">
      <c r="A4" s="2" t="s">
        <v>12</v>
      </c>
      <c r="H4" s="17"/>
      <c r="I4" s="44"/>
      <c r="J4" s="44"/>
      <c r="K4" s="17"/>
      <c r="L4" s="17"/>
      <c r="M4" s="6" t="s">
        <v>13</v>
      </c>
    </row>
    <row r="5" ht="18" customHeight="1" spans="1:13">
      <c r="A5" s="18" t="s">
        <v>14</v>
      </c>
      <c r="B5" s="19" t="s">
        <v>15</v>
      </c>
      <c r="C5" s="18" t="s">
        <v>16</v>
      </c>
      <c r="D5" s="18"/>
      <c r="E5" s="18" t="s">
        <v>17</v>
      </c>
      <c r="F5" s="19"/>
      <c r="G5" s="19" t="s">
        <v>18</v>
      </c>
      <c r="H5" s="20" t="s">
        <v>19</v>
      </c>
      <c r="I5" s="19"/>
      <c r="J5" s="19"/>
      <c r="K5" s="20"/>
      <c r="L5" s="6" t="s">
        <v>13</v>
      </c>
      <c r="M5" s="4">
        <f>M8+M9+M20</f>
        <v>-1388447</v>
      </c>
    </row>
    <row r="6" ht="18" customHeight="1" spans="1:15">
      <c r="A6" s="18"/>
      <c r="B6" s="19"/>
      <c r="C6" s="18" t="s">
        <v>20</v>
      </c>
      <c r="D6" s="18" t="s">
        <v>21</v>
      </c>
      <c r="E6" s="18" t="s">
        <v>20</v>
      </c>
      <c r="F6" s="19" t="s">
        <v>21</v>
      </c>
      <c r="G6" s="19"/>
      <c r="H6" s="20" t="s">
        <v>22</v>
      </c>
      <c r="I6" s="19" t="s">
        <v>23</v>
      </c>
      <c r="J6" s="19"/>
      <c r="K6" s="20" t="s">
        <v>24</v>
      </c>
      <c r="L6" s="45" t="s">
        <v>25</v>
      </c>
      <c r="M6" s="46"/>
      <c r="N6" s="46"/>
      <c r="O6" s="46"/>
    </row>
    <row r="7" ht="18" customHeight="1" spans="1:15">
      <c r="A7" s="21">
        <v>43600</v>
      </c>
      <c r="B7" s="11">
        <f t="shared" ref="B7:B10" si="0">G7/(1+C7+E7)</f>
        <v>3486238.53211009</v>
      </c>
      <c r="C7" s="23">
        <v>0.02</v>
      </c>
      <c r="D7" s="81">
        <f t="shared" ref="D7:D10" si="1">G7/(1+E7+C7)*C7</f>
        <v>69724.7706422018</v>
      </c>
      <c r="E7" s="23">
        <v>0.07</v>
      </c>
      <c r="F7" s="11">
        <f t="shared" ref="F7:F10" si="2">G7/(1+C7+E7)*E7</f>
        <v>244036.697247706</v>
      </c>
      <c r="G7" s="82">
        <v>3800000</v>
      </c>
      <c r="H7" s="21">
        <v>43613</v>
      </c>
      <c r="I7" s="11">
        <v>18640</v>
      </c>
      <c r="J7" s="11"/>
      <c r="K7" s="47" t="s">
        <v>26</v>
      </c>
      <c r="L7" s="48">
        <v>43613</v>
      </c>
      <c r="M7" s="86">
        <v>3800000</v>
      </c>
      <c r="N7" s="87" t="s">
        <v>27</v>
      </c>
      <c r="O7" s="46"/>
    </row>
    <row r="8" ht="18" customHeight="1" spans="1:17">
      <c r="A8" s="21">
        <v>43635</v>
      </c>
      <c r="B8" s="11">
        <f t="shared" si="0"/>
        <v>2587155.96330275</v>
      </c>
      <c r="C8" s="23">
        <v>0.02</v>
      </c>
      <c r="D8" s="81">
        <f t="shared" si="1"/>
        <v>51743.119266055</v>
      </c>
      <c r="E8" s="23">
        <v>0.07</v>
      </c>
      <c r="F8" s="11">
        <f t="shared" si="2"/>
        <v>181100.917431193</v>
      </c>
      <c r="G8" s="82">
        <v>2820000</v>
      </c>
      <c r="H8" s="21">
        <v>43613</v>
      </c>
      <c r="I8" s="11">
        <v>2690000</v>
      </c>
      <c r="J8" s="11"/>
      <c r="K8" s="47" t="s">
        <v>26</v>
      </c>
      <c r="L8" s="48">
        <v>43613</v>
      </c>
      <c r="M8" s="86">
        <v>-190000</v>
      </c>
      <c r="N8" s="87" t="s">
        <v>27</v>
      </c>
      <c r="O8" s="46" t="s">
        <v>28</v>
      </c>
      <c r="Q8" s="46" t="s">
        <v>29</v>
      </c>
    </row>
    <row r="9" ht="18" customHeight="1" spans="1:15">
      <c r="A9" s="21">
        <v>43706</v>
      </c>
      <c r="B9" s="11">
        <f t="shared" si="0"/>
        <v>1018348.62385321</v>
      </c>
      <c r="C9" s="23">
        <v>0.02</v>
      </c>
      <c r="D9" s="81">
        <f t="shared" si="1"/>
        <v>20366.9724770642</v>
      </c>
      <c r="E9" s="23">
        <v>0.07</v>
      </c>
      <c r="F9" s="11">
        <f t="shared" si="2"/>
        <v>71284.4036697248</v>
      </c>
      <c r="G9" s="82">
        <v>1110000</v>
      </c>
      <c r="H9" s="21">
        <v>43654</v>
      </c>
      <c r="I9" s="11">
        <v>2250000</v>
      </c>
      <c r="J9" s="11"/>
      <c r="K9" s="47" t="s">
        <v>26</v>
      </c>
      <c r="L9" s="48">
        <v>43613</v>
      </c>
      <c r="M9" s="86">
        <v>-900000</v>
      </c>
      <c r="N9" s="87" t="s">
        <v>27</v>
      </c>
      <c r="O9" s="46" t="s">
        <v>30</v>
      </c>
    </row>
    <row r="10" ht="18" customHeight="1" spans="1:15">
      <c r="A10" s="21">
        <v>43805</v>
      </c>
      <c r="B10" s="11">
        <f t="shared" si="0"/>
        <v>2044243.7706422</v>
      </c>
      <c r="C10" s="23">
        <v>0.02</v>
      </c>
      <c r="D10" s="81">
        <f t="shared" si="1"/>
        <v>40884.875412844</v>
      </c>
      <c r="E10" s="26">
        <v>0.07</v>
      </c>
      <c r="F10" s="11">
        <f t="shared" si="2"/>
        <v>143097.063944954</v>
      </c>
      <c r="G10" s="82">
        <v>2228225.71</v>
      </c>
      <c r="H10" s="21">
        <v>43714</v>
      </c>
      <c r="I10" s="11">
        <v>1110000</v>
      </c>
      <c r="J10" s="11"/>
      <c r="K10" s="47" t="s">
        <v>26</v>
      </c>
      <c r="L10" s="48">
        <v>43613</v>
      </c>
      <c r="M10" s="86">
        <v>-18640</v>
      </c>
      <c r="N10" s="87" t="s">
        <v>27</v>
      </c>
      <c r="O10" s="46" t="s">
        <v>31</v>
      </c>
    </row>
    <row r="11" ht="18" customHeight="1" spans="1:15">
      <c r="A11" s="21"/>
      <c r="B11" s="11"/>
      <c r="C11" s="23"/>
      <c r="D11" s="81"/>
      <c r="E11" s="26"/>
      <c r="F11" s="11"/>
      <c r="G11" s="82"/>
      <c r="H11" s="21">
        <v>43787</v>
      </c>
      <c r="I11" s="11">
        <v>561000</v>
      </c>
      <c r="J11" s="11"/>
      <c r="K11" s="47" t="s">
        <v>26</v>
      </c>
      <c r="L11" s="48">
        <v>43613</v>
      </c>
      <c r="M11" s="86">
        <v>-566</v>
      </c>
      <c r="N11" s="87" t="s">
        <v>32</v>
      </c>
      <c r="O11" s="46"/>
    </row>
    <row r="12" ht="18" customHeight="1" spans="1:15">
      <c r="A12" s="21"/>
      <c r="B12" s="11"/>
      <c r="C12" s="23"/>
      <c r="D12" s="81"/>
      <c r="E12" s="26"/>
      <c r="F12" s="11"/>
      <c r="G12" s="82"/>
      <c r="H12" s="21">
        <v>43823</v>
      </c>
      <c r="I12" s="11">
        <v>1600000</v>
      </c>
      <c r="J12" s="11"/>
      <c r="K12" s="47" t="s">
        <v>26</v>
      </c>
      <c r="L12" s="48">
        <v>43613</v>
      </c>
      <c r="M12" s="86">
        <v>1403.66</v>
      </c>
      <c r="N12" s="87" t="s">
        <v>33</v>
      </c>
      <c r="O12" s="46"/>
    </row>
    <row r="13" ht="18" customHeight="1" spans="1:15">
      <c r="A13" s="21"/>
      <c r="B13" s="11"/>
      <c r="C13" s="23"/>
      <c r="D13" s="81"/>
      <c r="E13" s="26"/>
      <c r="F13" s="11"/>
      <c r="G13" s="82"/>
      <c r="H13" s="21">
        <v>43839</v>
      </c>
      <c r="I13" s="11">
        <v>1030975.66</v>
      </c>
      <c r="J13" s="11"/>
      <c r="K13" s="47" t="s">
        <v>26</v>
      </c>
      <c r="L13" s="48">
        <v>43613</v>
      </c>
      <c r="M13" s="86">
        <v>-2690000</v>
      </c>
      <c r="N13" s="87" t="s">
        <v>27</v>
      </c>
      <c r="O13" s="46" t="s">
        <v>31</v>
      </c>
    </row>
    <row r="14" ht="18" customHeight="1" spans="1:15">
      <c r="A14" s="21"/>
      <c r="B14" s="11"/>
      <c r="C14" s="23"/>
      <c r="D14" s="81"/>
      <c r="E14" s="26"/>
      <c r="F14" s="11"/>
      <c r="G14" s="82"/>
      <c r="H14" s="21" t="s">
        <v>34</v>
      </c>
      <c r="I14" s="11">
        <v>198431.78</v>
      </c>
      <c r="J14" s="11"/>
      <c r="K14" s="47" t="s">
        <v>26</v>
      </c>
      <c r="L14" s="48">
        <v>43641</v>
      </c>
      <c r="M14" s="86">
        <v>2820000</v>
      </c>
      <c r="N14" s="87" t="s">
        <v>27</v>
      </c>
      <c r="O14" s="46"/>
    </row>
    <row r="15" ht="18" customHeight="1" spans="1:15">
      <c r="A15" s="21"/>
      <c r="B15" s="11"/>
      <c r="C15" s="23"/>
      <c r="D15" s="81"/>
      <c r="E15" s="26"/>
      <c r="F15" s="11"/>
      <c r="G15" s="82"/>
      <c r="H15" s="21" t="s">
        <v>34</v>
      </c>
      <c r="I15" s="11">
        <f>731.27-0.71</f>
        <v>730.56</v>
      </c>
      <c r="J15" s="11"/>
      <c r="K15" s="47" t="s">
        <v>35</v>
      </c>
      <c r="L15" s="48">
        <v>43654</v>
      </c>
      <c r="M15" s="86">
        <v>-2250000</v>
      </c>
      <c r="N15" s="87" t="s">
        <v>27</v>
      </c>
      <c r="O15" s="46" t="s">
        <v>31</v>
      </c>
    </row>
    <row r="16" ht="16.95" customHeight="1" spans="1:15">
      <c r="A16" s="21"/>
      <c r="B16" s="11"/>
      <c r="C16" s="23"/>
      <c r="D16" s="81"/>
      <c r="E16" s="23"/>
      <c r="F16" s="11"/>
      <c r="G16" s="82"/>
      <c r="H16" s="21">
        <v>44068</v>
      </c>
      <c r="I16" s="11">
        <v>190000</v>
      </c>
      <c r="J16" s="11"/>
      <c r="K16" s="47" t="s">
        <v>36</v>
      </c>
      <c r="L16" s="48">
        <v>43713</v>
      </c>
      <c r="M16" s="86">
        <v>1100000</v>
      </c>
      <c r="N16" s="87" t="s">
        <v>27</v>
      </c>
      <c r="O16" s="46"/>
    </row>
    <row r="17" ht="16.95" customHeight="1" spans="1:15">
      <c r="A17" s="21"/>
      <c r="B17" s="11"/>
      <c r="C17" s="23"/>
      <c r="D17" s="81"/>
      <c r="E17" s="23"/>
      <c r="F17" s="11"/>
      <c r="G17" s="82"/>
      <c r="H17" s="21"/>
      <c r="I17" s="11"/>
      <c r="J17" s="11"/>
      <c r="K17" s="47"/>
      <c r="L17" s="48">
        <v>43714</v>
      </c>
      <c r="M17" s="86">
        <v>-1110000</v>
      </c>
      <c r="N17" s="87" t="s">
        <v>27</v>
      </c>
      <c r="O17" s="46" t="s">
        <v>31</v>
      </c>
    </row>
    <row r="18" ht="16.95" customHeight="1" spans="1:15">
      <c r="A18" s="21"/>
      <c r="B18" s="11"/>
      <c r="C18" s="23"/>
      <c r="D18" s="81"/>
      <c r="E18" s="23"/>
      <c r="F18" s="11"/>
      <c r="G18" s="82"/>
      <c r="H18" s="21"/>
      <c r="I18" s="11"/>
      <c r="J18" s="11"/>
      <c r="K18" s="47"/>
      <c r="L18" s="48">
        <v>43787</v>
      </c>
      <c r="M18" s="86">
        <v>-561000</v>
      </c>
      <c r="N18" s="87" t="s">
        <v>27</v>
      </c>
      <c r="O18" s="46" t="s">
        <v>31</v>
      </c>
    </row>
    <row r="19" ht="16.95" customHeight="1" spans="1:15">
      <c r="A19" s="21"/>
      <c r="B19" s="11"/>
      <c r="C19" s="23"/>
      <c r="D19" s="81"/>
      <c r="E19" s="23"/>
      <c r="F19" s="11"/>
      <c r="G19" s="82"/>
      <c r="H19" s="21"/>
      <c r="I19" s="11"/>
      <c r="J19" s="11"/>
      <c r="K19" s="47"/>
      <c r="L19" s="48">
        <v>43816</v>
      </c>
      <c r="M19" s="86">
        <v>2228225</v>
      </c>
      <c r="N19" s="87" t="s">
        <v>27</v>
      </c>
      <c r="O19" s="46"/>
    </row>
    <row r="20" ht="16.95" customHeight="1" spans="1:17">
      <c r="A20" s="21"/>
      <c r="B20" s="11"/>
      <c r="C20" s="23"/>
      <c r="D20" s="81"/>
      <c r="E20" s="23"/>
      <c r="F20" s="11"/>
      <c r="G20" s="82"/>
      <c r="H20" s="21"/>
      <c r="I20" s="11"/>
      <c r="J20" s="11"/>
      <c r="K20" s="47"/>
      <c r="L20" s="48">
        <v>43822</v>
      </c>
      <c r="M20" s="86">
        <v>-298447</v>
      </c>
      <c r="N20" s="87" t="s">
        <v>37</v>
      </c>
      <c r="O20" s="46"/>
      <c r="Q20" s="46" t="s">
        <v>29</v>
      </c>
    </row>
    <row r="21" ht="16.95" customHeight="1" spans="1:15">
      <c r="A21" s="21"/>
      <c r="B21" s="11"/>
      <c r="C21" s="23"/>
      <c r="D21" s="81"/>
      <c r="E21" s="23"/>
      <c r="F21" s="11"/>
      <c r="G21" s="82"/>
      <c r="H21" s="21"/>
      <c r="I21" s="11"/>
      <c r="J21" s="11"/>
      <c r="K21" s="47"/>
      <c r="L21" s="52">
        <v>43823</v>
      </c>
      <c r="M21" s="88">
        <v>-1600000</v>
      </c>
      <c r="N21" s="87" t="s">
        <v>27</v>
      </c>
      <c r="O21" s="46"/>
    </row>
    <row r="22" ht="16.95" customHeight="1" spans="1:15">
      <c r="A22" s="21"/>
      <c r="B22" s="11"/>
      <c r="C22" s="23"/>
      <c r="D22" s="81"/>
      <c r="E22" s="23"/>
      <c r="F22" s="11"/>
      <c r="G22" s="82"/>
      <c r="H22" s="21"/>
      <c r="I22" s="11"/>
      <c r="J22" s="11"/>
      <c r="K22" s="47"/>
      <c r="L22" s="48">
        <v>43839</v>
      </c>
      <c r="M22" s="86">
        <v>900000</v>
      </c>
      <c r="N22" s="87" t="s">
        <v>27</v>
      </c>
      <c r="O22" s="46"/>
    </row>
    <row r="23" ht="16.95" customHeight="1" spans="1:15">
      <c r="A23" s="21"/>
      <c r="B23" s="11"/>
      <c r="C23" s="23"/>
      <c r="D23" s="81"/>
      <c r="E23" s="23"/>
      <c r="F23" s="11"/>
      <c r="G23" s="82"/>
      <c r="H23" s="21"/>
      <c r="I23" s="11"/>
      <c r="J23" s="11"/>
      <c r="K23" s="47"/>
      <c r="L23" s="48">
        <v>43839</v>
      </c>
      <c r="M23" s="86">
        <v>-1030975.66</v>
      </c>
      <c r="N23" s="87" t="s">
        <v>27</v>
      </c>
      <c r="O23" s="46" t="s">
        <v>31</v>
      </c>
    </row>
    <row r="24" ht="16.95" customHeight="1" spans="1:15">
      <c r="A24" s="21"/>
      <c r="B24" s="11"/>
      <c r="C24" s="23"/>
      <c r="D24" s="81"/>
      <c r="E24" s="23"/>
      <c r="F24" s="11"/>
      <c r="G24" s="82"/>
      <c r="H24" s="21"/>
      <c r="I24" s="11"/>
      <c r="J24" s="11"/>
      <c r="K24" s="47"/>
      <c r="L24" s="89">
        <v>43943</v>
      </c>
      <c r="M24" s="90">
        <v>-1200</v>
      </c>
      <c r="N24" s="91" t="s">
        <v>27</v>
      </c>
      <c r="O24" s="46" t="s">
        <v>38</v>
      </c>
    </row>
    <row r="25" ht="16.95" customHeight="1" spans="1:15">
      <c r="A25" s="21"/>
      <c r="B25" s="11"/>
      <c r="C25" s="23"/>
      <c r="D25" s="81"/>
      <c r="E25" s="23"/>
      <c r="F25" s="11"/>
      <c r="G25" s="82"/>
      <c r="H25" s="21"/>
      <c r="I25" s="11"/>
      <c r="J25" s="11"/>
      <c r="K25" s="47"/>
      <c r="L25" s="92">
        <v>43960</v>
      </c>
      <c r="M25" s="86">
        <v>198431.78</v>
      </c>
      <c r="N25" s="87" t="s">
        <v>27</v>
      </c>
      <c r="O25" s="46" t="s">
        <v>31</v>
      </c>
    </row>
    <row r="26" ht="16.95" customHeight="1" spans="1:18">
      <c r="A26" s="21"/>
      <c r="B26" s="11"/>
      <c r="C26" s="23"/>
      <c r="D26" s="81"/>
      <c r="E26" s="23"/>
      <c r="F26" s="11"/>
      <c r="G26" s="82"/>
      <c r="H26" s="21"/>
      <c r="I26" s="11"/>
      <c r="J26" s="11"/>
      <c r="K26" s="47"/>
      <c r="L26" s="89"/>
      <c r="M26" s="90">
        <v>-20.62</v>
      </c>
      <c r="N26" s="87" t="s">
        <v>27</v>
      </c>
      <c r="O26" s="46"/>
      <c r="R26" s="6" t="s">
        <v>39</v>
      </c>
    </row>
    <row r="27" ht="16.95" customHeight="1" spans="1:15">
      <c r="A27" s="21"/>
      <c r="B27" s="11"/>
      <c r="C27" s="23"/>
      <c r="D27" s="81"/>
      <c r="E27" s="23"/>
      <c r="F27" s="11"/>
      <c r="G27" s="82"/>
      <c r="H27" s="21"/>
      <c r="I27" s="11"/>
      <c r="J27" s="11"/>
      <c r="K27" s="47"/>
      <c r="L27" s="89"/>
      <c r="M27" s="90">
        <v>-360</v>
      </c>
      <c r="N27" s="87" t="s">
        <v>27</v>
      </c>
      <c r="O27" s="46"/>
    </row>
    <row r="28" ht="16.95" customHeight="1" spans="1:17">
      <c r="A28" s="21"/>
      <c r="B28" s="11"/>
      <c r="C28" s="23"/>
      <c r="D28" s="81"/>
      <c r="E28" s="23"/>
      <c r="F28" s="11"/>
      <c r="G28" s="82"/>
      <c r="H28" s="21"/>
      <c r="I28" s="11"/>
      <c r="J28" s="11"/>
      <c r="K28" s="47"/>
      <c r="L28" s="89"/>
      <c r="M28" s="90">
        <v>212.4</v>
      </c>
      <c r="N28" s="87" t="s">
        <v>27</v>
      </c>
      <c r="O28" s="46" t="s">
        <v>40</v>
      </c>
      <c r="Q28" s="6" t="s">
        <v>41</v>
      </c>
    </row>
    <row r="29" ht="16.95" customHeight="1" spans="1:15">
      <c r="A29" s="21"/>
      <c r="B29" s="11"/>
      <c r="C29" s="23"/>
      <c r="D29" s="81"/>
      <c r="E29" s="23"/>
      <c r="F29" s="11"/>
      <c r="G29" s="82"/>
      <c r="H29" s="21"/>
      <c r="I29" s="11"/>
      <c r="J29" s="11"/>
      <c r="K29" s="47"/>
      <c r="L29" s="89">
        <v>44061</v>
      </c>
      <c r="M29" s="90">
        <v>190000</v>
      </c>
      <c r="N29" s="87" t="s">
        <v>27</v>
      </c>
      <c r="O29" s="46"/>
    </row>
    <row r="30" ht="16.95" customHeight="1" spans="1:15">
      <c r="A30" s="21"/>
      <c r="B30" s="11"/>
      <c r="C30" s="23"/>
      <c r="D30" s="81"/>
      <c r="E30" s="23"/>
      <c r="F30" s="11"/>
      <c r="G30" s="82"/>
      <c r="H30" s="21"/>
      <c r="I30" s="11"/>
      <c r="J30" s="11"/>
      <c r="K30" s="47"/>
      <c r="L30" s="89"/>
      <c r="M30" s="90"/>
      <c r="N30" s="87"/>
      <c r="O30" s="46"/>
    </row>
    <row r="31" ht="16.95" customHeight="1" spans="1:15">
      <c r="A31" s="21"/>
      <c r="B31" s="11"/>
      <c r="C31" s="23"/>
      <c r="D31" s="81"/>
      <c r="E31" s="23"/>
      <c r="F31" s="11"/>
      <c r="G31" s="82"/>
      <c r="H31" s="21"/>
      <c r="I31" s="11"/>
      <c r="J31" s="11"/>
      <c r="K31" s="47"/>
      <c r="L31" s="89"/>
      <c r="M31" s="90"/>
      <c r="N31" s="87"/>
      <c r="O31" s="46"/>
    </row>
    <row r="32" ht="16.95" customHeight="1" spans="1:15">
      <c r="A32" s="21"/>
      <c r="B32" s="11"/>
      <c r="C32" s="23"/>
      <c r="D32" s="81"/>
      <c r="E32" s="23"/>
      <c r="F32" s="11"/>
      <c r="G32" s="82"/>
      <c r="H32" s="21"/>
      <c r="I32" s="11"/>
      <c r="J32" s="11"/>
      <c r="K32" s="47"/>
      <c r="L32" s="92"/>
      <c r="M32" s="86"/>
      <c r="N32" s="87"/>
      <c r="O32" s="51"/>
    </row>
    <row r="33" ht="18" customHeight="1" spans="1:15">
      <c r="A33" s="27" t="s">
        <v>42</v>
      </c>
      <c r="B33" s="29">
        <f>SUM(B7:B32)</f>
        <v>9135986.88990825</v>
      </c>
      <c r="C33" s="29"/>
      <c r="D33" s="29">
        <f>SUM(D7:D32)</f>
        <v>182719.737798165</v>
      </c>
      <c r="E33" s="29"/>
      <c r="F33" s="29">
        <f>SUM(F7:F32)</f>
        <v>639519.082293578</v>
      </c>
      <c r="G33" s="29">
        <f>SUM(G7:G32)</f>
        <v>9958225.71</v>
      </c>
      <c r="H33" s="30"/>
      <c r="I33" s="29">
        <f>SUM(I7:I32)</f>
        <v>9649778</v>
      </c>
      <c r="J33" s="29"/>
      <c r="K33" s="30"/>
      <c r="L33" s="51"/>
      <c r="M33" s="86">
        <f>SUM(M7:M32)</f>
        <v>587063.56</v>
      </c>
      <c r="N33" s="51"/>
      <c r="O33" s="51"/>
    </row>
    <row r="34" ht="18" customHeight="1" spans="1:13">
      <c r="A34" s="2" t="s">
        <v>43</v>
      </c>
      <c r="F34" s="3">
        <f>G33*E102</f>
        <v>159331.61136</v>
      </c>
      <c r="I34" s="3">
        <f>D3-I33</f>
        <v>298447.710000001</v>
      </c>
      <c r="K34" s="4"/>
      <c r="L34" s="4"/>
      <c r="M34" s="5"/>
    </row>
    <row r="35" ht="18" customHeight="1" spans="1:16">
      <c r="A35" s="31" t="s">
        <v>44</v>
      </c>
      <c r="B35" s="19" t="s">
        <v>45</v>
      </c>
      <c r="C35" s="18" t="s">
        <v>46</v>
      </c>
      <c r="D35" s="18" t="s">
        <v>47</v>
      </c>
      <c r="E35" s="18" t="s">
        <v>20</v>
      </c>
      <c r="F35" s="19" t="s">
        <v>48</v>
      </c>
      <c r="G35" s="19" t="s">
        <v>18</v>
      </c>
      <c r="H35" s="18" t="s">
        <v>49</v>
      </c>
      <c r="I35" s="19" t="s">
        <v>50</v>
      </c>
      <c r="J35" s="19" t="s">
        <v>51</v>
      </c>
      <c r="K35" s="18" t="s">
        <v>24</v>
      </c>
      <c r="L35" s="54" t="s">
        <v>52</v>
      </c>
      <c r="M35" s="20" t="s">
        <v>53</v>
      </c>
      <c r="N35" s="20" t="s">
        <v>54</v>
      </c>
      <c r="O35" s="20" t="s">
        <v>55</v>
      </c>
      <c r="P35" s="20" t="s">
        <v>56</v>
      </c>
    </row>
    <row r="36" ht="18" customHeight="1" spans="1:16">
      <c r="A36" s="32">
        <v>43556</v>
      </c>
      <c r="B36" s="11">
        <f t="shared" ref="B36:B57" si="3">ROUND(G36/(1+E36),2)</f>
        <v>274551.72</v>
      </c>
      <c r="C36" s="33"/>
      <c r="D36" s="34" t="s">
        <v>57</v>
      </c>
      <c r="E36" s="35">
        <v>0.16</v>
      </c>
      <c r="F36" s="11">
        <f t="shared" ref="F36:F57" si="4">ROUND(G36/(1+E36)*E36,2)</f>
        <v>43928.28</v>
      </c>
      <c r="G36" s="83">
        <f>106160*3</f>
        <v>318480</v>
      </c>
      <c r="H36" s="21">
        <v>43620</v>
      </c>
      <c r="I36" s="11">
        <v>318480</v>
      </c>
      <c r="J36" s="11"/>
      <c r="K36" s="47" t="s">
        <v>26</v>
      </c>
      <c r="L36" s="55" t="s">
        <v>58</v>
      </c>
      <c r="M36" s="30" t="s">
        <v>59</v>
      </c>
      <c r="N36" s="47" t="s">
        <v>60</v>
      </c>
      <c r="O36" s="47" t="s">
        <v>60</v>
      </c>
      <c r="P36" s="30"/>
    </row>
    <row r="37" ht="18" customHeight="1" spans="1:16">
      <c r="A37" s="32">
        <v>43586</v>
      </c>
      <c r="B37" s="11">
        <f t="shared" si="3"/>
        <v>970873.79</v>
      </c>
      <c r="C37" s="33"/>
      <c r="D37" s="34" t="s">
        <v>57</v>
      </c>
      <c r="E37" s="35">
        <v>0.03</v>
      </c>
      <c r="F37" s="11">
        <f t="shared" si="4"/>
        <v>29126.21</v>
      </c>
      <c r="G37" s="83">
        <f>960000+40000</f>
        <v>1000000</v>
      </c>
      <c r="H37" s="21">
        <v>43614</v>
      </c>
      <c r="I37" s="11">
        <v>1000000</v>
      </c>
      <c r="J37" s="11"/>
      <c r="K37" s="47" t="s">
        <v>26</v>
      </c>
      <c r="L37" s="55" t="s">
        <v>61</v>
      </c>
      <c r="M37" s="30" t="s">
        <v>62</v>
      </c>
      <c r="N37" s="47" t="s">
        <v>60</v>
      </c>
      <c r="O37" s="47" t="s">
        <v>60</v>
      </c>
      <c r="P37" s="30"/>
    </row>
    <row r="38" ht="18" customHeight="1" spans="1:16">
      <c r="A38" s="32">
        <v>43586</v>
      </c>
      <c r="B38" s="11">
        <f t="shared" si="3"/>
        <v>776699.03</v>
      </c>
      <c r="C38" s="33"/>
      <c r="D38" s="34" t="s">
        <v>57</v>
      </c>
      <c r="E38" s="35">
        <v>0.03</v>
      </c>
      <c r="F38" s="11">
        <f t="shared" si="4"/>
        <v>23300.97</v>
      </c>
      <c r="G38" s="83">
        <v>800000</v>
      </c>
      <c r="H38" s="21">
        <v>43620</v>
      </c>
      <c r="I38" s="93">
        <v>222610</v>
      </c>
      <c r="J38" s="11"/>
      <c r="K38" s="47" t="s">
        <v>26</v>
      </c>
      <c r="L38" s="55" t="s">
        <v>63</v>
      </c>
      <c r="M38" s="30" t="s">
        <v>64</v>
      </c>
      <c r="N38" s="47" t="s">
        <v>60</v>
      </c>
      <c r="O38" s="47" t="s">
        <v>60</v>
      </c>
      <c r="P38" s="30"/>
    </row>
    <row r="39" ht="18" customHeight="1" spans="1:16">
      <c r="A39" s="32">
        <v>43586</v>
      </c>
      <c r="B39" s="11">
        <f t="shared" si="3"/>
        <v>776699.03</v>
      </c>
      <c r="C39" s="33"/>
      <c r="D39" s="34" t="s">
        <v>57</v>
      </c>
      <c r="E39" s="35">
        <v>0.03</v>
      </c>
      <c r="F39" s="11">
        <f t="shared" si="4"/>
        <v>23300.97</v>
      </c>
      <c r="G39" s="83">
        <f>100000*8</f>
        <v>800000</v>
      </c>
      <c r="H39" s="21"/>
      <c r="I39" s="94"/>
      <c r="J39" s="94"/>
      <c r="K39" s="47"/>
      <c r="L39" s="58" t="s">
        <v>65</v>
      </c>
      <c r="M39" s="30" t="s">
        <v>66</v>
      </c>
      <c r="N39" s="47" t="s">
        <v>60</v>
      </c>
      <c r="O39" s="47" t="s">
        <v>60</v>
      </c>
      <c r="P39" s="30"/>
    </row>
    <row r="40" ht="18" customHeight="1" spans="1:16">
      <c r="A40" s="32">
        <v>43586</v>
      </c>
      <c r="B40" s="11">
        <f t="shared" si="3"/>
        <v>884955.75</v>
      </c>
      <c r="C40" s="33"/>
      <c r="D40" s="34" t="s">
        <v>57</v>
      </c>
      <c r="E40" s="35">
        <v>0.13</v>
      </c>
      <c r="F40" s="11">
        <f t="shared" si="4"/>
        <v>115044.25</v>
      </c>
      <c r="G40" s="83">
        <v>1000000</v>
      </c>
      <c r="H40" s="21">
        <v>43614</v>
      </c>
      <c r="I40" s="11">
        <v>1000000</v>
      </c>
      <c r="J40" s="11"/>
      <c r="K40" s="47" t="s">
        <v>26</v>
      </c>
      <c r="L40" s="55" t="s">
        <v>67</v>
      </c>
      <c r="M40" s="30" t="s">
        <v>68</v>
      </c>
      <c r="N40" s="47" t="s">
        <v>60</v>
      </c>
      <c r="O40" s="47"/>
      <c r="P40" s="30"/>
    </row>
    <row r="41" s="1" customFormat="1" ht="18" customHeight="1" spans="1:16">
      <c r="A41" s="32">
        <v>43617</v>
      </c>
      <c r="B41" s="84">
        <f t="shared" si="3"/>
        <v>884955.75</v>
      </c>
      <c r="C41" s="37"/>
      <c r="D41" s="34" t="s">
        <v>57</v>
      </c>
      <c r="E41" s="38">
        <v>0.13</v>
      </c>
      <c r="F41" s="84">
        <f t="shared" si="4"/>
        <v>115044.25</v>
      </c>
      <c r="G41" s="82">
        <v>1000000</v>
      </c>
      <c r="H41" s="21">
        <v>43643</v>
      </c>
      <c r="I41" s="11">
        <v>1370000</v>
      </c>
      <c r="J41" s="11"/>
      <c r="K41" s="47" t="s">
        <v>26</v>
      </c>
      <c r="L41" s="58" t="s">
        <v>67</v>
      </c>
      <c r="M41" s="59" t="s">
        <v>69</v>
      </c>
      <c r="O41" s="60"/>
      <c r="P41" s="59"/>
    </row>
    <row r="42" s="1" customFormat="1" ht="18" customHeight="1" spans="1:16">
      <c r="A42" s="39"/>
      <c r="B42" s="84">
        <f t="shared" si="3"/>
        <v>0</v>
      </c>
      <c r="C42" s="37"/>
      <c r="D42" s="34"/>
      <c r="E42" s="38"/>
      <c r="F42" s="84">
        <f t="shared" si="4"/>
        <v>0</v>
      </c>
      <c r="G42" s="82"/>
      <c r="H42" s="21">
        <v>43643</v>
      </c>
      <c r="I42" s="11"/>
      <c r="J42" s="11">
        <v>1370000</v>
      </c>
      <c r="K42" s="47" t="s">
        <v>70</v>
      </c>
      <c r="L42" s="58" t="s">
        <v>71</v>
      </c>
      <c r="M42" s="59" t="s">
        <v>72</v>
      </c>
      <c r="N42" s="60"/>
      <c r="O42" s="60"/>
      <c r="P42" s="59"/>
    </row>
    <row r="43" s="1" customFormat="1" ht="18" customHeight="1" spans="1:16">
      <c r="A43" s="32">
        <v>43617</v>
      </c>
      <c r="B43" s="84">
        <f t="shared" si="3"/>
        <v>681415.93</v>
      </c>
      <c r="C43" s="37"/>
      <c r="D43" s="34" t="s">
        <v>57</v>
      </c>
      <c r="E43" s="38">
        <v>0.13</v>
      </c>
      <c r="F43" s="84">
        <f t="shared" si="4"/>
        <v>88584.07</v>
      </c>
      <c r="G43" s="82">
        <f>110000*7</f>
        <v>770000</v>
      </c>
      <c r="H43" s="21">
        <v>43668</v>
      </c>
      <c r="I43" s="11">
        <f>110000*7</f>
        <v>770000</v>
      </c>
      <c r="J43" s="11"/>
      <c r="K43" s="47" t="s">
        <v>26</v>
      </c>
      <c r="L43" s="58" t="s">
        <v>73</v>
      </c>
      <c r="M43" s="59" t="s">
        <v>74</v>
      </c>
      <c r="N43" s="60"/>
      <c r="O43" s="60"/>
      <c r="P43" s="59"/>
    </row>
    <row r="44" s="1" customFormat="1" ht="18" customHeight="1" spans="1:16">
      <c r="A44" s="32">
        <v>43617</v>
      </c>
      <c r="B44" s="84">
        <f t="shared" si="3"/>
        <v>115044.25</v>
      </c>
      <c r="C44" s="37"/>
      <c r="D44" s="34" t="s">
        <v>57</v>
      </c>
      <c r="E44" s="38">
        <v>0.13</v>
      </c>
      <c r="F44" s="84">
        <f t="shared" si="4"/>
        <v>14955.75</v>
      </c>
      <c r="G44" s="82">
        <f>112860+17140</f>
        <v>130000</v>
      </c>
      <c r="H44" s="21">
        <v>43668</v>
      </c>
      <c r="I44" s="11">
        <f>112860+17140</f>
        <v>130000</v>
      </c>
      <c r="J44" s="11"/>
      <c r="K44" s="47" t="s">
        <v>26</v>
      </c>
      <c r="L44" s="58" t="s">
        <v>73</v>
      </c>
      <c r="M44" s="59" t="s">
        <v>75</v>
      </c>
      <c r="N44" s="60"/>
      <c r="O44" s="60"/>
      <c r="P44" s="59"/>
    </row>
    <row r="45" s="1" customFormat="1" ht="18" customHeight="1" spans="1:16">
      <c r="A45" s="32"/>
      <c r="B45" s="84">
        <f t="shared" si="3"/>
        <v>0</v>
      </c>
      <c r="C45" s="37"/>
      <c r="D45" s="34"/>
      <c r="E45" s="38"/>
      <c r="F45" s="84">
        <f t="shared" si="4"/>
        <v>0</v>
      </c>
      <c r="G45" s="82"/>
      <c r="H45" s="21">
        <v>43656</v>
      </c>
      <c r="I45" s="11"/>
      <c r="J45" s="11">
        <v>-1000000</v>
      </c>
      <c r="K45" s="47" t="s">
        <v>70</v>
      </c>
      <c r="L45" s="58" t="s">
        <v>71</v>
      </c>
      <c r="M45" s="59" t="s">
        <v>76</v>
      </c>
      <c r="N45" s="60"/>
      <c r="O45" s="60"/>
      <c r="P45" s="59"/>
    </row>
    <row r="46" s="1" customFormat="1" ht="18" customHeight="1" spans="1:16">
      <c r="A46" s="32"/>
      <c r="B46" s="84">
        <f t="shared" si="3"/>
        <v>0</v>
      </c>
      <c r="C46" s="37"/>
      <c r="D46" s="34"/>
      <c r="E46" s="38"/>
      <c r="F46" s="84">
        <f t="shared" si="4"/>
        <v>0</v>
      </c>
      <c r="G46" s="82"/>
      <c r="H46" s="21">
        <v>43661</v>
      </c>
      <c r="I46" s="11">
        <v>-370000</v>
      </c>
      <c r="J46" s="11"/>
      <c r="K46" s="47" t="s">
        <v>26</v>
      </c>
      <c r="L46" s="58" t="s">
        <v>67</v>
      </c>
      <c r="M46" s="59" t="s">
        <v>69</v>
      </c>
      <c r="N46" s="60"/>
      <c r="O46" s="60"/>
      <c r="P46" s="59"/>
    </row>
    <row r="47" s="1" customFormat="1" ht="18" customHeight="1" spans="1:16">
      <c r="A47" s="32"/>
      <c r="B47" s="84">
        <f t="shared" si="3"/>
        <v>0</v>
      </c>
      <c r="C47" s="37"/>
      <c r="D47" s="34"/>
      <c r="E47" s="38"/>
      <c r="F47" s="84">
        <f t="shared" si="4"/>
        <v>0</v>
      </c>
      <c r="G47" s="82"/>
      <c r="H47" s="21">
        <v>43662</v>
      </c>
      <c r="I47" s="11"/>
      <c r="J47" s="11">
        <v>-370000</v>
      </c>
      <c r="K47" s="47" t="s">
        <v>70</v>
      </c>
      <c r="L47" s="58" t="s">
        <v>71</v>
      </c>
      <c r="M47" s="59"/>
      <c r="N47" s="60"/>
      <c r="O47" s="60"/>
      <c r="P47" s="59"/>
    </row>
    <row r="48" s="1" customFormat="1" ht="18" customHeight="1" spans="1:16">
      <c r="A48" s="32">
        <v>43678</v>
      </c>
      <c r="B48" s="84">
        <f t="shared" si="3"/>
        <v>776699.03</v>
      </c>
      <c r="C48" s="37"/>
      <c r="D48" s="34" t="s">
        <v>57</v>
      </c>
      <c r="E48" s="35">
        <v>0.03</v>
      </c>
      <c r="F48" s="84">
        <f t="shared" si="4"/>
        <v>23300.97</v>
      </c>
      <c r="G48" s="82">
        <v>800000</v>
      </c>
      <c r="H48" s="21"/>
      <c r="I48" s="94"/>
      <c r="J48" s="94"/>
      <c r="K48" s="47"/>
      <c r="L48" s="58" t="s">
        <v>77</v>
      </c>
      <c r="M48" s="59" t="s">
        <v>78</v>
      </c>
      <c r="N48" s="60"/>
      <c r="O48" s="60"/>
      <c r="P48" s="59"/>
    </row>
    <row r="49" s="1" customFormat="1" ht="18" customHeight="1" spans="1:16">
      <c r="A49" s="32">
        <v>43678</v>
      </c>
      <c r="B49" s="84">
        <f t="shared" si="3"/>
        <v>776699.03</v>
      </c>
      <c r="C49" s="37"/>
      <c r="D49" s="34" t="s">
        <v>57</v>
      </c>
      <c r="E49" s="40">
        <v>0.03</v>
      </c>
      <c r="F49" s="84">
        <f t="shared" si="4"/>
        <v>23300.97</v>
      </c>
      <c r="G49" s="82">
        <v>800000</v>
      </c>
      <c r="H49" s="21">
        <v>43719</v>
      </c>
      <c r="I49" s="11">
        <v>800000</v>
      </c>
      <c r="J49" s="11"/>
      <c r="K49" s="47" t="s">
        <v>26</v>
      </c>
      <c r="L49" s="58" t="s">
        <v>79</v>
      </c>
      <c r="M49" s="59" t="s">
        <v>80</v>
      </c>
      <c r="N49" s="60"/>
      <c r="O49" s="60"/>
      <c r="P49" s="59"/>
    </row>
    <row r="50" s="1" customFormat="1" ht="18" customHeight="1" spans="1:16">
      <c r="A50" s="32"/>
      <c r="B50" s="84">
        <f t="shared" si="3"/>
        <v>0</v>
      </c>
      <c r="C50" s="37"/>
      <c r="D50" s="34"/>
      <c r="E50" s="38"/>
      <c r="F50" s="84">
        <f t="shared" si="4"/>
        <v>0</v>
      </c>
      <c r="G50" s="82"/>
      <c r="H50" s="21">
        <v>43710</v>
      </c>
      <c r="I50" s="11"/>
      <c r="J50" s="11">
        <v>32540.4</v>
      </c>
      <c r="K50" s="47" t="s">
        <v>70</v>
      </c>
      <c r="L50" s="58" t="s">
        <v>81</v>
      </c>
      <c r="M50" s="59"/>
      <c r="N50" s="60"/>
      <c r="O50" s="60"/>
      <c r="P50" s="59"/>
    </row>
    <row r="51" s="1" customFormat="1" ht="18" customHeight="1" spans="1:16">
      <c r="A51" s="32"/>
      <c r="B51" s="84">
        <f t="shared" si="3"/>
        <v>0</v>
      </c>
      <c r="C51" s="37"/>
      <c r="D51" s="34"/>
      <c r="E51" s="38"/>
      <c r="F51" s="84">
        <f t="shared" si="4"/>
        <v>0</v>
      </c>
      <c r="G51" s="82"/>
      <c r="H51" s="21">
        <v>43710</v>
      </c>
      <c r="I51" s="11">
        <v>32540.4</v>
      </c>
      <c r="J51" s="11"/>
      <c r="K51" s="47" t="s">
        <v>26</v>
      </c>
      <c r="L51" s="58" t="s">
        <v>82</v>
      </c>
      <c r="M51" s="59" t="s">
        <v>83</v>
      </c>
      <c r="N51" s="60"/>
      <c r="O51" s="60"/>
      <c r="P51" s="59"/>
    </row>
    <row r="52" s="1" customFormat="1" ht="18" customHeight="1" spans="1:16">
      <c r="A52" s="32"/>
      <c r="B52" s="84">
        <f t="shared" si="3"/>
        <v>0</v>
      </c>
      <c r="C52" s="37"/>
      <c r="D52" s="34"/>
      <c r="E52" s="38"/>
      <c r="F52" s="84">
        <f t="shared" si="4"/>
        <v>0</v>
      </c>
      <c r="G52" s="82"/>
      <c r="H52" s="21">
        <v>43719</v>
      </c>
      <c r="I52" s="95">
        <v>444327</v>
      </c>
      <c r="J52" s="61"/>
      <c r="K52" s="47" t="s">
        <v>26</v>
      </c>
      <c r="L52" s="55" t="s">
        <v>63</v>
      </c>
      <c r="M52" s="59" t="s">
        <v>64</v>
      </c>
      <c r="N52" s="60"/>
      <c r="O52" s="60"/>
      <c r="P52" s="59"/>
    </row>
    <row r="53" s="1" customFormat="1" ht="18" customHeight="1" spans="1:16">
      <c r="A53" s="32"/>
      <c r="B53" s="84">
        <f t="shared" si="3"/>
        <v>0</v>
      </c>
      <c r="C53" s="37"/>
      <c r="D53" s="34"/>
      <c r="E53" s="38"/>
      <c r="F53" s="84">
        <f t="shared" si="4"/>
        <v>0</v>
      </c>
      <c r="G53" s="82"/>
      <c r="H53" s="21">
        <v>43791</v>
      </c>
      <c r="I53" s="11">
        <v>558000</v>
      </c>
      <c r="J53" s="11"/>
      <c r="K53" s="47" t="s">
        <v>26</v>
      </c>
      <c r="L53" s="55" t="s">
        <v>77</v>
      </c>
      <c r="M53" s="59" t="s">
        <v>78</v>
      </c>
      <c r="N53" s="60"/>
      <c r="O53" s="60"/>
      <c r="P53" s="59"/>
    </row>
    <row r="54" s="1" customFormat="1" ht="18" customHeight="1" spans="1:16">
      <c r="A54" s="32">
        <v>43800</v>
      </c>
      <c r="B54" s="84">
        <f t="shared" si="3"/>
        <v>1815533.98</v>
      </c>
      <c r="C54" s="37"/>
      <c r="D54" s="34" t="s">
        <v>57</v>
      </c>
      <c r="E54" s="40">
        <v>0.03</v>
      </c>
      <c r="F54" s="84">
        <f t="shared" si="4"/>
        <v>54466.02</v>
      </c>
      <c r="G54" s="82">
        <v>1870000</v>
      </c>
      <c r="H54" s="21">
        <v>43843</v>
      </c>
      <c r="I54" s="11">
        <v>1468559</v>
      </c>
      <c r="J54" s="11"/>
      <c r="K54" s="47" t="s">
        <v>26</v>
      </c>
      <c r="L54" s="55" t="s">
        <v>79</v>
      </c>
      <c r="M54" s="59" t="s">
        <v>84</v>
      </c>
      <c r="N54" s="60" t="s">
        <v>60</v>
      </c>
      <c r="O54" s="60"/>
      <c r="P54" s="59"/>
    </row>
    <row r="55" s="1" customFormat="1" ht="18" customHeight="1" spans="1:16">
      <c r="A55" s="32"/>
      <c r="B55" s="84">
        <f t="shared" si="3"/>
        <v>0</v>
      </c>
      <c r="C55" s="37"/>
      <c r="D55" s="34"/>
      <c r="E55" s="40"/>
      <c r="F55" s="84">
        <f t="shared" si="4"/>
        <v>0</v>
      </c>
      <c r="G55" s="82"/>
      <c r="H55" s="21">
        <v>43852</v>
      </c>
      <c r="I55" s="11">
        <v>401441</v>
      </c>
      <c r="J55" s="11"/>
      <c r="K55" s="47" t="s">
        <v>26</v>
      </c>
      <c r="L55" s="55" t="s">
        <v>79</v>
      </c>
      <c r="M55" s="59" t="s">
        <v>84</v>
      </c>
      <c r="N55" s="60"/>
      <c r="O55" s="60"/>
      <c r="P55" s="59"/>
    </row>
    <row r="56" s="1" customFormat="1" ht="18" customHeight="1" spans="1:16">
      <c r="A56" s="32"/>
      <c r="B56" s="84">
        <f t="shared" si="3"/>
        <v>0</v>
      </c>
      <c r="C56" s="37"/>
      <c r="D56" s="34"/>
      <c r="E56" s="40"/>
      <c r="F56" s="84">
        <f t="shared" si="4"/>
        <v>0</v>
      </c>
      <c r="G56" s="82"/>
      <c r="H56" s="21">
        <v>43852</v>
      </c>
      <c r="I56" s="11">
        <v>627612.56</v>
      </c>
      <c r="J56" s="11"/>
      <c r="K56" s="47" t="s">
        <v>26</v>
      </c>
      <c r="L56" s="55" t="s">
        <v>65</v>
      </c>
      <c r="M56" s="59" t="s">
        <v>85</v>
      </c>
      <c r="N56" s="60"/>
      <c r="O56" s="60"/>
      <c r="P56" s="59"/>
    </row>
    <row r="57" s="1" customFormat="1" ht="18" customHeight="1" spans="1:16">
      <c r="A57" s="32"/>
      <c r="B57" s="84">
        <f t="shared" si="3"/>
        <v>0</v>
      </c>
      <c r="C57" s="37"/>
      <c r="D57" s="34"/>
      <c r="E57" s="40"/>
      <c r="F57" s="84">
        <f t="shared" si="4"/>
        <v>0</v>
      </c>
      <c r="G57" s="82"/>
      <c r="H57" s="21">
        <v>43999</v>
      </c>
      <c r="I57" s="11">
        <v>160205.38</v>
      </c>
      <c r="J57" s="11"/>
      <c r="K57" s="47" t="s">
        <v>26</v>
      </c>
      <c r="L57" s="55" t="s">
        <v>65</v>
      </c>
      <c r="M57" s="30" t="s">
        <v>85</v>
      </c>
      <c r="N57" s="60"/>
      <c r="O57" s="60"/>
      <c r="P57" s="59"/>
    </row>
    <row r="58" s="1" customFormat="1" ht="18" customHeight="1" spans="1:16">
      <c r="A58" s="32"/>
      <c r="B58" s="84"/>
      <c r="C58" s="37"/>
      <c r="D58" s="34"/>
      <c r="E58" s="40"/>
      <c r="F58" s="84"/>
      <c r="G58" s="82"/>
      <c r="H58" s="85">
        <v>44076</v>
      </c>
      <c r="I58" s="96">
        <v>133063</v>
      </c>
      <c r="J58" s="84"/>
      <c r="K58" s="60"/>
      <c r="L58" s="58" t="s">
        <v>63</v>
      </c>
      <c r="M58" s="30" t="s">
        <v>86</v>
      </c>
      <c r="N58" s="60"/>
      <c r="O58" s="60"/>
      <c r="P58" s="59"/>
    </row>
    <row r="59" s="1" customFormat="1" ht="18" customHeight="1" spans="1:16">
      <c r="A59" s="32"/>
      <c r="B59" s="84"/>
      <c r="C59" s="37"/>
      <c r="D59" s="34"/>
      <c r="E59" s="40"/>
      <c r="F59" s="84"/>
      <c r="G59" s="82"/>
      <c r="H59" s="85">
        <v>44076</v>
      </c>
      <c r="I59" s="84">
        <v>56787</v>
      </c>
      <c r="J59" s="84"/>
      <c r="K59" s="60"/>
      <c r="L59" s="58" t="s">
        <v>77</v>
      </c>
      <c r="M59" s="30" t="s">
        <v>87</v>
      </c>
      <c r="N59" s="60"/>
      <c r="O59" s="60"/>
      <c r="P59" s="59"/>
    </row>
    <row r="60" s="1" customFormat="1" ht="18" customHeight="1" spans="1:16">
      <c r="A60" s="32"/>
      <c r="B60" s="84"/>
      <c r="C60" s="37"/>
      <c r="D60" s="34"/>
      <c r="E60" s="40"/>
      <c r="F60" s="84"/>
      <c r="G60" s="82"/>
      <c r="H60" s="21"/>
      <c r="I60" s="11"/>
      <c r="J60" s="11"/>
      <c r="K60" s="47"/>
      <c r="L60" s="55"/>
      <c r="M60" s="30"/>
      <c r="N60" s="60"/>
      <c r="O60" s="60"/>
      <c r="P60" s="59"/>
    </row>
    <row r="61" s="1" customFormat="1" ht="18" customHeight="1" spans="1:16">
      <c r="A61" s="32"/>
      <c r="B61" s="84"/>
      <c r="C61" s="37"/>
      <c r="D61" s="34"/>
      <c r="E61" s="40"/>
      <c r="F61" s="84"/>
      <c r="G61" s="82"/>
      <c r="H61" s="21"/>
      <c r="I61" s="11"/>
      <c r="J61" s="11"/>
      <c r="K61" s="47"/>
      <c r="L61" s="55"/>
      <c r="M61" s="30"/>
      <c r="N61" s="60"/>
      <c r="O61" s="60"/>
      <c r="P61" s="59"/>
    </row>
    <row r="62" s="1" customFormat="1" ht="18" customHeight="1" spans="1:16">
      <c r="A62" s="32"/>
      <c r="B62" s="84"/>
      <c r="C62" s="37"/>
      <c r="D62" s="34"/>
      <c r="E62" s="40"/>
      <c r="F62" s="84"/>
      <c r="G62" s="82"/>
      <c r="H62" s="21"/>
      <c r="I62" s="11"/>
      <c r="J62" s="11"/>
      <c r="K62" s="47"/>
      <c r="L62" s="55"/>
      <c r="M62" s="30"/>
      <c r="N62" s="60"/>
      <c r="O62" s="60"/>
      <c r="P62" s="59"/>
    </row>
    <row r="63" s="1" customFormat="1" ht="18" customHeight="1" spans="1:16">
      <c r="A63" s="32"/>
      <c r="B63" s="84"/>
      <c r="C63" s="37"/>
      <c r="D63" s="34"/>
      <c r="E63" s="40"/>
      <c r="F63" s="84"/>
      <c r="G63" s="82"/>
      <c r="H63" s="21"/>
      <c r="I63" s="11"/>
      <c r="J63" s="11"/>
      <c r="K63" s="47"/>
      <c r="L63" s="55"/>
      <c r="M63" s="30"/>
      <c r="N63" s="60"/>
      <c r="O63" s="60"/>
      <c r="P63" s="59"/>
    </row>
    <row r="64" s="1" customFormat="1" ht="18" customHeight="1" spans="1:16">
      <c r="A64" s="32"/>
      <c r="B64" s="84"/>
      <c r="C64" s="37"/>
      <c r="D64" s="34"/>
      <c r="E64" s="40"/>
      <c r="F64" s="84"/>
      <c r="G64" s="82"/>
      <c r="H64" s="21" t="s">
        <v>88</v>
      </c>
      <c r="I64" s="11">
        <v>150</v>
      </c>
      <c r="J64" s="11"/>
      <c r="K64" s="47" t="s">
        <v>89</v>
      </c>
      <c r="L64" s="55" t="s">
        <v>32</v>
      </c>
      <c r="M64" s="30"/>
      <c r="N64" s="60"/>
      <c r="O64" s="60"/>
      <c r="P64" s="59"/>
    </row>
    <row r="65" s="1" customFormat="1" ht="18" customHeight="1" spans="1:16">
      <c r="A65" s="32"/>
      <c r="B65" s="84"/>
      <c r="C65" s="37"/>
      <c r="D65" s="34"/>
      <c r="E65" s="40"/>
      <c r="F65" s="84"/>
      <c r="G65" s="82"/>
      <c r="H65" s="21">
        <v>43999</v>
      </c>
      <c r="I65" s="11"/>
      <c r="J65" s="11">
        <v>-32540.4</v>
      </c>
      <c r="K65" s="47" t="s">
        <v>90</v>
      </c>
      <c r="L65" s="55" t="s">
        <v>91</v>
      </c>
      <c r="M65" s="30"/>
      <c r="N65" s="60"/>
      <c r="O65" s="60"/>
      <c r="P65" s="59"/>
    </row>
    <row r="66" s="1" customFormat="1" ht="18" customHeight="1" spans="1:16">
      <c r="A66" s="32"/>
      <c r="B66" s="84"/>
      <c r="C66" s="37"/>
      <c r="D66" s="34"/>
      <c r="E66" s="40"/>
      <c r="F66" s="84"/>
      <c r="G66" s="82"/>
      <c r="H66" s="21" t="s">
        <v>92</v>
      </c>
      <c r="I66" s="11">
        <v>730.56</v>
      </c>
      <c r="J66" s="11"/>
      <c r="K66" s="47" t="s">
        <v>93</v>
      </c>
      <c r="L66" s="55" t="s">
        <v>94</v>
      </c>
      <c r="M66" s="30"/>
      <c r="N66" s="60"/>
      <c r="O66" s="60"/>
      <c r="P66" s="59"/>
    </row>
    <row r="67" s="1" customFormat="1" ht="18" customHeight="1" spans="1:16">
      <c r="A67" s="32"/>
      <c r="B67" s="84"/>
      <c r="C67" s="37"/>
      <c r="D67" s="34"/>
      <c r="E67" s="40"/>
      <c r="F67" s="84"/>
      <c r="G67" s="82"/>
      <c r="H67" s="21" t="s">
        <v>92</v>
      </c>
      <c r="I67" s="11">
        <v>150</v>
      </c>
      <c r="J67" s="11"/>
      <c r="K67" s="47" t="s">
        <v>89</v>
      </c>
      <c r="L67" s="55" t="s">
        <v>32</v>
      </c>
      <c r="M67" s="30"/>
      <c r="N67" s="60"/>
      <c r="O67" s="60"/>
      <c r="P67" s="59"/>
    </row>
    <row r="68" s="1" customFormat="1" ht="18" customHeight="1" spans="1:16">
      <c r="A68" s="32"/>
      <c r="B68" s="84"/>
      <c r="C68" s="37"/>
      <c r="D68" s="34"/>
      <c r="E68" s="40"/>
      <c r="F68" s="84"/>
      <c r="G68" s="82"/>
      <c r="H68" s="21" t="s">
        <v>92</v>
      </c>
      <c r="I68" s="11">
        <v>-2175</v>
      </c>
      <c r="J68" s="11"/>
      <c r="K68" s="47" t="s">
        <v>90</v>
      </c>
      <c r="L68" s="55" t="s">
        <v>95</v>
      </c>
      <c r="M68" s="30"/>
      <c r="N68" s="60"/>
      <c r="O68" s="60"/>
      <c r="P68" s="59"/>
    </row>
    <row r="69" s="1" customFormat="1" ht="18" customHeight="1" spans="1:16">
      <c r="A69" s="32"/>
      <c r="B69" s="84">
        <f t="shared" ref="B69:B90" si="5">ROUND(G69/(1+E69),2)</f>
        <v>0</v>
      </c>
      <c r="C69" s="37"/>
      <c r="D69" s="34"/>
      <c r="E69" s="40"/>
      <c r="F69" s="84">
        <f t="shared" ref="F69:F90" si="6">ROUND(G69/(1+E69)*E69,2)</f>
        <v>0</v>
      </c>
      <c r="G69" s="82"/>
      <c r="H69" s="21" t="s">
        <v>92</v>
      </c>
      <c r="I69" s="11">
        <f>2224+5487</f>
        <v>7711</v>
      </c>
      <c r="J69" s="11"/>
      <c r="K69" s="47" t="s">
        <v>89</v>
      </c>
      <c r="L69" s="55" t="s">
        <v>96</v>
      </c>
      <c r="M69" s="30"/>
      <c r="N69" s="60"/>
      <c r="O69" s="60"/>
      <c r="P69" s="59"/>
    </row>
    <row r="70" s="1" customFormat="1" ht="18" customHeight="1" spans="1:16">
      <c r="A70" s="32"/>
      <c r="B70" s="84">
        <f t="shared" si="5"/>
        <v>0</v>
      </c>
      <c r="C70" s="37"/>
      <c r="D70" s="34"/>
      <c r="E70" s="40"/>
      <c r="F70" s="84">
        <f t="shared" si="6"/>
        <v>0</v>
      </c>
      <c r="G70" s="82"/>
      <c r="H70" s="21" t="s">
        <v>97</v>
      </c>
      <c r="I70" s="11">
        <v>7500</v>
      </c>
      <c r="J70" s="11"/>
      <c r="K70" s="47" t="s">
        <v>89</v>
      </c>
      <c r="L70" s="55" t="s">
        <v>98</v>
      </c>
      <c r="M70" s="59"/>
      <c r="N70" s="60"/>
      <c r="O70" s="60"/>
      <c r="P70" s="59"/>
    </row>
    <row r="71" s="1" customFormat="1" ht="18" customHeight="1" spans="1:16">
      <c r="A71" s="32"/>
      <c r="B71" s="84">
        <f t="shared" si="5"/>
        <v>0</v>
      </c>
      <c r="C71" s="37"/>
      <c r="D71" s="34"/>
      <c r="E71" s="40"/>
      <c r="F71" s="84">
        <f t="shared" si="6"/>
        <v>0</v>
      </c>
      <c r="G71" s="82"/>
      <c r="H71" s="21" t="s">
        <v>97</v>
      </c>
      <c r="I71" s="11">
        <v>200</v>
      </c>
      <c r="J71" s="11"/>
      <c r="K71" s="47" t="s">
        <v>89</v>
      </c>
      <c r="L71" s="55" t="s">
        <v>99</v>
      </c>
      <c r="M71" s="59"/>
      <c r="N71" s="60"/>
      <c r="O71" s="60"/>
      <c r="P71" s="59"/>
    </row>
    <row r="72" s="1" customFormat="1" ht="18" customHeight="1" spans="1:16">
      <c r="A72" s="32"/>
      <c r="B72" s="84">
        <f t="shared" si="5"/>
        <v>1722.1</v>
      </c>
      <c r="C72" s="37"/>
      <c r="D72" s="34"/>
      <c r="E72" s="40"/>
      <c r="F72" s="84">
        <f t="shared" si="6"/>
        <v>0</v>
      </c>
      <c r="G72" s="82">
        <f>1722.1</f>
        <v>1722.1</v>
      </c>
      <c r="H72" s="21" t="s">
        <v>97</v>
      </c>
      <c r="I72" s="11">
        <f>G72</f>
        <v>1722.1</v>
      </c>
      <c r="J72" s="11"/>
      <c r="K72" s="47" t="s">
        <v>89</v>
      </c>
      <c r="L72" s="62" t="s">
        <v>100</v>
      </c>
      <c r="M72" s="59"/>
      <c r="N72" s="60"/>
      <c r="O72" s="60"/>
      <c r="P72" s="59"/>
    </row>
    <row r="73" s="1" customFormat="1" ht="18" customHeight="1" spans="1:16">
      <c r="A73" s="32"/>
      <c r="B73" s="84">
        <f t="shared" si="5"/>
        <v>0</v>
      </c>
      <c r="C73" s="37"/>
      <c r="D73" s="34"/>
      <c r="E73" s="40"/>
      <c r="F73" s="84">
        <f t="shared" si="6"/>
        <v>0</v>
      </c>
      <c r="G73" s="82"/>
      <c r="H73" s="21">
        <v>43843</v>
      </c>
      <c r="I73" s="11">
        <v>200</v>
      </c>
      <c r="J73" s="11"/>
      <c r="K73" s="47" t="s">
        <v>89</v>
      </c>
      <c r="L73" s="55" t="s">
        <v>99</v>
      </c>
      <c r="M73" s="59"/>
      <c r="N73" s="60"/>
      <c r="O73" s="60"/>
      <c r="P73" s="59"/>
    </row>
    <row r="74" s="1" customFormat="1" ht="18" customHeight="1" spans="1:16">
      <c r="A74" s="32"/>
      <c r="B74" s="84">
        <f t="shared" si="5"/>
        <v>0</v>
      </c>
      <c r="C74" s="37"/>
      <c r="D74" s="34"/>
      <c r="E74" s="40"/>
      <c r="F74" s="84">
        <f t="shared" si="6"/>
        <v>0</v>
      </c>
      <c r="G74" s="82"/>
      <c r="H74" s="21" t="s">
        <v>101</v>
      </c>
      <c r="I74" s="84">
        <v>2175</v>
      </c>
      <c r="J74" s="11"/>
      <c r="K74" s="47" t="s">
        <v>89</v>
      </c>
      <c r="L74" s="58" t="s">
        <v>102</v>
      </c>
      <c r="M74" s="59"/>
      <c r="N74" s="60"/>
      <c r="O74" s="60"/>
      <c r="P74" s="59"/>
    </row>
    <row r="75" s="1" customFormat="1" ht="18" customHeight="1" spans="1:16">
      <c r="A75" s="32"/>
      <c r="B75" s="84">
        <f t="shared" si="5"/>
        <v>0</v>
      </c>
      <c r="C75" s="37"/>
      <c r="D75" s="34"/>
      <c r="E75" s="40"/>
      <c r="F75" s="84">
        <f t="shared" si="6"/>
        <v>0</v>
      </c>
      <c r="G75" s="82"/>
      <c r="H75" s="21" t="s">
        <v>101</v>
      </c>
      <c r="I75" s="11">
        <v>2500</v>
      </c>
      <c r="J75" s="11"/>
      <c r="K75" s="47" t="s">
        <v>89</v>
      </c>
      <c r="L75" s="58" t="s">
        <v>103</v>
      </c>
      <c r="M75" s="59"/>
      <c r="N75" s="60"/>
      <c r="O75" s="60"/>
      <c r="P75" s="59"/>
    </row>
    <row r="76" s="1" customFormat="1" ht="18" customHeight="1" spans="1:16">
      <c r="A76" s="32"/>
      <c r="B76" s="84">
        <f t="shared" si="5"/>
        <v>0</v>
      </c>
      <c r="C76" s="37"/>
      <c r="D76" s="34"/>
      <c r="E76" s="40"/>
      <c r="F76" s="84">
        <f t="shared" si="6"/>
        <v>0</v>
      </c>
      <c r="G76" s="82"/>
      <c r="H76" s="21" t="s">
        <v>101</v>
      </c>
      <c r="I76" s="11">
        <v>35652</v>
      </c>
      <c r="J76" s="11"/>
      <c r="K76" s="47" t="s">
        <v>89</v>
      </c>
      <c r="L76" s="58" t="s">
        <v>8</v>
      </c>
      <c r="M76" s="59"/>
      <c r="N76" s="60"/>
      <c r="O76" s="60"/>
      <c r="P76" s="59"/>
    </row>
    <row r="77" s="1" customFormat="1" ht="18" customHeight="1" spans="1:16">
      <c r="A77" s="32"/>
      <c r="B77" s="84">
        <f t="shared" si="5"/>
        <v>0</v>
      </c>
      <c r="C77" s="37"/>
      <c r="D77" s="34"/>
      <c r="E77" s="38"/>
      <c r="F77" s="84">
        <f t="shared" si="6"/>
        <v>0</v>
      </c>
      <c r="G77" s="82"/>
      <c r="H77" s="21" t="s">
        <v>101</v>
      </c>
      <c r="I77" s="11">
        <v>83414</v>
      </c>
      <c r="J77" s="11"/>
      <c r="K77" s="47" t="s">
        <v>89</v>
      </c>
      <c r="L77" s="58" t="s">
        <v>104</v>
      </c>
      <c r="M77" s="59"/>
      <c r="N77" s="60"/>
      <c r="O77" s="60"/>
      <c r="P77" s="59"/>
    </row>
    <row r="78" s="1" customFormat="1" ht="18" customHeight="1" spans="1:16">
      <c r="A78" s="32"/>
      <c r="B78" s="84">
        <f t="shared" si="5"/>
        <v>0</v>
      </c>
      <c r="C78" s="37"/>
      <c r="D78" s="34"/>
      <c r="E78" s="38"/>
      <c r="F78" s="84">
        <f t="shared" si="6"/>
        <v>0</v>
      </c>
      <c r="G78" s="82"/>
      <c r="H78" s="21" t="s">
        <v>105</v>
      </c>
      <c r="I78" s="11">
        <v>3000</v>
      </c>
      <c r="J78" s="11"/>
      <c r="K78" s="47" t="s">
        <v>89</v>
      </c>
      <c r="L78" s="58" t="s">
        <v>106</v>
      </c>
      <c r="M78" s="59"/>
      <c r="N78" s="60"/>
      <c r="O78" s="60"/>
      <c r="P78" s="59"/>
    </row>
    <row r="79" s="1" customFormat="1" ht="18" customHeight="1" spans="1:16">
      <c r="A79" s="32"/>
      <c r="B79" s="84">
        <f t="shared" si="5"/>
        <v>0</v>
      </c>
      <c r="C79" s="37"/>
      <c r="D79" s="34"/>
      <c r="E79" s="38"/>
      <c r="F79" s="84">
        <f t="shared" si="6"/>
        <v>0</v>
      </c>
      <c r="G79" s="82"/>
      <c r="H79" s="21" t="s">
        <v>105</v>
      </c>
      <c r="I79" s="84">
        <v>-114944</v>
      </c>
      <c r="J79" s="11"/>
      <c r="K79" s="47" t="s">
        <v>90</v>
      </c>
      <c r="L79" s="58" t="s">
        <v>107</v>
      </c>
      <c r="M79" s="59"/>
      <c r="N79" s="60"/>
      <c r="O79" s="60"/>
      <c r="P79" s="59"/>
    </row>
    <row r="80" s="1" customFormat="1" ht="18" customHeight="1" spans="1:16">
      <c r="A80" s="32"/>
      <c r="B80" s="84">
        <f t="shared" si="5"/>
        <v>0</v>
      </c>
      <c r="C80" s="37"/>
      <c r="D80" s="34"/>
      <c r="E80" s="38"/>
      <c r="F80" s="84">
        <f t="shared" si="6"/>
        <v>0</v>
      </c>
      <c r="G80" s="82"/>
      <c r="H80" s="21" t="s">
        <v>105</v>
      </c>
      <c r="I80" s="11">
        <v>6000</v>
      </c>
      <c r="J80" s="11"/>
      <c r="K80" s="47" t="s">
        <v>89</v>
      </c>
      <c r="L80" s="58" t="s">
        <v>106</v>
      </c>
      <c r="M80" s="59"/>
      <c r="N80" s="60"/>
      <c r="O80" s="60"/>
      <c r="P80" s="59"/>
    </row>
    <row r="81" s="1" customFormat="1" ht="18" customHeight="1" spans="1:16">
      <c r="A81" s="32"/>
      <c r="B81" s="84">
        <f t="shared" si="5"/>
        <v>0</v>
      </c>
      <c r="C81" s="37"/>
      <c r="D81" s="34"/>
      <c r="E81" s="38"/>
      <c r="F81" s="84">
        <f t="shared" si="6"/>
        <v>0</v>
      </c>
      <c r="G81" s="82"/>
      <c r="H81" s="21" t="s">
        <v>105</v>
      </c>
      <c r="I81" s="11">
        <v>16294</v>
      </c>
      <c r="J81" s="11"/>
      <c r="K81" s="47" t="s">
        <v>89</v>
      </c>
      <c r="L81" s="58" t="s">
        <v>8</v>
      </c>
      <c r="M81" s="59"/>
      <c r="N81" s="60"/>
      <c r="O81" s="60"/>
      <c r="P81" s="59"/>
    </row>
    <row r="82" s="1" customFormat="1" ht="18" customHeight="1" spans="1:16">
      <c r="A82" s="32"/>
      <c r="B82" s="84">
        <f t="shared" si="5"/>
        <v>0</v>
      </c>
      <c r="C82" s="37"/>
      <c r="D82" s="34"/>
      <c r="E82" s="38"/>
      <c r="F82" s="84">
        <f t="shared" si="6"/>
        <v>0</v>
      </c>
      <c r="G82" s="82"/>
      <c r="H82" s="21" t="s">
        <v>108</v>
      </c>
      <c r="I82" s="84">
        <v>-667411</v>
      </c>
      <c r="J82" s="11"/>
      <c r="K82" s="47" t="s">
        <v>90</v>
      </c>
      <c r="L82" s="58" t="s">
        <v>109</v>
      </c>
      <c r="M82" s="59"/>
      <c r="N82" s="60"/>
      <c r="O82" s="60"/>
      <c r="P82" s="59"/>
    </row>
    <row r="83" s="1" customFormat="1" ht="18" customHeight="1" spans="1:16">
      <c r="A83" s="32"/>
      <c r="B83" s="84">
        <f t="shared" si="5"/>
        <v>0</v>
      </c>
      <c r="C83" s="37"/>
      <c r="D83" s="34"/>
      <c r="E83" s="38"/>
      <c r="F83" s="84">
        <f t="shared" si="6"/>
        <v>0</v>
      </c>
      <c r="G83" s="82"/>
      <c r="H83" s="21" t="s">
        <v>110</v>
      </c>
      <c r="I83" s="84">
        <v>667411</v>
      </c>
      <c r="J83" s="11"/>
      <c r="K83" s="47" t="s">
        <v>111</v>
      </c>
      <c r="L83" s="58" t="s">
        <v>109</v>
      </c>
      <c r="M83" s="59"/>
      <c r="N83" s="60"/>
      <c r="O83" s="60"/>
      <c r="P83" s="59"/>
    </row>
    <row r="84" s="1" customFormat="1" ht="18" customHeight="1" spans="1:16">
      <c r="A84" s="32"/>
      <c r="B84" s="84">
        <f t="shared" si="5"/>
        <v>0</v>
      </c>
      <c r="C84" s="37"/>
      <c r="D84" s="34"/>
      <c r="E84" s="38"/>
      <c r="F84" s="84">
        <f t="shared" si="6"/>
        <v>0</v>
      </c>
      <c r="G84" s="82"/>
      <c r="H84" s="21" t="s">
        <v>110</v>
      </c>
      <c r="I84" s="84">
        <v>114944</v>
      </c>
      <c r="J84" s="11"/>
      <c r="K84" s="47" t="s">
        <v>111</v>
      </c>
      <c r="L84" s="58" t="s">
        <v>112</v>
      </c>
      <c r="M84" s="59"/>
      <c r="N84" s="60"/>
      <c r="O84" s="60"/>
      <c r="P84" s="59"/>
    </row>
    <row r="85" s="1" customFormat="1" ht="18" customHeight="1" spans="1:16">
      <c r="A85" s="39"/>
      <c r="B85" s="84">
        <f t="shared" si="5"/>
        <v>0</v>
      </c>
      <c r="C85" s="37"/>
      <c r="D85" s="64"/>
      <c r="E85" s="38"/>
      <c r="F85" s="84">
        <f t="shared" si="6"/>
        <v>0</v>
      </c>
      <c r="G85" s="82"/>
      <c r="H85" s="21" t="s">
        <v>110</v>
      </c>
      <c r="I85" s="11">
        <v>41395</v>
      </c>
      <c r="J85" s="11"/>
      <c r="K85" s="47" t="s">
        <v>89</v>
      </c>
      <c r="L85" s="58" t="s">
        <v>8</v>
      </c>
      <c r="M85" s="59"/>
      <c r="N85" s="60"/>
      <c r="O85" s="60"/>
      <c r="P85" s="59"/>
    </row>
    <row r="86" s="1" customFormat="1" ht="18" customHeight="1" spans="1:16">
      <c r="A86" s="39"/>
      <c r="B86" s="84">
        <f t="shared" si="5"/>
        <v>0</v>
      </c>
      <c r="C86" s="37"/>
      <c r="D86" s="64"/>
      <c r="E86" s="38"/>
      <c r="F86" s="84">
        <f t="shared" si="6"/>
        <v>0</v>
      </c>
      <c r="G86" s="82"/>
      <c r="H86" s="21"/>
      <c r="I86" s="11">
        <v>55780</v>
      </c>
      <c r="J86" s="11"/>
      <c r="K86" s="47" t="s">
        <v>89</v>
      </c>
      <c r="L86" s="58" t="s">
        <v>8</v>
      </c>
      <c r="M86" s="59"/>
      <c r="N86" s="60"/>
      <c r="O86" s="60"/>
      <c r="P86" s="59"/>
    </row>
    <row r="87" s="1" customFormat="1" ht="18" customHeight="1" spans="1:16">
      <c r="A87" s="39"/>
      <c r="B87" s="84">
        <f t="shared" si="5"/>
        <v>0</v>
      </c>
      <c r="C87" s="37"/>
      <c r="D87" s="64"/>
      <c r="E87" s="38"/>
      <c r="F87" s="84">
        <f t="shared" si="6"/>
        <v>0</v>
      </c>
      <c r="G87" s="82"/>
      <c r="H87" s="21"/>
      <c r="I87" s="11">
        <v>10270</v>
      </c>
      <c r="J87" s="11"/>
      <c r="K87" s="47" t="s">
        <v>89</v>
      </c>
      <c r="L87" s="58" t="s">
        <v>104</v>
      </c>
      <c r="M87" s="59"/>
      <c r="N87" s="60"/>
      <c r="O87" s="60"/>
      <c r="P87" s="59"/>
    </row>
    <row r="88" s="1" customFormat="1" ht="18" customHeight="1" spans="1:18">
      <c r="A88" s="39"/>
      <c r="B88" s="84">
        <f t="shared" si="5"/>
        <v>0</v>
      </c>
      <c r="C88" s="37"/>
      <c r="D88" s="64"/>
      <c r="E88" s="38"/>
      <c r="F88" s="84">
        <f t="shared" si="6"/>
        <v>0</v>
      </c>
      <c r="G88" s="82"/>
      <c r="H88" s="21"/>
      <c r="I88" s="11">
        <v>6500</v>
      </c>
      <c r="J88" s="11"/>
      <c r="K88" s="47" t="s">
        <v>89</v>
      </c>
      <c r="L88" s="62" t="s">
        <v>113</v>
      </c>
      <c r="M88" s="59"/>
      <c r="N88" s="60"/>
      <c r="O88" s="60"/>
      <c r="P88" s="59"/>
      <c r="R88" s="1" t="s">
        <v>114</v>
      </c>
    </row>
    <row r="89" s="1" customFormat="1" ht="18" customHeight="1" spans="1:16">
      <c r="A89" s="39"/>
      <c r="B89" s="84">
        <f t="shared" si="5"/>
        <v>246984</v>
      </c>
      <c r="C89" s="37"/>
      <c r="D89" s="64"/>
      <c r="E89" s="38"/>
      <c r="F89" s="84">
        <f t="shared" si="6"/>
        <v>0</v>
      </c>
      <c r="G89" s="82">
        <f>95000+56250+95734</f>
        <v>246984</v>
      </c>
      <c r="H89" s="21"/>
      <c r="I89" s="11">
        <f>G89</f>
        <v>246984</v>
      </c>
      <c r="J89" s="11"/>
      <c r="K89" s="47" t="s">
        <v>89</v>
      </c>
      <c r="L89" s="62" t="s">
        <v>100</v>
      </c>
      <c r="M89" s="59"/>
      <c r="N89" s="60"/>
      <c r="O89" s="60"/>
      <c r="P89" s="59"/>
    </row>
    <row r="90" ht="18" customHeight="1" spans="1:16">
      <c r="A90" s="29" t="s">
        <v>42</v>
      </c>
      <c r="B90" s="97">
        <f>SUM(B36:B89)</f>
        <v>8982833.39</v>
      </c>
      <c r="C90" s="29"/>
      <c r="D90" s="66"/>
      <c r="E90" s="66"/>
      <c r="F90" s="98">
        <f>SUM(F36:F89)</f>
        <v>554352.71</v>
      </c>
      <c r="G90" s="99">
        <f>SUM(G36:G89)</f>
        <v>9537186.1</v>
      </c>
      <c r="H90" s="69"/>
      <c r="I90" s="29">
        <f>SUM(I36:I89)</f>
        <v>9649778</v>
      </c>
      <c r="J90" s="100">
        <f>SUM(J36:J89)</f>
        <v>0</v>
      </c>
      <c r="K90" s="76"/>
      <c r="L90" s="66"/>
      <c r="M90" s="30"/>
      <c r="N90" s="47"/>
      <c r="O90" s="47"/>
      <c r="P90" s="30"/>
    </row>
    <row r="91" ht="18" customHeight="1" spans="1:19">
      <c r="A91" s="70" t="s">
        <v>115</v>
      </c>
      <c r="B91" s="70">
        <f>B33*0.936</f>
        <v>8551283.72895412</v>
      </c>
      <c r="C91" s="70"/>
      <c r="D91" s="72"/>
      <c r="E91" s="72"/>
      <c r="F91" s="71"/>
      <c r="G91" s="70"/>
      <c r="H91" s="20" t="s">
        <v>116</v>
      </c>
      <c r="I91" s="29">
        <f>I33-I90+J90</f>
        <v>0</v>
      </c>
      <c r="J91" s="70"/>
      <c r="K91" s="6"/>
      <c r="L91" s="77"/>
      <c r="N91" s="78"/>
      <c r="O91" s="78"/>
      <c r="S91" s="6" t="s">
        <v>114</v>
      </c>
    </row>
    <row r="92" ht="18" customHeight="1" spans="1:15">
      <c r="A92" s="70" t="s">
        <v>117</v>
      </c>
      <c r="B92" s="70">
        <f>B91-B90</f>
        <v>-431549.661045877</v>
      </c>
      <c r="C92" s="70"/>
      <c r="D92" s="72">
        <v>10000</v>
      </c>
      <c r="E92" s="72"/>
      <c r="F92" s="71"/>
      <c r="G92" s="71"/>
      <c r="H92" s="73"/>
      <c r="I92" s="71">
        <f>I87+I77</f>
        <v>93684</v>
      </c>
      <c r="J92" s="101"/>
      <c r="K92" s="6"/>
      <c r="L92" s="77"/>
      <c r="N92" s="78"/>
      <c r="O92" s="78"/>
    </row>
    <row r="93" ht="18" customHeight="1" spans="1:20">
      <c r="A93" s="2" t="s">
        <v>118</v>
      </c>
      <c r="C93" s="2"/>
      <c r="I93" s="3">
        <f>95386.33-I92</f>
        <v>1702.33</v>
      </c>
      <c r="T93" s="6" t="s">
        <v>114</v>
      </c>
    </row>
    <row r="94" ht="18" customHeight="1" spans="1:12">
      <c r="A94" s="20" t="s">
        <v>119</v>
      </c>
      <c r="B94" s="19" t="s">
        <v>120</v>
      </c>
      <c r="C94" s="30"/>
      <c r="D94" s="20" t="s">
        <v>119</v>
      </c>
      <c r="E94" s="18" t="s">
        <v>20</v>
      </c>
      <c r="F94" s="19" t="s">
        <v>120</v>
      </c>
      <c r="G94" s="19" t="s">
        <v>121</v>
      </c>
      <c r="H94" s="19" t="s">
        <v>122</v>
      </c>
      <c r="I94" s="19" t="s">
        <v>123</v>
      </c>
      <c r="J94" s="102"/>
      <c r="L94" s="19" t="s">
        <v>124</v>
      </c>
    </row>
    <row r="95" ht="18" customHeight="1" spans="1:12">
      <c r="A95" s="30" t="s">
        <v>125</v>
      </c>
      <c r="B95" s="16">
        <f>(B91-B90)*0.25</f>
        <v>-107887.415261469</v>
      </c>
      <c r="C95" s="30"/>
      <c r="D95" s="27" t="s">
        <v>126</v>
      </c>
      <c r="E95" s="20" t="s">
        <v>93</v>
      </c>
      <c r="F95" s="98">
        <f>F33-F90</f>
        <v>85166.3722935778</v>
      </c>
      <c r="G95" s="98">
        <f>F7-F36-F37-F38-F39-F40</f>
        <v>9336.01724770601</v>
      </c>
      <c r="H95" s="98">
        <v>0</v>
      </c>
      <c r="I95" s="98">
        <v>0</v>
      </c>
      <c r="J95" s="103"/>
      <c r="K95" s="4"/>
      <c r="L95" s="98">
        <f>F8+F9+F10-SUM(F41:F54)</f>
        <v>75830.3550458718</v>
      </c>
    </row>
    <row r="96" ht="18" customHeight="1" spans="1:12">
      <c r="A96" s="30" t="s">
        <v>127</v>
      </c>
      <c r="B96" s="74" t="s">
        <v>128</v>
      </c>
      <c r="C96" s="30"/>
      <c r="D96" s="75" t="s">
        <v>129</v>
      </c>
      <c r="E96" s="13">
        <v>0.05</v>
      </c>
      <c r="F96" s="11">
        <f>F95*E96</f>
        <v>4258.31861467889</v>
      </c>
      <c r="G96" s="11">
        <f>G95*E96</f>
        <v>466.800862385301</v>
      </c>
      <c r="H96" s="11">
        <v>0</v>
      </c>
      <c r="I96" s="11">
        <v>0</v>
      </c>
      <c r="J96" s="4"/>
      <c r="K96" s="4"/>
      <c r="L96" s="11">
        <f>L95*E96</f>
        <v>3791.51775229359</v>
      </c>
    </row>
    <row r="97" ht="18" customHeight="1" spans="1:12">
      <c r="A97" s="30" t="s">
        <v>130</v>
      </c>
      <c r="B97" s="74" t="s">
        <v>128</v>
      </c>
      <c r="C97" s="30"/>
      <c r="D97" s="75" t="s">
        <v>131</v>
      </c>
      <c r="E97" s="13">
        <v>0.03</v>
      </c>
      <c r="F97" s="11">
        <f>F95*E97</f>
        <v>2554.99116880733</v>
      </c>
      <c r="G97" s="11">
        <f>G95*E97</f>
        <v>280.08051743118</v>
      </c>
      <c r="H97" s="11">
        <v>0</v>
      </c>
      <c r="I97" s="11">
        <v>0</v>
      </c>
      <c r="J97" s="4"/>
      <c r="K97" s="4"/>
      <c r="L97" s="11">
        <f>L95*E97</f>
        <v>2274.91065137615</v>
      </c>
    </row>
    <row r="98" ht="18" customHeight="1" spans="1:12">
      <c r="A98" s="30"/>
      <c r="B98" s="22"/>
      <c r="C98" s="30"/>
      <c r="D98" s="75" t="s">
        <v>132</v>
      </c>
      <c r="E98" s="13">
        <v>0.02</v>
      </c>
      <c r="F98" s="11">
        <f>F95*E98</f>
        <v>1703.32744587156</v>
      </c>
      <c r="G98" s="11">
        <f>G95*E98</f>
        <v>186.72034495412</v>
      </c>
      <c r="H98" s="11">
        <v>0</v>
      </c>
      <c r="I98" s="11">
        <v>0</v>
      </c>
      <c r="J98" s="4"/>
      <c r="K98" s="4"/>
      <c r="L98" s="11">
        <f>L95*E98</f>
        <v>1516.60710091743</v>
      </c>
    </row>
    <row r="99" ht="18" customHeight="1" spans="1:12">
      <c r="A99" s="27" t="s">
        <v>133</v>
      </c>
      <c r="B99" s="65">
        <f t="shared" ref="B99:G99" si="7">SUM(B95:B98)</f>
        <v>-107887.415261469</v>
      </c>
      <c r="C99" s="30"/>
      <c r="D99" s="31" t="s">
        <v>133</v>
      </c>
      <c r="E99" s="27"/>
      <c r="F99" s="98">
        <f t="shared" si="7"/>
        <v>93683.0095229356</v>
      </c>
      <c r="G99" s="98">
        <f t="shared" si="7"/>
        <v>10269.6189724766</v>
      </c>
      <c r="H99" s="98">
        <v>0</v>
      </c>
      <c r="I99" s="98">
        <v>0</v>
      </c>
      <c r="J99" s="103"/>
      <c r="K99" s="4"/>
      <c r="L99" s="98">
        <f>SUM(L95:L98)</f>
        <v>83413.3905504589</v>
      </c>
    </row>
    <row r="100" ht="18" customHeight="1" spans="3:12">
      <c r="C100" s="2"/>
      <c r="D100" s="18" t="s">
        <v>133</v>
      </c>
      <c r="E100" s="66"/>
      <c r="F100" s="29"/>
      <c r="G100" s="29"/>
      <c r="H100" s="29"/>
      <c r="I100" s="29"/>
      <c r="J100" s="70"/>
      <c r="K100" s="4"/>
      <c r="L100" s="29">
        <f>L99</f>
        <v>83413.3905504589</v>
      </c>
    </row>
    <row r="101" ht="18" customHeight="1" spans="3:12">
      <c r="C101" s="2"/>
      <c r="D101" s="18" t="s">
        <v>42</v>
      </c>
      <c r="E101" s="29"/>
      <c r="F101" s="29">
        <f>F99+F100</f>
        <v>93683.0095229356</v>
      </c>
      <c r="G101" s="29">
        <f>G99</f>
        <v>10269.6189724766</v>
      </c>
      <c r="H101" s="29">
        <f>H99</f>
        <v>0</v>
      </c>
      <c r="I101" s="29">
        <v>0</v>
      </c>
      <c r="J101" s="70"/>
      <c r="K101" s="4"/>
      <c r="L101" s="29">
        <f>L99</f>
        <v>83413.3905504589</v>
      </c>
    </row>
    <row r="102" ht="18" customHeight="1" spans="3:12">
      <c r="C102" s="2"/>
      <c r="D102" s="29" t="s">
        <v>125</v>
      </c>
      <c r="E102" s="66">
        <v>0.016</v>
      </c>
      <c r="F102" s="29">
        <f>G33*E102</f>
        <v>159331.61136</v>
      </c>
      <c r="G102" s="29">
        <f>B7*E102</f>
        <v>55779.8165137615</v>
      </c>
      <c r="H102" s="29">
        <f>B8*E102</f>
        <v>41394.495412844</v>
      </c>
      <c r="I102" s="29">
        <f>B9*E102</f>
        <v>16293.5779816514</v>
      </c>
      <c r="J102" s="70"/>
      <c r="K102" s="4"/>
      <c r="L102" s="29">
        <f>G10*E102</f>
        <v>35651.61136</v>
      </c>
    </row>
    <row r="103" ht="18" customHeight="1" spans="3:6">
      <c r="C103" s="2"/>
      <c r="F103" s="3">
        <f>F102-I86-I85-I81-I76-I75-I69</f>
        <v>-0.388639999990119</v>
      </c>
    </row>
    <row r="104" ht="18" customHeight="1" spans="3:7">
      <c r="C104" s="2"/>
      <c r="G104" s="3">
        <f>G33*0.016</f>
        <v>159331.61136</v>
      </c>
    </row>
    <row r="105" ht="18" customHeight="1" spans="3:7">
      <c r="C105" s="2"/>
      <c r="G105" s="3">
        <f>G33*0.025</f>
        <v>248955.64275</v>
      </c>
    </row>
    <row r="106" spans="3:3">
      <c r="C106" s="2"/>
    </row>
    <row r="107" spans="3:3">
      <c r="C107" s="2"/>
    </row>
    <row r="108" spans="3:3">
      <c r="C108" s="2"/>
    </row>
    <row r="109" spans="3:3">
      <c r="C109" s="2"/>
    </row>
    <row r="110" spans="3:3">
      <c r="C110" s="2"/>
    </row>
    <row r="111" spans="3:3">
      <c r="C111" s="2"/>
    </row>
    <row r="112" spans="3:3">
      <c r="C112" s="2"/>
    </row>
    <row r="113" spans="3:3">
      <c r="C113" s="2"/>
    </row>
    <row r="114" spans="3:3">
      <c r="C114" s="2"/>
    </row>
    <row r="115" spans="3:3">
      <c r="C115" s="2"/>
    </row>
    <row r="116" spans="3:3">
      <c r="C116" s="2"/>
    </row>
    <row r="117" spans="3:3">
      <c r="C117" s="2"/>
    </row>
    <row r="118" spans="3:3">
      <c r="C118" s="2"/>
    </row>
    <row r="119" spans="3:3">
      <c r="C119" s="2"/>
    </row>
    <row r="120" spans="3:3">
      <c r="C120" s="2"/>
    </row>
    <row r="121" spans="3:3">
      <c r="C121" s="2"/>
    </row>
  </sheetData>
  <protectedRanges>
    <protectedRange sqref="I52" name="区域1"/>
  </protectedRanges>
  <autoFilter ref="A35:T105">
    <extLst/>
  </autoFilter>
  <mergeCells count="8">
    <mergeCell ref="A1:K1"/>
    <mergeCell ref="H2:K2"/>
    <mergeCell ref="C5:D5"/>
    <mergeCell ref="E5:F5"/>
    <mergeCell ref="H5:K5"/>
    <mergeCell ref="A5:A6"/>
    <mergeCell ref="B5:B6"/>
    <mergeCell ref="G5:G6"/>
  </mergeCells>
  <pageMargins left="0.235416666666667" right="0.235416666666667" top="0.313888888888889" bottom="0.15625" header="0.313888888888889" footer="0.313888888888889"/>
  <pageSetup paperSize="9" orientation="landscape" verticalDpi="18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3"/>
  <sheetViews>
    <sheetView topLeftCell="A10" workbookViewId="0">
      <selection activeCell="H49" sqref="H49"/>
    </sheetView>
  </sheetViews>
  <sheetFormatPr defaultColWidth="9" defaultRowHeight="11.25"/>
  <cols>
    <col min="1" max="1" width="10.775" style="2" customWidth="1"/>
    <col min="2" max="2" width="13.1083333333333" style="3" customWidth="1"/>
    <col min="3" max="3" width="6" style="4" customWidth="1"/>
    <col min="4" max="4" width="13.3333333333333" style="4" customWidth="1"/>
    <col min="5" max="5" width="6" style="4" customWidth="1"/>
    <col min="6" max="6" width="13.1083333333333" style="3" customWidth="1"/>
    <col min="7" max="7" width="14.1083333333333" style="3" customWidth="1"/>
    <col min="8" max="8" width="10.775" style="4" customWidth="1"/>
    <col min="9" max="9" width="13.8833333333333" style="3" customWidth="1"/>
    <col min="10" max="10" width="9.10833333333333" style="5" customWidth="1"/>
    <col min="11" max="11" width="31.4416666666667" style="6" customWidth="1"/>
    <col min="12" max="12" width="15.1083333333333" style="6" customWidth="1"/>
    <col min="13" max="13" width="6" style="6" customWidth="1"/>
    <col min="14" max="14" width="5.66666666666667" style="6" customWidth="1"/>
    <col min="15" max="16384" width="9" style="6"/>
  </cols>
  <sheetData>
    <row r="1" ht="21.9" customHeight="1" spans="1:12">
      <c r="A1" s="7" t="s">
        <v>134</v>
      </c>
      <c r="B1" s="7"/>
      <c r="C1" s="7"/>
      <c r="D1" s="7"/>
      <c r="E1" s="7"/>
      <c r="F1" s="8"/>
      <c r="G1" s="8"/>
      <c r="H1" s="7"/>
      <c r="I1" s="8"/>
      <c r="J1" s="7"/>
      <c r="K1" s="17"/>
      <c r="L1" s="17"/>
    </row>
    <row r="2" ht="18" customHeight="1" spans="1:18">
      <c r="A2" s="9" t="s">
        <v>1</v>
      </c>
      <c r="B2" s="10">
        <v>43497</v>
      </c>
      <c r="C2" s="11" t="s">
        <v>2</v>
      </c>
      <c r="D2" s="12">
        <v>9879341.59</v>
      </c>
      <c r="E2" s="13" t="s">
        <v>3</v>
      </c>
      <c r="F2" s="11" t="s">
        <v>4</v>
      </c>
      <c r="G2" s="14" t="s">
        <v>5</v>
      </c>
      <c r="H2" s="15" t="s">
        <v>6</v>
      </c>
      <c r="I2" s="41"/>
      <c r="J2" s="42"/>
      <c r="K2" s="43" t="s">
        <v>7</v>
      </c>
      <c r="L2" s="17"/>
      <c r="Q2" s="63" t="s">
        <v>8</v>
      </c>
      <c r="R2" s="63" t="s">
        <v>9</v>
      </c>
    </row>
    <row r="3" ht="18" customHeight="1" spans="1:12">
      <c r="A3" s="9" t="s">
        <v>10</v>
      </c>
      <c r="B3" s="16"/>
      <c r="C3" s="11" t="s">
        <v>11</v>
      </c>
      <c r="D3" s="11"/>
      <c r="H3" s="17"/>
      <c r="I3" s="44"/>
      <c r="J3" s="17"/>
      <c r="K3" s="17"/>
      <c r="L3" s="17"/>
    </row>
    <row r="4" ht="18" customHeight="1" spans="1:12">
      <c r="A4" s="2" t="s">
        <v>12</v>
      </c>
      <c r="H4" s="17"/>
      <c r="I4" s="44"/>
      <c r="J4" s="17"/>
      <c r="K4" s="17"/>
      <c r="L4" s="6" t="s">
        <v>13</v>
      </c>
    </row>
    <row r="5" ht="18" customHeight="1" spans="1:11">
      <c r="A5" s="18" t="s">
        <v>14</v>
      </c>
      <c r="B5" s="19" t="s">
        <v>15</v>
      </c>
      <c r="C5" s="18" t="s">
        <v>16</v>
      </c>
      <c r="D5" s="18"/>
      <c r="E5" s="18" t="s">
        <v>17</v>
      </c>
      <c r="F5" s="19"/>
      <c r="G5" s="19" t="s">
        <v>18</v>
      </c>
      <c r="H5" s="20" t="s">
        <v>19</v>
      </c>
      <c r="I5" s="19"/>
      <c r="J5" s="20"/>
      <c r="K5" s="6" t="s">
        <v>13</v>
      </c>
    </row>
    <row r="6" ht="18" customHeight="1" spans="1:14">
      <c r="A6" s="18"/>
      <c r="B6" s="19"/>
      <c r="C6" s="18" t="s">
        <v>20</v>
      </c>
      <c r="D6" s="18" t="s">
        <v>21</v>
      </c>
      <c r="E6" s="18" t="s">
        <v>20</v>
      </c>
      <c r="F6" s="19" t="s">
        <v>21</v>
      </c>
      <c r="G6" s="19"/>
      <c r="H6" s="20" t="s">
        <v>22</v>
      </c>
      <c r="I6" s="19" t="s">
        <v>23</v>
      </c>
      <c r="J6" s="20" t="s">
        <v>24</v>
      </c>
      <c r="K6" s="45" t="s">
        <v>25</v>
      </c>
      <c r="L6" s="46"/>
      <c r="M6" s="46"/>
      <c r="N6" s="46"/>
    </row>
    <row r="7" ht="18" customHeight="1" spans="1:14">
      <c r="A7" s="21">
        <v>43600</v>
      </c>
      <c r="B7" s="22">
        <f t="shared" ref="B7:B10" si="0">G7/(1+C7+E7)</f>
        <v>3486238.53211009</v>
      </c>
      <c r="C7" s="23">
        <v>0.02</v>
      </c>
      <c r="D7" s="24">
        <f t="shared" ref="D7:D10" si="1">G7/(1+E7+C7)*C7</f>
        <v>69724.7706422018</v>
      </c>
      <c r="E7" s="23">
        <v>0.07</v>
      </c>
      <c r="F7" s="22">
        <f t="shared" ref="F7:F10" si="2">G7/(1+C7+E7)*E7</f>
        <v>244036.697247706</v>
      </c>
      <c r="G7" s="25">
        <v>3800000</v>
      </c>
      <c r="H7" s="21"/>
      <c r="I7" s="22"/>
      <c r="J7" s="47"/>
      <c r="K7" s="48">
        <v>43613</v>
      </c>
      <c r="L7" s="49">
        <v>3800000</v>
      </c>
      <c r="M7" s="50" t="s">
        <v>27</v>
      </c>
      <c r="N7" s="46"/>
    </row>
    <row r="8" ht="18" customHeight="1" spans="1:14">
      <c r="A8" s="21">
        <v>43635</v>
      </c>
      <c r="B8" s="22">
        <f t="shared" si="0"/>
        <v>2587155.96330275</v>
      </c>
      <c r="C8" s="23">
        <v>0.02</v>
      </c>
      <c r="D8" s="24">
        <f t="shared" si="1"/>
        <v>51743.119266055</v>
      </c>
      <c r="E8" s="23">
        <v>0.07</v>
      </c>
      <c r="F8" s="22">
        <f t="shared" si="2"/>
        <v>181100.917431193</v>
      </c>
      <c r="G8" s="25">
        <v>2820000</v>
      </c>
      <c r="H8" s="21"/>
      <c r="I8" s="22"/>
      <c r="J8" s="47"/>
      <c r="K8" s="48">
        <v>43613</v>
      </c>
      <c r="L8" s="49">
        <v>-190000</v>
      </c>
      <c r="M8" s="50" t="s">
        <v>27</v>
      </c>
      <c r="N8" s="46" t="s">
        <v>28</v>
      </c>
    </row>
    <row r="9" ht="18" customHeight="1" spans="1:14">
      <c r="A9" s="21">
        <v>43706</v>
      </c>
      <c r="B9" s="22">
        <f t="shared" si="0"/>
        <v>1018348.62385321</v>
      </c>
      <c r="C9" s="23">
        <v>0.02</v>
      </c>
      <c r="D9" s="24">
        <f t="shared" si="1"/>
        <v>20366.9724770642</v>
      </c>
      <c r="E9" s="23">
        <v>0.07</v>
      </c>
      <c r="F9" s="22">
        <f t="shared" si="2"/>
        <v>71284.4036697248</v>
      </c>
      <c r="G9" s="25">
        <v>1110000</v>
      </c>
      <c r="H9" s="21"/>
      <c r="I9" s="22"/>
      <c r="J9" s="47"/>
      <c r="K9" s="48">
        <v>43613</v>
      </c>
      <c r="L9" s="49">
        <v>-900000</v>
      </c>
      <c r="M9" s="50" t="s">
        <v>27</v>
      </c>
      <c r="N9" s="46" t="s">
        <v>30</v>
      </c>
    </row>
    <row r="10" ht="18" customHeight="1" spans="1:14">
      <c r="A10" s="21">
        <v>43805</v>
      </c>
      <c r="B10" s="22">
        <f t="shared" si="0"/>
        <v>2044243.7706422</v>
      </c>
      <c r="C10" s="23">
        <v>0.02</v>
      </c>
      <c r="D10" s="24">
        <f t="shared" si="1"/>
        <v>40884.875412844</v>
      </c>
      <c r="E10" s="26">
        <v>0.07</v>
      </c>
      <c r="F10" s="22">
        <f t="shared" si="2"/>
        <v>143097.063944954</v>
      </c>
      <c r="G10" s="25">
        <v>2228225.71</v>
      </c>
      <c r="H10" s="21">
        <v>43613</v>
      </c>
      <c r="I10" s="22">
        <v>18640</v>
      </c>
      <c r="J10" s="47" t="s">
        <v>26</v>
      </c>
      <c r="K10" s="48">
        <v>43613</v>
      </c>
      <c r="L10" s="49">
        <v>-18640</v>
      </c>
      <c r="M10" s="50" t="s">
        <v>27</v>
      </c>
      <c r="N10" s="46" t="s">
        <v>31</v>
      </c>
    </row>
    <row r="11" ht="18" customHeight="1" spans="1:14">
      <c r="A11" s="21"/>
      <c r="B11" s="22"/>
      <c r="C11" s="23"/>
      <c r="D11" s="24"/>
      <c r="E11" s="26"/>
      <c r="F11" s="22"/>
      <c r="G11" s="25"/>
      <c r="H11" s="21"/>
      <c r="I11" s="22"/>
      <c r="J11" s="47"/>
      <c r="K11" s="48">
        <v>43613</v>
      </c>
      <c r="L11" s="49">
        <v>-566</v>
      </c>
      <c r="M11" s="50" t="s">
        <v>32</v>
      </c>
      <c r="N11" s="46"/>
    </row>
    <row r="12" ht="18" customHeight="1" spans="1:14">
      <c r="A12" s="21"/>
      <c r="B12" s="22"/>
      <c r="C12" s="23"/>
      <c r="D12" s="24"/>
      <c r="E12" s="26"/>
      <c r="F12" s="22"/>
      <c r="G12" s="25"/>
      <c r="H12" s="21"/>
      <c r="I12" s="22"/>
      <c r="J12" s="47"/>
      <c r="K12" s="48">
        <v>43613</v>
      </c>
      <c r="L12" s="49">
        <v>1403.66</v>
      </c>
      <c r="M12" s="50" t="s">
        <v>33</v>
      </c>
      <c r="N12" s="46"/>
    </row>
    <row r="13" ht="18" customHeight="1" spans="1:14">
      <c r="A13" s="21"/>
      <c r="B13" s="22">
        <f>G13/(1+C13+E13)</f>
        <v>0</v>
      </c>
      <c r="C13" s="23">
        <v>0.02</v>
      </c>
      <c r="D13" s="24">
        <f>G13/(1+E13+C13)*C13</f>
        <v>0</v>
      </c>
      <c r="E13" s="26">
        <v>0.07</v>
      </c>
      <c r="F13" s="22">
        <f>G13/(1+C13+E13)*E13</f>
        <v>0</v>
      </c>
      <c r="G13" s="25"/>
      <c r="H13" s="21">
        <v>43613</v>
      </c>
      <c r="I13" s="22">
        <v>2690000</v>
      </c>
      <c r="J13" s="47" t="s">
        <v>26</v>
      </c>
      <c r="K13" s="48">
        <v>43613</v>
      </c>
      <c r="L13" s="51">
        <v>-2690000</v>
      </c>
      <c r="M13" s="50" t="s">
        <v>27</v>
      </c>
      <c r="N13" s="46" t="s">
        <v>31</v>
      </c>
    </row>
    <row r="14" ht="18" customHeight="1" spans="1:14">
      <c r="A14" s="21"/>
      <c r="B14" s="22"/>
      <c r="C14" s="23"/>
      <c r="D14" s="24"/>
      <c r="E14" s="26"/>
      <c r="F14" s="22"/>
      <c r="G14" s="25"/>
      <c r="H14" s="21"/>
      <c r="I14" s="22"/>
      <c r="J14" s="47"/>
      <c r="K14" s="48">
        <v>43641</v>
      </c>
      <c r="L14" s="51">
        <v>2820000</v>
      </c>
      <c r="M14" s="50" t="s">
        <v>27</v>
      </c>
      <c r="N14" s="46"/>
    </row>
    <row r="15" ht="18" customHeight="1" spans="1:14">
      <c r="A15" s="21"/>
      <c r="B15" s="22"/>
      <c r="C15" s="23"/>
      <c r="D15" s="24"/>
      <c r="E15" s="26"/>
      <c r="F15" s="22"/>
      <c r="G15" s="25"/>
      <c r="H15" s="21">
        <v>43654</v>
      </c>
      <c r="I15" s="22">
        <v>2250000</v>
      </c>
      <c r="J15" s="47" t="s">
        <v>26</v>
      </c>
      <c r="K15" s="48">
        <v>43654</v>
      </c>
      <c r="L15" s="51">
        <v>-2250000</v>
      </c>
      <c r="M15" s="50" t="s">
        <v>27</v>
      </c>
      <c r="N15" s="46" t="s">
        <v>31</v>
      </c>
    </row>
    <row r="16" ht="16.95" customHeight="1" spans="1:14">
      <c r="A16" s="21"/>
      <c r="B16" s="22"/>
      <c r="C16" s="23"/>
      <c r="D16" s="24"/>
      <c r="E16" s="23"/>
      <c r="F16" s="22"/>
      <c r="G16" s="25"/>
      <c r="H16" s="21"/>
      <c r="I16" s="22"/>
      <c r="J16" s="47"/>
      <c r="K16" s="48">
        <v>43713</v>
      </c>
      <c r="L16" s="51">
        <v>1100000</v>
      </c>
      <c r="M16" s="50" t="s">
        <v>27</v>
      </c>
      <c r="N16" s="46"/>
    </row>
    <row r="17" ht="16.95" customHeight="1" spans="1:14">
      <c r="A17" s="21"/>
      <c r="B17" s="22"/>
      <c r="C17" s="23"/>
      <c r="D17" s="24"/>
      <c r="E17" s="23"/>
      <c r="F17" s="22"/>
      <c r="G17" s="25"/>
      <c r="H17" s="21">
        <v>43714</v>
      </c>
      <c r="I17" s="22">
        <v>1110000</v>
      </c>
      <c r="J17" s="47" t="s">
        <v>26</v>
      </c>
      <c r="K17" s="48">
        <v>43714</v>
      </c>
      <c r="L17" s="51">
        <v>-1110000</v>
      </c>
      <c r="M17" s="50" t="s">
        <v>27</v>
      </c>
      <c r="N17" s="46" t="s">
        <v>31</v>
      </c>
    </row>
    <row r="18" ht="16.95" customHeight="1" spans="1:14">
      <c r="A18" s="21"/>
      <c r="B18" s="22"/>
      <c r="C18" s="23"/>
      <c r="D18" s="24"/>
      <c r="E18" s="23"/>
      <c r="F18" s="22"/>
      <c r="G18" s="25"/>
      <c r="H18" s="21">
        <v>43787</v>
      </c>
      <c r="I18" s="22">
        <v>561000</v>
      </c>
      <c r="J18" s="47" t="s">
        <v>26</v>
      </c>
      <c r="K18" s="48">
        <v>43787</v>
      </c>
      <c r="L18" s="51">
        <v>-561000</v>
      </c>
      <c r="M18" s="50" t="s">
        <v>27</v>
      </c>
      <c r="N18" s="46" t="s">
        <v>31</v>
      </c>
    </row>
    <row r="19" ht="16.95" customHeight="1" spans="1:14">
      <c r="A19" s="21"/>
      <c r="B19" s="22"/>
      <c r="C19" s="23"/>
      <c r="D19" s="24"/>
      <c r="E19" s="23"/>
      <c r="F19" s="22"/>
      <c r="G19" s="25"/>
      <c r="H19" s="21"/>
      <c r="I19" s="22"/>
      <c r="J19" s="47"/>
      <c r="K19" s="48">
        <v>43816</v>
      </c>
      <c r="L19" s="49">
        <v>2228225</v>
      </c>
      <c r="M19" s="50" t="s">
        <v>27</v>
      </c>
      <c r="N19" s="46"/>
    </row>
    <row r="20" ht="16.95" customHeight="1" spans="1:14">
      <c r="A20" s="21"/>
      <c r="B20" s="22"/>
      <c r="C20" s="23"/>
      <c r="D20" s="24"/>
      <c r="E20" s="23"/>
      <c r="F20" s="22"/>
      <c r="G20" s="25"/>
      <c r="H20" s="21"/>
      <c r="I20" s="22"/>
      <c r="J20" s="47"/>
      <c r="K20" s="48">
        <v>43822</v>
      </c>
      <c r="L20" s="49">
        <v>-298447</v>
      </c>
      <c r="M20" s="50" t="s">
        <v>37</v>
      </c>
      <c r="N20" s="46"/>
    </row>
    <row r="21" ht="16.95" customHeight="1" spans="1:14">
      <c r="A21" s="21"/>
      <c r="B21" s="22"/>
      <c r="C21" s="23"/>
      <c r="D21" s="24"/>
      <c r="E21" s="23"/>
      <c r="F21" s="22"/>
      <c r="G21" s="25"/>
      <c r="H21" s="21">
        <v>43823</v>
      </c>
      <c r="I21" s="22">
        <v>1600000</v>
      </c>
      <c r="J21" s="47" t="s">
        <v>26</v>
      </c>
      <c r="K21" s="52">
        <v>43823</v>
      </c>
      <c r="L21" s="53">
        <v>-1600000</v>
      </c>
      <c r="M21" s="50" t="s">
        <v>27</v>
      </c>
      <c r="N21" s="46"/>
    </row>
    <row r="22" ht="16.95" customHeight="1" spans="1:14">
      <c r="A22" s="21"/>
      <c r="B22" s="22"/>
      <c r="C22" s="23"/>
      <c r="D22" s="24"/>
      <c r="E22" s="23"/>
      <c r="F22" s="22"/>
      <c r="G22" s="25"/>
      <c r="H22" s="21"/>
      <c r="I22" s="22"/>
      <c r="J22" s="47"/>
      <c r="K22" s="48">
        <v>43839</v>
      </c>
      <c r="L22" s="49">
        <v>900000</v>
      </c>
      <c r="M22" s="50" t="s">
        <v>27</v>
      </c>
      <c r="N22" s="46"/>
    </row>
    <row r="23" ht="16.95" customHeight="1" spans="1:14">
      <c r="A23" s="21"/>
      <c r="B23" s="22"/>
      <c r="C23" s="23"/>
      <c r="D23" s="24"/>
      <c r="E23" s="23"/>
      <c r="F23" s="22"/>
      <c r="G23" s="25"/>
      <c r="H23" s="21">
        <v>43839</v>
      </c>
      <c r="I23" s="22">
        <v>1030975.66</v>
      </c>
      <c r="J23" s="47" t="s">
        <v>26</v>
      </c>
      <c r="K23" s="48">
        <v>43839</v>
      </c>
      <c r="L23" s="49">
        <v>-1030975.66</v>
      </c>
      <c r="M23" s="50" t="s">
        <v>27</v>
      </c>
      <c r="N23" s="46" t="s">
        <v>31</v>
      </c>
    </row>
    <row r="24" ht="16.95" customHeight="1" spans="1:14">
      <c r="A24" s="21"/>
      <c r="B24" s="22"/>
      <c r="C24" s="23"/>
      <c r="D24" s="24"/>
      <c r="E24" s="23"/>
      <c r="F24" s="22"/>
      <c r="G24" s="25"/>
      <c r="H24" s="21"/>
      <c r="I24" s="22"/>
      <c r="J24" s="47"/>
      <c r="K24" s="46"/>
      <c r="L24" s="46"/>
      <c r="M24" s="46"/>
      <c r="N24" s="46"/>
    </row>
    <row r="25" ht="18" customHeight="1" spans="1:14">
      <c r="A25" s="27" t="s">
        <v>42</v>
      </c>
      <c r="B25" s="28">
        <f t="shared" ref="B25:G25" si="3">SUM(B7:B24)</f>
        <v>9135986.88990825</v>
      </c>
      <c r="C25" s="29"/>
      <c r="D25" s="28">
        <f t="shared" si="3"/>
        <v>182719.737798165</v>
      </c>
      <c r="E25" s="29"/>
      <c r="F25" s="28">
        <f t="shared" si="3"/>
        <v>639519.082293578</v>
      </c>
      <c r="G25" s="28">
        <f t="shared" si="3"/>
        <v>9958225.71</v>
      </c>
      <c r="H25" s="30"/>
      <c r="I25" s="28">
        <f>SUM(I7:I24)</f>
        <v>9260615.66</v>
      </c>
      <c r="J25" s="30"/>
      <c r="K25" s="46"/>
      <c r="L25" s="46">
        <f>SUM(L7:L23)</f>
        <v>200000</v>
      </c>
      <c r="M25" s="46"/>
      <c r="N25" s="46"/>
    </row>
    <row r="26" ht="18" customHeight="1" spans="1:12">
      <c r="A26" s="2" t="s">
        <v>43</v>
      </c>
      <c r="J26" s="4"/>
      <c r="K26" s="4"/>
      <c r="L26" s="5"/>
    </row>
    <row r="27" ht="18" customHeight="1" spans="1:15">
      <c r="A27" s="31" t="s">
        <v>44</v>
      </c>
      <c r="B27" s="19" t="s">
        <v>45</v>
      </c>
      <c r="C27" s="18" t="s">
        <v>46</v>
      </c>
      <c r="D27" s="18" t="s">
        <v>47</v>
      </c>
      <c r="E27" s="18" t="s">
        <v>20</v>
      </c>
      <c r="F27" s="19" t="s">
        <v>48</v>
      </c>
      <c r="G27" s="19" t="s">
        <v>18</v>
      </c>
      <c r="H27" s="18" t="s">
        <v>49</v>
      </c>
      <c r="I27" s="19" t="s">
        <v>50</v>
      </c>
      <c r="J27" s="18" t="s">
        <v>24</v>
      </c>
      <c r="K27" s="54" t="s">
        <v>52</v>
      </c>
      <c r="L27" s="20" t="s">
        <v>53</v>
      </c>
      <c r="M27" s="20" t="s">
        <v>54</v>
      </c>
      <c r="N27" s="20" t="s">
        <v>55</v>
      </c>
      <c r="O27" s="20" t="s">
        <v>56</v>
      </c>
    </row>
    <row r="28" ht="18" customHeight="1" spans="1:15">
      <c r="A28" s="32">
        <v>43556</v>
      </c>
      <c r="B28" s="22">
        <f t="shared" ref="B28:B31" si="4">ROUND(G28/(1+E28),2)</f>
        <v>274551.72</v>
      </c>
      <c r="C28" s="33"/>
      <c r="D28" s="34" t="s">
        <v>57</v>
      </c>
      <c r="E28" s="35">
        <v>0.16</v>
      </c>
      <c r="F28" s="22">
        <f t="shared" ref="F28:F30" si="5">ROUND(G28/(1+E28)*E28,2)</f>
        <v>43928.28</v>
      </c>
      <c r="G28" s="36">
        <f>106160*3</f>
        <v>318480</v>
      </c>
      <c r="H28" s="21">
        <v>43620</v>
      </c>
      <c r="I28" s="22">
        <v>318480</v>
      </c>
      <c r="J28" s="47" t="s">
        <v>26</v>
      </c>
      <c r="K28" s="55" t="s">
        <v>58</v>
      </c>
      <c r="L28" s="30" t="s">
        <v>59</v>
      </c>
      <c r="M28" s="47" t="s">
        <v>60</v>
      </c>
      <c r="N28" s="47" t="s">
        <v>60</v>
      </c>
      <c r="O28" s="30"/>
    </row>
    <row r="29" ht="18" customHeight="1" spans="1:15">
      <c r="A29" s="32">
        <v>43586</v>
      </c>
      <c r="B29" s="22">
        <f t="shared" si="4"/>
        <v>970873.79</v>
      </c>
      <c r="C29" s="33"/>
      <c r="D29" s="34" t="s">
        <v>57</v>
      </c>
      <c r="E29" s="35">
        <v>0.03</v>
      </c>
      <c r="F29" s="22">
        <f t="shared" si="5"/>
        <v>29126.21</v>
      </c>
      <c r="G29" s="36">
        <f>960000+40000</f>
        <v>1000000</v>
      </c>
      <c r="H29" s="21">
        <v>43614</v>
      </c>
      <c r="I29" s="22">
        <v>1000000</v>
      </c>
      <c r="J29" s="47" t="s">
        <v>26</v>
      </c>
      <c r="K29" s="55" t="s">
        <v>61</v>
      </c>
      <c r="L29" s="30" t="s">
        <v>62</v>
      </c>
      <c r="M29" s="47" t="s">
        <v>60</v>
      </c>
      <c r="N29" s="47" t="s">
        <v>60</v>
      </c>
      <c r="O29" s="30"/>
    </row>
    <row r="30" ht="18" customHeight="1" spans="1:15">
      <c r="A30" s="32">
        <v>43586</v>
      </c>
      <c r="B30" s="22">
        <f t="shared" si="4"/>
        <v>776699.03</v>
      </c>
      <c r="C30" s="33"/>
      <c r="D30" s="34" t="s">
        <v>57</v>
      </c>
      <c r="E30" s="35">
        <v>0.03</v>
      </c>
      <c r="F30" s="22">
        <f t="shared" si="5"/>
        <v>23300.97</v>
      </c>
      <c r="G30" s="36">
        <v>800000</v>
      </c>
      <c r="H30" s="21">
        <v>43620</v>
      </c>
      <c r="I30" s="22">
        <v>222610</v>
      </c>
      <c r="J30" s="47" t="s">
        <v>26</v>
      </c>
      <c r="K30" s="55" t="s">
        <v>63</v>
      </c>
      <c r="L30" s="30" t="s">
        <v>64</v>
      </c>
      <c r="M30" s="47" t="s">
        <v>60</v>
      </c>
      <c r="N30" s="47" t="s">
        <v>60</v>
      </c>
      <c r="O30" s="30"/>
    </row>
    <row r="31" ht="18" customHeight="1" spans="1:15">
      <c r="A31" s="32">
        <v>43586</v>
      </c>
      <c r="B31" s="22">
        <f t="shared" si="4"/>
        <v>776699.03</v>
      </c>
      <c r="C31" s="33"/>
      <c r="D31" s="34" t="s">
        <v>57</v>
      </c>
      <c r="E31" s="35">
        <v>0.03</v>
      </c>
      <c r="F31" s="22">
        <f t="shared" ref="F31" si="6">ROUND(G31/(1+E31)*E31,2)</f>
        <v>23300.97</v>
      </c>
      <c r="G31" s="36">
        <f>100000*8</f>
        <v>800000</v>
      </c>
      <c r="H31" s="21"/>
      <c r="I31" s="56"/>
      <c r="J31" s="47"/>
      <c r="K31" s="57" t="s">
        <v>65</v>
      </c>
      <c r="L31" s="30" t="s">
        <v>66</v>
      </c>
      <c r="M31" s="47" t="s">
        <v>60</v>
      </c>
      <c r="N31" s="47" t="s">
        <v>60</v>
      </c>
      <c r="O31" s="30"/>
    </row>
    <row r="32" ht="18" customHeight="1" spans="1:15">
      <c r="A32" s="32">
        <v>43586</v>
      </c>
      <c r="B32" s="22">
        <f t="shared" ref="B32:B58" si="7">ROUND(G32/(1+E32),2)</f>
        <v>884955.75</v>
      </c>
      <c r="C32" s="33"/>
      <c r="D32" s="34" t="s">
        <v>57</v>
      </c>
      <c r="E32" s="35">
        <v>0.13</v>
      </c>
      <c r="F32" s="22">
        <f t="shared" ref="F32:F47" si="8">ROUND(G32/(1+E32)*E32,2)</f>
        <v>115044.25</v>
      </c>
      <c r="G32" s="36">
        <v>1000000</v>
      </c>
      <c r="H32" s="21">
        <v>43614</v>
      </c>
      <c r="I32" s="22">
        <v>1000000</v>
      </c>
      <c r="J32" s="47" t="s">
        <v>26</v>
      </c>
      <c r="K32" s="55" t="s">
        <v>67</v>
      </c>
      <c r="L32" s="30" t="s">
        <v>68</v>
      </c>
      <c r="M32" s="47" t="s">
        <v>60</v>
      </c>
      <c r="N32" s="47"/>
      <c r="O32" s="30"/>
    </row>
    <row r="33" s="1" customFormat="1" ht="18" customHeight="1" spans="1:15">
      <c r="A33" s="32">
        <v>43617</v>
      </c>
      <c r="B33" s="16">
        <f t="shared" si="7"/>
        <v>884955.75</v>
      </c>
      <c r="C33" s="37"/>
      <c r="D33" s="34" t="s">
        <v>57</v>
      </c>
      <c r="E33" s="38">
        <v>0.13</v>
      </c>
      <c r="F33" s="16">
        <f t="shared" si="8"/>
        <v>115044.25</v>
      </c>
      <c r="G33" s="25">
        <v>1000000</v>
      </c>
      <c r="H33" s="21">
        <v>43643</v>
      </c>
      <c r="I33" s="22">
        <v>1370000</v>
      </c>
      <c r="J33" s="47" t="s">
        <v>26</v>
      </c>
      <c r="K33" s="58" t="s">
        <v>67</v>
      </c>
      <c r="L33" s="59" t="s">
        <v>69</v>
      </c>
      <c r="N33" s="60"/>
      <c r="O33" s="59"/>
    </row>
    <row r="34" s="1" customFormat="1" ht="18" customHeight="1" spans="1:15">
      <c r="A34" s="39"/>
      <c r="B34" s="16">
        <f t="shared" si="7"/>
        <v>0</v>
      </c>
      <c r="C34" s="37"/>
      <c r="D34" s="34"/>
      <c r="E34" s="38"/>
      <c r="F34" s="16">
        <f t="shared" si="8"/>
        <v>0</v>
      </c>
      <c r="G34" s="25"/>
      <c r="H34" s="21">
        <v>43643</v>
      </c>
      <c r="I34" s="22">
        <v>-1370000</v>
      </c>
      <c r="J34" s="47" t="s">
        <v>70</v>
      </c>
      <c r="K34" s="58" t="s">
        <v>71</v>
      </c>
      <c r="L34" s="59" t="s">
        <v>72</v>
      </c>
      <c r="M34" s="60"/>
      <c r="N34" s="60"/>
      <c r="O34" s="59"/>
    </row>
    <row r="35" s="1" customFormat="1" ht="18" customHeight="1" spans="1:15">
      <c r="A35" s="32">
        <v>43617</v>
      </c>
      <c r="B35" s="16">
        <f t="shared" si="7"/>
        <v>681415.93</v>
      </c>
      <c r="C35" s="37"/>
      <c r="D35" s="34" t="s">
        <v>57</v>
      </c>
      <c r="E35" s="38">
        <v>0.13</v>
      </c>
      <c r="F35" s="16">
        <f t="shared" si="8"/>
        <v>88584.07</v>
      </c>
      <c r="G35" s="25">
        <f>110000*7</f>
        <v>770000</v>
      </c>
      <c r="H35" s="21">
        <v>43668</v>
      </c>
      <c r="I35" s="22">
        <f>110000*7</f>
        <v>770000</v>
      </c>
      <c r="J35" s="47" t="s">
        <v>26</v>
      </c>
      <c r="K35" s="58" t="s">
        <v>73</v>
      </c>
      <c r="L35" s="59" t="s">
        <v>74</v>
      </c>
      <c r="M35" s="60"/>
      <c r="N35" s="60"/>
      <c r="O35" s="59"/>
    </row>
    <row r="36" s="1" customFormat="1" ht="18" customHeight="1" spans="1:15">
      <c r="A36" s="32">
        <v>43617</v>
      </c>
      <c r="B36" s="16">
        <f t="shared" si="7"/>
        <v>115044.25</v>
      </c>
      <c r="C36" s="37"/>
      <c r="D36" s="34" t="s">
        <v>57</v>
      </c>
      <c r="E36" s="38">
        <v>0.13</v>
      </c>
      <c r="F36" s="16">
        <f t="shared" si="8"/>
        <v>14955.75</v>
      </c>
      <c r="G36" s="25">
        <f>112860+17140</f>
        <v>130000</v>
      </c>
      <c r="H36" s="21">
        <v>43668</v>
      </c>
      <c r="I36" s="22">
        <f>112860+17140</f>
        <v>130000</v>
      </c>
      <c r="J36" s="47" t="s">
        <v>26</v>
      </c>
      <c r="K36" s="58" t="s">
        <v>73</v>
      </c>
      <c r="L36" s="59" t="s">
        <v>75</v>
      </c>
      <c r="M36" s="60"/>
      <c r="N36" s="60"/>
      <c r="O36" s="59"/>
    </row>
    <row r="37" s="1" customFormat="1" ht="18" customHeight="1" spans="1:15">
      <c r="A37" s="32"/>
      <c r="B37" s="16">
        <f t="shared" si="7"/>
        <v>0</v>
      </c>
      <c r="C37" s="37"/>
      <c r="D37" s="34"/>
      <c r="E37" s="38"/>
      <c r="F37" s="16">
        <f t="shared" si="8"/>
        <v>0</v>
      </c>
      <c r="G37" s="25"/>
      <c r="H37" s="21">
        <v>43656</v>
      </c>
      <c r="I37" s="22">
        <v>1000000</v>
      </c>
      <c r="J37" s="47" t="s">
        <v>70</v>
      </c>
      <c r="K37" s="58" t="s">
        <v>71</v>
      </c>
      <c r="L37" s="59" t="s">
        <v>76</v>
      </c>
      <c r="M37" s="60"/>
      <c r="N37" s="60"/>
      <c r="O37" s="59"/>
    </row>
    <row r="38" s="1" customFormat="1" ht="18" customHeight="1" spans="1:15">
      <c r="A38" s="32"/>
      <c r="B38" s="16">
        <f t="shared" si="7"/>
        <v>0</v>
      </c>
      <c r="C38" s="37"/>
      <c r="D38" s="34"/>
      <c r="E38" s="38"/>
      <c r="F38" s="16">
        <f t="shared" si="8"/>
        <v>0</v>
      </c>
      <c r="G38" s="25"/>
      <c r="H38" s="21">
        <v>43661</v>
      </c>
      <c r="I38" s="22">
        <f>-370000</f>
        <v>-370000</v>
      </c>
      <c r="J38" s="47" t="s">
        <v>26</v>
      </c>
      <c r="K38" s="58" t="s">
        <v>67</v>
      </c>
      <c r="L38" s="59" t="s">
        <v>69</v>
      </c>
      <c r="M38" s="60"/>
      <c r="N38" s="60"/>
      <c r="O38" s="59"/>
    </row>
    <row r="39" s="1" customFormat="1" ht="18" customHeight="1" spans="1:15">
      <c r="A39" s="32"/>
      <c r="B39" s="16">
        <f t="shared" si="7"/>
        <v>0</v>
      </c>
      <c r="C39" s="37"/>
      <c r="D39" s="34"/>
      <c r="E39" s="38"/>
      <c r="F39" s="16">
        <f t="shared" si="8"/>
        <v>0</v>
      </c>
      <c r="G39" s="25"/>
      <c r="H39" s="21">
        <v>43662</v>
      </c>
      <c r="I39" s="22">
        <v>370000</v>
      </c>
      <c r="J39" s="47" t="s">
        <v>70</v>
      </c>
      <c r="K39" s="58" t="s">
        <v>71</v>
      </c>
      <c r="L39" s="59"/>
      <c r="M39" s="60"/>
      <c r="N39" s="60"/>
      <c r="O39" s="59"/>
    </row>
    <row r="40" s="1" customFormat="1" ht="18" customHeight="1" spans="1:15">
      <c r="A40" s="32">
        <v>43678</v>
      </c>
      <c r="B40" s="16">
        <f t="shared" si="7"/>
        <v>776699.03</v>
      </c>
      <c r="C40" s="37"/>
      <c r="D40" s="34" t="s">
        <v>57</v>
      </c>
      <c r="E40" s="35">
        <v>0.03</v>
      </c>
      <c r="F40" s="16">
        <f t="shared" si="8"/>
        <v>23300.97</v>
      </c>
      <c r="G40" s="25">
        <v>800000</v>
      </c>
      <c r="H40" s="21"/>
      <c r="I40" s="56"/>
      <c r="J40" s="47"/>
      <c r="K40" s="58" t="s">
        <v>77</v>
      </c>
      <c r="L40" s="59" t="s">
        <v>78</v>
      </c>
      <c r="M40" s="60"/>
      <c r="N40" s="60"/>
      <c r="O40" s="59"/>
    </row>
    <row r="41" s="1" customFormat="1" ht="18" customHeight="1" spans="1:15">
      <c r="A41" s="32">
        <v>43678</v>
      </c>
      <c r="B41" s="16">
        <f t="shared" si="7"/>
        <v>776699.03</v>
      </c>
      <c r="C41" s="37"/>
      <c r="D41" s="34" t="s">
        <v>57</v>
      </c>
      <c r="E41" s="40">
        <v>0.03</v>
      </c>
      <c r="F41" s="16">
        <f t="shared" si="8"/>
        <v>23300.97</v>
      </c>
      <c r="G41" s="25">
        <v>800000</v>
      </c>
      <c r="H41" s="21">
        <v>43719</v>
      </c>
      <c r="I41" s="22">
        <v>800000</v>
      </c>
      <c r="J41" s="47" t="s">
        <v>26</v>
      </c>
      <c r="K41" s="58" t="s">
        <v>79</v>
      </c>
      <c r="L41" s="59" t="s">
        <v>80</v>
      </c>
      <c r="M41" s="60"/>
      <c r="N41" s="60"/>
      <c r="O41" s="59"/>
    </row>
    <row r="42" s="1" customFormat="1" ht="18" customHeight="1" spans="1:15">
      <c r="A42" s="32"/>
      <c r="B42" s="16">
        <f t="shared" si="7"/>
        <v>0</v>
      </c>
      <c r="C42" s="37"/>
      <c r="D42" s="34"/>
      <c r="E42" s="38"/>
      <c r="F42" s="16">
        <f t="shared" si="8"/>
        <v>0</v>
      </c>
      <c r="G42" s="25"/>
      <c r="H42" s="21">
        <v>43710</v>
      </c>
      <c r="I42" s="22">
        <v>-32540.4</v>
      </c>
      <c r="J42" s="47" t="s">
        <v>70</v>
      </c>
      <c r="K42" s="58" t="s">
        <v>81</v>
      </c>
      <c r="L42" s="59"/>
      <c r="M42" s="60"/>
      <c r="N42" s="60"/>
      <c r="O42" s="59"/>
    </row>
    <row r="43" s="1" customFormat="1" ht="18" customHeight="1" spans="1:15">
      <c r="A43" s="32"/>
      <c r="B43" s="16">
        <f t="shared" si="7"/>
        <v>0</v>
      </c>
      <c r="C43" s="37"/>
      <c r="D43" s="34"/>
      <c r="E43" s="38"/>
      <c r="F43" s="16">
        <f t="shared" si="8"/>
        <v>0</v>
      </c>
      <c r="G43" s="25"/>
      <c r="H43" s="21">
        <v>43710</v>
      </c>
      <c r="I43" s="22">
        <v>32540.4</v>
      </c>
      <c r="J43" s="47" t="s">
        <v>26</v>
      </c>
      <c r="K43" s="58" t="s">
        <v>82</v>
      </c>
      <c r="L43" s="59" t="s">
        <v>83</v>
      </c>
      <c r="M43" s="60"/>
      <c r="N43" s="60"/>
      <c r="O43" s="59"/>
    </row>
    <row r="44" s="1" customFormat="1" ht="18" customHeight="1" spans="1:15">
      <c r="A44" s="32"/>
      <c r="B44" s="16">
        <f t="shared" si="7"/>
        <v>0</v>
      </c>
      <c r="C44" s="37"/>
      <c r="D44" s="34"/>
      <c r="E44" s="38"/>
      <c r="F44" s="16">
        <f t="shared" si="8"/>
        <v>0</v>
      </c>
      <c r="G44" s="25"/>
      <c r="H44" s="21">
        <v>43719</v>
      </c>
      <c r="I44" s="61">
        <v>444327</v>
      </c>
      <c r="J44" s="47" t="s">
        <v>26</v>
      </c>
      <c r="K44" s="55" t="s">
        <v>63</v>
      </c>
      <c r="L44" s="59" t="s">
        <v>64</v>
      </c>
      <c r="M44" s="60"/>
      <c r="N44" s="60"/>
      <c r="O44" s="59"/>
    </row>
    <row r="45" s="1" customFormat="1" ht="18" customHeight="1" spans="1:15">
      <c r="A45" s="32"/>
      <c r="B45" s="16">
        <f t="shared" si="7"/>
        <v>0</v>
      </c>
      <c r="C45" s="37"/>
      <c r="D45" s="34"/>
      <c r="E45" s="38"/>
      <c r="F45" s="16">
        <f t="shared" si="8"/>
        <v>0</v>
      </c>
      <c r="G45" s="25"/>
      <c r="H45" s="21">
        <v>43791</v>
      </c>
      <c r="I45" s="22">
        <v>558000</v>
      </c>
      <c r="J45" s="47" t="s">
        <v>26</v>
      </c>
      <c r="K45" s="55" t="s">
        <v>77</v>
      </c>
      <c r="L45" s="59" t="s">
        <v>78</v>
      </c>
      <c r="M45" s="60"/>
      <c r="N45" s="60"/>
      <c r="O45" s="59"/>
    </row>
    <row r="46" s="1" customFormat="1" ht="18" customHeight="1" spans="1:15">
      <c r="A46" s="32">
        <v>43800</v>
      </c>
      <c r="B46" s="16">
        <f t="shared" si="7"/>
        <v>1815533.98</v>
      </c>
      <c r="C46" s="37"/>
      <c r="D46" s="34" t="s">
        <v>57</v>
      </c>
      <c r="E46" s="40">
        <v>0.03</v>
      </c>
      <c r="F46" s="16">
        <f t="shared" si="8"/>
        <v>54466.02</v>
      </c>
      <c r="G46" s="25">
        <v>1870000</v>
      </c>
      <c r="H46" s="21">
        <v>43843</v>
      </c>
      <c r="I46" s="22">
        <v>1468559</v>
      </c>
      <c r="J46" s="47" t="s">
        <v>26</v>
      </c>
      <c r="K46" s="55" t="s">
        <v>79</v>
      </c>
      <c r="L46" s="59" t="s">
        <v>84</v>
      </c>
      <c r="M46" s="60" t="s">
        <v>60</v>
      </c>
      <c r="N46" s="60"/>
      <c r="O46" s="59"/>
    </row>
    <row r="47" s="1" customFormat="1" ht="18" customHeight="1" spans="1:15">
      <c r="A47" s="32"/>
      <c r="B47" s="16">
        <f t="shared" si="7"/>
        <v>0</v>
      </c>
      <c r="C47" s="37"/>
      <c r="D47" s="34"/>
      <c r="E47" s="40"/>
      <c r="F47" s="16">
        <f t="shared" si="8"/>
        <v>0</v>
      </c>
      <c r="G47" s="25"/>
      <c r="H47" s="21">
        <v>43852</v>
      </c>
      <c r="I47" s="22">
        <v>401441</v>
      </c>
      <c r="J47" s="47" t="s">
        <v>26</v>
      </c>
      <c r="K47" s="55" t="s">
        <v>79</v>
      </c>
      <c r="L47" s="59" t="s">
        <v>84</v>
      </c>
      <c r="M47" s="60"/>
      <c r="N47" s="60"/>
      <c r="O47" s="59"/>
    </row>
    <row r="48" s="1" customFormat="1" ht="18" customHeight="1" spans="1:15">
      <c r="A48" s="32"/>
      <c r="B48" s="16">
        <f t="shared" si="7"/>
        <v>0</v>
      </c>
      <c r="C48" s="37"/>
      <c r="D48" s="34"/>
      <c r="E48" s="40"/>
      <c r="F48" s="16">
        <f t="shared" ref="F48:F60" si="9">ROUND(G48/(1+E48)*E48,2)</f>
        <v>0</v>
      </c>
      <c r="G48" s="25"/>
      <c r="H48" s="21">
        <v>43852</v>
      </c>
      <c r="I48" s="22">
        <v>627612.56</v>
      </c>
      <c r="J48" s="47" t="s">
        <v>26</v>
      </c>
      <c r="K48" s="55" t="s">
        <v>65</v>
      </c>
      <c r="L48" s="59" t="s">
        <v>85</v>
      </c>
      <c r="M48" s="60"/>
      <c r="N48" s="60"/>
      <c r="O48" s="59"/>
    </row>
    <row r="49" s="1" customFormat="1" ht="18" customHeight="1" spans="1:15">
      <c r="A49" s="32"/>
      <c r="B49" s="16">
        <f t="shared" si="7"/>
        <v>0</v>
      </c>
      <c r="C49" s="37"/>
      <c r="D49" s="34"/>
      <c r="E49" s="40"/>
      <c r="F49" s="16">
        <f t="shared" si="9"/>
        <v>0</v>
      </c>
      <c r="G49" s="25"/>
      <c r="H49" s="21"/>
      <c r="I49" s="22"/>
      <c r="J49" s="47"/>
      <c r="K49" s="55"/>
      <c r="L49" s="59"/>
      <c r="M49" s="60"/>
      <c r="N49" s="60"/>
      <c r="O49" s="59"/>
    </row>
    <row r="50" s="1" customFormat="1" ht="18" customHeight="1" spans="1:15">
      <c r="A50" s="32"/>
      <c r="B50" s="16">
        <f t="shared" si="7"/>
        <v>0</v>
      </c>
      <c r="C50" s="37"/>
      <c r="D50" s="34"/>
      <c r="E50" s="40"/>
      <c r="F50" s="16">
        <f t="shared" si="9"/>
        <v>0</v>
      </c>
      <c r="G50" s="25"/>
      <c r="H50" s="21"/>
      <c r="I50" s="22"/>
      <c r="J50" s="47"/>
      <c r="K50" s="55"/>
      <c r="L50" s="59"/>
      <c r="M50" s="60"/>
      <c r="N50" s="60"/>
      <c r="O50" s="59"/>
    </row>
    <row r="51" s="1" customFormat="1" ht="18" customHeight="1" spans="1:15">
      <c r="A51" s="32"/>
      <c r="B51" s="16">
        <f t="shared" si="7"/>
        <v>0</v>
      </c>
      <c r="C51" s="37"/>
      <c r="D51" s="34"/>
      <c r="E51" s="40"/>
      <c r="F51" s="16">
        <f t="shared" si="9"/>
        <v>0</v>
      </c>
      <c r="G51" s="25"/>
      <c r="H51" s="21" t="s">
        <v>97</v>
      </c>
      <c r="I51" s="22">
        <v>7500</v>
      </c>
      <c r="J51" s="47" t="s">
        <v>89</v>
      </c>
      <c r="K51" s="55" t="s">
        <v>106</v>
      </c>
      <c r="L51" s="59"/>
      <c r="M51" s="60"/>
      <c r="N51" s="60"/>
      <c r="O51" s="59"/>
    </row>
    <row r="52" s="1" customFormat="1" ht="18" customHeight="1" spans="1:15">
      <c r="A52" s="32"/>
      <c r="B52" s="16">
        <f t="shared" si="7"/>
        <v>0</v>
      </c>
      <c r="C52" s="37"/>
      <c r="D52" s="34"/>
      <c r="E52" s="40"/>
      <c r="F52" s="16">
        <f t="shared" si="9"/>
        <v>0</v>
      </c>
      <c r="G52" s="25"/>
      <c r="H52" s="21" t="s">
        <v>97</v>
      </c>
      <c r="I52" s="22">
        <v>200</v>
      </c>
      <c r="J52" s="47" t="s">
        <v>89</v>
      </c>
      <c r="K52" s="55" t="s">
        <v>99</v>
      </c>
      <c r="L52" s="59"/>
      <c r="M52" s="60"/>
      <c r="N52" s="60"/>
      <c r="O52" s="59"/>
    </row>
    <row r="53" s="1" customFormat="1" ht="18" customHeight="1" spans="1:15">
      <c r="A53" s="32"/>
      <c r="B53" s="16">
        <f t="shared" si="7"/>
        <v>1722.1</v>
      </c>
      <c r="C53" s="37"/>
      <c r="D53" s="34"/>
      <c r="E53" s="40"/>
      <c r="F53" s="16">
        <f t="shared" si="9"/>
        <v>0</v>
      </c>
      <c r="G53" s="25">
        <f>1722.1</f>
        <v>1722.1</v>
      </c>
      <c r="H53" s="21" t="s">
        <v>97</v>
      </c>
      <c r="I53" s="22">
        <f>G53</f>
        <v>1722.1</v>
      </c>
      <c r="J53" s="47" t="s">
        <v>89</v>
      </c>
      <c r="K53" s="62" t="s">
        <v>100</v>
      </c>
      <c r="L53" s="59"/>
      <c r="M53" s="60"/>
      <c r="N53" s="60"/>
      <c r="O53" s="59"/>
    </row>
    <row r="54" s="1" customFormat="1" ht="18" customHeight="1" spans="1:15">
      <c r="A54" s="32"/>
      <c r="B54" s="16">
        <f t="shared" si="7"/>
        <v>0</v>
      </c>
      <c r="C54" s="37"/>
      <c r="D54" s="34"/>
      <c r="E54" s="40"/>
      <c r="F54" s="16">
        <f t="shared" si="9"/>
        <v>0</v>
      </c>
      <c r="G54" s="25"/>
      <c r="H54" s="21">
        <v>43843</v>
      </c>
      <c r="I54" s="22">
        <v>200</v>
      </c>
      <c r="J54" s="47" t="s">
        <v>89</v>
      </c>
      <c r="K54" s="55" t="s">
        <v>99</v>
      </c>
      <c r="L54" s="59"/>
      <c r="M54" s="60"/>
      <c r="N54" s="60"/>
      <c r="O54" s="59"/>
    </row>
    <row r="55" s="1" customFormat="1" ht="18" customHeight="1" spans="1:15">
      <c r="A55" s="32"/>
      <c r="B55" s="16">
        <f t="shared" si="7"/>
        <v>0</v>
      </c>
      <c r="C55" s="37"/>
      <c r="D55" s="34"/>
      <c r="E55" s="40"/>
      <c r="F55" s="16">
        <f t="shared" si="9"/>
        <v>0</v>
      </c>
      <c r="G55" s="25"/>
      <c r="H55" s="21" t="s">
        <v>101</v>
      </c>
      <c r="I55" s="22">
        <v>2175</v>
      </c>
      <c r="J55" s="47" t="s">
        <v>89</v>
      </c>
      <c r="K55" s="58" t="s">
        <v>102</v>
      </c>
      <c r="L55" s="59"/>
      <c r="M55" s="60"/>
      <c r="N55" s="60"/>
      <c r="O55" s="59"/>
    </row>
    <row r="56" s="1" customFormat="1" ht="18" customHeight="1" spans="1:15">
      <c r="A56" s="32"/>
      <c r="B56" s="16">
        <f t="shared" si="7"/>
        <v>0</v>
      </c>
      <c r="C56" s="37"/>
      <c r="D56" s="34"/>
      <c r="E56" s="40"/>
      <c r="F56" s="16">
        <f t="shared" si="9"/>
        <v>0</v>
      </c>
      <c r="G56" s="25"/>
      <c r="H56" s="21" t="s">
        <v>101</v>
      </c>
      <c r="I56" s="22">
        <v>2500</v>
      </c>
      <c r="J56" s="47" t="s">
        <v>89</v>
      </c>
      <c r="K56" s="58" t="s">
        <v>135</v>
      </c>
      <c r="L56" s="59"/>
      <c r="M56" s="60"/>
      <c r="N56" s="60"/>
      <c r="O56" s="59"/>
    </row>
    <row r="57" s="1" customFormat="1" ht="18" customHeight="1" spans="1:15">
      <c r="A57" s="32"/>
      <c r="B57" s="16">
        <f t="shared" si="7"/>
        <v>0</v>
      </c>
      <c r="C57" s="37"/>
      <c r="D57" s="34"/>
      <c r="E57" s="40"/>
      <c r="F57" s="16">
        <f t="shared" si="9"/>
        <v>0</v>
      </c>
      <c r="G57" s="25"/>
      <c r="H57" s="21" t="s">
        <v>101</v>
      </c>
      <c r="I57" s="22">
        <v>35652</v>
      </c>
      <c r="J57" s="47" t="s">
        <v>89</v>
      </c>
      <c r="K57" s="58" t="s">
        <v>8</v>
      </c>
      <c r="L57" s="59"/>
      <c r="M57" s="60"/>
      <c r="N57" s="60"/>
      <c r="O57" s="59"/>
    </row>
    <row r="58" s="1" customFormat="1" ht="18" customHeight="1" spans="1:15">
      <c r="A58" s="32"/>
      <c r="B58" s="16">
        <f t="shared" si="7"/>
        <v>0</v>
      </c>
      <c r="C58" s="37"/>
      <c r="D58" s="34"/>
      <c r="E58" s="38"/>
      <c r="F58" s="16">
        <f t="shared" si="9"/>
        <v>0</v>
      </c>
      <c r="G58" s="25"/>
      <c r="H58" s="21" t="s">
        <v>101</v>
      </c>
      <c r="I58" s="22">
        <v>83414</v>
      </c>
      <c r="J58" s="47" t="s">
        <v>89</v>
      </c>
      <c r="K58" s="58" t="s">
        <v>104</v>
      </c>
      <c r="L58" s="59"/>
      <c r="M58" s="60"/>
      <c r="N58" s="60"/>
      <c r="O58" s="59"/>
    </row>
    <row r="59" s="1" customFormat="1" ht="18" customHeight="1" spans="1:15">
      <c r="A59" s="32"/>
      <c r="B59" s="16">
        <f t="shared" ref="B59:B71" si="10">ROUND(G59/(1+E59),2)</f>
        <v>0</v>
      </c>
      <c r="C59" s="37"/>
      <c r="D59" s="34"/>
      <c r="E59" s="38"/>
      <c r="F59" s="16">
        <f t="shared" si="9"/>
        <v>0</v>
      </c>
      <c r="G59" s="25"/>
      <c r="H59" s="21" t="s">
        <v>105</v>
      </c>
      <c r="I59" s="22">
        <v>3000</v>
      </c>
      <c r="J59" s="47" t="s">
        <v>89</v>
      </c>
      <c r="K59" s="58" t="s">
        <v>106</v>
      </c>
      <c r="L59" s="59"/>
      <c r="M59" s="60"/>
      <c r="N59" s="60"/>
      <c r="O59" s="59"/>
    </row>
    <row r="60" s="1" customFormat="1" ht="18" customHeight="1" spans="1:15">
      <c r="A60" s="32"/>
      <c r="B60" s="16">
        <f t="shared" si="10"/>
        <v>0</v>
      </c>
      <c r="C60" s="37"/>
      <c r="D60" s="34"/>
      <c r="E60" s="38"/>
      <c r="F60" s="16">
        <f t="shared" si="9"/>
        <v>0</v>
      </c>
      <c r="G60" s="25"/>
      <c r="H60" s="21" t="s">
        <v>105</v>
      </c>
      <c r="I60" s="22">
        <v>-114944</v>
      </c>
      <c r="J60" s="47" t="s">
        <v>90</v>
      </c>
      <c r="K60" s="58" t="s">
        <v>107</v>
      </c>
      <c r="L60" s="59"/>
      <c r="M60" s="60"/>
      <c r="N60" s="60"/>
      <c r="O60" s="59"/>
    </row>
    <row r="61" s="1" customFormat="1" ht="18" customHeight="1" spans="1:15">
      <c r="A61" s="32"/>
      <c r="B61" s="16">
        <f t="shared" si="10"/>
        <v>0</v>
      </c>
      <c r="C61" s="37"/>
      <c r="D61" s="34"/>
      <c r="E61" s="38"/>
      <c r="F61" s="16">
        <f t="shared" ref="F61:F71" si="11">ROUND(G61/(1+E61)*E61,2)</f>
        <v>0</v>
      </c>
      <c r="G61" s="25"/>
      <c r="H61" s="21" t="s">
        <v>105</v>
      </c>
      <c r="I61" s="22">
        <v>6000</v>
      </c>
      <c r="J61" s="47" t="s">
        <v>89</v>
      </c>
      <c r="K61" s="58" t="s">
        <v>136</v>
      </c>
      <c r="L61" s="59"/>
      <c r="M61" s="60"/>
      <c r="N61" s="60"/>
      <c r="O61" s="59"/>
    </row>
    <row r="62" s="1" customFormat="1" ht="18" customHeight="1" spans="1:15">
      <c r="A62" s="32"/>
      <c r="B62" s="16">
        <f t="shared" si="10"/>
        <v>0</v>
      </c>
      <c r="C62" s="37"/>
      <c r="D62" s="34"/>
      <c r="E62" s="38"/>
      <c r="F62" s="16">
        <f t="shared" si="11"/>
        <v>0</v>
      </c>
      <c r="G62" s="25"/>
      <c r="H62" s="21" t="s">
        <v>105</v>
      </c>
      <c r="I62" s="22">
        <v>16294</v>
      </c>
      <c r="J62" s="47" t="s">
        <v>89</v>
      </c>
      <c r="K62" s="58" t="s">
        <v>8</v>
      </c>
      <c r="L62" s="59"/>
      <c r="M62" s="60"/>
      <c r="N62" s="60"/>
      <c r="O62" s="59"/>
    </row>
    <row r="63" s="1" customFormat="1" ht="18" customHeight="1" spans="1:15">
      <c r="A63" s="32"/>
      <c r="B63" s="16">
        <f t="shared" si="10"/>
        <v>0</v>
      </c>
      <c r="C63" s="37"/>
      <c r="D63" s="34"/>
      <c r="E63" s="38"/>
      <c r="F63" s="16">
        <f t="shared" si="11"/>
        <v>0</v>
      </c>
      <c r="G63" s="25"/>
      <c r="H63" s="21" t="s">
        <v>108</v>
      </c>
      <c r="I63" s="22">
        <v>-667411</v>
      </c>
      <c r="J63" s="47" t="s">
        <v>90</v>
      </c>
      <c r="K63" s="58"/>
      <c r="L63" s="59"/>
      <c r="M63" s="60"/>
      <c r="N63" s="60"/>
      <c r="O63" s="59"/>
    </row>
    <row r="64" s="1" customFormat="1" ht="18" customHeight="1" spans="1:15">
      <c r="A64" s="32"/>
      <c r="B64" s="16">
        <f t="shared" si="10"/>
        <v>0</v>
      </c>
      <c r="C64" s="37"/>
      <c r="D64" s="34"/>
      <c r="E64" s="38"/>
      <c r="F64" s="16">
        <f t="shared" si="11"/>
        <v>0</v>
      </c>
      <c r="G64" s="25"/>
      <c r="H64" s="21" t="s">
        <v>110</v>
      </c>
      <c r="I64" s="22">
        <v>667411</v>
      </c>
      <c r="J64" s="47" t="s">
        <v>111</v>
      </c>
      <c r="K64" s="58" t="s">
        <v>109</v>
      </c>
      <c r="L64" s="59"/>
      <c r="M64" s="60"/>
      <c r="N64" s="60"/>
      <c r="O64" s="59"/>
    </row>
    <row r="65" s="1" customFormat="1" ht="18" customHeight="1" spans="1:15">
      <c r="A65" s="32"/>
      <c r="B65" s="16">
        <f t="shared" si="10"/>
        <v>0</v>
      </c>
      <c r="C65" s="37"/>
      <c r="D65" s="34"/>
      <c r="E65" s="38"/>
      <c r="F65" s="16">
        <f t="shared" si="11"/>
        <v>0</v>
      </c>
      <c r="G65" s="25"/>
      <c r="H65" s="21" t="s">
        <v>110</v>
      </c>
      <c r="I65" s="22">
        <v>114944</v>
      </c>
      <c r="J65" s="47" t="s">
        <v>111</v>
      </c>
      <c r="K65" s="58" t="s">
        <v>112</v>
      </c>
      <c r="L65" s="59"/>
      <c r="M65" s="60"/>
      <c r="N65" s="60"/>
      <c r="O65" s="59"/>
    </row>
    <row r="66" s="1" customFormat="1" ht="18" customHeight="1" spans="1:15">
      <c r="A66" s="39"/>
      <c r="B66" s="16">
        <f t="shared" si="10"/>
        <v>0</v>
      </c>
      <c r="C66" s="37"/>
      <c r="D66" s="64"/>
      <c r="E66" s="38"/>
      <c r="F66" s="16">
        <f t="shared" si="11"/>
        <v>0</v>
      </c>
      <c r="G66" s="25"/>
      <c r="H66" s="21" t="s">
        <v>110</v>
      </c>
      <c r="I66" s="22">
        <v>41395</v>
      </c>
      <c r="J66" s="47" t="s">
        <v>89</v>
      </c>
      <c r="K66" s="58" t="s">
        <v>8</v>
      </c>
      <c r="L66" s="59"/>
      <c r="M66" s="60"/>
      <c r="N66" s="60"/>
      <c r="O66" s="59"/>
    </row>
    <row r="67" s="1" customFormat="1" ht="18" customHeight="1" spans="1:15">
      <c r="A67" s="39"/>
      <c r="B67" s="16">
        <f t="shared" si="10"/>
        <v>0</v>
      </c>
      <c r="C67" s="37"/>
      <c r="D67" s="64"/>
      <c r="E67" s="38"/>
      <c r="F67" s="16">
        <f t="shared" si="11"/>
        <v>0</v>
      </c>
      <c r="G67" s="25"/>
      <c r="H67" s="21"/>
      <c r="I67" s="22">
        <v>55780</v>
      </c>
      <c r="J67" s="47" t="s">
        <v>89</v>
      </c>
      <c r="K67" s="58" t="s">
        <v>8</v>
      </c>
      <c r="L67" s="59"/>
      <c r="M67" s="60"/>
      <c r="N67" s="60"/>
      <c r="O67" s="59"/>
    </row>
    <row r="68" s="1" customFormat="1" ht="18" customHeight="1" spans="1:15">
      <c r="A68" s="39"/>
      <c r="B68" s="16">
        <f t="shared" si="10"/>
        <v>0</v>
      </c>
      <c r="C68" s="37"/>
      <c r="D68" s="64"/>
      <c r="E68" s="38"/>
      <c r="F68" s="16">
        <f t="shared" si="11"/>
        <v>0</v>
      </c>
      <c r="G68" s="25"/>
      <c r="H68" s="21"/>
      <c r="I68" s="22">
        <v>10270</v>
      </c>
      <c r="J68" s="47" t="s">
        <v>89</v>
      </c>
      <c r="K68" s="58" t="s">
        <v>104</v>
      </c>
      <c r="L68" s="59"/>
      <c r="M68" s="60"/>
      <c r="N68" s="60"/>
      <c r="O68" s="59"/>
    </row>
    <row r="69" s="1" customFormat="1" ht="18" customHeight="1" spans="1:17">
      <c r="A69" s="39"/>
      <c r="B69" s="16">
        <f t="shared" si="10"/>
        <v>0</v>
      </c>
      <c r="C69" s="37"/>
      <c r="D69" s="64"/>
      <c r="E69" s="38"/>
      <c r="F69" s="16">
        <f t="shared" si="11"/>
        <v>0</v>
      </c>
      <c r="G69" s="25"/>
      <c r="H69" s="21"/>
      <c r="I69" s="22">
        <v>6500</v>
      </c>
      <c r="J69" s="47" t="s">
        <v>89</v>
      </c>
      <c r="K69" s="62" t="s">
        <v>136</v>
      </c>
      <c r="L69" s="59"/>
      <c r="M69" s="60"/>
      <c r="N69" s="60"/>
      <c r="O69" s="59"/>
      <c r="Q69" s="1" t="s">
        <v>114</v>
      </c>
    </row>
    <row r="70" s="1" customFormat="1" ht="18" customHeight="1" spans="1:15">
      <c r="A70" s="39"/>
      <c r="B70" s="16">
        <f t="shared" si="10"/>
        <v>246984</v>
      </c>
      <c r="C70" s="37"/>
      <c r="D70" s="64"/>
      <c r="E70" s="38"/>
      <c r="F70" s="16">
        <f t="shared" si="11"/>
        <v>0</v>
      </c>
      <c r="G70" s="25">
        <f>95000+56250+95734</f>
        <v>246984</v>
      </c>
      <c r="H70" s="21"/>
      <c r="I70" s="22">
        <f>G70</f>
        <v>246984</v>
      </c>
      <c r="J70" s="47" t="s">
        <v>89</v>
      </c>
      <c r="K70" s="62" t="s">
        <v>100</v>
      </c>
      <c r="L70" s="59"/>
      <c r="M70" s="60"/>
      <c r="N70" s="60"/>
      <c r="O70" s="59"/>
    </row>
    <row r="71" s="1" customFormat="1" ht="18" customHeight="1" spans="1:15">
      <c r="A71" s="39"/>
      <c r="B71" s="16">
        <f t="shared" si="10"/>
        <v>0</v>
      </c>
      <c r="C71" s="37"/>
      <c r="D71" s="64"/>
      <c r="E71" s="38"/>
      <c r="F71" s="16">
        <f t="shared" si="11"/>
        <v>0</v>
      </c>
      <c r="G71" s="25"/>
      <c r="H71" s="21"/>
      <c r="I71" s="22"/>
      <c r="J71" s="47"/>
      <c r="K71" s="58"/>
      <c r="L71" s="59"/>
      <c r="M71" s="60"/>
      <c r="N71" s="60"/>
      <c r="O71" s="59"/>
    </row>
    <row r="72" ht="18" customHeight="1" spans="1:15">
      <c r="A72" s="29" t="s">
        <v>42</v>
      </c>
      <c r="B72" s="65">
        <f>SUM(B28:B71)</f>
        <v>8982833.39</v>
      </c>
      <c r="C72" s="29"/>
      <c r="D72" s="66"/>
      <c r="E72" s="66"/>
      <c r="F72" s="67">
        <f>SUM(F28:F71)</f>
        <v>554352.71</v>
      </c>
      <c r="G72" s="68">
        <f>SUM(G28:G71)</f>
        <v>9537186.1</v>
      </c>
      <c r="H72" s="69"/>
      <c r="I72" s="28">
        <f>SUM(I28:I71)</f>
        <v>9260615.66</v>
      </c>
      <c r="J72" s="76"/>
      <c r="K72" s="66"/>
      <c r="L72" s="30"/>
      <c r="M72" s="47"/>
      <c r="N72" s="47"/>
      <c r="O72" s="30"/>
    </row>
    <row r="73" ht="18" customHeight="1" spans="1:18">
      <c r="A73" s="70" t="s">
        <v>115</v>
      </c>
      <c r="B73" s="71">
        <f>B25*0.984</f>
        <v>8989811.09966972</v>
      </c>
      <c r="C73" s="70"/>
      <c r="D73" s="72"/>
      <c r="E73" s="72"/>
      <c r="F73" s="71"/>
      <c r="G73" s="71">
        <f>G25-G72</f>
        <v>421039.610000001</v>
      </c>
      <c r="H73" s="20" t="s">
        <v>116</v>
      </c>
      <c r="I73" s="28">
        <f>I25-I72</f>
        <v>0</v>
      </c>
      <c r="J73" s="6"/>
      <c r="K73" s="77"/>
      <c r="M73" s="78"/>
      <c r="N73" s="78"/>
      <c r="R73" s="6" t="s">
        <v>114</v>
      </c>
    </row>
    <row r="74" ht="18" customHeight="1" spans="1:14">
      <c r="A74" s="70" t="s">
        <v>117</v>
      </c>
      <c r="B74" s="71">
        <f>B73-B72</f>
        <v>6977.70966971852</v>
      </c>
      <c r="C74" s="70"/>
      <c r="D74" s="72">
        <v>10000</v>
      </c>
      <c r="E74" s="72"/>
      <c r="F74" s="71"/>
      <c r="G74" s="71"/>
      <c r="H74" s="73"/>
      <c r="I74" s="71"/>
      <c r="J74" s="6"/>
      <c r="K74" s="77"/>
      <c r="M74" s="78"/>
      <c r="N74" s="78"/>
    </row>
    <row r="75" ht="18" customHeight="1" spans="1:19">
      <c r="A75" s="2" t="s">
        <v>118</v>
      </c>
      <c r="C75" s="2"/>
      <c r="S75" s="6" t="s">
        <v>114</v>
      </c>
    </row>
    <row r="76" ht="18" customHeight="1" spans="1:11">
      <c r="A76" s="20" t="s">
        <v>119</v>
      </c>
      <c r="B76" s="19" t="s">
        <v>120</v>
      </c>
      <c r="C76" s="30"/>
      <c r="D76" s="20" t="s">
        <v>119</v>
      </c>
      <c r="E76" s="18" t="s">
        <v>20</v>
      </c>
      <c r="F76" s="19" t="s">
        <v>120</v>
      </c>
      <c r="G76" s="19" t="s">
        <v>121</v>
      </c>
      <c r="H76" s="19" t="s">
        <v>122</v>
      </c>
      <c r="I76" s="19" t="s">
        <v>123</v>
      </c>
      <c r="K76" s="19" t="s">
        <v>124</v>
      </c>
    </row>
    <row r="77" ht="18" customHeight="1" spans="1:11">
      <c r="A77" s="30" t="s">
        <v>125</v>
      </c>
      <c r="B77" s="16">
        <f>(B73-B72)*0.25</f>
        <v>1744.42741742963</v>
      </c>
      <c r="C77" s="30"/>
      <c r="D77" s="27" t="s">
        <v>126</v>
      </c>
      <c r="E77" s="20" t="s">
        <v>93</v>
      </c>
      <c r="F77" s="67">
        <f>F25-F72</f>
        <v>85166.372293578</v>
      </c>
      <c r="G77" s="67">
        <f>F7-F28-F29-F30-F31-F32</f>
        <v>9336.01724770601</v>
      </c>
      <c r="H77" s="67">
        <v>0</v>
      </c>
      <c r="I77" s="67">
        <v>0</v>
      </c>
      <c r="K77" s="67">
        <f>F8+F9+F10-SUM(F33:F46)</f>
        <v>75830.3550458718</v>
      </c>
    </row>
    <row r="78" ht="18" customHeight="1" spans="1:11">
      <c r="A78" s="30" t="s">
        <v>127</v>
      </c>
      <c r="B78" s="74" t="s">
        <v>128</v>
      </c>
      <c r="C78" s="30"/>
      <c r="D78" s="75" t="s">
        <v>129</v>
      </c>
      <c r="E78" s="13">
        <v>0.05</v>
      </c>
      <c r="F78" s="22">
        <f>F77*E78</f>
        <v>4258.3186146789</v>
      </c>
      <c r="G78" s="22">
        <f>G77*E78</f>
        <v>466.800862385301</v>
      </c>
      <c r="H78" s="22">
        <v>0</v>
      </c>
      <c r="I78" s="22">
        <v>0</v>
      </c>
      <c r="K78" s="22">
        <f>K77*E78</f>
        <v>3791.51775229359</v>
      </c>
    </row>
    <row r="79" ht="18" customHeight="1" spans="1:11">
      <c r="A79" s="30" t="s">
        <v>130</v>
      </c>
      <c r="B79" s="74" t="s">
        <v>128</v>
      </c>
      <c r="C79" s="30"/>
      <c r="D79" s="75" t="s">
        <v>131</v>
      </c>
      <c r="E79" s="13">
        <v>0.03</v>
      </c>
      <c r="F79" s="22">
        <f>F77*E79</f>
        <v>2554.99116880734</v>
      </c>
      <c r="G79" s="22">
        <f>G77*E79</f>
        <v>280.08051743118</v>
      </c>
      <c r="H79" s="22">
        <v>0</v>
      </c>
      <c r="I79" s="22">
        <v>0</v>
      </c>
      <c r="K79" s="22">
        <f>K77*E79</f>
        <v>2274.91065137615</v>
      </c>
    </row>
    <row r="80" ht="18" customHeight="1" spans="1:11">
      <c r="A80" s="30"/>
      <c r="B80" s="22"/>
      <c r="C80" s="30"/>
      <c r="D80" s="75" t="s">
        <v>132</v>
      </c>
      <c r="E80" s="13">
        <v>0.02</v>
      </c>
      <c r="F80" s="22">
        <f>F77*E80</f>
        <v>1703.32744587156</v>
      </c>
      <c r="G80" s="22">
        <f>G77*E80</f>
        <v>186.72034495412</v>
      </c>
      <c r="H80" s="22">
        <v>0</v>
      </c>
      <c r="I80" s="22">
        <v>0</v>
      </c>
      <c r="K80" s="22">
        <f>K77*E80</f>
        <v>1516.60710091743</v>
      </c>
    </row>
    <row r="81" ht="18" customHeight="1" spans="1:11">
      <c r="A81" s="27" t="s">
        <v>133</v>
      </c>
      <c r="B81" s="65">
        <f t="shared" ref="B81:G81" si="12">SUM(B77:B80)</f>
        <v>1744.42741742963</v>
      </c>
      <c r="C81" s="30"/>
      <c r="D81" s="31" t="s">
        <v>133</v>
      </c>
      <c r="E81" s="27"/>
      <c r="F81" s="67">
        <f t="shared" si="12"/>
        <v>93683.0095229358</v>
      </c>
      <c r="G81" s="67">
        <f t="shared" si="12"/>
        <v>10269.6189724766</v>
      </c>
      <c r="H81" s="67">
        <v>0</v>
      </c>
      <c r="I81" s="67">
        <v>0</v>
      </c>
      <c r="K81" s="67">
        <f>SUM(K77:K80)</f>
        <v>83413.3905504589</v>
      </c>
    </row>
    <row r="82" ht="18" customHeight="1" spans="3:11">
      <c r="C82" s="2"/>
      <c r="D82" s="18" t="s">
        <v>133</v>
      </c>
      <c r="E82" s="66"/>
      <c r="F82" s="28"/>
      <c r="G82" s="28"/>
      <c r="H82" s="28"/>
      <c r="I82" s="28"/>
      <c r="K82" s="28">
        <f>K81</f>
        <v>83413.3905504589</v>
      </c>
    </row>
    <row r="83" ht="18" customHeight="1" spans="3:11">
      <c r="C83" s="2"/>
      <c r="D83" s="18" t="s">
        <v>42</v>
      </c>
      <c r="E83" s="29"/>
      <c r="F83" s="28">
        <f>F81+F82</f>
        <v>93683.0095229358</v>
      </c>
      <c r="G83" s="28">
        <f t="shared" ref="G83:K83" si="13">G81</f>
        <v>10269.6189724766</v>
      </c>
      <c r="H83" s="28">
        <f t="shared" si="13"/>
        <v>0</v>
      </c>
      <c r="I83" s="28">
        <v>0</v>
      </c>
      <c r="K83" s="28">
        <f t="shared" si="13"/>
        <v>83413.3905504589</v>
      </c>
    </row>
    <row r="84" ht="18" customHeight="1" spans="3:11">
      <c r="C84" s="2"/>
      <c r="D84" s="29" t="s">
        <v>125</v>
      </c>
      <c r="E84" s="66">
        <v>0.016</v>
      </c>
      <c r="F84" s="28">
        <f>B25*E84</f>
        <v>146175.790238532</v>
      </c>
      <c r="G84" s="28">
        <f>B7*E84</f>
        <v>55779.8165137614</v>
      </c>
      <c r="H84" s="28">
        <f>B8*E84</f>
        <v>41394.495412844</v>
      </c>
      <c r="I84" s="28">
        <f>B9*E84</f>
        <v>16293.5779816514</v>
      </c>
      <c r="K84" s="28">
        <f>G10*E84</f>
        <v>35651.61136</v>
      </c>
    </row>
    <row r="85" ht="18" customHeight="1" spans="3:11">
      <c r="C85" s="2"/>
      <c r="H85" s="4">
        <f>B74*0.25</f>
        <v>1744.42741742963</v>
      </c>
      <c r="K85" s="6">
        <f>D74*0.25</f>
        <v>2500</v>
      </c>
    </row>
    <row r="86" ht="18" customHeight="1" spans="3:11">
      <c r="C86" s="2"/>
      <c r="H86" s="4">
        <f>B74*0.25</f>
        <v>1744.42741742963</v>
      </c>
      <c r="K86" s="6">
        <v>2175</v>
      </c>
    </row>
    <row r="87" ht="18" customHeight="1" spans="3:3">
      <c r="C87" s="2"/>
    </row>
    <row r="88" spans="3:3">
      <c r="C88" s="2"/>
    </row>
    <row r="89" spans="3:3">
      <c r="C89" s="2"/>
    </row>
    <row r="90" spans="3:3">
      <c r="C90" s="2"/>
    </row>
    <row r="91" spans="3:3">
      <c r="C91" s="2"/>
    </row>
    <row r="92" spans="3:3">
      <c r="C92" s="2"/>
    </row>
    <row r="93" spans="3:3">
      <c r="C93" s="2"/>
    </row>
    <row r="94" spans="3:3">
      <c r="C94" s="2"/>
    </row>
    <row r="95" spans="3:3">
      <c r="C95" s="2"/>
    </row>
    <row r="96" spans="3:3">
      <c r="C96" s="2"/>
    </row>
    <row r="97" spans="3:3">
      <c r="C97" s="2"/>
    </row>
    <row r="98" spans="3:3">
      <c r="C98" s="2"/>
    </row>
    <row r="99" spans="3:3">
      <c r="C99" s="2"/>
    </row>
    <row r="100" spans="3:3">
      <c r="C100" s="2"/>
    </row>
    <row r="101" spans="3:3">
      <c r="C101" s="2"/>
    </row>
    <row r="102" spans="3:3">
      <c r="C102" s="2"/>
    </row>
    <row r="103" spans="3:3">
      <c r="C103" s="2"/>
    </row>
  </sheetData>
  <protectedRanges>
    <protectedRange sqref="I44" name="区域1"/>
  </protectedRanges>
  <autoFilter ref="A27:S86">
    <extLst/>
  </autoFilter>
  <mergeCells count="8">
    <mergeCell ref="A1:J1"/>
    <mergeCell ref="H2:J2"/>
    <mergeCell ref="C5:D5"/>
    <mergeCell ref="E5:F5"/>
    <mergeCell ref="H5:J5"/>
    <mergeCell ref="A5:A6"/>
    <mergeCell ref="B5:B6"/>
    <mergeCell ref="G5:G6"/>
  </mergeCells>
  <pageMargins left="0.235416666666667" right="0.235416666666667" top="0.313888888888889" bottom="0.15625" header="0.313888888888889" footer="0.313888888888889"/>
  <pageSetup paperSize="9" orientation="landscape" verticalDpi="18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</vt:lpstr>
      <vt:lpstr>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cw05</dc:creator>
  <cp:lastModifiedBy>qyr</cp:lastModifiedBy>
  <dcterms:created xsi:type="dcterms:W3CDTF">2016-07-12T06:03:00Z</dcterms:created>
  <cp:lastPrinted>2016-11-23T10:22:00Z</cp:lastPrinted>
  <dcterms:modified xsi:type="dcterms:W3CDTF">2021-12-09T01:36:41Z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780A8B286B58446C8015C90F3C81AB66</vt:lpwstr>
  </property>
</Properties>
</file>