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 firstSheet="2" activeTab="12"/>
  </bookViews>
  <sheets>
    <sheet name="本次" sheetId="1" r:id="rId1"/>
    <sheet name="12次" sheetId="3" r:id="rId2"/>
    <sheet name="12.1" sheetId="4" r:id="rId3"/>
    <sheet name="第13次" sheetId="5" r:id="rId4"/>
    <sheet name="第14次" sheetId="6" r:id="rId5"/>
    <sheet name="14.2" sheetId="7" r:id="rId6"/>
    <sheet name="14.3" sheetId="8" r:id="rId7"/>
    <sheet name="14.4" sheetId="9" r:id="rId8"/>
    <sheet name="15" sheetId="10" r:id="rId9"/>
    <sheet name="15 (2)" sheetId="11" r:id="rId10"/>
    <sheet name="16" sheetId="12" r:id="rId11"/>
    <sheet name="16 (2)" sheetId="13" r:id="rId12"/>
    <sheet name="17" sheetId="14" r:id="rId13"/>
  </sheets>
  <definedNames>
    <definedName name="_xlnm._FilterDatabase" localSheetId="0" hidden="1">本次!$A$14:$Q$109</definedName>
    <definedName name="_xlnm._FilterDatabase" localSheetId="1" hidden="1">'12次'!$A$14:$Q$110</definedName>
    <definedName name="_xlnm._FilterDatabase" localSheetId="2" hidden="1">'12.1'!$A$15:$Q$117</definedName>
    <definedName name="_xlnm._FilterDatabase" localSheetId="3" hidden="1">第13次!$A$15:$Q$121</definedName>
    <definedName name="_xlnm._FilterDatabase" localSheetId="4" hidden="1">第14次!$A$15:$Q$127</definedName>
    <definedName name="_xlnm._FilterDatabase" localSheetId="5" hidden="1">'14.2'!$A$15:$Q$127</definedName>
    <definedName name="_xlnm._FilterDatabase" localSheetId="6" hidden="1">'14.3'!$A$15:$Q$130</definedName>
    <definedName name="_xlnm._FilterDatabase" localSheetId="7" hidden="1">'14.4'!$A$16:$Q$134</definedName>
    <definedName name="_xlnm._FilterDatabase" localSheetId="8" hidden="1">'15'!$A$16:$Q$139</definedName>
    <definedName name="_xlnm._FilterDatabase" localSheetId="9" hidden="1">'15 (2)'!$A$16:$Q$142</definedName>
    <definedName name="_xlnm._FilterDatabase" localSheetId="10" hidden="1">'16'!$A$16:$Q$146</definedName>
    <definedName name="_xlnm._FilterDatabase" localSheetId="11" hidden="1">'16 (2)'!$A$16:$Q$146</definedName>
    <definedName name="_xlnm._FilterDatabase" localSheetId="12" hidden="1">'17'!$A$18:$U$72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cw05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1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96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9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10.xml><?xml version="1.0" encoding="utf-8"?>
<comments xmlns="http://schemas.openxmlformats.org/spreadsheetml/2006/main">
  <authors>
    <author>cw09</author>
    <author>cw05</author>
    <author>Administrator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3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33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3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3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当地未交</t>
        </r>
      </text>
    </comment>
  </commentList>
</comments>
</file>

<file path=xl/comments11.xml><?xml version="1.0" encoding="utf-8"?>
<comments xmlns="http://schemas.openxmlformats.org/spreadsheetml/2006/main">
  <authors>
    <author>cw09</author>
    <author>cw05</author>
    <author>Administrator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3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37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38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41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当地未交</t>
        </r>
      </text>
    </comment>
  </commentList>
</comments>
</file>

<file path=xl/comments12.xml><?xml version="1.0" encoding="utf-8"?>
<comments xmlns="http://schemas.openxmlformats.org/spreadsheetml/2006/main">
  <authors>
    <author>cw09</author>
    <author>cw05</author>
    <author>Administrator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3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37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38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41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当地未交</t>
        </r>
      </text>
    </comment>
  </commentList>
</comments>
</file>

<file path=xl/comments13.xml><?xml version="1.0" encoding="utf-8"?>
<comments xmlns="http://schemas.openxmlformats.org/spreadsheetml/2006/main">
  <authors>
    <author>cw09</author>
    <author>cw05</author>
    <author>cw015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5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50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E150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后改为0.07</t>
        </r>
      </text>
    </comment>
    <comment ref="A151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15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2次中扣</t>
        </r>
      </text>
    </comment>
    <comment ref="I15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3次中退</t>
        </r>
      </text>
    </comment>
    <comment ref="J15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4次中扣</t>
        </r>
      </text>
    </comment>
    <comment ref="K15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7次中扣</t>
        </r>
      </text>
    </comment>
    <comment ref="L15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11次中退</t>
        </r>
      </text>
    </comment>
    <comment ref="G154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一次中扣除</t>
        </r>
      </text>
    </comment>
    <comment ref="H154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2次中扣</t>
        </r>
      </text>
    </comment>
    <comment ref="J154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4次中扣</t>
        </r>
      </text>
    </comment>
    <comment ref="K154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7次中扣</t>
        </r>
      </text>
    </comment>
    <comment ref="M154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13次中扣</t>
        </r>
      </text>
    </comment>
    <comment ref="G15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一次中扣</t>
        </r>
      </text>
    </comment>
    <comment ref="H15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2次中扣</t>
        </r>
      </text>
    </comment>
    <comment ref="J15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4次中扣</t>
        </r>
      </text>
    </comment>
    <comment ref="K15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7次中扣
</t>
        </r>
      </text>
    </comment>
    <comment ref="M15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13次中扣</t>
        </r>
      </text>
    </comment>
    <comment ref="O15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9.30号已扣</t>
        </r>
      </text>
    </comment>
    <comment ref="O158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20.11.23已扣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1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97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98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cw09</author>
    <author>cw05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2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0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cw09</author>
    <author>cw05</author>
    <author>Administrator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2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0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12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当地未交</t>
        </r>
      </text>
    </comment>
  </commentList>
</comments>
</file>

<file path=xl/comments5.xml><?xml version="1.0" encoding="utf-8"?>
<comments xmlns="http://schemas.openxmlformats.org/spreadsheetml/2006/main">
  <authors>
    <author>cw09</author>
    <author>cw05</author>
    <author>Administrator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2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1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1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18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当地未交</t>
        </r>
      </text>
    </comment>
  </commentList>
</comments>
</file>

<file path=xl/comments6.xml><?xml version="1.0" encoding="utf-8"?>
<comments xmlns="http://schemas.openxmlformats.org/spreadsheetml/2006/main">
  <authors>
    <author>cw09</author>
    <author>cw05</author>
    <author>Administrator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2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1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1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18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当地未交</t>
        </r>
      </text>
    </comment>
  </commentList>
</comments>
</file>

<file path=xl/comments7.xml><?xml version="1.0" encoding="utf-8"?>
<comments xmlns="http://schemas.openxmlformats.org/spreadsheetml/2006/main">
  <authors>
    <author>cw09</author>
    <author>cw05</author>
    <author>Administrator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2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17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18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21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当地未交</t>
        </r>
      </text>
    </comment>
  </commentList>
</comments>
</file>

<file path=xl/comments8.xml><?xml version="1.0" encoding="utf-8"?>
<comments xmlns="http://schemas.openxmlformats.org/spreadsheetml/2006/main">
  <authors>
    <author>cw09</author>
    <author>cw05</author>
    <author>Administrator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3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2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26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2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当地未交</t>
        </r>
      </text>
    </comment>
  </commentList>
</comments>
</file>

<file path=xl/comments9.xml><?xml version="1.0" encoding="utf-8"?>
<comments xmlns="http://schemas.openxmlformats.org/spreadsheetml/2006/main">
  <authors>
    <author>cw09</author>
    <author>cw05</author>
    <author>Administrator</author>
  </authors>
  <commentList>
    <comment ref="G8" authorId="0">
      <text>
        <r>
          <rPr>
            <sz val="9"/>
            <rFont val="宋体"/>
            <charset val="134"/>
          </rPr>
          <t xml:space="preserve">cw09:
工程款还有剩余未支付 本次开票不预收开票税金  19.11.4
</t>
        </r>
      </text>
    </comment>
    <comment ref="G43" authorId="0">
      <text>
        <r>
          <rPr>
            <sz val="9"/>
            <rFont val="宋体"/>
            <charset val="134"/>
          </rPr>
          <t>cw09:
发票1月份开具  可认证</t>
        </r>
      </text>
    </comment>
    <comment ref="A130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31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3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当地未交</t>
        </r>
      </text>
    </comment>
  </commentList>
</comments>
</file>

<file path=xl/sharedStrings.xml><?xml version="1.0" encoding="utf-8"?>
<sst xmlns="http://schemas.openxmlformats.org/spreadsheetml/2006/main" count="5046" uniqueCount="208">
  <si>
    <t>博罗县Y003线K0-000--K7 486段改建工程施工</t>
  </si>
  <si>
    <t>中标日期</t>
  </si>
  <si>
    <t>中标价</t>
  </si>
  <si>
    <t>负责人</t>
  </si>
  <si>
    <t>广东分公司杨杰</t>
  </si>
  <si>
    <t>建设单位</t>
  </si>
  <si>
    <t>博罗县公庄镇人民政府</t>
  </si>
  <si>
    <t>决算日期</t>
  </si>
  <si>
    <t>决算价</t>
  </si>
  <si>
    <t>销售开票：</t>
  </si>
  <si>
    <t>水泥吨数一共6672吨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</si>
  <si>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</si>
  <si>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</si>
  <si>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</si>
  <si>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</si>
  <si>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</si>
  <si>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</si>
  <si>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</si>
  <si>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</si>
  <si>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</si>
  <si>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</si>
  <si>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</si>
  <si>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</si>
  <si>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</si>
  <si>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</si>
  <si>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水泥发票吨数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</si>
  <si>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</si>
  <si>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</si>
  <si>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</si>
  <si>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</si>
  <si>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</si>
  <si>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</si>
  <si>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</si>
  <si>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</si>
  <si>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</si>
  <si>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</si>
  <si>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</si>
  <si>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</si>
  <si>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</si>
  <si>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广州金晖建筑劳务有限公司</t>
  </si>
  <si>
    <t>建筑服务</t>
  </si>
  <si>
    <t>有</t>
  </si>
  <si>
    <t>惠州国强水泥有限公司</t>
  </si>
  <si>
    <t>水泥119.5吨*371.67</t>
  </si>
  <si>
    <t>普</t>
  </si>
  <si>
    <t>徽行</t>
  </si>
  <si>
    <t>张运明</t>
  </si>
  <si>
    <t>河沙</t>
  </si>
  <si>
    <t>汇友财产相互保险社</t>
  </si>
  <si>
    <t>施工合同支付保险</t>
  </si>
  <si>
    <t>水泥623.01吨</t>
  </si>
  <si>
    <t>劳务</t>
  </si>
  <si>
    <t>水泥321.43吨</t>
  </si>
  <si>
    <t>水泥</t>
  </si>
  <si>
    <t>空调、打印机等</t>
  </si>
  <si>
    <t>深圳市昊天电脑有限公司</t>
  </si>
  <si>
    <t>内存条</t>
  </si>
  <si>
    <t>广州顺丰速运有限公司</t>
  </si>
  <si>
    <t>快递费</t>
  </si>
  <si>
    <t>专作普</t>
  </si>
  <si>
    <t>许小梅</t>
  </si>
  <si>
    <t>石子</t>
  </si>
  <si>
    <t>杨学良</t>
  </si>
  <si>
    <t>借款</t>
  </si>
  <si>
    <t>水泥729.95吨</t>
  </si>
  <si>
    <t>有797吨货单</t>
  </si>
  <si>
    <t>普代</t>
  </si>
  <si>
    <t>叶锦平3600吨石屑、许小梅7200吨石屑</t>
  </si>
  <si>
    <t>水泥426吨</t>
  </si>
  <si>
    <t>有426吨货单</t>
  </si>
  <si>
    <t>罗志军</t>
  </si>
  <si>
    <t>碎石4000吨</t>
  </si>
  <si>
    <t>蒋华明</t>
  </si>
  <si>
    <t>龙门县双润运输有限公司</t>
  </si>
  <si>
    <t>运费</t>
  </si>
  <si>
    <t>运输费</t>
  </si>
  <si>
    <t>取消支付</t>
  </si>
  <si>
    <t>扣</t>
  </si>
  <si>
    <t>财务手续费</t>
  </si>
  <si>
    <t>11次</t>
  </si>
  <si>
    <t xml:space="preserve">退 </t>
  </si>
  <si>
    <t>增值税及附加        退 19.12-20.1月开票税金</t>
  </si>
  <si>
    <t>10次</t>
  </si>
  <si>
    <t>企税（之前企税多退30W，现扣回，企税已全退）</t>
  </si>
  <si>
    <t>多退</t>
  </si>
  <si>
    <t>之前多退的30W</t>
  </si>
  <si>
    <t>(此笔款应退未退）</t>
  </si>
  <si>
    <t>利息</t>
  </si>
  <si>
    <t>管理费（20.1月到款）</t>
  </si>
  <si>
    <t>9次</t>
  </si>
  <si>
    <t>退</t>
  </si>
  <si>
    <t>之前暂扣部分企税</t>
  </si>
  <si>
    <t>8次</t>
  </si>
  <si>
    <t>7次</t>
  </si>
  <si>
    <t>暂扣</t>
  </si>
  <si>
    <t>企税（成本不够）</t>
  </si>
  <si>
    <t>企税1.6%                  20.1月开票扣税</t>
  </si>
  <si>
    <t>水利基金                  20.1月开票扣税</t>
  </si>
  <si>
    <t>增值税及附加              20.1月开票扣税</t>
  </si>
  <si>
    <t>6次</t>
  </si>
  <si>
    <t>5次</t>
  </si>
  <si>
    <t>4次</t>
  </si>
  <si>
    <t>企税1.6%                   19年12月开票</t>
  </si>
  <si>
    <t>水利基金                    19年12月开票</t>
  </si>
  <si>
    <t>增值税及附加                19年12月开票</t>
  </si>
  <si>
    <t>管理费</t>
  </si>
  <si>
    <t>3次</t>
  </si>
  <si>
    <t>出场费</t>
  </si>
  <si>
    <t>增值税                  19年11月开票退税</t>
  </si>
  <si>
    <t>2次</t>
  </si>
  <si>
    <t>押金利息2%（19.9.17-19.11.12）</t>
  </si>
  <si>
    <t>预留</t>
  </si>
  <si>
    <t>履约保函的押金</t>
  </si>
  <si>
    <t>企税1.6%                19年11月开票扣税</t>
  </si>
  <si>
    <t>水利基金                19年11月开票扣税</t>
  </si>
  <si>
    <t>增值税及附加             19年11月开票扣税</t>
  </si>
  <si>
    <t>一次扣</t>
  </si>
  <si>
    <t>其他</t>
  </si>
  <si>
    <t>企税1.6%                19年6月开票扣税</t>
  </si>
  <si>
    <t>水利基金                19年6月开票扣税</t>
  </si>
  <si>
    <t>应提供成本</t>
  </si>
  <si>
    <t>可支付金额</t>
  </si>
  <si>
    <t>尚需提供成本</t>
  </si>
  <si>
    <t>暂扣企税</t>
  </si>
  <si>
    <t>公司代缴税金：</t>
  </si>
  <si>
    <t>税种</t>
  </si>
  <si>
    <t>税额</t>
  </si>
  <si>
    <t>19年6月份开票</t>
  </si>
  <si>
    <t>19年6月开票扣税</t>
  </si>
  <si>
    <t>19.11月开票扣税</t>
  </si>
  <si>
    <t>19.11月开票退税</t>
  </si>
  <si>
    <t>19.12月开票扣税</t>
  </si>
  <si>
    <t>20.1月开票扣税</t>
  </si>
  <si>
    <t>退19.12-20.1月开票税金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</si>
  <si>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</si>
  <si>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</si>
  <si>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</si>
  <si>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</si>
  <si>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</si>
  <si>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</si>
  <si>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</si>
  <si>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</si>
  <si>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</si>
  <si>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</si>
  <si>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已打款70642.2元 19.6.4号</t>
  </si>
  <si>
    <t>7-23已退杨佰恩</t>
  </si>
  <si>
    <t>企税1.6%</t>
  </si>
  <si>
    <t>增值税及附加（20.1月开票扣税）</t>
  </si>
  <si>
    <t>增值税及附加</t>
  </si>
  <si>
    <t>增值税（19年11月开票退税）</t>
  </si>
  <si>
    <t>工程款支付表没有</t>
  </si>
  <si>
    <t>19.12-20.1增值税</t>
  </si>
  <si>
    <t>建行</t>
  </si>
  <si>
    <t>郑汉立</t>
  </si>
  <si>
    <t>碎石1075</t>
  </si>
  <si>
    <t>缺货单</t>
  </si>
  <si>
    <t>李超</t>
  </si>
  <si>
    <t>碎石1100吨</t>
  </si>
  <si>
    <t>12.1次</t>
  </si>
  <si>
    <t>2020.6.4</t>
  </si>
  <si>
    <t>水泥1190.5吨*371.67</t>
  </si>
  <si>
    <t>龙门县平陵俊桦建筑材料经营店</t>
  </si>
  <si>
    <t>石粉4000吨</t>
  </si>
  <si>
    <t xml:space="preserve"> </t>
  </si>
  <si>
    <t>第13次</t>
  </si>
  <si>
    <t>6.13日质安部巡查费用</t>
  </si>
  <si>
    <t>20年8月开票税金</t>
  </si>
  <si>
    <t>2020年8月退开票税金</t>
  </si>
  <si>
    <t>8-3收开票税金28771</t>
  </si>
  <si>
    <t>8-13退郑坚立28771</t>
  </si>
  <si>
    <t>公司</t>
  </si>
  <si>
    <t>惠州固力水泥集团有限公司博罗分公司</t>
  </si>
  <si>
    <t>广州港湾工程质量检测有限公司</t>
  </si>
  <si>
    <t>检测费</t>
  </si>
  <si>
    <t>第14.1次</t>
  </si>
  <si>
    <t>第14次</t>
  </si>
  <si>
    <t>龙门县双润运输有限公司（材料运输）</t>
  </si>
  <si>
    <t>第14.2次</t>
  </si>
  <si>
    <t>第14.3次</t>
  </si>
  <si>
    <t>砂</t>
  </si>
  <si>
    <t>碎石</t>
  </si>
  <si>
    <t>9月开票税金</t>
  </si>
  <si>
    <t>总计</t>
  </si>
  <si>
    <t>增值税、附加、1.6%企税</t>
  </si>
  <si>
    <t>郑华坚借款</t>
  </si>
  <si>
    <t>广州金晖建筑劳务有限公司（劳务）</t>
  </si>
  <si>
    <t>企税1.6%                 20年8月开票扣税</t>
  </si>
  <si>
    <t>水利基金                 20年8月开票扣税</t>
  </si>
  <si>
    <t>8.3收开票税金28771</t>
  </si>
  <si>
    <t xml:space="preserve">进项抵扣至此行 </t>
  </si>
  <si>
    <t>龙门县平陵俊桦建筑材料经营店(砂石)</t>
  </si>
  <si>
    <t>惠州交投振兴工程检测有限公司</t>
  </si>
  <si>
    <t>试验费</t>
  </si>
  <si>
    <t>9.30少扣税金差额部分</t>
  </si>
  <si>
    <t>按进度款</t>
  </si>
  <si>
    <t>增值税、附加、1.6%企税    20年9月开票扣税</t>
  </si>
  <si>
    <t>19.6月开票税金</t>
  </si>
  <si>
    <t>19.11月开票税金</t>
  </si>
  <si>
    <t>20.8月开票税金</t>
  </si>
  <si>
    <t>20.9月开票税金</t>
  </si>
  <si>
    <t>累计已缴金额</t>
  </si>
  <si>
    <t>期末进项留抵金额</t>
  </si>
  <si>
    <t>备注：ERP补录系统产生税额已全部从工程中扣除，期末数调整为0</t>
  </si>
  <si>
    <t>备注：没有抵扣进项合计数，留后期使用</t>
  </si>
  <si>
    <t>9.30已扣</t>
  </si>
  <si>
    <t>11.20补差额</t>
  </si>
  <si>
    <t>20.8月开票预交</t>
  </si>
  <si>
    <t>8.13退郑坚立28771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</si>
</sst>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yy/m/d;@"/>
    <numFmt numFmtId="179" formatCode="yyyy&quot;年&quot;m&quot;月&quot;;@"/>
    <numFmt numFmtId="180" formatCode="#,##0_ "/>
    <numFmt numFmtId="181" formatCode="0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27" borderId="18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0" borderId="0">
      <protection locked="0"/>
    </xf>
  </cellStyleXfs>
  <cellXfs count="24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43" fontId="5" fillId="0" borderId="0" xfId="8" applyFont="1" applyAlignment="1"/>
    <xf numFmtId="176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8" fillId="2" borderId="2" xfId="0" applyNumberFormat="1" applyFont="1" applyFill="1" applyBorder="1" applyAlignment="1">
      <alignment horizontal="center" vertical="center"/>
    </xf>
    <xf numFmtId="179" fontId="1" fillId="4" borderId="2" xfId="0" applyNumberFormat="1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vertical="center"/>
    </xf>
    <xf numFmtId="180" fontId="1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9" fontId="1" fillId="4" borderId="2" xfId="11" applyNumberFormat="1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3" fontId="9" fillId="0" borderId="2" xfId="8" applyFont="1" applyFill="1" applyBorder="1" applyAlignment="1" applyProtection="1">
      <alignment horizontal="center" vertical="center"/>
      <protection locked="0"/>
    </xf>
    <xf numFmtId="10" fontId="9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178" fontId="2" fillId="8" borderId="2" xfId="0" applyNumberFormat="1" applyFont="1" applyFill="1" applyBorder="1" applyAlignment="1">
      <alignment horizontal="center" vertical="center"/>
    </xf>
    <xf numFmtId="43" fontId="10" fillId="2" borderId="2" xfId="8" applyFont="1" applyFill="1" applyBorder="1" applyAlignment="1" applyProtection="1">
      <alignment horizontal="center" vertical="center"/>
      <protection locked="0"/>
    </xf>
    <xf numFmtId="10" fontId="10" fillId="2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176" fontId="9" fillId="0" borderId="6" xfId="49" applyNumberFormat="1" applyFont="1" applyFill="1" applyBorder="1" applyAlignment="1" applyProtection="1">
      <alignment horizontal="center" vertical="center" wrapText="1"/>
    </xf>
    <xf numFmtId="176" fontId="11" fillId="0" borderId="6" xfId="49" applyNumberFormat="1" applyFont="1" applyFill="1" applyBorder="1" applyAlignment="1" applyProtection="1">
      <alignment horizontal="center" vertical="center" wrapText="1"/>
    </xf>
    <xf numFmtId="43" fontId="12" fillId="0" borderId="2" xfId="8" applyFont="1" applyFill="1" applyBorder="1" applyAlignment="1" applyProtection="1">
      <alignment horizontal="center" vertical="center"/>
      <protection locked="0"/>
    </xf>
    <xf numFmtId="176" fontId="12" fillId="0" borderId="6" xfId="49" applyNumberFormat="1" applyFont="1" applyFill="1" applyBorder="1" applyAlignment="1" applyProtection="1">
      <alignment horizontal="center" vertical="center" wrapText="1"/>
    </xf>
    <xf numFmtId="176" fontId="13" fillId="0" borderId="6" xfId="49" applyNumberFormat="1" applyFont="1" applyFill="1" applyBorder="1" applyAlignment="1" applyProtection="1">
      <alignment horizontal="center" vertical="center" shrinkToFit="1"/>
    </xf>
    <xf numFmtId="177" fontId="2" fillId="8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177" fontId="3" fillId="2" borderId="2" xfId="0" applyNumberFormat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6" fontId="3" fillId="4" borderId="2" xfId="0" applyNumberFormat="1" applyFont="1" applyFill="1" applyBorder="1" applyAlignment="1">
      <alignment vertical="center"/>
    </xf>
    <xf numFmtId="0" fontId="3" fillId="4" borderId="2" xfId="0" applyNumberFormat="1" applyFont="1" applyFill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7" fontId="3" fillId="4" borderId="3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0" fontId="2" fillId="0" borderId="0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horizontal="left" vertical="center"/>
    </xf>
    <xf numFmtId="177" fontId="1" fillId="3" borderId="2" xfId="0" applyNumberFormat="1" applyFont="1" applyFill="1" applyBorder="1" applyAlignment="1">
      <alignment vertical="center"/>
    </xf>
    <xf numFmtId="177" fontId="3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9" fontId="1" fillId="0" borderId="2" xfId="1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9" fontId="1" fillId="0" borderId="2" xfId="11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vertical="center"/>
    </xf>
    <xf numFmtId="177" fontId="1" fillId="6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7" fontId="2" fillId="7" borderId="2" xfId="0" applyNumberFormat="1" applyFont="1" applyFill="1" applyBorder="1" applyAlignment="1">
      <alignment vertical="center"/>
    </xf>
    <xf numFmtId="0" fontId="1" fillId="7" borderId="2" xfId="0" applyNumberFormat="1" applyFont="1" applyFill="1" applyBorder="1" applyAlignment="1">
      <alignment vertical="center"/>
    </xf>
    <xf numFmtId="177" fontId="3" fillId="7" borderId="2" xfId="0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14" fillId="7" borderId="2" xfId="0" applyNumberFormat="1" applyFont="1" applyFill="1" applyBorder="1" applyAlignment="1">
      <alignment vertical="center"/>
    </xf>
    <xf numFmtId="10" fontId="9" fillId="0" borderId="6" xfId="0" applyNumberFormat="1" applyFont="1" applyFill="1" applyBorder="1" applyAlignment="1">
      <alignment vertical="center"/>
    </xf>
    <xf numFmtId="43" fontId="9" fillId="2" borderId="2" xfId="8" applyFont="1" applyFill="1" applyBorder="1" applyAlignment="1" applyProtection="1">
      <alignment horizontal="center" vertical="center"/>
      <protection locked="0"/>
    </xf>
    <xf numFmtId="10" fontId="9" fillId="2" borderId="6" xfId="0" applyNumberFormat="1" applyFont="1" applyFill="1" applyBorder="1" applyAlignment="1">
      <alignment vertical="center"/>
    </xf>
    <xf numFmtId="0" fontId="1" fillId="2" borderId="6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6" fontId="9" fillId="2" borderId="6" xfId="49" applyNumberFormat="1" applyFont="1" applyFill="1" applyBorder="1" applyAlignment="1" applyProtection="1">
      <alignment horizontal="center" vertical="center" wrapText="1"/>
    </xf>
    <xf numFmtId="10" fontId="11" fillId="0" borderId="6" xfId="0" applyNumberFormat="1" applyFont="1" applyFill="1" applyBorder="1" applyAlignment="1">
      <alignment vertical="center"/>
    </xf>
    <xf numFmtId="176" fontId="11" fillId="9" borderId="6" xfId="49" applyNumberFormat="1" applyFont="1" applyFill="1" applyBorder="1" applyAlignment="1" applyProtection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/>
    </xf>
    <xf numFmtId="176" fontId="12" fillId="9" borderId="6" xfId="49" applyNumberFormat="1" applyFont="1" applyFill="1" applyBorder="1" applyAlignment="1" applyProtection="1">
      <alignment horizontal="center" vertical="center" wrapText="1"/>
    </xf>
    <xf numFmtId="176" fontId="13" fillId="0" borderId="6" xfId="49" applyNumberFormat="1" applyFont="1" applyFill="1" applyBorder="1" applyAlignment="1" applyProtection="1">
      <alignment horizontal="right" vertical="center" shrinkToFit="1"/>
    </xf>
    <xf numFmtId="177" fontId="2" fillId="8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2" fillId="7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81" fontId="2" fillId="0" borderId="2" xfId="0" applyNumberFormat="1" applyFont="1" applyBorder="1" applyAlignment="1">
      <alignment vertical="center"/>
    </xf>
    <xf numFmtId="0" fontId="2" fillId="8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7" fontId="7" fillId="2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43" fontId="13" fillId="2" borderId="2" xfId="8" applyFont="1" applyFill="1" applyBorder="1" applyAlignment="1" applyProtection="1">
      <alignment horizontal="center" vertical="center"/>
      <protection locked="0"/>
    </xf>
    <xf numFmtId="10" fontId="13" fillId="2" borderId="6" xfId="0" applyNumberFormat="1" applyFont="1" applyFill="1" applyBorder="1" applyAlignment="1">
      <alignment vertical="center"/>
    </xf>
    <xf numFmtId="176" fontId="13" fillId="0" borderId="6" xfId="49" applyNumberFormat="1" applyFont="1" applyFill="1" applyBorder="1" applyAlignment="1" applyProtection="1">
      <alignment horizontal="center" vertical="center" wrapText="1"/>
    </xf>
    <xf numFmtId="10" fontId="12" fillId="0" borderId="6" xfId="0" applyNumberFormat="1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176" fontId="13" fillId="2" borderId="6" xfId="49" applyNumberFormat="1" applyFont="1" applyFill="1" applyBorder="1" applyAlignment="1" applyProtection="1">
      <alignment horizontal="right" vertical="center" shrinkToFit="1"/>
    </xf>
    <xf numFmtId="178" fontId="2" fillId="4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398780</xdr:colOff>
      <xdr:row>115</xdr:row>
      <xdr:rowOff>160020</xdr:rowOff>
    </xdr:from>
    <xdr:to>
      <xdr:col>15</xdr:col>
      <xdr:colOff>320675</xdr:colOff>
      <xdr:row>135</xdr:row>
      <xdr:rowOff>102235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8005" y="26499185"/>
          <a:ext cx="1198245" cy="3056890"/>
        </a:xfrm>
        <a:prstGeom prst="rect">
          <a:avLst/>
        </a:prstGeom>
      </xdr:spPr>
    </xdr:pic>
    <xdr:clientData/>
  </xdr:twoCellAnchor>
  <xdr:twoCellAnchor editAs="oneCell">
    <xdr:from>
      <xdr:col>14</xdr:col>
      <xdr:colOff>56515</xdr:colOff>
      <xdr:row>137</xdr:row>
      <xdr:rowOff>95250</xdr:rowOff>
    </xdr:from>
    <xdr:to>
      <xdr:col>15</xdr:col>
      <xdr:colOff>483870</xdr:colOff>
      <xdr:row>156</xdr:row>
      <xdr:rowOff>1270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4365" y="29834840"/>
          <a:ext cx="1275080" cy="26206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619125</xdr:colOff>
      <xdr:row>157</xdr:row>
      <xdr:rowOff>207645</xdr:rowOff>
    </xdr:from>
    <xdr:to>
      <xdr:col>9</xdr:col>
      <xdr:colOff>455295</xdr:colOff>
      <xdr:row>179</xdr:row>
      <xdr:rowOff>35560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6025" y="36338510"/>
          <a:ext cx="1769745" cy="3056890"/>
        </a:xfrm>
        <a:prstGeom prst="rect">
          <a:avLst/>
        </a:prstGeom>
      </xdr:spPr>
    </xdr:pic>
    <xdr:clientData/>
  </xdr:twoCellAnchor>
  <xdr:twoCellAnchor editAs="oneCell">
    <xdr:from>
      <xdr:col>10</xdr:col>
      <xdr:colOff>189865</xdr:colOff>
      <xdr:row>157</xdr:row>
      <xdr:rowOff>152400</xdr:rowOff>
    </xdr:from>
    <xdr:to>
      <xdr:col>11</xdr:col>
      <xdr:colOff>64770</xdr:colOff>
      <xdr:row>182</xdr:row>
      <xdr:rowOff>115570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38540" y="36283265"/>
          <a:ext cx="2275205" cy="3620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398780</xdr:colOff>
      <xdr:row>121</xdr:row>
      <xdr:rowOff>160020</xdr:rowOff>
    </xdr:from>
    <xdr:to>
      <xdr:col>15</xdr:col>
      <xdr:colOff>320675</xdr:colOff>
      <xdr:row>141</xdr:row>
      <xdr:rowOff>102235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8005" y="27870785"/>
          <a:ext cx="1198245" cy="3056890"/>
        </a:xfrm>
        <a:prstGeom prst="rect">
          <a:avLst/>
        </a:prstGeom>
      </xdr:spPr>
    </xdr:pic>
    <xdr:clientData/>
  </xdr:twoCellAnchor>
  <xdr:twoCellAnchor editAs="oneCell">
    <xdr:from>
      <xdr:col>14</xdr:col>
      <xdr:colOff>56515</xdr:colOff>
      <xdr:row>143</xdr:row>
      <xdr:rowOff>95250</xdr:rowOff>
    </xdr:from>
    <xdr:to>
      <xdr:col>15</xdr:col>
      <xdr:colOff>483870</xdr:colOff>
      <xdr:row>162</xdr:row>
      <xdr:rowOff>1270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4365" y="31206440"/>
          <a:ext cx="1275080" cy="2620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398780</xdr:colOff>
      <xdr:row>121</xdr:row>
      <xdr:rowOff>160020</xdr:rowOff>
    </xdr:from>
    <xdr:to>
      <xdr:col>15</xdr:col>
      <xdr:colOff>320675</xdr:colOff>
      <xdr:row>141</xdr:row>
      <xdr:rowOff>102235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8005" y="27870785"/>
          <a:ext cx="1198245" cy="3056890"/>
        </a:xfrm>
        <a:prstGeom prst="rect">
          <a:avLst/>
        </a:prstGeom>
      </xdr:spPr>
    </xdr:pic>
    <xdr:clientData/>
  </xdr:twoCellAnchor>
  <xdr:twoCellAnchor editAs="oneCell">
    <xdr:from>
      <xdr:col>14</xdr:col>
      <xdr:colOff>56515</xdr:colOff>
      <xdr:row>143</xdr:row>
      <xdr:rowOff>95250</xdr:rowOff>
    </xdr:from>
    <xdr:to>
      <xdr:col>15</xdr:col>
      <xdr:colOff>483870</xdr:colOff>
      <xdr:row>162</xdr:row>
      <xdr:rowOff>1270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4365" y="31206440"/>
          <a:ext cx="1275080" cy="26206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398780</xdr:colOff>
      <xdr:row>124</xdr:row>
      <xdr:rowOff>160020</xdr:rowOff>
    </xdr:from>
    <xdr:to>
      <xdr:col>15</xdr:col>
      <xdr:colOff>320675</xdr:colOff>
      <xdr:row>144</xdr:row>
      <xdr:rowOff>102235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48005" y="28556585"/>
          <a:ext cx="1198245" cy="3056890"/>
        </a:xfrm>
        <a:prstGeom prst="rect">
          <a:avLst/>
        </a:prstGeom>
      </xdr:spPr>
    </xdr:pic>
    <xdr:clientData/>
  </xdr:twoCellAnchor>
  <xdr:twoCellAnchor editAs="oneCell">
    <xdr:from>
      <xdr:col>14</xdr:col>
      <xdr:colOff>56515</xdr:colOff>
      <xdr:row>146</xdr:row>
      <xdr:rowOff>95250</xdr:rowOff>
    </xdr:from>
    <xdr:to>
      <xdr:col>15</xdr:col>
      <xdr:colOff>483870</xdr:colOff>
      <xdr:row>165</xdr:row>
      <xdr:rowOff>1270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4365" y="31892240"/>
          <a:ext cx="1275080" cy="26206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361950</xdr:colOff>
      <xdr:row>133</xdr:row>
      <xdr:rowOff>83820</xdr:rowOff>
    </xdr:from>
    <xdr:to>
      <xdr:col>15</xdr:col>
      <xdr:colOff>855345</xdr:colOff>
      <xdr:row>153</xdr:row>
      <xdr:rowOff>111760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11175" y="30537785"/>
          <a:ext cx="1769745" cy="3056890"/>
        </a:xfrm>
        <a:prstGeom prst="rect">
          <a:avLst/>
        </a:prstGeom>
      </xdr:spPr>
    </xdr:pic>
    <xdr:clientData/>
  </xdr:twoCellAnchor>
  <xdr:twoCellAnchor editAs="oneCell">
    <xdr:from>
      <xdr:col>13</xdr:col>
      <xdr:colOff>247015</xdr:colOff>
      <xdr:row>155</xdr:row>
      <xdr:rowOff>9525</xdr:rowOff>
    </xdr:from>
    <xdr:to>
      <xdr:col>16</xdr:col>
      <xdr:colOff>331470</xdr:colOff>
      <xdr:row>180</xdr:row>
      <xdr:rowOff>58420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96240" y="33778190"/>
          <a:ext cx="2275205" cy="36207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361950</xdr:colOff>
      <xdr:row>138</xdr:row>
      <xdr:rowOff>83820</xdr:rowOff>
    </xdr:from>
    <xdr:to>
      <xdr:col>15</xdr:col>
      <xdr:colOff>855345</xdr:colOff>
      <xdr:row>158</xdr:row>
      <xdr:rowOff>111760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11175" y="31680785"/>
          <a:ext cx="1769745" cy="3056890"/>
        </a:xfrm>
        <a:prstGeom prst="rect">
          <a:avLst/>
        </a:prstGeom>
      </xdr:spPr>
    </xdr:pic>
    <xdr:clientData/>
  </xdr:twoCellAnchor>
  <xdr:twoCellAnchor editAs="oneCell">
    <xdr:from>
      <xdr:col>13</xdr:col>
      <xdr:colOff>247015</xdr:colOff>
      <xdr:row>160</xdr:row>
      <xdr:rowOff>9525</xdr:rowOff>
    </xdr:from>
    <xdr:to>
      <xdr:col>16</xdr:col>
      <xdr:colOff>331470</xdr:colOff>
      <xdr:row>185</xdr:row>
      <xdr:rowOff>58420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96240" y="34921190"/>
          <a:ext cx="2275205" cy="36207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361950</xdr:colOff>
      <xdr:row>141</xdr:row>
      <xdr:rowOff>83820</xdr:rowOff>
    </xdr:from>
    <xdr:to>
      <xdr:col>15</xdr:col>
      <xdr:colOff>855345</xdr:colOff>
      <xdr:row>161</xdr:row>
      <xdr:rowOff>111760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11175" y="32366585"/>
          <a:ext cx="1769745" cy="3056890"/>
        </a:xfrm>
        <a:prstGeom prst="rect">
          <a:avLst/>
        </a:prstGeom>
      </xdr:spPr>
    </xdr:pic>
    <xdr:clientData/>
  </xdr:twoCellAnchor>
  <xdr:twoCellAnchor editAs="oneCell">
    <xdr:from>
      <xdr:col>13</xdr:col>
      <xdr:colOff>247015</xdr:colOff>
      <xdr:row>163</xdr:row>
      <xdr:rowOff>9525</xdr:rowOff>
    </xdr:from>
    <xdr:to>
      <xdr:col>16</xdr:col>
      <xdr:colOff>331470</xdr:colOff>
      <xdr:row>188</xdr:row>
      <xdr:rowOff>58420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96240" y="35606990"/>
          <a:ext cx="2275205" cy="36207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361950</xdr:colOff>
      <xdr:row>145</xdr:row>
      <xdr:rowOff>83820</xdr:rowOff>
    </xdr:from>
    <xdr:to>
      <xdr:col>15</xdr:col>
      <xdr:colOff>855345</xdr:colOff>
      <xdr:row>165</xdr:row>
      <xdr:rowOff>111760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11175" y="33280985"/>
          <a:ext cx="1769745" cy="3056890"/>
        </a:xfrm>
        <a:prstGeom prst="rect">
          <a:avLst/>
        </a:prstGeom>
      </xdr:spPr>
    </xdr:pic>
    <xdr:clientData/>
  </xdr:twoCellAnchor>
  <xdr:twoCellAnchor editAs="oneCell">
    <xdr:from>
      <xdr:col>13</xdr:col>
      <xdr:colOff>247015</xdr:colOff>
      <xdr:row>167</xdr:row>
      <xdr:rowOff>9525</xdr:rowOff>
    </xdr:from>
    <xdr:to>
      <xdr:col>16</xdr:col>
      <xdr:colOff>331470</xdr:colOff>
      <xdr:row>192</xdr:row>
      <xdr:rowOff>58420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96240" y="36521390"/>
          <a:ext cx="2275205" cy="36207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361950</xdr:colOff>
      <xdr:row>145</xdr:row>
      <xdr:rowOff>83820</xdr:rowOff>
    </xdr:from>
    <xdr:to>
      <xdr:col>15</xdr:col>
      <xdr:colOff>855345</xdr:colOff>
      <xdr:row>165</xdr:row>
      <xdr:rowOff>111760</xdr:rowOff>
    </xdr:to>
    <xdr:pic>
      <xdr:nvPicPr>
        <xdr:cNvPr id="2" name="图片 1" descr="FQY8ZZ_7R}2G~}U~]_1}VH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11175" y="33280985"/>
          <a:ext cx="1769745" cy="3056890"/>
        </a:xfrm>
        <a:prstGeom prst="rect">
          <a:avLst/>
        </a:prstGeom>
      </xdr:spPr>
    </xdr:pic>
    <xdr:clientData/>
  </xdr:twoCellAnchor>
  <xdr:twoCellAnchor editAs="oneCell">
    <xdr:from>
      <xdr:col>13</xdr:col>
      <xdr:colOff>247015</xdr:colOff>
      <xdr:row>167</xdr:row>
      <xdr:rowOff>9525</xdr:rowOff>
    </xdr:from>
    <xdr:to>
      <xdr:col>16</xdr:col>
      <xdr:colOff>331470</xdr:colOff>
      <xdr:row>192</xdr:row>
      <xdr:rowOff>58420</xdr:rowOff>
    </xdr:to>
    <xdr:pic>
      <xdr:nvPicPr>
        <xdr:cNvPr id="3" name="图片 2" descr="TZF$2~WFUPTFFUH6UHXOE5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96240" y="36521390"/>
          <a:ext cx="2275205" cy="3620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9.xml"/><Relationship Id="rId1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0.xml"/><Relationship Id="rId1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topLeftCell="A76" workbookViewId="0">
      <selection activeCell="L95" sqref="L95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9.875" style="176" customWidth="1"/>
    <col min="11" max="11" width="31.5" style="14" customWidth="1"/>
    <col min="12" max="12" width="12.75" style="14" customWidth="1"/>
    <col min="13" max="13" width="10.625" style="14" customWidth="1"/>
    <col min="14" max="14" width="5.625" style="14" customWidth="1"/>
    <col min="15" max="15" width="9" style="14"/>
    <col min="16" max="16" width="9.625" style="14"/>
    <col min="17" max="17" width="10.375" style="14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8" si="0">G7/(1+C7+E7)</f>
        <v>917431.19266055</v>
      </c>
      <c r="C7" s="32">
        <v>0.02</v>
      </c>
      <c r="D7" s="33">
        <f t="shared" ref="D7:D8" si="1">G7/(1+E7+C7)*C7</f>
        <v>18348.623853211</v>
      </c>
      <c r="E7" s="32">
        <v>0.07</v>
      </c>
      <c r="F7" s="31">
        <f t="shared" ref="F7:F8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ref="B9:B11" si="3">G9/(1+C9+E9)</f>
        <v>1559633.02752294</v>
      </c>
      <c r="C9" s="32">
        <v>0.02</v>
      </c>
      <c r="D9" s="33">
        <f t="shared" ref="D9:D11" si="4">G9/(1+E9+C9)*C9</f>
        <v>31192.6605504587</v>
      </c>
      <c r="E9" s="35">
        <v>0.07</v>
      </c>
      <c r="F9" s="31">
        <f t="shared" ref="F9:F11" si="5">G9/(1+C9+E9)*E9</f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3"/>
        <v>917431.19266055</v>
      </c>
      <c r="C10" s="32">
        <v>0.02</v>
      </c>
      <c r="D10" s="33">
        <f t="shared" si="4"/>
        <v>18348.623853211</v>
      </c>
      <c r="E10" s="35">
        <v>0.07</v>
      </c>
      <c r="F10" s="31">
        <f t="shared" si="5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3"/>
        <v>1834862.3853211</v>
      </c>
      <c r="C11" s="35">
        <v>0.02</v>
      </c>
      <c r="D11" s="33">
        <f t="shared" si="4"/>
        <v>36697.247706422</v>
      </c>
      <c r="E11" s="35">
        <v>0.07</v>
      </c>
      <c r="F11" s="31">
        <f t="shared" si="5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6" t="s">
        <v>23</v>
      </c>
      <c r="B12" s="37">
        <f t="shared" ref="B12:G12" si="6">SUM(B7:B11)</f>
        <v>6146788.99082569</v>
      </c>
      <c r="C12" s="38"/>
      <c r="D12" s="37">
        <f t="shared" si="6"/>
        <v>122935.779816514</v>
      </c>
      <c r="E12" s="38"/>
      <c r="F12" s="179">
        <f t="shared" si="6"/>
        <v>430275.229357799</v>
      </c>
      <c r="G12" s="37">
        <f t="shared" si="6"/>
        <v>6700000</v>
      </c>
      <c r="H12" s="180"/>
      <c r="I12" s="37">
        <f>SUM(I7:I11)</f>
        <v>6700000</v>
      </c>
      <c r="J12" s="180"/>
    </row>
    <row r="13" ht="18" customHeight="1" spans="1:15">
      <c r="A13" s="7" t="s">
        <v>24</v>
      </c>
      <c r="J13" s="9"/>
      <c r="K13" s="26" t="s">
        <v>25</v>
      </c>
      <c r="L13" s="176"/>
      <c r="O13" s="189">
        <f>O16+O19+O21+O30+O33</f>
        <v>2519.89</v>
      </c>
    </row>
    <row r="14" ht="18" customHeight="1" spans="1:15">
      <c r="A14" s="41" t="s">
        <v>26</v>
      </c>
      <c r="B14" s="28" t="s">
        <v>27</v>
      </c>
      <c r="C14" s="27" t="s">
        <v>28</v>
      </c>
      <c r="D14" s="27" t="s">
        <v>29</v>
      </c>
      <c r="E14" s="27" t="s">
        <v>17</v>
      </c>
      <c r="F14" s="28" t="s">
        <v>30</v>
      </c>
      <c r="G14" s="28" t="s">
        <v>15</v>
      </c>
      <c r="H14" s="27" t="s">
        <v>31</v>
      </c>
      <c r="I14" s="28" t="s">
        <v>32</v>
      </c>
      <c r="J14" s="27" t="s">
        <v>21</v>
      </c>
      <c r="K14" s="74" t="s">
        <v>33</v>
      </c>
      <c r="L14" s="29" t="s">
        <v>34</v>
      </c>
      <c r="M14" s="29" t="s">
        <v>35</v>
      </c>
      <c r="N14" s="29" t="s">
        <v>36</v>
      </c>
      <c r="O14" s="29" t="s">
        <v>37</v>
      </c>
    </row>
    <row r="15" s="1" customFormat="1" ht="18" customHeight="1" spans="1:15">
      <c r="A15" s="42">
        <v>43617</v>
      </c>
      <c r="B15" s="25">
        <f t="shared" ref="B15:B59" si="7">ROUND(G15/(1+E15),2)</f>
        <v>970873.79</v>
      </c>
      <c r="C15" s="43"/>
      <c r="D15" s="44" t="s">
        <v>38</v>
      </c>
      <c r="E15" s="45">
        <v>0.03</v>
      </c>
      <c r="F15" s="25">
        <f t="shared" ref="F15:F17" si="8">ROUND(G15/(1+E15)*E15,2)</f>
        <v>29126.21</v>
      </c>
      <c r="G15" s="178">
        <v>1000000</v>
      </c>
      <c r="H15" s="30">
        <v>43640</v>
      </c>
      <c r="I15" s="31">
        <v>300000</v>
      </c>
      <c r="J15" s="40" t="s">
        <v>22</v>
      </c>
      <c r="K15" s="190" t="s">
        <v>39</v>
      </c>
      <c r="L15" s="191" t="s">
        <v>40</v>
      </c>
      <c r="M15" s="77" t="s">
        <v>41</v>
      </c>
      <c r="N15" s="77"/>
      <c r="O15" s="191"/>
    </row>
    <row r="16" s="1" customFormat="1" ht="18" customHeight="1" spans="1:15">
      <c r="A16" s="42">
        <v>43617</v>
      </c>
      <c r="B16" s="25">
        <f t="shared" si="7"/>
        <v>442477.88</v>
      </c>
      <c r="C16" s="43"/>
      <c r="D16" s="44" t="s">
        <v>38</v>
      </c>
      <c r="E16" s="45">
        <v>0.13</v>
      </c>
      <c r="F16" s="25">
        <f t="shared" si="8"/>
        <v>57522.12</v>
      </c>
      <c r="G16" s="178">
        <f>100000*5</f>
        <v>500000</v>
      </c>
      <c r="H16" s="30">
        <v>43640</v>
      </c>
      <c r="I16" s="31">
        <v>500000</v>
      </c>
      <c r="J16" s="40" t="s">
        <v>22</v>
      </c>
      <c r="K16" s="190" t="s">
        <v>42</v>
      </c>
      <c r="L16" s="191" t="s">
        <v>43</v>
      </c>
      <c r="M16" s="77" t="s">
        <v>41</v>
      </c>
      <c r="N16" s="77" t="s">
        <v>41</v>
      </c>
      <c r="O16" s="192">
        <v>119.5</v>
      </c>
    </row>
    <row r="17" s="1" customFormat="1" ht="18" customHeight="1" spans="1:15">
      <c r="A17" s="42">
        <v>43678</v>
      </c>
      <c r="B17" s="25">
        <f t="shared" si="7"/>
        <v>99500</v>
      </c>
      <c r="C17" s="43"/>
      <c r="D17" s="44" t="s">
        <v>44</v>
      </c>
      <c r="E17" s="45"/>
      <c r="F17" s="25">
        <f t="shared" si="8"/>
        <v>0</v>
      </c>
      <c r="G17" s="178">
        <v>99500</v>
      </c>
      <c r="H17" s="30">
        <v>43682</v>
      </c>
      <c r="I17" s="31">
        <v>99500</v>
      </c>
      <c r="J17" s="40" t="s">
        <v>45</v>
      </c>
      <c r="K17" s="190" t="s">
        <v>46</v>
      </c>
      <c r="L17" s="191" t="s">
        <v>47</v>
      </c>
      <c r="M17" s="77"/>
      <c r="N17" s="77"/>
      <c r="O17" s="191"/>
    </row>
    <row r="18" s="1" customFormat="1" ht="18" customHeight="1" spans="1:15">
      <c r="A18" s="42">
        <v>43739</v>
      </c>
      <c r="B18" s="25">
        <f t="shared" si="7"/>
        <v>4000</v>
      </c>
      <c r="C18" s="43"/>
      <c r="D18" s="44" t="s">
        <v>44</v>
      </c>
      <c r="E18" s="45"/>
      <c r="F18" s="25">
        <f t="shared" ref="F18:F55" si="9">ROUND(G18/(1+E18)*E18,2)</f>
        <v>0</v>
      </c>
      <c r="G18" s="178">
        <v>4000</v>
      </c>
      <c r="H18" s="30"/>
      <c r="I18" s="31"/>
      <c r="J18" s="40"/>
      <c r="K18" s="190" t="s">
        <v>48</v>
      </c>
      <c r="L18" s="191" t="s">
        <v>49</v>
      </c>
      <c r="M18" s="77"/>
      <c r="N18" s="77"/>
      <c r="O18" s="191"/>
    </row>
    <row r="19" s="1" customFormat="1" ht="18" customHeight="1" spans="1:15">
      <c r="A19" s="42">
        <v>43770</v>
      </c>
      <c r="B19" s="25">
        <f t="shared" si="7"/>
        <v>265486.73</v>
      </c>
      <c r="C19" s="43"/>
      <c r="D19" s="44" t="s">
        <v>38</v>
      </c>
      <c r="E19" s="47">
        <v>0.13</v>
      </c>
      <c r="F19" s="25">
        <f t="shared" si="9"/>
        <v>34513.27</v>
      </c>
      <c r="G19" s="178">
        <f>100000*3</f>
        <v>300000</v>
      </c>
      <c r="H19" s="30">
        <v>43784</v>
      </c>
      <c r="I19" s="31">
        <v>300000</v>
      </c>
      <c r="J19" s="40" t="s">
        <v>22</v>
      </c>
      <c r="K19" s="190" t="s">
        <v>42</v>
      </c>
      <c r="L19" s="191" t="s">
        <v>50</v>
      </c>
      <c r="M19" s="77" t="s">
        <v>41</v>
      </c>
      <c r="N19" s="77" t="s">
        <v>41</v>
      </c>
      <c r="O19" s="192">
        <v>923.01</v>
      </c>
    </row>
    <row r="20" s="1" customFormat="1" ht="18" customHeight="1" spans="1:15">
      <c r="A20" s="42"/>
      <c r="B20" s="25">
        <f t="shared" si="7"/>
        <v>0</v>
      </c>
      <c r="C20" s="43"/>
      <c r="D20" s="44"/>
      <c r="E20" s="45"/>
      <c r="F20" s="25">
        <f t="shared" si="9"/>
        <v>0</v>
      </c>
      <c r="G20" s="178"/>
      <c r="H20" s="30">
        <v>43784</v>
      </c>
      <c r="I20" s="31">
        <v>300000</v>
      </c>
      <c r="J20" s="40" t="s">
        <v>22</v>
      </c>
      <c r="K20" s="190" t="s">
        <v>39</v>
      </c>
      <c r="L20" s="191" t="s">
        <v>51</v>
      </c>
      <c r="M20" s="77"/>
      <c r="N20" s="77"/>
      <c r="O20" s="191"/>
    </row>
    <row r="21" s="1" customFormat="1" ht="18" customHeight="1" spans="1:15">
      <c r="A21" s="42">
        <v>43800</v>
      </c>
      <c r="B21" s="25">
        <f t="shared" si="7"/>
        <v>159292.04</v>
      </c>
      <c r="C21" s="43"/>
      <c r="D21" s="44" t="s">
        <v>38</v>
      </c>
      <c r="E21" s="47">
        <v>0.13</v>
      </c>
      <c r="F21" s="25">
        <f t="shared" si="9"/>
        <v>20707.96</v>
      </c>
      <c r="G21" s="178">
        <v>180000</v>
      </c>
      <c r="H21" s="30">
        <v>43798</v>
      </c>
      <c r="I21" s="31">
        <v>180000</v>
      </c>
      <c r="J21" s="40" t="s">
        <v>22</v>
      </c>
      <c r="K21" s="190" t="s">
        <v>42</v>
      </c>
      <c r="L21" s="191" t="s">
        <v>52</v>
      </c>
      <c r="M21" s="77" t="s">
        <v>41</v>
      </c>
      <c r="N21" s="77"/>
      <c r="O21" s="192">
        <v>321.43</v>
      </c>
    </row>
    <row r="22" s="1" customFormat="1" ht="18" customHeight="1" spans="1:15">
      <c r="A22" s="42">
        <v>43800</v>
      </c>
      <c r="B22" s="25">
        <f t="shared" si="7"/>
        <v>0</v>
      </c>
      <c r="C22" s="43"/>
      <c r="D22" s="44"/>
      <c r="E22" s="45"/>
      <c r="F22" s="25">
        <f t="shared" si="9"/>
        <v>0</v>
      </c>
      <c r="G22" s="178"/>
      <c r="H22" s="30">
        <v>43816</v>
      </c>
      <c r="I22" s="31">
        <v>510000</v>
      </c>
      <c r="J22" s="40" t="s">
        <v>22</v>
      </c>
      <c r="K22" s="190" t="s">
        <v>39</v>
      </c>
      <c r="L22" s="191" t="s">
        <v>51</v>
      </c>
      <c r="M22" s="77"/>
      <c r="N22" s="77"/>
      <c r="O22" s="191"/>
    </row>
    <row r="23" s="1" customFormat="1" ht="18" customHeight="1" spans="1:15">
      <c r="A23" s="42"/>
      <c r="B23" s="25">
        <f t="shared" si="7"/>
        <v>0</v>
      </c>
      <c r="C23" s="43"/>
      <c r="D23" s="44"/>
      <c r="E23" s="45"/>
      <c r="F23" s="25">
        <f t="shared" si="9"/>
        <v>0</v>
      </c>
      <c r="G23" s="178"/>
      <c r="H23" s="30">
        <v>43816</v>
      </c>
      <c r="I23" s="31">
        <v>500000</v>
      </c>
      <c r="J23" s="40" t="s">
        <v>22</v>
      </c>
      <c r="K23" s="190" t="s">
        <v>42</v>
      </c>
      <c r="L23" s="191" t="s">
        <v>53</v>
      </c>
      <c r="M23" s="77"/>
      <c r="N23" s="77"/>
      <c r="O23" s="191"/>
    </row>
    <row r="24" s="1" customFormat="1" ht="18" customHeight="1" spans="1:15">
      <c r="A24" s="42">
        <v>43800</v>
      </c>
      <c r="B24" s="25">
        <f t="shared" si="7"/>
        <v>26161.81</v>
      </c>
      <c r="C24" s="43"/>
      <c r="D24" s="44" t="s">
        <v>38</v>
      </c>
      <c r="E24" s="47">
        <v>0.13</v>
      </c>
      <c r="F24" s="25">
        <f t="shared" si="9"/>
        <v>3401.04</v>
      </c>
      <c r="G24" s="178">
        <f>289+712.88+1692.98+5848.99+20479+540</f>
        <v>29562.85</v>
      </c>
      <c r="H24" s="30"/>
      <c r="I24" s="31"/>
      <c r="J24" s="40"/>
      <c r="K24" s="190" t="s">
        <v>54</v>
      </c>
      <c r="L24" s="191"/>
      <c r="M24" s="77"/>
      <c r="N24" s="77"/>
      <c r="O24" s="191"/>
    </row>
    <row r="25" s="1" customFormat="1" ht="18" customHeight="1" spans="1:15">
      <c r="A25" s="42">
        <v>43800</v>
      </c>
      <c r="B25" s="25">
        <f t="shared" si="7"/>
        <v>3590</v>
      </c>
      <c r="C25" s="43"/>
      <c r="D25" s="44" t="s">
        <v>44</v>
      </c>
      <c r="E25" s="45"/>
      <c r="F25" s="25">
        <f t="shared" si="9"/>
        <v>0</v>
      </c>
      <c r="G25" s="178">
        <v>3590</v>
      </c>
      <c r="H25" s="30"/>
      <c r="I25" s="31"/>
      <c r="J25" s="40"/>
      <c r="K25" s="190" t="s">
        <v>55</v>
      </c>
      <c r="L25" s="191" t="s">
        <v>56</v>
      </c>
      <c r="M25" s="77"/>
      <c r="N25" s="77"/>
      <c r="O25" s="191"/>
    </row>
    <row r="26" s="1" customFormat="1" ht="18" customHeight="1" spans="1:15">
      <c r="A26" s="42">
        <v>43800</v>
      </c>
      <c r="B26" s="25">
        <f t="shared" si="7"/>
        <v>11518.87</v>
      </c>
      <c r="C26" s="43"/>
      <c r="D26" s="44" t="s">
        <v>38</v>
      </c>
      <c r="E26" s="47">
        <v>0.06</v>
      </c>
      <c r="F26" s="25">
        <f t="shared" si="9"/>
        <v>691.13</v>
      </c>
      <c r="G26" s="178">
        <f>1207+1069+372+1480+1468+1278+1095+955+1360+742+1184</f>
        <v>12210</v>
      </c>
      <c r="H26" s="30"/>
      <c r="I26" s="31"/>
      <c r="J26" s="40"/>
      <c r="K26" s="190" t="s">
        <v>57</v>
      </c>
      <c r="L26" s="191" t="s">
        <v>58</v>
      </c>
      <c r="M26" s="77"/>
      <c r="N26" s="77"/>
      <c r="O26" s="191"/>
    </row>
    <row r="27" s="1" customFormat="1" ht="18" customHeight="1" spans="1:15">
      <c r="A27" s="42">
        <v>43800</v>
      </c>
      <c r="B27" s="25">
        <f t="shared" si="7"/>
        <v>1855</v>
      </c>
      <c r="C27" s="43"/>
      <c r="D27" s="44" t="s">
        <v>59</v>
      </c>
      <c r="E27" s="47"/>
      <c r="F27" s="25">
        <f t="shared" si="9"/>
        <v>0</v>
      </c>
      <c r="G27" s="178">
        <v>1855</v>
      </c>
      <c r="H27" s="30"/>
      <c r="I27" s="31"/>
      <c r="J27" s="40"/>
      <c r="K27" s="190" t="s">
        <v>57</v>
      </c>
      <c r="L27" s="191" t="s">
        <v>58</v>
      </c>
      <c r="M27" s="77"/>
      <c r="N27" s="77"/>
      <c r="O27" s="191"/>
    </row>
    <row r="28" s="1" customFormat="1" ht="18" customHeight="1" spans="1:15">
      <c r="A28" s="42"/>
      <c r="B28" s="25">
        <f t="shared" si="7"/>
        <v>0</v>
      </c>
      <c r="C28" s="43"/>
      <c r="D28" s="44"/>
      <c r="E28" s="45"/>
      <c r="F28" s="25">
        <f t="shared" si="9"/>
        <v>0</v>
      </c>
      <c r="G28" s="178"/>
      <c r="H28" s="30">
        <v>43819</v>
      </c>
      <c r="I28" s="31">
        <v>1000000</v>
      </c>
      <c r="J28" s="40" t="s">
        <v>45</v>
      </c>
      <c r="K28" s="190" t="s">
        <v>60</v>
      </c>
      <c r="L28" s="191" t="s">
        <v>61</v>
      </c>
      <c r="M28" s="77"/>
      <c r="N28" s="77"/>
      <c r="O28" s="191"/>
    </row>
    <row r="29" s="1" customFormat="1" ht="18" customHeight="1" spans="1:15">
      <c r="A29" s="42"/>
      <c r="B29" s="25">
        <f t="shared" si="7"/>
        <v>0</v>
      </c>
      <c r="C29" s="43"/>
      <c r="D29" s="44"/>
      <c r="E29" s="45"/>
      <c r="F29" s="25">
        <f t="shared" si="9"/>
        <v>0</v>
      </c>
      <c r="G29" s="178"/>
      <c r="H29" s="244">
        <v>43819</v>
      </c>
      <c r="I29" s="245">
        <v>-1000000</v>
      </c>
      <c r="J29" s="246" t="s">
        <v>45</v>
      </c>
      <c r="K29" s="247" t="s">
        <v>62</v>
      </c>
      <c r="L29" s="248" t="s">
        <v>63</v>
      </c>
      <c r="M29" s="77"/>
      <c r="N29" s="77"/>
      <c r="O29" s="191"/>
    </row>
    <row r="30" s="1" customFormat="1" ht="18" customHeight="1" spans="1:15">
      <c r="A30" s="42">
        <v>43800</v>
      </c>
      <c r="B30" s="25">
        <f t="shared" si="7"/>
        <v>442477.88</v>
      </c>
      <c r="C30" s="43"/>
      <c r="D30" s="44" t="s">
        <v>38</v>
      </c>
      <c r="E30" s="47">
        <v>0.13</v>
      </c>
      <c r="F30" s="25">
        <f t="shared" si="9"/>
        <v>57522.12</v>
      </c>
      <c r="G30" s="178">
        <v>500000</v>
      </c>
      <c r="H30" s="30">
        <v>43830</v>
      </c>
      <c r="I30" s="31">
        <v>300000</v>
      </c>
      <c r="J30" s="40" t="s">
        <v>22</v>
      </c>
      <c r="K30" s="190" t="s">
        <v>42</v>
      </c>
      <c r="L30" s="191" t="s">
        <v>64</v>
      </c>
      <c r="M30" s="77" t="s">
        <v>41</v>
      </c>
      <c r="N30" s="77" t="s">
        <v>65</v>
      </c>
      <c r="O30" s="192">
        <v>729.95</v>
      </c>
    </row>
    <row r="31" s="1" customFormat="1" ht="18" customHeight="1" spans="1:15">
      <c r="A31" s="42">
        <v>43800</v>
      </c>
      <c r="B31" s="25">
        <f t="shared" si="7"/>
        <v>485436.89</v>
      </c>
      <c r="C31" s="43"/>
      <c r="D31" s="44" t="s">
        <v>38</v>
      </c>
      <c r="E31" s="47">
        <v>0.03</v>
      </c>
      <c r="F31" s="25">
        <f t="shared" si="9"/>
        <v>14563.11</v>
      </c>
      <c r="G31" s="178">
        <v>500000</v>
      </c>
      <c r="H31" s="30">
        <v>43846</v>
      </c>
      <c r="I31" s="31">
        <v>390000</v>
      </c>
      <c r="J31" s="40" t="s">
        <v>22</v>
      </c>
      <c r="K31" s="190" t="s">
        <v>39</v>
      </c>
      <c r="L31" s="191" t="s">
        <v>51</v>
      </c>
      <c r="M31" s="77"/>
      <c r="N31" s="77"/>
      <c r="O31" s="191"/>
    </row>
    <row r="32" s="1" customFormat="1" ht="18" customHeight="1" spans="1:15">
      <c r="A32" s="42">
        <v>43800</v>
      </c>
      <c r="B32" s="25">
        <f t="shared" si="7"/>
        <v>1200000</v>
      </c>
      <c r="C32" s="43"/>
      <c r="D32" s="44" t="s">
        <v>66</v>
      </c>
      <c r="E32" s="47"/>
      <c r="F32" s="25">
        <f t="shared" si="9"/>
        <v>0</v>
      </c>
      <c r="G32" s="178">
        <v>1200000</v>
      </c>
      <c r="H32" s="30"/>
      <c r="I32" s="31"/>
      <c r="J32" s="40"/>
      <c r="K32" s="190" t="s">
        <v>67</v>
      </c>
      <c r="L32" s="191"/>
      <c r="M32" s="77"/>
      <c r="N32" s="77"/>
      <c r="O32" s="191"/>
    </row>
    <row r="33" s="1" customFormat="1" ht="18" customHeight="1" spans="1:15">
      <c r="A33" s="42">
        <v>43831</v>
      </c>
      <c r="B33" s="25">
        <f t="shared" si="7"/>
        <v>265486.73</v>
      </c>
      <c r="C33" s="43"/>
      <c r="D33" s="44" t="s">
        <v>38</v>
      </c>
      <c r="E33" s="47">
        <v>0.13</v>
      </c>
      <c r="F33" s="219">
        <f t="shared" si="9"/>
        <v>34513.27</v>
      </c>
      <c r="G33" s="178">
        <f>3*100000</f>
        <v>300000</v>
      </c>
      <c r="H33" s="30">
        <v>43846</v>
      </c>
      <c r="I33" s="31">
        <v>300000</v>
      </c>
      <c r="J33" s="40" t="s">
        <v>22</v>
      </c>
      <c r="K33" s="190" t="s">
        <v>42</v>
      </c>
      <c r="L33" s="191" t="s">
        <v>68</v>
      </c>
      <c r="M33" s="77" t="s">
        <v>41</v>
      </c>
      <c r="N33" s="77" t="s">
        <v>69</v>
      </c>
      <c r="O33" s="191">
        <v>426</v>
      </c>
    </row>
    <row r="34" s="1" customFormat="1" ht="18" customHeight="1" spans="1:15">
      <c r="A34" s="42">
        <v>43831</v>
      </c>
      <c r="B34" s="25">
        <f t="shared" si="7"/>
        <v>600000</v>
      </c>
      <c r="C34" s="43"/>
      <c r="D34" s="44" t="s">
        <v>66</v>
      </c>
      <c r="E34" s="47"/>
      <c r="F34" s="25">
        <f t="shared" si="9"/>
        <v>0</v>
      </c>
      <c r="G34" s="184">
        <v>600000</v>
      </c>
      <c r="H34" s="30"/>
      <c r="I34" s="31"/>
      <c r="J34" s="40"/>
      <c r="K34" s="224" t="s">
        <v>70</v>
      </c>
      <c r="L34" s="191" t="s">
        <v>71</v>
      </c>
      <c r="M34" s="77"/>
      <c r="N34" s="77"/>
      <c r="O34" s="191"/>
    </row>
    <row r="35" s="1" customFormat="1" ht="18" customHeight="1" spans="1:15">
      <c r="A35" s="42">
        <v>43831</v>
      </c>
      <c r="B35" s="25">
        <f t="shared" si="7"/>
        <v>600000</v>
      </c>
      <c r="C35" s="43"/>
      <c r="D35" s="44" t="s">
        <v>66</v>
      </c>
      <c r="E35" s="47"/>
      <c r="F35" s="25">
        <f t="shared" si="9"/>
        <v>0</v>
      </c>
      <c r="G35" s="184">
        <v>600000</v>
      </c>
      <c r="H35" s="30">
        <v>43852</v>
      </c>
      <c r="I35" s="31">
        <v>400000</v>
      </c>
      <c r="J35" s="40" t="s">
        <v>45</v>
      </c>
      <c r="K35" s="224" t="s">
        <v>72</v>
      </c>
      <c r="L35" s="191" t="s">
        <v>71</v>
      </c>
      <c r="M35" s="77"/>
      <c r="N35" s="77"/>
      <c r="O35" s="191"/>
    </row>
    <row r="36" s="1" customFormat="1" ht="18" customHeight="1" spans="1:15">
      <c r="A36" s="42">
        <v>43831</v>
      </c>
      <c r="B36" s="25">
        <f t="shared" si="7"/>
        <v>733944.95</v>
      </c>
      <c r="C36" s="43"/>
      <c r="D36" s="44" t="s">
        <v>38</v>
      </c>
      <c r="E36" s="47">
        <v>0.09</v>
      </c>
      <c r="F36" s="25">
        <f t="shared" si="9"/>
        <v>66055.05</v>
      </c>
      <c r="G36" s="210">
        <v>800000</v>
      </c>
      <c r="H36" s="30"/>
      <c r="I36" s="31"/>
      <c r="J36" s="40"/>
      <c r="K36" s="224" t="s">
        <v>73</v>
      </c>
      <c r="L36" s="191" t="s">
        <v>74</v>
      </c>
      <c r="M36" s="77" t="s">
        <v>41</v>
      </c>
      <c r="N36" s="77" t="s">
        <v>41</v>
      </c>
      <c r="O36" s="191"/>
    </row>
    <row r="37" s="1" customFormat="1" ht="18" customHeight="1" spans="1:15">
      <c r="A37" s="42"/>
      <c r="B37" s="25">
        <f t="shared" si="7"/>
        <v>0</v>
      </c>
      <c r="C37" s="43"/>
      <c r="D37" s="44"/>
      <c r="E37" s="47"/>
      <c r="F37" s="25">
        <f t="shared" si="9"/>
        <v>0</v>
      </c>
      <c r="G37" s="184"/>
      <c r="H37" s="30">
        <v>43850</v>
      </c>
      <c r="I37" s="31">
        <v>200000</v>
      </c>
      <c r="J37" s="40" t="s">
        <v>45</v>
      </c>
      <c r="K37" s="190" t="s">
        <v>60</v>
      </c>
      <c r="L37" s="191"/>
      <c r="M37" s="77"/>
      <c r="N37" s="77"/>
      <c r="O37" s="191"/>
    </row>
    <row r="38" s="1" customFormat="1" ht="18" customHeight="1" spans="1:15">
      <c r="A38" s="42"/>
      <c r="B38" s="25">
        <f t="shared" si="7"/>
        <v>0</v>
      </c>
      <c r="C38" s="43"/>
      <c r="D38" s="44"/>
      <c r="E38" s="47"/>
      <c r="F38" s="25">
        <f t="shared" si="9"/>
        <v>0</v>
      </c>
      <c r="G38" s="184"/>
      <c r="H38" s="30">
        <v>43853</v>
      </c>
      <c r="I38" s="31">
        <v>500000</v>
      </c>
      <c r="J38" s="40" t="s">
        <v>22</v>
      </c>
      <c r="K38" s="190" t="s">
        <v>73</v>
      </c>
      <c r="L38" s="191" t="s">
        <v>75</v>
      </c>
      <c r="M38" s="77"/>
      <c r="N38" s="77"/>
      <c r="O38" s="191"/>
    </row>
    <row r="39" s="1" customFormat="1" ht="18" customHeight="1" spans="1:15">
      <c r="A39" s="42"/>
      <c r="B39" s="25">
        <f t="shared" si="7"/>
        <v>0</v>
      </c>
      <c r="C39" s="43"/>
      <c r="D39" s="44"/>
      <c r="E39" s="47"/>
      <c r="F39" s="25">
        <f t="shared" si="9"/>
        <v>0</v>
      </c>
      <c r="G39" s="184"/>
      <c r="H39" s="30">
        <v>43853</v>
      </c>
      <c r="I39" s="31">
        <v>600000</v>
      </c>
      <c r="J39" s="40" t="s">
        <v>45</v>
      </c>
      <c r="K39" s="190" t="s">
        <v>70</v>
      </c>
      <c r="L39" s="191" t="s">
        <v>71</v>
      </c>
      <c r="M39" s="77"/>
      <c r="N39" s="77"/>
      <c r="O39" s="191"/>
    </row>
    <row r="40" s="1" customFormat="1" ht="18" customHeight="1" spans="1:15">
      <c r="A40" s="42"/>
      <c r="B40" s="25">
        <f t="shared" si="7"/>
        <v>0</v>
      </c>
      <c r="C40" s="43"/>
      <c r="D40" s="44"/>
      <c r="E40" s="47"/>
      <c r="F40" s="25">
        <f t="shared" si="9"/>
        <v>0</v>
      </c>
      <c r="G40" s="184"/>
      <c r="H40" s="30">
        <v>43853</v>
      </c>
      <c r="I40" s="31">
        <v>200000</v>
      </c>
      <c r="J40" s="40" t="s">
        <v>45</v>
      </c>
      <c r="K40" s="190" t="s">
        <v>72</v>
      </c>
      <c r="L40" s="191" t="s">
        <v>71</v>
      </c>
      <c r="M40" s="77"/>
      <c r="N40" s="77"/>
      <c r="O40" s="191"/>
    </row>
    <row r="41" s="1" customFormat="1" ht="18" customHeight="1" spans="1:15">
      <c r="A41" s="42">
        <v>43891</v>
      </c>
      <c r="B41" s="25">
        <f t="shared" si="7"/>
        <v>485436.89</v>
      </c>
      <c r="C41" s="43"/>
      <c r="D41" s="44" t="s">
        <v>38</v>
      </c>
      <c r="E41" s="47">
        <v>0.03</v>
      </c>
      <c r="F41" s="219">
        <f t="shared" si="9"/>
        <v>14563.11</v>
      </c>
      <c r="G41" s="210">
        <v>500000</v>
      </c>
      <c r="H41" s="30">
        <v>43923</v>
      </c>
      <c r="I41" s="31">
        <v>320000</v>
      </c>
      <c r="J41" s="40" t="s">
        <v>22</v>
      </c>
      <c r="K41" s="190" t="s">
        <v>39</v>
      </c>
      <c r="L41" s="191" t="s">
        <v>40</v>
      </c>
      <c r="M41" s="77"/>
      <c r="N41" s="77"/>
      <c r="O41" s="191"/>
    </row>
    <row r="42" s="1" customFormat="1" ht="18" customHeight="1" spans="1:15">
      <c r="A42" s="42">
        <v>43922</v>
      </c>
      <c r="B42" s="25">
        <v>265486.74</v>
      </c>
      <c r="C42" s="43"/>
      <c r="D42" s="44" t="s">
        <v>38</v>
      </c>
      <c r="E42" s="47">
        <v>0.13</v>
      </c>
      <c r="F42" s="25">
        <v>34513.26</v>
      </c>
      <c r="G42" s="210">
        <v>300000</v>
      </c>
      <c r="H42" s="30"/>
      <c r="I42" s="31"/>
      <c r="J42" s="40"/>
      <c r="K42" s="190" t="s">
        <v>42</v>
      </c>
      <c r="L42" s="191" t="s">
        <v>68</v>
      </c>
      <c r="M42" s="77" t="s">
        <v>41</v>
      </c>
      <c r="N42" s="77" t="s">
        <v>41</v>
      </c>
      <c r="O42" s="191"/>
    </row>
    <row r="43" s="1" customFormat="1" ht="18" customHeight="1" spans="1:15">
      <c r="A43" s="42"/>
      <c r="B43" s="25"/>
      <c r="C43" s="43"/>
      <c r="D43" s="44"/>
      <c r="E43" s="47"/>
      <c r="F43" s="25"/>
      <c r="G43" s="184"/>
      <c r="H43" s="30" t="s">
        <v>76</v>
      </c>
      <c r="I43" s="31"/>
      <c r="J43" s="40" t="s">
        <v>22</v>
      </c>
      <c r="K43" s="190" t="s">
        <v>39</v>
      </c>
      <c r="L43" s="191" t="s">
        <v>40</v>
      </c>
      <c r="M43" s="77"/>
      <c r="N43" s="77"/>
      <c r="O43" s="191"/>
    </row>
    <row r="44" s="1" customFormat="1" ht="18" customHeight="1" spans="1:15">
      <c r="A44" s="42"/>
      <c r="B44" s="25"/>
      <c r="C44" s="43"/>
      <c r="D44" s="44"/>
      <c r="E44" s="47"/>
      <c r="F44" s="25"/>
      <c r="G44" s="184"/>
      <c r="H44" s="30"/>
      <c r="I44" s="31"/>
      <c r="J44" s="40"/>
      <c r="K44" s="190"/>
      <c r="L44" s="191"/>
      <c r="M44" s="77"/>
      <c r="N44" s="77"/>
      <c r="O44" s="191"/>
    </row>
    <row r="45" s="1" customFormat="1" ht="18" customHeight="1" spans="1:15">
      <c r="A45" s="42"/>
      <c r="B45" s="25"/>
      <c r="C45" s="43"/>
      <c r="D45" s="44"/>
      <c r="E45" s="47"/>
      <c r="F45" s="25"/>
      <c r="G45" s="184"/>
      <c r="H45" s="30"/>
      <c r="I45" s="31"/>
      <c r="J45" s="40"/>
      <c r="K45" s="190"/>
      <c r="L45" s="191"/>
      <c r="M45" s="77"/>
      <c r="N45" s="77"/>
      <c r="O45" s="191"/>
    </row>
    <row r="46" s="1" customFormat="1" ht="18" customHeight="1" spans="1:15">
      <c r="A46" s="42"/>
      <c r="B46" s="25"/>
      <c r="C46" s="43"/>
      <c r="D46" s="44"/>
      <c r="E46" s="47"/>
      <c r="F46" s="25"/>
      <c r="G46" s="184"/>
      <c r="H46" s="30"/>
      <c r="I46" s="31"/>
      <c r="J46" s="40"/>
      <c r="K46" s="190"/>
      <c r="L46" s="191"/>
      <c r="M46" s="77"/>
      <c r="N46" s="77"/>
      <c r="O46" s="191"/>
    </row>
    <row r="47" s="1" customFormat="1" ht="18" customHeight="1" spans="1:15">
      <c r="A47" s="42"/>
      <c r="B47" s="25"/>
      <c r="C47" s="43"/>
      <c r="D47" s="44"/>
      <c r="E47" s="47"/>
      <c r="F47" s="25"/>
      <c r="G47" s="184"/>
      <c r="H47" s="30"/>
      <c r="I47" s="31"/>
      <c r="J47" s="86" t="s">
        <v>77</v>
      </c>
      <c r="K47" s="195" t="s">
        <v>78</v>
      </c>
      <c r="L47" s="191"/>
      <c r="M47" s="77"/>
      <c r="N47" s="77"/>
      <c r="O47" s="191"/>
    </row>
    <row r="48" s="1" customFormat="1" ht="18" customHeight="1" spans="1:15">
      <c r="A48" s="42"/>
      <c r="B48" s="25">
        <f>ROUND(G48/(1+E48),2)</f>
        <v>0</v>
      </c>
      <c r="C48" s="43"/>
      <c r="D48" s="44"/>
      <c r="E48" s="47"/>
      <c r="F48" s="25">
        <f>ROUND(G48/(1+E48)*E48,2)</f>
        <v>0</v>
      </c>
      <c r="G48" s="184"/>
      <c r="H48" s="30">
        <v>43923</v>
      </c>
      <c r="I48" s="31">
        <v>100</v>
      </c>
      <c r="J48" s="86" t="s">
        <v>77</v>
      </c>
      <c r="K48" s="195" t="s">
        <v>78</v>
      </c>
      <c r="L48" s="191"/>
      <c r="M48" s="77"/>
      <c r="N48" s="77"/>
      <c r="O48" s="191"/>
    </row>
    <row r="49" s="1" customFormat="1" ht="18" customHeight="1" spans="1:15">
      <c r="A49" s="42"/>
      <c r="B49" s="25">
        <f>ROUND(G49/(1+E49),2)</f>
        <v>0</v>
      </c>
      <c r="C49" s="43"/>
      <c r="D49" s="44"/>
      <c r="E49" s="47"/>
      <c r="F49" s="25">
        <f>ROUND(G49/(1+E49)*E49,2)</f>
        <v>0</v>
      </c>
      <c r="G49" s="184"/>
      <c r="H49" s="30" t="s">
        <v>79</v>
      </c>
      <c r="I49" s="31">
        <v>200</v>
      </c>
      <c r="J49" s="86" t="s">
        <v>77</v>
      </c>
      <c r="K49" s="195" t="s">
        <v>78</v>
      </c>
      <c r="L49" s="191"/>
      <c r="M49" s="77"/>
      <c r="N49" s="77"/>
      <c r="O49" s="191"/>
    </row>
    <row r="50" s="1" customFormat="1" ht="18" customHeight="1" spans="1:15">
      <c r="A50" s="42"/>
      <c r="B50" s="25">
        <f>ROUND(G50/(1+E50),2)</f>
        <v>0</v>
      </c>
      <c r="C50" s="43"/>
      <c r="D50" s="44"/>
      <c r="E50" s="47"/>
      <c r="F50" s="25">
        <f>ROUND(G50/(1+E50)*E50,2)</f>
        <v>0</v>
      </c>
      <c r="G50" s="184"/>
      <c r="H50" s="30" t="s">
        <v>79</v>
      </c>
      <c r="I50" s="31">
        <v>-88680</v>
      </c>
      <c r="J50" s="40" t="s">
        <v>80</v>
      </c>
      <c r="K50" s="190" t="s">
        <v>81</v>
      </c>
      <c r="L50" s="191"/>
      <c r="M50" s="77"/>
      <c r="N50" s="77"/>
      <c r="O50" s="191"/>
    </row>
    <row r="51" s="1" customFormat="1" ht="18" customHeight="1" spans="1:15">
      <c r="A51" s="42"/>
      <c r="B51" s="25">
        <f>ROUND(G51/(1+E51),2)</f>
        <v>0</v>
      </c>
      <c r="C51" s="43"/>
      <c r="D51" s="44"/>
      <c r="E51" s="47"/>
      <c r="F51" s="25">
        <f>ROUND(G51/(1+E51)*E51,2)</f>
        <v>0</v>
      </c>
      <c r="G51" s="184"/>
      <c r="H51" s="57" t="s">
        <v>82</v>
      </c>
      <c r="I51" s="33">
        <v>188304</v>
      </c>
      <c r="J51" s="40" t="s">
        <v>80</v>
      </c>
      <c r="K51" s="196" t="s">
        <v>83</v>
      </c>
      <c r="L51" s="194">
        <f>I80+I76+I70+I66+I60+I56+I52+I51</f>
        <v>0</v>
      </c>
      <c r="M51" s="77"/>
      <c r="N51" s="77"/>
      <c r="O51" s="191"/>
    </row>
    <row r="52" s="1" customFormat="1" ht="18" customHeight="1" spans="1:16">
      <c r="A52" s="42"/>
      <c r="B52" s="25">
        <f>ROUND(G52/(1+E52),2)</f>
        <v>0</v>
      </c>
      <c r="C52" s="43"/>
      <c r="D52" s="44"/>
      <c r="E52" s="47"/>
      <c r="F52" s="25">
        <f>ROUND(G52/(1+E52)*E52,2)</f>
        <v>0</v>
      </c>
      <c r="G52" s="184"/>
      <c r="H52" s="57" t="s">
        <v>82</v>
      </c>
      <c r="I52" s="33">
        <v>-300000</v>
      </c>
      <c r="J52" s="86" t="s">
        <v>84</v>
      </c>
      <c r="K52" s="196" t="s">
        <v>85</v>
      </c>
      <c r="L52" s="194"/>
      <c r="M52" s="78"/>
      <c r="N52" s="78"/>
      <c r="O52" s="194" t="s">
        <v>86</v>
      </c>
      <c r="P52" s="2"/>
    </row>
    <row r="53" s="1" customFormat="1" ht="18" customHeight="1" spans="1:16">
      <c r="A53" s="42"/>
      <c r="B53" s="25"/>
      <c r="C53" s="43"/>
      <c r="D53" s="44"/>
      <c r="E53" s="47"/>
      <c r="F53" s="25"/>
      <c r="G53" s="184"/>
      <c r="H53" s="57" t="s">
        <v>82</v>
      </c>
      <c r="I53" s="197">
        <v>21333.33</v>
      </c>
      <c r="J53" s="86" t="s">
        <v>77</v>
      </c>
      <c r="K53" s="217" t="s">
        <v>87</v>
      </c>
      <c r="L53" s="218"/>
      <c r="M53" s="91"/>
      <c r="N53" s="91"/>
      <c r="O53" s="218"/>
      <c r="P53" s="122"/>
    </row>
    <row r="54" s="1" customFormat="1" ht="18" customHeight="1" spans="1:15">
      <c r="A54" s="42"/>
      <c r="B54" s="25">
        <f t="shared" ref="B54:B66" si="10">ROUND(G54/(1+E54),2)</f>
        <v>0</v>
      </c>
      <c r="C54" s="43"/>
      <c r="D54" s="44"/>
      <c r="E54" s="47"/>
      <c r="F54" s="25">
        <f t="shared" ref="F54:F62" si="11">ROUND(G54/(1+E54)*E54,2)</f>
        <v>0</v>
      </c>
      <c r="G54" s="184"/>
      <c r="H54" s="57" t="s">
        <v>82</v>
      </c>
      <c r="I54" s="33">
        <v>300</v>
      </c>
      <c r="J54" s="86" t="s">
        <v>77</v>
      </c>
      <c r="K54" s="195" t="s">
        <v>78</v>
      </c>
      <c r="L54" s="194"/>
      <c r="M54" s="77"/>
      <c r="N54" s="77"/>
      <c r="O54" s="191"/>
    </row>
    <row r="55" s="1" customFormat="1" ht="18" customHeight="1" spans="1:15">
      <c r="A55" s="42"/>
      <c r="B55" s="25">
        <f t="shared" si="10"/>
        <v>10000</v>
      </c>
      <c r="C55" s="43"/>
      <c r="D55" s="44"/>
      <c r="E55" s="47"/>
      <c r="F55" s="25">
        <f t="shared" si="11"/>
        <v>0</v>
      </c>
      <c r="G55" s="184">
        <f>10000</f>
        <v>10000</v>
      </c>
      <c r="H55" s="57" t="s">
        <v>82</v>
      </c>
      <c r="I55" s="33">
        <f>G55</f>
        <v>10000</v>
      </c>
      <c r="J55" s="86" t="s">
        <v>77</v>
      </c>
      <c r="K55" s="195" t="s">
        <v>88</v>
      </c>
      <c r="L55" s="194"/>
      <c r="M55" s="77"/>
      <c r="N55" s="77"/>
      <c r="O55" s="191"/>
    </row>
    <row r="56" s="1" customFormat="1" ht="18" customHeight="1" spans="1:15">
      <c r="A56" s="42"/>
      <c r="B56" s="25">
        <f t="shared" si="10"/>
        <v>0</v>
      </c>
      <c r="C56" s="43"/>
      <c r="D56" s="44"/>
      <c r="E56" s="47"/>
      <c r="F56" s="25">
        <f t="shared" si="11"/>
        <v>0</v>
      </c>
      <c r="G56" s="184"/>
      <c r="H56" s="57" t="s">
        <v>89</v>
      </c>
      <c r="I56" s="33">
        <v>-300000</v>
      </c>
      <c r="J56" s="86" t="s">
        <v>90</v>
      </c>
      <c r="K56" s="195" t="s">
        <v>91</v>
      </c>
      <c r="L56" s="194"/>
      <c r="M56" s="77"/>
      <c r="N56" s="77"/>
      <c r="O56" s="191"/>
    </row>
    <row r="57" s="1" customFormat="1" ht="18" customHeight="1" spans="1:15">
      <c r="A57" s="42"/>
      <c r="B57" s="25">
        <f t="shared" si="10"/>
        <v>0</v>
      </c>
      <c r="C57" s="43"/>
      <c r="D57" s="44"/>
      <c r="E57" s="47"/>
      <c r="F57" s="25">
        <f t="shared" si="11"/>
        <v>0</v>
      </c>
      <c r="G57" s="184"/>
      <c r="H57" s="57" t="s">
        <v>89</v>
      </c>
      <c r="I57" s="51">
        <v>100</v>
      </c>
      <c r="J57" s="86" t="s">
        <v>77</v>
      </c>
      <c r="K57" s="195" t="s">
        <v>78</v>
      </c>
      <c r="L57" s="194"/>
      <c r="M57" s="77"/>
      <c r="N57" s="77"/>
      <c r="O57" s="191"/>
    </row>
    <row r="58" s="1" customFormat="1" ht="18" customHeight="1" spans="1:15">
      <c r="A58" s="42"/>
      <c r="B58" s="25">
        <f t="shared" si="10"/>
        <v>0</v>
      </c>
      <c r="C58" s="43"/>
      <c r="D58" s="44"/>
      <c r="E58" s="47"/>
      <c r="F58" s="25">
        <f t="shared" si="11"/>
        <v>0</v>
      </c>
      <c r="G58" s="184"/>
      <c r="H58" s="57" t="s">
        <v>92</v>
      </c>
      <c r="I58" s="51">
        <v>100</v>
      </c>
      <c r="J58" s="86" t="s">
        <v>77</v>
      </c>
      <c r="K58" s="195" t="s">
        <v>78</v>
      </c>
      <c r="L58" s="194"/>
      <c r="M58" s="77"/>
      <c r="N58" s="77"/>
      <c r="O58" s="191"/>
    </row>
    <row r="59" s="1" customFormat="1" ht="18" customHeight="1" spans="1:15">
      <c r="A59" s="42"/>
      <c r="B59" s="25">
        <f t="shared" si="10"/>
        <v>0</v>
      </c>
      <c r="C59" s="43"/>
      <c r="D59" s="44"/>
      <c r="E59" s="47"/>
      <c r="F59" s="25">
        <f t="shared" si="11"/>
        <v>0</v>
      </c>
      <c r="G59" s="184"/>
      <c r="H59" s="57"/>
      <c r="I59" s="51"/>
      <c r="J59" s="86"/>
      <c r="K59" s="195"/>
      <c r="L59" s="194"/>
      <c r="M59" s="77"/>
      <c r="N59" s="77"/>
      <c r="O59" s="191"/>
    </row>
    <row r="60" s="1" customFormat="1" ht="18" customHeight="1" spans="1:15">
      <c r="A60" s="42"/>
      <c r="B60" s="25">
        <f t="shared" si="10"/>
        <v>0</v>
      </c>
      <c r="C60" s="43"/>
      <c r="D60" s="44"/>
      <c r="E60" s="47"/>
      <c r="F60" s="25">
        <f t="shared" si="11"/>
        <v>0</v>
      </c>
      <c r="G60" s="184"/>
      <c r="H60" s="57" t="s">
        <v>93</v>
      </c>
      <c r="I60" s="235">
        <v>184767</v>
      </c>
      <c r="J60" s="86" t="s">
        <v>94</v>
      </c>
      <c r="K60" s="195" t="s">
        <v>95</v>
      </c>
      <c r="L60" s="194"/>
      <c r="M60" s="77"/>
      <c r="N60" s="77"/>
      <c r="O60" s="191"/>
    </row>
    <row r="61" s="1" customFormat="1" ht="18" customHeight="1" spans="1:15">
      <c r="A61" s="42"/>
      <c r="B61" s="25">
        <f t="shared" si="10"/>
        <v>0</v>
      </c>
      <c r="C61" s="43"/>
      <c r="D61" s="44"/>
      <c r="E61" s="47"/>
      <c r="F61" s="25">
        <f t="shared" si="11"/>
        <v>0</v>
      </c>
      <c r="G61" s="184"/>
      <c r="H61" s="57" t="s">
        <v>93</v>
      </c>
      <c r="I61" s="235">
        <v>48000</v>
      </c>
      <c r="J61" s="86" t="s">
        <v>77</v>
      </c>
      <c r="K61" s="195" t="s">
        <v>96</v>
      </c>
      <c r="L61" s="194"/>
      <c r="M61" s="77"/>
      <c r="N61" s="77"/>
      <c r="O61" s="191"/>
    </row>
    <row r="62" s="1" customFormat="1" ht="18" customHeight="1" spans="1:15">
      <c r="A62" s="42"/>
      <c r="B62" s="25">
        <f t="shared" si="10"/>
        <v>0</v>
      </c>
      <c r="C62" s="43"/>
      <c r="D62" s="44"/>
      <c r="E62" s="47"/>
      <c r="F62" s="25">
        <f t="shared" si="11"/>
        <v>0</v>
      </c>
      <c r="G62" s="184"/>
      <c r="H62" s="57" t="s">
        <v>93</v>
      </c>
      <c r="I62" s="235">
        <v>1652</v>
      </c>
      <c r="J62" s="86" t="s">
        <v>77</v>
      </c>
      <c r="K62" s="195" t="s">
        <v>97</v>
      </c>
      <c r="L62" s="194"/>
      <c r="M62" s="77"/>
      <c r="N62" s="77"/>
      <c r="O62" s="191"/>
    </row>
    <row r="63" s="1" customFormat="1" ht="18" customHeight="1" spans="1:15">
      <c r="A63" s="42"/>
      <c r="B63" s="25">
        <f t="shared" si="10"/>
        <v>0</v>
      </c>
      <c r="C63" s="43"/>
      <c r="D63" s="44"/>
      <c r="E63" s="47"/>
      <c r="F63" s="25">
        <f t="shared" ref="F59:F65" si="12">ROUND(G63/(1+E63)*E63,2)</f>
        <v>0</v>
      </c>
      <c r="G63" s="184"/>
      <c r="H63" s="57" t="s">
        <v>93</v>
      </c>
      <c r="I63" s="235">
        <v>67389</v>
      </c>
      <c r="J63" s="86" t="s">
        <v>77</v>
      </c>
      <c r="K63" s="195" t="s">
        <v>98</v>
      </c>
      <c r="L63" s="194"/>
      <c r="M63" s="77"/>
      <c r="N63" s="77"/>
      <c r="O63" s="191"/>
    </row>
    <row r="64" s="1" customFormat="1" ht="18" customHeight="1" spans="1:15">
      <c r="A64" s="42"/>
      <c r="B64" s="25">
        <f t="shared" si="10"/>
        <v>0</v>
      </c>
      <c r="C64" s="43"/>
      <c r="D64" s="44"/>
      <c r="E64" s="45"/>
      <c r="F64" s="25">
        <f t="shared" si="12"/>
        <v>0</v>
      </c>
      <c r="G64" s="184"/>
      <c r="H64" s="57" t="s">
        <v>93</v>
      </c>
      <c r="I64" s="235">
        <v>100</v>
      </c>
      <c r="J64" s="86" t="s">
        <v>77</v>
      </c>
      <c r="K64" s="195" t="s">
        <v>78</v>
      </c>
      <c r="L64" s="194"/>
      <c r="M64" s="77"/>
      <c r="N64" s="77"/>
      <c r="O64" s="191"/>
    </row>
    <row r="65" s="1" customFormat="1" ht="18" customHeight="1" spans="1:15">
      <c r="A65" s="42"/>
      <c r="B65" s="25">
        <f t="shared" si="10"/>
        <v>5000</v>
      </c>
      <c r="C65" s="43"/>
      <c r="D65" s="44"/>
      <c r="E65" s="45"/>
      <c r="F65" s="25">
        <f t="shared" si="12"/>
        <v>0</v>
      </c>
      <c r="G65" s="184">
        <f>5000</f>
        <v>5000</v>
      </c>
      <c r="H65" s="57" t="s">
        <v>93</v>
      </c>
      <c r="I65" s="235">
        <f>G65</f>
        <v>5000</v>
      </c>
      <c r="J65" s="86" t="s">
        <v>77</v>
      </c>
      <c r="K65" s="195" t="s">
        <v>88</v>
      </c>
      <c r="L65" s="194"/>
      <c r="M65" s="77"/>
      <c r="N65" s="77"/>
      <c r="O65" s="191"/>
    </row>
    <row r="66" s="1" customFormat="1" ht="18" customHeight="1" spans="1:15">
      <c r="A66" s="42"/>
      <c r="B66" s="25">
        <f t="shared" si="10"/>
        <v>0</v>
      </c>
      <c r="C66" s="43"/>
      <c r="D66" s="44"/>
      <c r="E66" s="45"/>
      <c r="F66" s="25">
        <f t="shared" ref="F64:F71" si="13">ROUND(G66/(1+E66)*E66,2)</f>
        <v>0</v>
      </c>
      <c r="G66" s="184"/>
      <c r="H66" s="57" t="s">
        <v>99</v>
      </c>
      <c r="I66" s="235">
        <v>-157908</v>
      </c>
      <c r="J66" s="86" t="s">
        <v>90</v>
      </c>
      <c r="K66" s="195" t="s">
        <v>91</v>
      </c>
      <c r="L66" s="194"/>
      <c r="M66" s="77"/>
      <c r="N66" s="77"/>
      <c r="O66" s="191"/>
    </row>
    <row r="67" s="1" customFormat="1" ht="18" customHeight="1" spans="1:15">
      <c r="A67" s="42"/>
      <c r="B67" s="25">
        <f t="shared" ref="B64:B69" si="14">ROUND(G67/(1+E67),2)</f>
        <v>0</v>
      </c>
      <c r="C67" s="43"/>
      <c r="D67" s="44"/>
      <c r="E67" s="45"/>
      <c r="F67" s="25">
        <f t="shared" si="13"/>
        <v>0</v>
      </c>
      <c r="G67" s="184"/>
      <c r="H67" s="57" t="s">
        <v>99</v>
      </c>
      <c r="I67" s="235">
        <v>100</v>
      </c>
      <c r="J67" s="86" t="s">
        <v>77</v>
      </c>
      <c r="K67" s="195" t="s">
        <v>78</v>
      </c>
      <c r="L67" s="194"/>
      <c r="M67" s="77"/>
      <c r="N67" s="77"/>
      <c r="O67" s="191"/>
    </row>
    <row r="68" s="1" customFormat="1" ht="18" customHeight="1" spans="1:15">
      <c r="A68" s="42"/>
      <c r="B68" s="25">
        <f t="shared" si="14"/>
        <v>0</v>
      </c>
      <c r="C68" s="43"/>
      <c r="D68" s="44"/>
      <c r="E68" s="45"/>
      <c r="F68" s="25">
        <f t="shared" si="13"/>
        <v>0</v>
      </c>
      <c r="G68" s="184"/>
      <c r="H68" s="57" t="s">
        <v>100</v>
      </c>
      <c r="I68" s="235">
        <v>200</v>
      </c>
      <c r="J68" s="86" t="s">
        <v>77</v>
      </c>
      <c r="K68" s="195" t="s">
        <v>78</v>
      </c>
      <c r="L68" s="194"/>
      <c r="M68" s="77"/>
      <c r="N68" s="77"/>
      <c r="O68" s="191"/>
    </row>
    <row r="69" s="1" customFormat="1" ht="18" customHeight="1" spans="1:15">
      <c r="A69" s="42"/>
      <c r="B69" s="25">
        <f t="shared" si="14"/>
        <v>0</v>
      </c>
      <c r="C69" s="43"/>
      <c r="D69" s="44"/>
      <c r="E69" s="45"/>
      <c r="F69" s="25">
        <f t="shared" si="13"/>
        <v>0</v>
      </c>
      <c r="G69" s="184"/>
      <c r="H69" s="57" t="s">
        <v>101</v>
      </c>
      <c r="I69" s="235">
        <v>200</v>
      </c>
      <c r="J69" s="86" t="s">
        <v>77</v>
      </c>
      <c r="K69" s="195" t="s">
        <v>78</v>
      </c>
      <c r="L69" s="194"/>
      <c r="M69" s="77"/>
      <c r="N69" s="77"/>
      <c r="O69" s="191"/>
    </row>
    <row r="70" s="1" customFormat="1" ht="18" customHeight="1" spans="1:15">
      <c r="A70" s="42"/>
      <c r="B70" s="25">
        <f t="shared" ref="B69:B74" si="15">ROUND(G70/(1+E70),2)</f>
        <v>0</v>
      </c>
      <c r="C70" s="43"/>
      <c r="D70" s="44"/>
      <c r="E70" s="45"/>
      <c r="F70" s="25">
        <f t="shared" si="13"/>
        <v>0</v>
      </c>
      <c r="G70" s="184"/>
      <c r="H70" s="57" t="s">
        <v>101</v>
      </c>
      <c r="I70" s="235">
        <v>381546</v>
      </c>
      <c r="J70" s="86" t="s">
        <v>94</v>
      </c>
      <c r="K70" s="195" t="s">
        <v>95</v>
      </c>
      <c r="L70" s="194"/>
      <c r="M70" s="77"/>
      <c r="O70" s="191"/>
    </row>
    <row r="71" s="1" customFormat="1" ht="18" customHeight="1" spans="1:15">
      <c r="A71" s="42"/>
      <c r="B71" s="25">
        <f t="shared" si="15"/>
        <v>0</v>
      </c>
      <c r="C71" s="43"/>
      <c r="D71" s="44"/>
      <c r="E71" s="45"/>
      <c r="F71" s="25">
        <f t="shared" si="13"/>
        <v>0</v>
      </c>
      <c r="G71" s="184"/>
      <c r="H71" s="57" t="s">
        <v>101</v>
      </c>
      <c r="I71" s="235">
        <v>24955</v>
      </c>
      <c r="J71" s="86" t="s">
        <v>77</v>
      </c>
      <c r="K71" s="195" t="s">
        <v>102</v>
      </c>
      <c r="L71" s="194"/>
      <c r="M71" s="77"/>
      <c r="N71" s="77"/>
      <c r="O71" s="191"/>
    </row>
    <row r="72" s="1" customFormat="1" ht="18" customHeight="1" spans="1:15">
      <c r="A72" s="42"/>
      <c r="B72" s="25">
        <f t="shared" si="15"/>
        <v>0</v>
      </c>
      <c r="C72" s="43"/>
      <c r="D72" s="44"/>
      <c r="E72" s="45"/>
      <c r="F72" s="25">
        <f t="shared" ref="F70:F77" si="16">ROUND(G72/(1+E72)*E72,2)</f>
        <v>0</v>
      </c>
      <c r="G72" s="184"/>
      <c r="H72" s="57" t="s">
        <v>101</v>
      </c>
      <c r="I72" s="235">
        <v>936</v>
      </c>
      <c r="J72" s="86" t="s">
        <v>77</v>
      </c>
      <c r="K72" s="195" t="s">
        <v>103</v>
      </c>
      <c r="L72" s="194"/>
      <c r="M72" s="77"/>
      <c r="N72" s="77"/>
      <c r="O72" s="191"/>
    </row>
    <row r="73" s="1" customFormat="1" ht="18" customHeight="1" spans="1:15">
      <c r="A73" s="42"/>
      <c r="B73" s="25">
        <f t="shared" si="15"/>
        <v>0</v>
      </c>
      <c r="C73" s="43"/>
      <c r="D73" s="44"/>
      <c r="E73" s="45"/>
      <c r="F73" s="25">
        <f t="shared" si="16"/>
        <v>0</v>
      </c>
      <c r="G73" s="184"/>
      <c r="H73" s="57" t="s">
        <v>101</v>
      </c>
      <c r="I73" s="235">
        <v>120092</v>
      </c>
      <c r="J73" s="86" t="s">
        <v>77</v>
      </c>
      <c r="K73" s="195" t="s">
        <v>104</v>
      </c>
      <c r="L73" s="194"/>
      <c r="M73" s="77"/>
      <c r="N73" s="77"/>
      <c r="O73" s="191"/>
    </row>
    <row r="74" s="1" customFormat="1" ht="18" customHeight="1" spans="1:15">
      <c r="A74" s="42"/>
      <c r="B74" s="25">
        <f t="shared" si="15"/>
        <v>8500</v>
      </c>
      <c r="C74" s="43"/>
      <c r="D74" s="44"/>
      <c r="E74" s="45"/>
      <c r="F74" s="25">
        <f t="shared" si="16"/>
        <v>0</v>
      </c>
      <c r="G74" s="184">
        <v>8500</v>
      </c>
      <c r="H74" s="57" t="s">
        <v>101</v>
      </c>
      <c r="I74" s="235">
        <f>G74</f>
        <v>8500</v>
      </c>
      <c r="J74" s="86" t="s">
        <v>77</v>
      </c>
      <c r="K74" s="195" t="s">
        <v>105</v>
      </c>
      <c r="L74" s="194"/>
      <c r="M74" s="77"/>
      <c r="N74" s="77"/>
      <c r="O74" s="191"/>
    </row>
    <row r="75" s="1" customFormat="1" ht="18" customHeight="1" spans="1:15">
      <c r="A75" s="42"/>
      <c r="B75" s="25">
        <f t="shared" ref="B72:B78" si="17">ROUND(G75/(1+E75),2)</f>
        <v>0</v>
      </c>
      <c r="C75" s="43"/>
      <c r="D75" s="44"/>
      <c r="E75" s="45"/>
      <c r="F75" s="25">
        <f t="shared" si="16"/>
        <v>0</v>
      </c>
      <c r="G75" s="184"/>
      <c r="H75" s="57" t="s">
        <v>106</v>
      </c>
      <c r="I75" s="235">
        <v>9000</v>
      </c>
      <c r="J75" s="86" t="s">
        <v>77</v>
      </c>
      <c r="K75" s="195" t="s">
        <v>107</v>
      </c>
      <c r="L75" s="194"/>
      <c r="M75" s="77"/>
      <c r="N75" s="77"/>
      <c r="O75" s="191"/>
    </row>
    <row r="76" s="1" customFormat="1" ht="18" customHeight="1" spans="1:15">
      <c r="A76" s="42"/>
      <c r="B76" s="25">
        <f t="shared" si="17"/>
        <v>0</v>
      </c>
      <c r="C76" s="43"/>
      <c r="D76" s="44"/>
      <c r="E76" s="45"/>
      <c r="F76" s="25">
        <f t="shared" si="16"/>
        <v>0</v>
      </c>
      <c r="G76" s="184"/>
      <c r="H76" s="57" t="s">
        <v>106</v>
      </c>
      <c r="I76" s="235">
        <v>-66373</v>
      </c>
      <c r="J76" s="86" t="s">
        <v>90</v>
      </c>
      <c r="K76" s="195" t="s">
        <v>91</v>
      </c>
      <c r="L76" s="194"/>
      <c r="M76" s="77"/>
      <c r="N76" s="77"/>
      <c r="O76" s="191"/>
    </row>
    <row r="77" s="1" customFormat="1" ht="18" customHeight="1" spans="1:15">
      <c r="A77" s="42"/>
      <c r="B77" s="25">
        <f t="shared" si="17"/>
        <v>0</v>
      </c>
      <c r="C77" s="43"/>
      <c r="D77" s="44"/>
      <c r="E77" s="45"/>
      <c r="F77" s="25">
        <f t="shared" si="16"/>
        <v>0</v>
      </c>
      <c r="G77" s="184"/>
      <c r="H77" s="57" t="s">
        <v>106</v>
      </c>
      <c r="I77" s="33">
        <v>-37965</v>
      </c>
      <c r="J77" s="86" t="s">
        <v>90</v>
      </c>
      <c r="K77" s="195" t="s">
        <v>108</v>
      </c>
      <c r="L77" s="33"/>
      <c r="M77" s="151"/>
      <c r="N77" s="77"/>
      <c r="O77" s="191"/>
    </row>
    <row r="78" s="1" customFormat="1" ht="18" customHeight="1" spans="1:15">
      <c r="A78" s="42"/>
      <c r="B78" s="25">
        <f t="shared" si="17"/>
        <v>0</v>
      </c>
      <c r="C78" s="43"/>
      <c r="D78" s="44"/>
      <c r="E78" s="45"/>
      <c r="F78" s="25">
        <f t="shared" ref="F76:F85" si="18">ROUND(G78/(1+E78)*E78,2)</f>
        <v>0</v>
      </c>
      <c r="G78" s="184"/>
      <c r="H78" s="57" t="s">
        <v>109</v>
      </c>
      <c r="I78" s="235">
        <v>8496</v>
      </c>
      <c r="J78" s="86" t="s">
        <v>77</v>
      </c>
      <c r="K78" s="195" t="s">
        <v>110</v>
      </c>
      <c r="L78" s="194"/>
      <c r="M78" s="77"/>
      <c r="N78" s="77"/>
      <c r="O78" s="191"/>
    </row>
    <row r="79" s="1" customFormat="1" ht="18" customHeight="1" spans="1:17">
      <c r="A79" s="42"/>
      <c r="B79" s="25">
        <f t="shared" ref="B76:B85" si="19">ROUND(G79/(1+E79),2)</f>
        <v>0</v>
      </c>
      <c r="C79" s="43"/>
      <c r="D79" s="44"/>
      <c r="E79" s="45"/>
      <c r="F79" s="25">
        <f t="shared" si="18"/>
        <v>0</v>
      </c>
      <c r="G79" s="184"/>
      <c r="H79" s="57" t="s">
        <v>109</v>
      </c>
      <c r="I79" s="235">
        <v>212400</v>
      </c>
      <c r="J79" s="86" t="s">
        <v>111</v>
      </c>
      <c r="K79" s="195" t="s">
        <v>112</v>
      </c>
      <c r="L79" s="194"/>
      <c r="M79" s="77"/>
      <c r="N79" s="77"/>
      <c r="O79" s="191"/>
      <c r="Q79" s="1">
        <f>I80+I76+I70+I66+I60+I56+I52+I51</f>
        <v>0</v>
      </c>
    </row>
    <row r="80" s="1" customFormat="1" ht="18" customHeight="1" spans="1:15">
      <c r="A80" s="42"/>
      <c r="B80" s="25">
        <f t="shared" si="19"/>
        <v>0</v>
      </c>
      <c r="C80" s="43"/>
      <c r="D80" s="44"/>
      <c r="E80" s="45"/>
      <c r="F80" s="25">
        <f t="shared" si="18"/>
        <v>0</v>
      </c>
      <c r="G80" s="184"/>
      <c r="H80" s="57" t="s">
        <v>109</v>
      </c>
      <c r="I80" s="235">
        <v>69664</v>
      </c>
      <c r="J80" s="86" t="s">
        <v>94</v>
      </c>
      <c r="K80" s="195" t="s">
        <v>95</v>
      </c>
      <c r="L80" s="194"/>
      <c r="M80" s="77"/>
      <c r="N80" s="77"/>
      <c r="O80" s="191"/>
    </row>
    <row r="81" s="1" customFormat="1" ht="18" customHeight="1" spans="1:15">
      <c r="A81" s="42"/>
      <c r="B81" s="25">
        <f t="shared" si="19"/>
        <v>0</v>
      </c>
      <c r="C81" s="43"/>
      <c r="D81" s="44"/>
      <c r="E81" s="45"/>
      <c r="F81" s="25">
        <f t="shared" si="18"/>
        <v>0</v>
      </c>
      <c r="G81" s="184"/>
      <c r="H81" s="57" t="s">
        <v>109</v>
      </c>
      <c r="I81" s="235">
        <v>14679</v>
      </c>
      <c r="J81" s="86" t="s">
        <v>77</v>
      </c>
      <c r="K81" s="195" t="s">
        <v>113</v>
      </c>
      <c r="L81" s="194"/>
      <c r="M81" s="77"/>
      <c r="N81" s="77"/>
      <c r="O81" s="191"/>
    </row>
    <row r="82" s="1" customFormat="1" ht="18" customHeight="1" spans="1:15">
      <c r="A82" s="42"/>
      <c r="B82" s="25">
        <f t="shared" si="19"/>
        <v>0</v>
      </c>
      <c r="C82" s="43"/>
      <c r="D82" s="44"/>
      <c r="E82" s="45"/>
      <c r="F82" s="25">
        <f t="shared" si="18"/>
        <v>0</v>
      </c>
      <c r="G82" s="184"/>
      <c r="H82" s="57" t="s">
        <v>109</v>
      </c>
      <c r="I82" s="235">
        <v>551</v>
      </c>
      <c r="J82" s="86" t="s">
        <v>77</v>
      </c>
      <c r="K82" s="195" t="s">
        <v>114</v>
      </c>
      <c r="L82" s="194"/>
      <c r="M82" s="77"/>
      <c r="N82" s="77"/>
      <c r="O82" s="191"/>
    </row>
    <row r="83" s="1" customFormat="1" ht="18" customHeight="1" spans="1:15">
      <c r="A83" s="42"/>
      <c r="B83" s="25">
        <f t="shared" si="19"/>
        <v>0</v>
      </c>
      <c r="C83" s="43"/>
      <c r="D83" s="44"/>
      <c r="E83" s="45"/>
      <c r="F83" s="25">
        <f t="shared" si="18"/>
        <v>0</v>
      </c>
      <c r="G83" s="184"/>
      <c r="H83" s="57" t="s">
        <v>109</v>
      </c>
      <c r="I83" s="235">
        <v>45972</v>
      </c>
      <c r="J83" s="86" t="s">
        <v>77</v>
      </c>
      <c r="K83" s="195" t="s">
        <v>115</v>
      </c>
      <c r="L83" s="194"/>
      <c r="M83" s="77"/>
      <c r="N83" s="77"/>
      <c r="O83" s="191"/>
    </row>
    <row r="84" s="1" customFormat="1" ht="18" customHeight="1" spans="1:15">
      <c r="A84" s="42"/>
      <c r="B84" s="25">
        <f t="shared" si="19"/>
        <v>5000</v>
      </c>
      <c r="C84" s="43"/>
      <c r="D84" s="44"/>
      <c r="E84" s="45"/>
      <c r="F84" s="25">
        <f t="shared" si="18"/>
        <v>0</v>
      </c>
      <c r="G84" s="184">
        <v>5000</v>
      </c>
      <c r="H84" s="57" t="s">
        <v>109</v>
      </c>
      <c r="I84" s="235">
        <f>G84</f>
        <v>5000</v>
      </c>
      <c r="J84" s="86" t="s">
        <v>77</v>
      </c>
      <c r="K84" s="195" t="s">
        <v>105</v>
      </c>
      <c r="L84" s="194"/>
      <c r="M84" s="77"/>
      <c r="N84" s="77"/>
      <c r="O84" s="191"/>
    </row>
    <row r="85" s="1" customFormat="1" ht="18" customHeight="1" spans="1:15">
      <c r="A85" s="42"/>
      <c r="B85" s="25">
        <f t="shared" si="19"/>
        <v>0</v>
      </c>
      <c r="C85" s="43"/>
      <c r="D85" s="44"/>
      <c r="E85" s="45"/>
      <c r="F85" s="25">
        <f t="shared" si="18"/>
        <v>0</v>
      </c>
      <c r="G85" s="184"/>
      <c r="H85" s="57" t="s">
        <v>116</v>
      </c>
      <c r="I85" s="235">
        <v>500</v>
      </c>
      <c r="J85" s="86" t="s">
        <v>77</v>
      </c>
      <c r="K85" s="195" t="s">
        <v>117</v>
      </c>
      <c r="L85" s="194"/>
      <c r="M85" s="77"/>
      <c r="N85" s="77"/>
      <c r="O85" s="191"/>
    </row>
    <row r="86" s="1" customFormat="1" ht="18" customHeight="1" spans="1:15">
      <c r="A86" s="42"/>
      <c r="B86" s="25">
        <f t="shared" ref="B86:B89" si="20">ROUND(G86/(1+E86),2)</f>
        <v>5000</v>
      </c>
      <c r="C86" s="43"/>
      <c r="D86" s="44"/>
      <c r="E86" s="45"/>
      <c r="F86" s="25">
        <f t="shared" ref="F86:F89" si="21">ROUND(G86/(1+E86)*E86,2)</f>
        <v>0</v>
      </c>
      <c r="G86" s="184">
        <f>5000</f>
        <v>5000</v>
      </c>
      <c r="H86" s="57" t="s">
        <v>116</v>
      </c>
      <c r="I86" s="235">
        <f>G86</f>
        <v>5000</v>
      </c>
      <c r="J86" s="86" t="s">
        <v>77</v>
      </c>
      <c r="K86" s="195" t="s">
        <v>105</v>
      </c>
      <c r="L86" s="194"/>
      <c r="M86" s="77"/>
      <c r="N86" s="77"/>
      <c r="O86" s="191"/>
    </row>
    <row r="87" s="1" customFormat="1" ht="18" customHeight="1" spans="1:15">
      <c r="A87" s="42"/>
      <c r="B87" s="25">
        <f t="shared" si="20"/>
        <v>0</v>
      </c>
      <c r="C87" s="43"/>
      <c r="D87" s="44"/>
      <c r="E87" s="45"/>
      <c r="F87" s="25">
        <f t="shared" si="21"/>
        <v>0</v>
      </c>
      <c r="G87" s="184"/>
      <c r="H87" s="57" t="s">
        <v>116</v>
      </c>
      <c r="I87" s="235">
        <v>14679</v>
      </c>
      <c r="J87" s="86" t="s">
        <v>77</v>
      </c>
      <c r="K87" s="195" t="s">
        <v>118</v>
      </c>
      <c r="L87" s="194"/>
      <c r="M87" s="77"/>
      <c r="N87" s="77"/>
      <c r="O87" s="191"/>
    </row>
    <row r="88" s="1" customFormat="1" ht="18" customHeight="1" spans="1:15">
      <c r="A88" s="42"/>
      <c r="B88" s="25">
        <f t="shared" si="20"/>
        <v>0</v>
      </c>
      <c r="C88" s="43"/>
      <c r="D88" s="44"/>
      <c r="E88" s="45"/>
      <c r="F88" s="25">
        <f t="shared" si="21"/>
        <v>0</v>
      </c>
      <c r="G88" s="184"/>
      <c r="H88" s="57" t="s">
        <v>116</v>
      </c>
      <c r="I88" s="235">
        <v>551</v>
      </c>
      <c r="J88" s="86" t="s">
        <v>77</v>
      </c>
      <c r="K88" s="195" t="s">
        <v>119</v>
      </c>
      <c r="L88" s="194"/>
      <c r="M88" s="77"/>
      <c r="N88" s="77"/>
      <c r="O88" s="191"/>
    </row>
    <row r="89" s="1" customFormat="1" ht="18" customHeight="1" spans="1:15">
      <c r="A89" s="42"/>
      <c r="B89" s="25">
        <f t="shared" si="20"/>
        <v>0</v>
      </c>
      <c r="C89" s="43"/>
      <c r="D89" s="44"/>
      <c r="E89" s="45"/>
      <c r="F89" s="25">
        <f t="shared" si="21"/>
        <v>0</v>
      </c>
      <c r="G89" s="184"/>
      <c r="H89" s="57"/>
      <c r="I89" s="33"/>
      <c r="J89" s="86"/>
      <c r="K89" s="195"/>
      <c r="L89" s="194"/>
      <c r="M89" s="77"/>
      <c r="N89" s="77"/>
      <c r="O89" s="191"/>
    </row>
    <row r="90" ht="18" customHeight="1" spans="1:15">
      <c r="A90" s="38" t="s">
        <v>23</v>
      </c>
      <c r="B90" s="123">
        <f>SUM(B15:B89)</f>
        <v>7096526.2</v>
      </c>
      <c r="C90" s="38"/>
      <c r="D90" s="124"/>
      <c r="E90" s="124"/>
      <c r="F90" s="179">
        <f>SUM(F15:F89)</f>
        <v>367691.65</v>
      </c>
      <c r="G90" s="220">
        <f>SUM(G15:G89)</f>
        <v>7464217.85</v>
      </c>
      <c r="H90" s="221"/>
      <c r="I90" s="37">
        <f>SUM(I15:I89)</f>
        <v>6398940.33</v>
      </c>
      <c r="J90" s="226"/>
      <c r="K90" s="124"/>
      <c r="L90" s="180"/>
      <c r="M90" s="40"/>
      <c r="N90" s="40"/>
      <c r="O90" s="180"/>
    </row>
    <row r="91" ht="18" customHeight="1" spans="1:14">
      <c r="A91" s="126" t="s">
        <v>120</v>
      </c>
      <c r="B91" s="127">
        <f>B12*0.984</f>
        <v>6048440.36697248</v>
      </c>
      <c r="C91" s="126"/>
      <c r="D91" s="128"/>
      <c r="E91" s="128"/>
      <c r="F91" s="127"/>
      <c r="G91" s="127">
        <f>G12-G90</f>
        <v>-764217.85</v>
      </c>
      <c r="H91" s="29" t="s">
        <v>121</v>
      </c>
      <c r="I91" s="37">
        <f>I12-I90</f>
        <v>301059.67</v>
      </c>
      <c r="J91" s="14"/>
      <c r="K91" s="227"/>
      <c r="M91" s="13"/>
      <c r="N91" s="13"/>
    </row>
    <row r="92" ht="18" customHeight="1" spans="1:14">
      <c r="A92" s="126" t="s">
        <v>122</v>
      </c>
      <c r="B92" s="127">
        <f>B91-B90</f>
        <v>-1048085.83302752</v>
      </c>
      <c r="C92" s="126"/>
      <c r="D92" s="128"/>
      <c r="E92" s="128"/>
      <c r="F92" s="127"/>
      <c r="G92" s="127"/>
      <c r="H92" s="130"/>
      <c r="I92" s="127"/>
      <c r="J92" s="14"/>
      <c r="K92" s="227" t="s">
        <v>123</v>
      </c>
      <c r="L92" s="14">
        <f>I80+I70+I66+I60+I56+I52+I51+I76</f>
        <v>0</v>
      </c>
      <c r="M92" s="13"/>
      <c r="N92" s="13"/>
    </row>
    <row r="93" ht="18" customHeight="1" spans="1:3">
      <c r="A93" s="7" t="s">
        <v>124</v>
      </c>
      <c r="C93" s="7"/>
    </row>
    <row r="94" ht="18" customHeight="1" spans="1:13">
      <c r="A94" s="29" t="s">
        <v>125</v>
      </c>
      <c r="B94" s="28" t="s">
        <v>126</v>
      </c>
      <c r="C94" s="180"/>
      <c r="D94" s="29" t="s">
        <v>125</v>
      </c>
      <c r="E94" s="27" t="s">
        <v>17</v>
      </c>
      <c r="F94" s="28" t="s">
        <v>126</v>
      </c>
      <c r="G94" s="8" t="s">
        <v>127</v>
      </c>
      <c r="H94" s="28" t="s">
        <v>128</v>
      </c>
      <c r="I94" s="28" t="s">
        <v>129</v>
      </c>
      <c r="J94" s="176" t="s">
        <v>130</v>
      </c>
      <c r="K94" s="28" t="s">
        <v>131</v>
      </c>
      <c r="L94" s="28" t="s">
        <v>132</v>
      </c>
      <c r="M94" s="28" t="s">
        <v>133</v>
      </c>
    </row>
    <row r="95" ht="18" customHeight="1" spans="1:13">
      <c r="A95" s="180" t="s">
        <v>134</v>
      </c>
      <c r="B95" s="25">
        <f>(B91-B90)*0.25</f>
        <v>-262021.45825688</v>
      </c>
      <c r="C95" s="180"/>
      <c r="D95" s="36" t="s">
        <v>135</v>
      </c>
      <c r="E95" s="29" t="s">
        <v>136</v>
      </c>
      <c r="F95" s="179">
        <f>F12-F90</f>
        <v>62583.579357799</v>
      </c>
      <c r="G95" s="8">
        <v>64220.1834862385</v>
      </c>
      <c r="H95" s="179">
        <f>F7-F15-F16</f>
        <v>-22428.1465137615</v>
      </c>
      <c r="I95" s="179">
        <f>F8+H95</f>
        <v>41792.036972477</v>
      </c>
      <c r="J95" s="179">
        <f>-F19</f>
        <v>-34513.27</v>
      </c>
      <c r="K95" s="141">
        <f>F9</f>
        <v>109174.311926606</v>
      </c>
      <c r="L95" s="179">
        <f>F10+F11-SUM(F21:F33)</f>
        <v>61261.9204587155</v>
      </c>
      <c r="M95" s="141">
        <f>-F36-F41</f>
        <v>-80618.16</v>
      </c>
    </row>
    <row r="96" ht="18" customHeight="1" spans="1:13">
      <c r="A96" s="180" t="s">
        <v>137</v>
      </c>
      <c r="B96" s="222" t="s">
        <v>138</v>
      </c>
      <c r="C96" s="180"/>
      <c r="D96" s="223" t="s">
        <v>139</v>
      </c>
      <c r="E96" s="21">
        <v>0.05</v>
      </c>
      <c r="F96" s="31">
        <f>F95*E96</f>
        <v>3129.17896788995</v>
      </c>
      <c r="G96" s="8">
        <v>3211.00917431193</v>
      </c>
      <c r="H96" s="31">
        <v>0</v>
      </c>
      <c r="I96" s="31">
        <f>I95*E96</f>
        <v>2089.60184862385</v>
      </c>
      <c r="J96" s="31">
        <f>J95*E96</f>
        <v>-1725.6635</v>
      </c>
      <c r="K96" s="33">
        <f>K95*E96</f>
        <v>5458.7155963303</v>
      </c>
      <c r="L96" s="31">
        <f>L95*E96</f>
        <v>3063.09602293578</v>
      </c>
      <c r="M96" s="33">
        <f>M95*E96</f>
        <v>-4030.908</v>
      </c>
    </row>
    <row r="97" ht="18" customHeight="1" spans="1:13">
      <c r="A97" s="180" t="s">
        <v>140</v>
      </c>
      <c r="B97" s="222"/>
      <c r="C97" s="180"/>
      <c r="D97" s="223" t="s">
        <v>141</v>
      </c>
      <c r="E97" s="21">
        <v>0.03</v>
      </c>
      <c r="F97" s="31">
        <f>F95*E97</f>
        <v>1877.50738073397</v>
      </c>
      <c r="G97" s="8">
        <v>1926.60550458716</v>
      </c>
      <c r="H97" s="31">
        <v>0</v>
      </c>
      <c r="I97" s="31">
        <f>I95*E97</f>
        <v>1253.76110917431</v>
      </c>
      <c r="J97" s="31">
        <f>J95*E97</f>
        <v>-1035.3981</v>
      </c>
      <c r="K97" s="33">
        <f>K95*E97</f>
        <v>3275.22935779818</v>
      </c>
      <c r="L97" s="31">
        <f>L95*E97</f>
        <v>1837.85761376146</v>
      </c>
      <c r="M97" s="33">
        <f>M95*E97</f>
        <v>-2418.5448</v>
      </c>
    </row>
    <row r="98" ht="18" customHeight="1" spans="1:13">
      <c r="A98" s="180"/>
      <c r="B98" s="31"/>
      <c r="C98" s="180"/>
      <c r="D98" s="223" t="s">
        <v>142</v>
      </c>
      <c r="E98" s="21">
        <v>0.02</v>
      </c>
      <c r="F98" s="31">
        <f>F95*E98</f>
        <v>1251.67158715598</v>
      </c>
      <c r="G98" s="8">
        <v>1284.40366972477</v>
      </c>
      <c r="H98" s="31">
        <v>0</v>
      </c>
      <c r="I98" s="31">
        <f>I95*E98</f>
        <v>835.84073944954</v>
      </c>
      <c r="J98" s="31">
        <f>J95*E98</f>
        <v>-690.2654</v>
      </c>
      <c r="K98" s="33">
        <f>K95*E98</f>
        <v>2183.48623853212</v>
      </c>
      <c r="L98" s="31">
        <f>L95*E98</f>
        <v>1225.23840917431</v>
      </c>
      <c r="M98" s="33">
        <f>M95*E98</f>
        <v>-1612.3632</v>
      </c>
    </row>
    <row r="99" ht="18" customHeight="1" spans="1:13">
      <c r="A99" s="36" t="s">
        <v>143</v>
      </c>
      <c r="B99" s="123">
        <f>SUM(B95:B98)</f>
        <v>-262021.45825688</v>
      </c>
      <c r="C99" s="180"/>
      <c r="D99" s="41" t="s">
        <v>143</v>
      </c>
      <c r="E99" s="36"/>
      <c r="F99" s="179">
        <f t="shared" ref="F99:M99" si="22">SUM(F95:F98)</f>
        <v>68841.9372935789</v>
      </c>
      <c r="G99" s="8">
        <v>70642.2018348624</v>
      </c>
      <c r="H99" s="179">
        <v>0</v>
      </c>
      <c r="I99" s="179">
        <f>SUM(I94:I98)</f>
        <v>45971.2406697247</v>
      </c>
      <c r="J99" s="179">
        <f t="shared" si="22"/>
        <v>-37964.597</v>
      </c>
      <c r="K99" s="141">
        <f t="shared" si="22"/>
        <v>120091.743119267</v>
      </c>
      <c r="L99" s="179">
        <f t="shared" si="22"/>
        <v>67388.112504587</v>
      </c>
      <c r="M99" s="141">
        <f t="shared" si="22"/>
        <v>-88679.976</v>
      </c>
    </row>
    <row r="100" ht="18" customHeight="1" spans="3:12">
      <c r="C100" s="7"/>
      <c r="D100" s="19" t="s">
        <v>140</v>
      </c>
      <c r="E100" s="224">
        <v>0.0006</v>
      </c>
      <c r="F100" s="31">
        <f>B12*E100</f>
        <v>3688.07339449541</v>
      </c>
      <c r="H100" s="31">
        <f>B7*E100</f>
        <v>550.45871559633</v>
      </c>
      <c r="I100" s="31">
        <f>B8*E100</f>
        <v>550.45871559633</v>
      </c>
      <c r="K100" s="31">
        <f>B9*E100</f>
        <v>935.779816513764</v>
      </c>
      <c r="L100" s="31">
        <f>(B10+B11)*E100</f>
        <v>1651.37614678899</v>
      </c>
    </row>
    <row r="101" ht="18" customHeight="1" spans="3:9">
      <c r="C101" s="7"/>
      <c r="D101" s="27" t="s">
        <v>143</v>
      </c>
      <c r="E101" s="124"/>
      <c r="F101" s="37">
        <f t="shared" ref="F101:I101" si="23">F100</f>
        <v>3688.07339449541</v>
      </c>
      <c r="H101" s="37">
        <f t="shared" si="23"/>
        <v>550.45871559633</v>
      </c>
      <c r="I101" s="37">
        <f t="shared" si="23"/>
        <v>550.45871559633</v>
      </c>
    </row>
    <row r="102" ht="18" customHeight="1" spans="3:9">
      <c r="C102" s="7"/>
      <c r="D102" s="27" t="s">
        <v>23</v>
      </c>
      <c r="E102" s="38"/>
      <c r="F102" s="37">
        <f t="shared" ref="F102:I102" si="24">F99+F101</f>
        <v>72530.0106880743</v>
      </c>
      <c r="H102" s="37">
        <f t="shared" si="24"/>
        <v>550.45871559633</v>
      </c>
      <c r="I102" s="37">
        <f t="shared" si="24"/>
        <v>46521.699385321</v>
      </c>
    </row>
    <row r="103" ht="18" customHeight="1" spans="3:12">
      <c r="C103" s="7"/>
      <c r="D103" s="38" t="s">
        <v>134</v>
      </c>
      <c r="E103" s="124">
        <v>0.016</v>
      </c>
      <c r="F103" s="37">
        <f>B12*E103</f>
        <v>98348.623853211</v>
      </c>
      <c r="G103" s="225" t="s">
        <v>144</v>
      </c>
      <c r="H103" s="37">
        <f>B7*E103</f>
        <v>14678.8990825688</v>
      </c>
      <c r="I103" s="37">
        <f>B8*E103</f>
        <v>14678.8990825688</v>
      </c>
      <c r="K103" s="37">
        <f>B9*E103</f>
        <v>24954.128440367</v>
      </c>
      <c r="L103" s="37">
        <f>SUM(G10:G11)*E103</f>
        <v>48000</v>
      </c>
    </row>
    <row r="104" ht="18" customHeight="1" spans="3:7">
      <c r="C104" s="7"/>
      <c r="G104" s="8" t="s">
        <v>145</v>
      </c>
    </row>
    <row r="105" ht="18" customHeight="1" spans="3:3">
      <c r="C105" s="7"/>
    </row>
    <row r="106" ht="18" customHeight="1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</sheetData>
  <autoFilter ref="A14:Q10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9"/>
  <sheetViews>
    <sheetView topLeftCell="A57" workbookViewId="0">
      <selection activeCell="D68" sqref="D68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4" customWidth="1"/>
    <col min="13" max="13" width="13.5" style="14" customWidth="1"/>
    <col min="14" max="14" width="5.625" style="14" customWidth="1"/>
    <col min="15" max="15" width="11.125" style="14" customWidth="1"/>
    <col min="16" max="16" width="12" style="14" customWidth="1"/>
    <col min="17" max="17" width="10.375" style="14"/>
    <col min="18" max="18" width="9.625" style="14"/>
    <col min="19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3" si="0">G7/(1+C7+E7)</f>
        <v>917431.19266055</v>
      </c>
      <c r="C7" s="32">
        <v>0.02</v>
      </c>
      <c r="D7" s="33">
        <f t="shared" ref="D7:D13" si="1">G7/(1+E7+C7)*C7</f>
        <v>18348.623853211</v>
      </c>
      <c r="E7" s="32">
        <v>0.07</v>
      </c>
      <c r="F7" s="31">
        <f t="shared" ref="F7:F13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31">
        <f t="shared" si="2"/>
        <v>25688.0733944954</v>
      </c>
      <c r="G12" s="178">
        <v>400000</v>
      </c>
      <c r="H12" s="30">
        <v>44056</v>
      </c>
      <c r="I12" s="31">
        <v>400000</v>
      </c>
      <c r="J12" s="40" t="s">
        <v>22</v>
      </c>
    </row>
    <row r="13" ht="18" customHeight="1" spans="1:10">
      <c r="A13" s="30">
        <v>44098</v>
      </c>
      <c r="B13" s="31">
        <f t="shared" si="0"/>
        <v>1100917.43119266</v>
      </c>
      <c r="C13" s="35">
        <v>0.02</v>
      </c>
      <c r="D13" s="33">
        <f t="shared" si="1"/>
        <v>22018.3486238532</v>
      </c>
      <c r="E13" s="35">
        <v>0.07</v>
      </c>
      <c r="F13" s="31">
        <f t="shared" si="2"/>
        <v>77064.2201834862</v>
      </c>
      <c r="G13" s="178">
        <v>1200000</v>
      </c>
      <c r="H13" s="30">
        <v>44102</v>
      </c>
      <c r="I13" s="31">
        <v>500000</v>
      </c>
      <c r="J13" s="40" t="s">
        <v>22</v>
      </c>
    </row>
    <row r="14" ht="18" customHeight="1" spans="1:10">
      <c r="A14" s="36" t="s">
        <v>23</v>
      </c>
      <c r="B14" s="37">
        <f>SUM(B7:B13)</f>
        <v>7614678.89908257</v>
      </c>
      <c r="C14" s="38"/>
      <c r="D14" s="37">
        <f>SUM(D7:D12)</f>
        <v>130275.229357798</v>
      </c>
      <c r="E14" s="38"/>
      <c r="F14" s="179">
        <f>SUM(F7:F13)</f>
        <v>533027.52293578</v>
      </c>
      <c r="G14" s="37">
        <f>SUM(G7:G12)</f>
        <v>7100000</v>
      </c>
      <c r="H14" s="180"/>
      <c r="I14" s="37">
        <f>SUM(I7:I13)</f>
        <v>7600000</v>
      </c>
      <c r="J14" s="180"/>
    </row>
    <row r="15" ht="18" customHeight="1" spans="1:15">
      <c r="A15" s="7" t="s">
        <v>24</v>
      </c>
      <c r="J15" s="9"/>
      <c r="K15" s="26" t="s">
        <v>25</v>
      </c>
      <c r="L15" s="176"/>
      <c r="O15" s="189">
        <f>O18+O21+O23+O32+O35</f>
        <v>2519.89</v>
      </c>
    </row>
    <row r="16" ht="18" customHeight="1" spans="1:15">
      <c r="A16" s="41" t="s">
        <v>26</v>
      </c>
      <c r="B16" s="28" t="s">
        <v>27</v>
      </c>
      <c r="C16" s="27" t="s">
        <v>28</v>
      </c>
      <c r="D16" s="27" t="s">
        <v>29</v>
      </c>
      <c r="E16" s="27" t="s">
        <v>17</v>
      </c>
      <c r="F16" s="28" t="s">
        <v>30</v>
      </c>
      <c r="G16" s="28" t="s">
        <v>15</v>
      </c>
      <c r="H16" s="27" t="s">
        <v>31</v>
      </c>
      <c r="I16" s="28" t="s">
        <v>32</v>
      </c>
      <c r="J16" s="27" t="s">
        <v>21</v>
      </c>
      <c r="K16" s="74" t="s">
        <v>33</v>
      </c>
      <c r="L16" s="29" t="s">
        <v>34</v>
      </c>
      <c r="M16" s="29" t="s">
        <v>35</v>
      </c>
      <c r="N16" s="29" t="s">
        <v>36</v>
      </c>
      <c r="O16" s="29" t="s">
        <v>37</v>
      </c>
    </row>
    <row r="17" s="1" customFormat="1" ht="18" customHeight="1" spans="1:15">
      <c r="A17" s="42">
        <v>43617</v>
      </c>
      <c r="B17" s="25">
        <f t="shared" ref="B17:B63" si="3">ROUND(G17/(1+E17),2)</f>
        <v>970873.79</v>
      </c>
      <c r="C17" s="43"/>
      <c r="D17" s="44" t="s">
        <v>38</v>
      </c>
      <c r="E17" s="45">
        <v>0.03</v>
      </c>
      <c r="F17" s="25">
        <f t="shared" ref="F17:F63" si="4">ROUND(G17/(1+E17)*E17,2)</f>
        <v>29126.21</v>
      </c>
      <c r="G17" s="178">
        <v>1000000</v>
      </c>
      <c r="H17" s="30">
        <v>43640</v>
      </c>
      <c r="I17" s="31">
        <v>300000</v>
      </c>
      <c r="J17" s="40" t="s">
        <v>22</v>
      </c>
      <c r="K17" s="190" t="s">
        <v>39</v>
      </c>
      <c r="L17" s="191" t="s">
        <v>40</v>
      </c>
      <c r="M17" s="77" t="s">
        <v>41</v>
      </c>
      <c r="N17" s="77"/>
      <c r="O17" s="191"/>
    </row>
    <row r="18" s="1" customFormat="1" ht="18" customHeight="1" spans="1:15">
      <c r="A18" s="42">
        <v>43617</v>
      </c>
      <c r="B18" s="25">
        <f t="shared" si="3"/>
        <v>442477.88</v>
      </c>
      <c r="C18" s="43"/>
      <c r="D18" s="44" t="s">
        <v>38</v>
      </c>
      <c r="E18" s="45">
        <v>0.13</v>
      </c>
      <c r="F18" s="25">
        <f t="shared" si="4"/>
        <v>57522.12</v>
      </c>
      <c r="G18" s="178">
        <f>100000*5</f>
        <v>500000</v>
      </c>
      <c r="H18" s="30">
        <v>43640</v>
      </c>
      <c r="I18" s="31">
        <v>500000</v>
      </c>
      <c r="J18" s="40" t="s">
        <v>22</v>
      </c>
      <c r="K18" s="190" t="s">
        <v>42</v>
      </c>
      <c r="L18" s="191" t="s">
        <v>160</v>
      </c>
      <c r="M18" s="77" t="s">
        <v>41</v>
      </c>
      <c r="N18" s="77" t="s">
        <v>41</v>
      </c>
      <c r="O18" s="192">
        <v>119.5</v>
      </c>
    </row>
    <row r="19" s="1" customFormat="1" ht="18" customHeight="1" spans="1:15">
      <c r="A19" s="42">
        <v>43678</v>
      </c>
      <c r="B19" s="25">
        <f t="shared" si="3"/>
        <v>99500</v>
      </c>
      <c r="C19" s="43"/>
      <c r="D19" s="44" t="s">
        <v>44</v>
      </c>
      <c r="E19" s="45"/>
      <c r="F19" s="25">
        <f t="shared" si="4"/>
        <v>0</v>
      </c>
      <c r="G19" s="178">
        <v>99500</v>
      </c>
      <c r="H19" s="30">
        <v>43682</v>
      </c>
      <c r="I19" s="31">
        <v>99500</v>
      </c>
      <c r="J19" s="40" t="s">
        <v>45</v>
      </c>
      <c r="K19" s="190" t="s">
        <v>46</v>
      </c>
      <c r="L19" s="191" t="s">
        <v>47</v>
      </c>
      <c r="M19" s="77"/>
      <c r="N19" s="77"/>
      <c r="O19" s="191"/>
    </row>
    <row r="20" s="1" customFormat="1" ht="18" customHeight="1" spans="1:15">
      <c r="A20" s="42">
        <v>43739</v>
      </c>
      <c r="B20" s="25">
        <f t="shared" si="3"/>
        <v>4000</v>
      </c>
      <c r="C20" s="43"/>
      <c r="D20" s="44" t="s">
        <v>44</v>
      </c>
      <c r="E20" s="45"/>
      <c r="F20" s="25">
        <f t="shared" si="4"/>
        <v>0</v>
      </c>
      <c r="G20" s="178">
        <v>4000</v>
      </c>
      <c r="H20" s="30"/>
      <c r="I20" s="31"/>
      <c r="J20" s="40"/>
      <c r="K20" s="190" t="s">
        <v>48</v>
      </c>
      <c r="L20" s="191" t="s">
        <v>49</v>
      </c>
      <c r="M20" s="77"/>
      <c r="N20" s="77"/>
      <c r="O20" s="191"/>
    </row>
    <row r="21" s="1" customFormat="1" ht="18" customHeight="1" spans="1:15">
      <c r="A21" s="42">
        <v>43770</v>
      </c>
      <c r="B21" s="25">
        <f t="shared" si="3"/>
        <v>265486.73</v>
      </c>
      <c r="C21" s="43"/>
      <c r="D21" s="44" t="s">
        <v>38</v>
      </c>
      <c r="E21" s="47">
        <v>0.13</v>
      </c>
      <c r="F21" s="25">
        <f t="shared" si="4"/>
        <v>34513.27</v>
      </c>
      <c r="G21" s="178">
        <f>100000*3</f>
        <v>300000</v>
      </c>
      <c r="H21" s="30">
        <v>43784</v>
      </c>
      <c r="I21" s="31">
        <v>300000</v>
      </c>
      <c r="J21" s="40" t="s">
        <v>22</v>
      </c>
      <c r="K21" s="190" t="s">
        <v>42</v>
      </c>
      <c r="L21" s="191" t="s">
        <v>50</v>
      </c>
      <c r="M21" s="77" t="s">
        <v>41</v>
      </c>
      <c r="N21" s="77" t="s">
        <v>41</v>
      </c>
      <c r="O21" s="192">
        <v>923.01</v>
      </c>
    </row>
    <row r="22" s="1" customFormat="1" ht="18" customHeight="1" spans="1:15">
      <c r="A22" s="42"/>
      <c r="B22" s="25">
        <f t="shared" si="3"/>
        <v>0</v>
      </c>
      <c r="C22" s="43"/>
      <c r="D22" s="44"/>
      <c r="E22" s="45"/>
      <c r="F22" s="25">
        <f t="shared" si="4"/>
        <v>0</v>
      </c>
      <c r="G22" s="178"/>
      <c r="H22" s="30">
        <v>43784</v>
      </c>
      <c r="I22" s="31">
        <v>300000</v>
      </c>
      <c r="J22" s="40" t="s">
        <v>22</v>
      </c>
      <c r="K22" s="190" t="s">
        <v>39</v>
      </c>
      <c r="L22" s="191" t="s">
        <v>51</v>
      </c>
      <c r="M22" s="77"/>
      <c r="N22" s="77"/>
      <c r="O22" s="191"/>
    </row>
    <row r="23" s="1" customFormat="1" ht="18" customHeight="1" spans="1:15">
      <c r="A23" s="42">
        <v>43800</v>
      </c>
      <c r="B23" s="25">
        <f t="shared" si="3"/>
        <v>159292.04</v>
      </c>
      <c r="C23" s="43"/>
      <c r="D23" s="44" t="s">
        <v>38</v>
      </c>
      <c r="E23" s="47">
        <v>0.13</v>
      </c>
      <c r="F23" s="25">
        <f t="shared" si="4"/>
        <v>20707.96</v>
      </c>
      <c r="G23" s="178">
        <v>180000</v>
      </c>
      <c r="H23" s="30">
        <v>43798</v>
      </c>
      <c r="I23" s="31">
        <v>180000</v>
      </c>
      <c r="J23" s="40" t="s">
        <v>22</v>
      </c>
      <c r="K23" s="190" t="s">
        <v>42</v>
      </c>
      <c r="L23" s="191" t="s">
        <v>52</v>
      </c>
      <c r="M23" s="77" t="s">
        <v>41</v>
      </c>
      <c r="N23" s="77"/>
      <c r="O23" s="192">
        <v>321.43</v>
      </c>
    </row>
    <row r="24" s="1" customFormat="1" ht="18" customHeight="1" spans="1:15">
      <c r="A24" s="42">
        <v>43800</v>
      </c>
      <c r="B24" s="25">
        <f t="shared" si="3"/>
        <v>0</v>
      </c>
      <c r="C24" s="43"/>
      <c r="D24" s="44"/>
      <c r="E24" s="45"/>
      <c r="F24" s="25">
        <f t="shared" si="4"/>
        <v>0</v>
      </c>
      <c r="G24" s="178"/>
      <c r="H24" s="30">
        <v>43816</v>
      </c>
      <c r="I24" s="31">
        <v>510000</v>
      </c>
      <c r="J24" s="40" t="s">
        <v>22</v>
      </c>
      <c r="K24" s="190" t="s">
        <v>39</v>
      </c>
      <c r="L24" s="191" t="s">
        <v>51</v>
      </c>
      <c r="M24" s="77"/>
      <c r="N24" s="77"/>
      <c r="O24" s="191"/>
    </row>
    <row r="25" s="1" customFormat="1" ht="18" customHeight="1" spans="1:15">
      <c r="A25" s="42"/>
      <c r="B25" s="25">
        <f t="shared" si="3"/>
        <v>0</v>
      </c>
      <c r="C25" s="43"/>
      <c r="D25" s="44"/>
      <c r="E25" s="45"/>
      <c r="F25" s="25">
        <f t="shared" si="4"/>
        <v>0</v>
      </c>
      <c r="G25" s="178"/>
      <c r="H25" s="30">
        <v>43816</v>
      </c>
      <c r="I25" s="31">
        <v>500000</v>
      </c>
      <c r="J25" s="40" t="s">
        <v>22</v>
      </c>
      <c r="K25" s="190" t="s">
        <v>42</v>
      </c>
      <c r="L25" s="191" t="s">
        <v>53</v>
      </c>
      <c r="M25" s="77"/>
      <c r="N25" s="77"/>
      <c r="O25" s="191"/>
    </row>
    <row r="26" s="1" customFormat="1" ht="18" customHeight="1" spans="1:15">
      <c r="A26" s="42">
        <v>43800</v>
      </c>
      <c r="B26" s="25">
        <f t="shared" si="3"/>
        <v>26161.81</v>
      </c>
      <c r="C26" s="43"/>
      <c r="D26" s="44" t="s">
        <v>38</v>
      </c>
      <c r="E26" s="47">
        <v>0.13</v>
      </c>
      <c r="F26" s="25">
        <f t="shared" si="4"/>
        <v>3401.04</v>
      </c>
      <c r="G26" s="178">
        <f>289+712.88+1692.98+5848.99+20479+540</f>
        <v>29562.85</v>
      </c>
      <c r="H26" s="30"/>
      <c r="I26" s="31"/>
      <c r="J26" s="40"/>
      <c r="K26" s="190" t="s">
        <v>54</v>
      </c>
      <c r="L26" s="191"/>
      <c r="M26" s="77"/>
      <c r="N26" s="77"/>
      <c r="O26" s="191"/>
    </row>
    <row r="27" s="1" customFormat="1" ht="18" customHeight="1" spans="1:15">
      <c r="A27" s="42">
        <v>43800</v>
      </c>
      <c r="B27" s="25">
        <f t="shared" si="3"/>
        <v>3590</v>
      </c>
      <c r="C27" s="43"/>
      <c r="D27" s="44" t="s">
        <v>44</v>
      </c>
      <c r="E27" s="45"/>
      <c r="F27" s="25">
        <f t="shared" si="4"/>
        <v>0</v>
      </c>
      <c r="G27" s="178">
        <v>3590</v>
      </c>
      <c r="H27" s="30"/>
      <c r="I27" s="31"/>
      <c r="J27" s="40"/>
      <c r="K27" s="190" t="s">
        <v>55</v>
      </c>
      <c r="L27" s="191" t="s">
        <v>56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3"/>
        <v>11518.87</v>
      </c>
      <c r="C28" s="43"/>
      <c r="D28" s="44" t="s">
        <v>38</v>
      </c>
      <c r="E28" s="47">
        <v>0.06</v>
      </c>
      <c r="F28" s="25">
        <f t="shared" si="4"/>
        <v>691.13</v>
      </c>
      <c r="G28" s="178">
        <f>1207+1069+372+1480+1468+1278+1095+955+1360+742+1184</f>
        <v>12210</v>
      </c>
      <c r="H28" s="30"/>
      <c r="I28" s="31"/>
      <c r="J28" s="40"/>
      <c r="K28" s="190" t="s">
        <v>57</v>
      </c>
      <c r="L28" s="191" t="s">
        <v>58</v>
      </c>
      <c r="M28" s="77"/>
      <c r="N28" s="77"/>
      <c r="O28" s="191"/>
    </row>
    <row r="29" s="1" customFormat="1" ht="18" customHeight="1" spans="1:15">
      <c r="A29" s="42">
        <v>43800</v>
      </c>
      <c r="B29" s="25">
        <f t="shared" si="3"/>
        <v>1855</v>
      </c>
      <c r="C29" s="43"/>
      <c r="D29" s="44" t="s">
        <v>59</v>
      </c>
      <c r="E29" s="47"/>
      <c r="F29" s="25">
        <f t="shared" si="4"/>
        <v>0</v>
      </c>
      <c r="G29" s="178">
        <v>1855</v>
      </c>
      <c r="H29" s="30"/>
      <c r="I29" s="31"/>
      <c r="J29" s="40"/>
      <c r="K29" s="190" t="s">
        <v>57</v>
      </c>
      <c r="L29" s="191" t="s">
        <v>58</v>
      </c>
      <c r="M29" s="77"/>
      <c r="N29" s="77"/>
      <c r="O29" s="191"/>
    </row>
    <row r="30" s="1" customFormat="1" ht="18" customHeight="1" spans="1:15">
      <c r="A30" s="42"/>
      <c r="B30" s="25">
        <f t="shared" si="3"/>
        <v>0</v>
      </c>
      <c r="C30" s="43"/>
      <c r="D30" s="44"/>
      <c r="E30" s="45"/>
      <c r="F30" s="25">
        <f t="shared" si="4"/>
        <v>0</v>
      </c>
      <c r="G30" s="178"/>
      <c r="H30" s="30">
        <v>43819</v>
      </c>
      <c r="I30" s="31">
        <v>1000000</v>
      </c>
      <c r="J30" s="40" t="s">
        <v>45</v>
      </c>
      <c r="K30" s="190" t="s">
        <v>60</v>
      </c>
      <c r="L30" s="191" t="s">
        <v>61</v>
      </c>
      <c r="M30" s="77"/>
      <c r="N30" s="77"/>
      <c r="O30" s="191"/>
    </row>
    <row r="31" s="2" customFormat="1" ht="18" customHeight="1" spans="1:15">
      <c r="A31" s="50"/>
      <c r="B31" s="51">
        <f t="shared" si="3"/>
        <v>0</v>
      </c>
      <c r="C31" s="52"/>
      <c r="D31" s="53"/>
      <c r="E31" s="181"/>
      <c r="F31" s="51">
        <f t="shared" si="4"/>
        <v>0</v>
      </c>
      <c r="G31" s="51"/>
      <c r="H31" s="182">
        <v>43819</v>
      </c>
      <c r="I31" s="141">
        <v>-1000000</v>
      </c>
      <c r="J31" s="75" t="s">
        <v>45</v>
      </c>
      <c r="K31" s="193" t="s">
        <v>62</v>
      </c>
      <c r="L31" s="237" t="s">
        <v>63</v>
      </c>
      <c r="M31" s="78"/>
      <c r="N31" s="78"/>
      <c r="O31" s="194"/>
    </row>
    <row r="32" s="2" customFormat="1" ht="18" customHeight="1" spans="1:15">
      <c r="A32" s="50">
        <v>43800</v>
      </c>
      <c r="B32" s="51">
        <f t="shared" si="3"/>
        <v>442477.88</v>
      </c>
      <c r="C32" s="52"/>
      <c r="D32" s="53" t="s">
        <v>38</v>
      </c>
      <c r="E32" s="183">
        <v>0.13</v>
      </c>
      <c r="F32" s="51">
        <f t="shared" si="4"/>
        <v>57522.12</v>
      </c>
      <c r="G32" s="51">
        <v>500000</v>
      </c>
      <c r="H32" s="57">
        <v>43830</v>
      </c>
      <c r="I32" s="33">
        <v>300000</v>
      </c>
      <c r="J32" s="86" t="s">
        <v>22</v>
      </c>
      <c r="K32" s="195" t="s">
        <v>42</v>
      </c>
      <c r="L32" s="194" t="s">
        <v>64</v>
      </c>
      <c r="M32" s="78" t="s">
        <v>41</v>
      </c>
      <c r="N32" s="78" t="s">
        <v>65</v>
      </c>
      <c r="O32" s="194">
        <v>729.95</v>
      </c>
    </row>
    <row r="33" s="2" customFormat="1" ht="18" customHeight="1" spans="1:15">
      <c r="A33" s="50">
        <v>43800</v>
      </c>
      <c r="B33" s="51">
        <f t="shared" si="3"/>
        <v>485436.89</v>
      </c>
      <c r="C33" s="52"/>
      <c r="D33" s="53" t="s">
        <v>38</v>
      </c>
      <c r="E33" s="183">
        <v>0.03</v>
      </c>
      <c r="F33" s="51">
        <f t="shared" si="4"/>
        <v>14563.11</v>
      </c>
      <c r="G33" s="51">
        <v>500000</v>
      </c>
      <c r="H33" s="57">
        <v>43846</v>
      </c>
      <c r="I33" s="33">
        <v>390000</v>
      </c>
      <c r="J33" s="86" t="s">
        <v>22</v>
      </c>
      <c r="K33" s="195" t="s">
        <v>39</v>
      </c>
      <c r="L33" s="194" t="s">
        <v>51</v>
      </c>
      <c r="M33" s="78"/>
      <c r="N33" s="78"/>
      <c r="O33" s="194"/>
    </row>
    <row r="34" s="2" customFormat="1" ht="18" customHeight="1" spans="1:15">
      <c r="A34" s="50">
        <v>43800</v>
      </c>
      <c r="B34" s="51">
        <f t="shared" si="3"/>
        <v>1200000</v>
      </c>
      <c r="C34" s="52"/>
      <c r="D34" s="53" t="s">
        <v>66</v>
      </c>
      <c r="E34" s="183"/>
      <c r="F34" s="51">
        <f t="shared" si="4"/>
        <v>0</v>
      </c>
      <c r="G34" s="51">
        <v>1200000</v>
      </c>
      <c r="H34" s="57"/>
      <c r="I34" s="33"/>
      <c r="J34" s="86"/>
      <c r="K34" s="195" t="s">
        <v>67</v>
      </c>
      <c r="L34" s="194"/>
      <c r="M34" s="78"/>
      <c r="N34" s="78"/>
      <c r="O34" s="194"/>
    </row>
    <row r="35" s="2" customFormat="1" ht="18" customHeight="1" spans="1:15">
      <c r="A35" s="50">
        <v>43831</v>
      </c>
      <c r="B35" s="51">
        <f t="shared" si="3"/>
        <v>265486.73</v>
      </c>
      <c r="C35" s="52"/>
      <c r="D35" s="53" t="s">
        <v>38</v>
      </c>
      <c r="E35" s="183">
        <v>0.13</v>
      </c>
      <c r="F35" s="51">
        <f t="shared" si="4"/>
        <v>34513.27</v>
      </c>
      <c r="G35" s="51">
        <f>3*100000</f>
        <v>300000</v>
      </c>
      <c r="H35" s="57">
        <v>43846</v>
      </c>
      <c r="I35" s="33">
        <v>300000</v>
      </c>
      <c r="J35" s="86" t="s">
        <v>22</v>
      </c>
      <c r="K35" s="195" t="s">
        <v>42</v>
      </c>
      <c r="L35" s="194" t="s">
        <v>68</v>
      </c>
      <c r="M35" s="78" t="s">
        <v>41</v>
      </c>
      <c r="N35" s="78" t="s">
        <v>69</v>
      </c>
      <c r="O35" s="194">
        <v>426</v>
      </c>
    </row>
    <row r="36" s="2" customFormat="1" ht="18" customHeight="1" spans="1:15">
      <c r="A36" s="50">
        <v>43831</v>
      </c>
      <c r="B36" s="51">
        <f t="shared" si="3"/>
        <v>600000</v>
      </c>
      <c r="C36" s="52"/>
      <c r="D36" s="53" t="s">
        <v>66</v>
      </c>
      <c r="E36" s="183"/>
      <c r="F36" s="51">
        <f t="shared" si="4"/>
        <v>0</v>
      </c>
      <c r="G36" s="33">
        <v>600000</v>
      </c>
      <c r="H36" s="57"/>
      <c r="I36" s="33"/>
      <c r="J36" s="86"/>
      <c r="K36" s="196" t="s">
        <v>70</v>
      </c>
      <c r="L36" s="194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3"/>
        <v>600000</v>
      </c>
      <c r="C37" s="52"/>
      <c r="D37" s="53" t="s">
        <v>66</v>
      </c>
      <c r="E37" s="183"/>
      <c r="F37" s="51">
        <f t="shared" si="4"/>
        <v>0</v>
      </c>
      <c r="G37" s="33">
        <v>600000</v>
      </c>
      <c r="H37" s="57">
        <v>43852</v>
      </c>
      <c r="I37" s="33">
        <v>400000</v>
      </c>
      <c r="J37" s="86" t="s">
        <v>45</v>
      </c>
      <c r="K37" s="196" t="s">
        <v>72</v>
      </c>
      <c r="L37" s="194" t="s">
        <v>71</v>
      </c>
      <c r="M37" s="78"/>
      <c r="N37" s="78"/>
      <c r="O37" s="194"/>
    </row>
    <row r="38" s="2" customFormat="1" ht="18" customHeight="1" spans="1:15">
      <c r="A38" s="50">
        <v>43831</v>
      </c>
      <c r="B38" s="51">
        <f t="shared" si="3"/>
        <v>733944.95</v>
      </c>
      <c r="C38" s="52"/>
      <c r="D38" s="53" t="s">
        <v>38</v>
      </c>
      <c r="E38" s="183">
        <v>0.09</v>
      </c>
      <c r="F38" s="51">
        <f t="shared" si="4"/>
        <v>66055.05</v>
      </c>
      <c r="G38" s="33">
        <v>800000</v>
      </c>
      <c r="H38" s="57"/>
      <c r="I38" s="33"/>
      <c r="J38" s="86"/>
      <c r="K38" s="196" t="s">
        <v>73</v>
      </c>
      <c r="L38" s="194" t="s">
        <v>74</v>
      </c>
      <c r="M38" s="78" t="s">
        <v>41</v>
      </c>
      <c r="N38" s="78" t="s">
        <v>41</v>
      </c>
      <c r="O38" s="194"/>
    </row>
    <row r="39" s="2" customFormat="1" ht="18" customHeight="1" spans="1:15">
      <c r="A39" s="50"/>
      <c r="B39" s="51">
        <f t="shared" si="3"/>
        <v>0</v>
      </c>
      <c r="C39" s="52"/>
      <c r="D39" s="53"/>
      <c r="E39" s="183"/>
      <c r="F39" s="51">
        <f t="shared" si="4"/>
        <v>0</v>
      </c>
      <c r="G39" s="33"/>
      <c r="H39" s="57">
        <v>43850</v>
      </c>
      <c r="I39" s="33">
        <v>200000</v>
      </c>
      <c r="J39" s="86" t="s">
        <v>45</v>
      </c>
      <c r="K39" s="195" t="s">
        <v>60</v>
      </c>
      <c r="L39" s="194"/>
      <c r="M39" s="78"/>
      <c r="N39" s="78"/>
      <c r="O39" s="194"/>
    </row>
    <row r="40" s="2" customFormat="1" ht="18" customHeight="1" spans="1:15">
      <c r="A40" s="50"/>
      <c r="B40" s="51">
        <f t="shared" si="3"/>
        <v>0</v>
      </c>
      <c r="C40" s="52"/>
      <c r="D40" s="53"/>
      <c r="E40" s="183"/>
      <c r="F40" s="51">
        <f t="shared" si="4"/>
        <v>0</v>
      </c>
      <c r="G40" s="33"/>
      <c r="H40" s="57">
        <v>43853</v>
      </c>
      <c r="I40" s="33">
        <v>500000</v>
      </c>
      <c r="J40" s="86" t="s">
        <v>22</v>
      </c>
      <c r="K40" s="195" t="s">
        <v>73</v>
      </c>
      <c r="L40" s="194" t="s">
        <v>75</v>
      </c>
      <c r="M40" s="78"/>
      <c r="N40" s="78"/>
      <c r="O40" s="194"/>
    </row>
    <row r="41" s="2" customFormat="1" ht="18" customHeight="1" spans="1:15">
      <c r="A41" s="50"/>
      <c r="B41" s="51">
        <f t="shared" si="3"/>
        <v>0</v>
      </c>
      <c r="C41" s="52"/>
      <c r="D41" s="53"/>
      <c r="E41" s="183"/>
      <c r="F41" s="51">
        <f t="shared" si="4"/>
        <v>0</v>
      </c>
      <c r="G41" s="33"/>
      <c r="H41" s="57">
        <v>43853</v>
      </c>
      <c r="I41" s="33">
        <v>600000</v>
      </c>
      <c r="J41" s="86" t="s">
        <v>45</v>
      </c>
      <c r="K41" s="195" t="s">
        <v>70</v>
      </c>
      <c r="L41" s="194" t="s">
        <v>71</v>
      </c>
      <c r="M41" s="78"/>
      <c r="N41" s="78"/>
      <c r="O41" s="194"/>
    </row>
    <row r="42" s="2" customFormat="1" ht="18" customHeight="1" spans="1:15">
      <c r="A42" s="50"/>
      <c r="B42" s="51">
        <f t="shared" si="3"/>
        <v>0</v>
      </c>
      <c r="C42" s="52"/>
      <c r="D42" s="53"/>
      <c r="E42" s="183"/>
      <c r="F42" s="51">
        <f t="shared" si="4"/>
        <v>0</v>
      </c>
      <c r="G42" s="33"/>
      <c r="H42" s="57">
        <v>43853</v>
      </c>
      <c r="I42" s="33">
        <v>200000</v>
      </c>
      <c r="J42" s="86" t="s">
        <v>45</v>
      </c>
      <c r="K42" s="195" t="s">
        <v>72</v>
      </c>
      <c r="L42" s="194" t="s">
        <v>71</v>
      </c>
      <c r="M42" s="78"/>
      <c r="N42" s="78"/>
      <c r="O42" s="194"/>
    </row>
    <row r="43" s="2" customFormat="1" ht="18" customHeight="1" spans="1:15">
      <c r="A43" s="50">
        <v>43891</v>
      </c>
      <c r="B43" s="51">
        <f t="shared" si="3"/>
        <v>485436.89</v>
      </c>
      <c r="C43" s="52"/>
      <c r="D43" s="53" t="s">
        <v>38</v>
      </c>
      <c r="E43" s="183">
        <v>0.03</v>
      </c>
      <c r="F43" s="51">
        <f t="shared" si="4"/>
        <v>14563.11</v>
      </c>
      <c r="G43" s="33">
        <v>500000</v>
      </c>
      <c r="H43" s="57">
        <v>43923</v>
      </c>
      <c r="I43" s="33">
        <v>320000</v>
      </c>
      <c r="J43" s="86" t="s">
        <v>22</v>
      </c>
      <c r="K43" s="195" t="s">
        <v>39</v>
      </c>
      <c r="L43" s="194" t="s">
        <v>40</v>
      </c>
      <c r="M43" s="78"/>
      <c r="N43" s="78"/>
      <c r="O43" s="194"/>
    </row>
    <row r="44" s="2" customFormat="1" ht="18" customHeight="1" spans="1:15">
      <c r="A44" s="50">
        <v>43922</v>
      </c>
      <c r="B44" s="51">
        <f t="shared" si="3"/>
        <v>265486.73</v>
      </c>
      <c r="C44" s="52"/>
      <c r="D44" s="53" t="s">
        <v>38</v>
      </c>
      <c r="E44" s="183">
        <v>0.13</v>
      </c>
      <c r="F44" s="51">
        <f t="shared" si="4"/>
        <v>34513.27</v>
      </c>
      <c r="G44" s="33">
        <v>300000</v>
      </c>
      <c r="H44" s="58"/>
      <c r="I44" s="197"/>
      <c r="J44" s="89"/>
      <c r="K44" s="198" t="s">
        <v>42</v>
      </c>
      <c r="L44" s="218" t="s">
        <v>68</v>
      </c>
      <c r="M44" s="78"/>
      <c r="N44" s="78"/>
      <c r="O44" s="194"/>
    </row>
    <row r="45" s="1" customFormat="1" ht="18" customHeight="1" spans="1:15">
      <c r="A45" s="42">
        <v>43983</v>
      </c>
      <c r="B45" s="51">
        <f t="shared" si="3"/>
        <v>150500</v>
      </c>
      <c r="C45" s="43"/>
      <c r="D45" s="44" t="s">
        <v>66</v>
      </c>
      <c r="E45" s="47"/>
      <c r="F45" s="51">
        <f t="shared" si="4"/>
        <v>0</v>
      </c>
      <c r="G45" s="184">
        <v>150500</v>
      </c>
      <c r="H45" s="58">
        <v>43986</v>
      </c>
      <c r="I45" s="197">
        <v>150500</v>
      </c>
      <c r="J45" s="89" t="s">
        <v>152</v>
      </c>
      <c r="K45" s="198" t="s">
        <v>153</v>
      </c>
      <c r="L45" s="218" t="s">
        <v>154</v>
      </c>
      <c r="M45" s="77" t="s">
        <v>41</v>
      </c>
      <c r="N45" s="77" t="s">
        <v>41</v>
      </c>
      <c r="O45" s="191"/>
    </row>
    <row r="46" s="1" customFormat="1" ht="18" customHeight="1" spans="1:15">
      <c r="A46" s="42">
        <v>43983</v>
      </c>
      <c r="B46" s="51">
        <f t="shared" si="3"/>
        <v>154000</v>
      </c>
      <c r="C46" s="43"/>
      <c r="D46" s="44" t="s">
        <v>66</v>
      </c>
      <c r="E46" s="47"/>
      <c r="F46" s="51">
        <f t="shared" si="4"/>
        <v>0</v>
      </c>
      <c r="G46" s="184">
        <v>154000</v>
      </c>
      <c r="H46" s="58">
        <v>43986</v>
      </c>
      <c r="I46" s="197">
        <v>150000</v>
      </c>
      <c r="J46" s="89" t="s">
        <v>22</v>
      </c>
      <c r="K46" s="198" t="s">
        <v>156</v>
      </c>
      <c r="L46" s="218" t="s">
        <v>157</v>
      </c>
      <c r="M46" s="77" t="s">
        <v>41</v>
      </c>
      <c r="N46" s="77" t="s">
        <v>41</v>
      </c>
      <c r="O46" s="191"/>
    </row>
    <row r="47" s="1" customFormat="1" ht="18" customHeight="1" spans="1:15">
      <c r="A47" s="42"/>
      <c r="B47" s="51">
        <f t="shared" si="3"/>
        <v>0</v>
      </c>
      <c r="C47" s="43"/>
      <c r="D47" s="44"/>
      <c r="E47" s="47"/>
      <c r="F47" s="51">
        <f t="shared" si="4"/>
        <v>0</v>
      </c>
      <c r="G47" s="184"/>
      <c r="H47" s="58">
        <v>44067</v>
      </c>
      <c r="I47" s="197">
        <v>150000</v>
      </c>
      <c r="J47" s="89" t="s">
        <v>22</v>
      </c>
      <c r="K47" s="198" t="s">
        <v>39</v>
      </c>
      <c r="L47" s="218" t="s">
        <v>40</v>
      </c>
      <c r="M47" s="77"/>
      <c r="N47" s="77"/>
      <c r="O47" s="191"/>
    </row>
    <row r="48" s="1" customFormat="1" ht="18" customHeight="1" spans="1:15">
      <c r="A48" s="42">
        <v>44075</v>
      </c>
      <c r="B48" s="51">
        <f t="shared" si="3"/>
        <v>240000</v>
      </c>
      <c r="C48" s="43"/>
      <c r="D48" s="44" t="s">
        <v>66</v>
      </c>
      <c r="E48" s="47"/>
      <c r="F48" s="51">
        <f t="shared" si="4"/>
        <v>0</v>
      </c>
      <c r="G48" s="184">
        <f>90000+90000+60000</f>
        <v>240000</v>
      </c>
      <c r="H48" s="58">
        <v>44067</v>
      </c>
      <c r="I48" s="197">
        <v>240000</v>
      </c>
      <c r="J48" s="89" t="s">
        <v>22</v>
      </c>
      <c r="K48" s="198" t="s">
        <v>161</v>
      </c>
      <c r="L48" s="218" t="s">
        <v>162</v>
      </c>
      <c r="M48" s="77" t="s">
        <v>41</v>
      </c>
      <c r="N48" s="77" t="s">
        <v>41</v>
      </c>
      <c r="O48" s="191"/>
    </row>
    <row r="49" s="1" customFormat="1" ht="18" customHeight="1" spans="1:15">
      <c r="A49" s="42"/>
      <c r="B49" s="51">
        <f t="shared" si="3"/>
        <v>0</v>
      </c>
      <c r="C49" s="43"/>
      <c r="D49" s="44"/>
      <c r="E49" s="47"/>
      <c r="F49" s="51">
        <f t="shared" si="4"/>
        <v>0</v>
      </c>
      <c r="G49" s="184"/>
      <c r="H49" s="58"/>
      <c r="I49" s="199">
        <v>-1000000</v>
      </c>
      <c r="J49" s="200" t="s">
        <v>170</v>
      </c>
      <c r="K49" s="201" t="s">
        <v>63</v>
      </c>
      <c r="L49" s="201" t="s">
        <v>63</v>
      </c>
      <c r="M49" s="77"/>
      <c r="N49" s="77"/>
      <c r="O49" s="191"/>
    </row>
    <row r="50" s="1" customFormat="1" ht="18" customHeight="1" spans="1:15">
      <c r="A50" s="42"/>
      <c r="B50" s="51">
        <f t="shared" si="3"/>
        <v>0</v>
      </c>
      <c r="C50" s="43"/>
      <c r="D50" s="44"/>
      <c r="E50" s="47"/>
      <c r="F50" s="51">
        <f t="shared" si="4"/>
        <v>0</v>
      </c>
      <c r="G50" s="184"/>
      <c r="H50" s="58">
        <v>44081</v>
      </c>
      <c r="I50" s="197">
        <v>100000</v>
      </c>
      <c r="J50" s="89" t="s">
        <v>22</v>
      </c>
      <c r="K50" s="198" t="s">
        <v>171</v>
      </c>
      <c r="L50" s="201" t="s">
        <v>63</v>
      </c>
      <c r="M50" s="77">
        <v>100000</v>
      </c>
      <c r="N50" s="77"/>
      <c r="O50" s="191"/>
    </row>
    <row r="51" s="1" customFormat="1" ht="18" customHeight="1" spans="1:15">
      <c r="A51" s="42"/>
      <c r="B51" s="51">
        <f t="shared" si="3"/>
        <v>0</v>
      </c>
      <c r="C51" s="43"/>
      <c r="D51" s="44"/>
      <c r="E51" s="47"/>
      <c r="F51" s="51">
        <f t="shared" si="4"/>
        <v>0</v>
      </c>
      <c r="G51" s="184"/>
      <c r="H51" s="57">
        <v>44084</v>
      </c>
      <c r="I51" s="33">
        <v>200000</v>
      </c>
      <c r="J51" s="86" t="s">
        <v>22</v>
      </c>
      <c r="K51" s="195" t="s">
        <v>161</v>
      </c>
      <c r="L51" s="201" t="s">
        <v>63</v>
      </c>
      <c r="M51" s="77">
        <v>200000</v>
      </c>
      <c r="N51" s="77"/>
      <c r="O51" s="191"/>
    </row>
    <row r="52" s="1" customFormat="1" ht="18" customHeight="1" spans="1:15">
      <c r="A52" s="42">
        <v>44075</v>
      </c>
      <c r="B52" s="51">
        <f t="shared" si="3"/>
        <v>283.02</v>
      </c>
      <c r="C52" s="43"/>
      <c r="D52" s="44" t="s">
        <v>38</v>
      </c>
      <c r="E52" s="47">
        <v>0.06</v>
      </c>
      <c r="F52" s="51">
        <f t="shared" si="4"/>
        <v>16.98</v>
      </c>
      <c r="G52" s="184">
        <v>300</v>
      </c>
      <c r="H52" s="58"/>
      <c r="I52" s="197"/>
      <c r="J52" s="89"/>
      <c r="K52" s="198" t="s">
        <v>172</v>
      </c>
      <c r="L52" s="198" t="s">
        <v>173</v>
      </c>
      <c r="N52" s="77"/>
      <c r="O52" s="191"/>
    </row>
    <row r="53" s="1" customFormat="1" ht="18" customHeight="1" spans="1:15">
      <c r="A53" s="42"/>
      <c r="B53" s="51">
        <f t="shared" si="3"/>
        <v>0</v>
      </c>
      <c r="C53" s="43"/>
      <c r="D53" s="44"/>
      <c r="E53" s="47"/>
      <c r="F53" s="51">
        <f t="shared" si="4"/>
        <v>0</v>
      </c>
      <c r="G53" s="184"/>
      <c r="H53" s="57">
        <v>44091</v>
      </c>
      <c r="I53" s="33">
        <v>80000</v>
      </c>
      <c r="J53" s="86" t="s">
        <v>22</v>
      </c>
      <c r="K53" s="195" t="s">
        <v>176</v>
      </c>
      <c r="L53" s="201" t="s">
        <v>63</v>
      </c>
      <c r="M53" s="77">
        <v>80000</v>
      </c>
      <c r="N53" s="77"/>
      <c r="O53" s="191"/>
    </row>
    <row r="54" s="1" customFormat="1" ht="18" customHeight="1" spans="1:15">
      <c r="A54" s="42"/>
      <c r="B54" s="51">
        <f t="shared" si="3"/>
        <v>0</v>
      </c>
      <c r="C54" s="43"/>
      <c r="D54" s="44"/>
      <c r="E54" s="47"/>
      <c r="F54" s="51">
        <f t="shared" si="4"/>
        <v>0</v>
      </c>
      <c r="G54" s="184"/>
      <c r="H54" s="57">
        <v>44095</v>
      </c>
      <c r="I54" s="33">
        <v>100000</v>
      </c>
      <c r="J54" s="86" t="s">
        <v>22</v>
      </c>
      <c r="K54" s="195" t="s">
        <v>171</v>
      </c>
      <c r="L54" s="193" t="s">
        <v>63</v>
      </c>
      <c r="M54" s="77">
        <v>100000</v>
      </c>
      <c r="N54" s="77"/>
      <c r="O54" s="191"/>
    </row>
    <row r="55" s="1" customFormat="1" ht="18" customHeight="1" spans="1:15">
      <c r="A55" s="42"/>
      <c r="B55" s="51">
        <f t="shared" si="3"/>
        <v>0</v>
      </c>
      <c r="C55" s="43"/>
      <c r="D55" s="44"/>
      <c r="E55" s="47"/>
      <c r="F55" s="51">
        <f t="shared" si="4"/>
        <v>0</v>
      </c>
      <c r="G55" s="184"/>
      <c r="H55" s="57">
        <v>44096</v>
      </c>
      <c r="I55" s="33">
        <v>200000</v>
      </c>
      <c r="J55" s="86" t="s">
        <v>22</v>
      </c>
      <c r="K55" s="195" t="s">
        <v>161</v>
      </c>
      <c r="L55" s="193" t="s">
        <v>63</v>
      </c>
      <c r="M55" s="77">
        <v>200000</v>
      </c>
      <c r="N55" s="77"/>
      <c r="O55" s="191"/>
    </row>
    <row r="56" s="1" customFormat="1" ht="18" customHeight="1" spans="1:15">
      <c r="A56" s="42"/>
      <c r="B56" s="51">
        <f t="shared" si="3"/>
        <v>0</v>
      </c>
      <c r="C56" s="43"/>
      <c r="D56" s="44"/>
      <c r="E56" s="47"/>
      <c r="F56" s="51">
        <f t="shared" si="4"/>
        <v>0</v>
      </c>
      <c r="G56" s="184"/>
      <c r="H56" s="57">
        <v>44098</v>
      </c>
      <c r="I56" s="33">
        <v>100000</v>
      </c>
      <c r="J56" s="86" t="s">
        <v>22</v>
      </c>
      <c r="K56" s="195" t="s">
        <v>171</v>
      </c>
      <c r="L56" s="193" t="s">
        <v>63</v>
      </c>
      <c r="M56" s="77">
        <v>100000</v>
      </c>
      <c r="N56" s="77"/>
      <c r="O56" s="191"/>
    </row>
    <row r="57" s="1" customFormat="1" ht="18" customHeight="1" spans="1:15">
      <c r="A57" s="42">
        <v>44101</v>
      </c>
      <c r="B57" s="51">
        <f t="shared" si="3"/>
        <v>269289.82</v>
      </c>
      <c r="C57" s="43">
        <v>3</v>
      </c>
      <c r="D57" s="44" t="s">
        <v>38</v>
      </c>
      <c r="E57" s="47">
        <v>0.13</v>
      </c>
      <c r="F57" s="51">
        <f t="shared" si="4"/>
        <v>35007.68</v>
      </c>
      <c r="G57" s="184">
        <v>304297.5</v>
      </c>
      <c r="H57" s="57">
        <v>44101</v>
      </c>
      <c r="I57" s="33">
        <v>120000</v>
      </c>
      <c r="J57" s="86" t="s">
        <v>22</v>
      </c>
      <c r="K57" s="195" t="s">
        <v>171</v>
      </c>
      <c r="L57" s="193" t="s">
        <v>63</v>
      </c>
      <c r="M57" s="77">
        <v>120000</v>
      </c>
      <c r="N57" s="77"/>
      <c r="O57" s="191"/>
    </row>
    <row r="58" s="1" customFormat="1" ht="18" customHeight="1" spans="1:15">
      <c r="A58" s="42">
        <v>44101</v>
      </c>
      <c r="B58" s="51">
        <f t="shared" si="3"/>
        <v>310050</v>
      </c>
      <c r="C58" s="43">
        <v>4</v>
      </c>
      <c r="D58" s="44"/>
      <c r="E58" s="47"/>
      <c r="F58" s="51">
        <f t="shared" si="4"/>
        <v>0</v>
      </c>
      <c r="G58" s="184">
        <v>310050</v>
      </c>
      <c r="H58" s="57">
        <v>44103</v>
      </c>
      <c r="I58" s="33">
        <v>100000</v>
      </c>
      <c r="J58" s="86" t="s">
        <v>22</v>
      </c>
      <c r="K58" s="195" t="s">
        <v>161</v>
      </c>
      <c r="L58" s="193" t="s">
        <v>179</v>
      </c>
      <c r="M58" s="77">
        <v>100000</v>
      </c>
      <c r="N58" s="77"/>
      <c r="O58" s="191"/>
    </row>
    <row r="59" s="1" customFormat="1" ht="18" customHeight="1" spans="1:15">
      <c r="A59" s="42">
        <v>44101</v>
      </c>
      <c r="B59" s="51">
        <f t="shared" si="3"/>
        <v>290020.85</v>
      </c>
      <c r="C59" s="43">
        <v>4</v>
      </c>
      <c r="D59" s="44"/>
      <c r="E59" s="47"/>
      <c r="F59" s="51">
        <f t="shared" si="4"/>
        <v>0</v>
      </c>
      <c r="G59" s="184">
        <v>290020.85</v>
      </c>
      <c r="H59" s="57"/>
      <c r="I59" s="33"/>
      <c r="J59" s="86"/>
      <c r="K59" s="195" t="s">
        <v>161</v>
      </c>
      <c r="L59" s="193" t="s">
        <v>180</v>
      </c>
      <c r="M59" s="77"/>
      <c r="N59" s="77"/>
      <c r="O59" s="191"/>
    </row>
    <row r="60" s="1" customFormat="1" ht="18" customHeight="1" spans="1:15">
      <c r="A60" s="42">
        <v>44075</v>
      </c>
      <c r="B60" s="51">
        <f t="shared" si="3"/>
        <v>110511.5</v>
      </c>
      <c r="C60" s="43">
        <v>2</v>
      </c>
      <c r="D60" s="44" t="s">
        <v>38</v>
      </c>
      <c r="E60" s="47">
        <v>0.13</v>
      </c>
      <c r="F60" s="51">
        <f t="shared" si="4"/>
        <v>14366.5</v>
      </c>
      <c r="G60" s="184">
        <f>46878+78000</f>
        <v>124878</v>
      </c>
      <c r="H60" s="57"/>
      <c r="I60" s="33"/>
      <c r="J60" s="86"/>
      <c r="K60" s="195" t="s">
        <v>171</v>
      </c>
      <c r="L60" s="193" t="s">
        <v>53</v>
      </c>
      <c r="M60" s="77"/>
      <c r="N60" s="77" t="s">
        <v>41</v>
      </c>
      <c r="O60" s="191"/>
    </row>
    <row r="61" s="1" customFormat="1" ht="18" customHeight="1" spans="1:15">
      <c r="A61" s="42"/>
      <c r="B61" s="51">
        <f t="shared" si="3"/>
        <v>0</v>
      </c>
      <c r="C61" s="43"/>
      <c r="D61" s="44"/>
      <c r="E61" s="47"/>
      <c r="F61" s="51">
        <f t="shared" si="4"/>
        <v>0</v>
      </c>
      <c r="G61" s="184"/>
      <c r="H61" s="57">
        <v>44104</v>
      </c>
      <c r="I61" s="33">
        <v>200000</v>
      </c>
      <c r="J61" s="86" t="s">
        <v>22</v>
      </c>
      <c r="K61" s="195" t="s">
        <v>176</v>
      </c>
      <c r="L61" s="193"/>
      <c r="M61" s="77"/>
      <c r="N61" s="77"/>
      <c r="O61" s="191"/>
    </row>
    <row r="62" s="2" customFormat="1" ht="18" customHeight="1" spans="1:15">
      <c r="A62" s="50"/>
      <c r="B62" s="51">
        <f t="shared" si="3"/>
        <v>0</v>
      </c>
      <c r="C62" s="52"/>
      <c r="D62" s="53"/>
      <c r="E62" s="56"/>
      <c r="F62" s="51">
        <f t="shared" si="4"/>
        <v>0</v>
      </c>
      <c r="G62" s="185"/>
      <c r="H62" s="186">
        <v>44116</v>
      </c>
      <c r="I62" s="238">
        <v>100000</v>
      </c>
      <c r="J62" s="96" t="s">
        <v>22</v>
      </c>
      <c r="K62" s="239" t="s">
        <v>171</v>
      </c>
      <c r="L62" s="240"/>
      <c r="O62" s="194"/>
    </row>
    <row r="63" s="2" customFormat="1" ht="18" customHeight="1" spans="1:15">
      <c r="A63" s="50">
        <v>44105</v>
      </c>
      <c r="B63" s="51">
        <f t="shared" si="3"/>
        <v>99009.9</v>
      </c>
      <c r="C63" s="52"/>
      <c r="D63" s="44" t="s">
        <v>38</v>
      </c>
      <c r="E63" s="56">
        <v>0.01</v>
      </c>
      <c r="F63" s="51">
        <f t="shared" si="4"/>
        <v>990.1</v>
      </c>
      <c r="G63" s="185">
        <v>100000</v>
      </c>
      <c r="H63" s="186">
        <v>44116</v>
      </c>
      <c r="I63" s="238">
        <v>145000</v>
      </c>
      <c r="J63" s="96" t="s">
        <v>22</v>
      </c>
      <c r="K63" s="239" t="s">
        <v>161</v>
      </c>
      <c r="L63" s="240"/>
      <c r="O63" s="194"/>
    </row>
    <row r="64" s="1" customFormat="1" ht="18" customHeight="1" spans="1:15">
      <c r="A64" s="42"/>
      <c r="B64" s="51"/>
      <c r="C64" s="43"/>
      <c r="D64" s="44"/>
      <c r="E64" s="47"/>
      <c r="F64" s="51"/>
      <c r="G64" s="184"/>
      <c r="H64" s="57"/>
      <c r="I64" s="33"/>
      <c r="J64" s="86"/>
      <c r="K64" s="241"/>
      <c r="L64" s="213"/>
      <c r="M64" s="110"/>
      <c r="O64" s="191"/>
    </row>
    <row r="65" s="1" customFormat="1" ht="18" customHeight="1" spans="1:15">
      <c r="A65" s="42"/>
      <c r="B65" s="51"/>
      <c r="C65" s="43"/>
      <c r="D65" s="44"/>
      <c r="E65" s="47"/>
      <c r="F65" s="51"/>
      <c r="G65" s="184"/>
      <c r="H65" s="57"/>
      <c r="I65" s="33"/>
      <c r="J65" s="86"/>
      <c r="K65" s="241"/>
      <c r="L65" s="213"/>
      <c r="M65" s="110"/>
      <c r="O65" s="191"/>
    </row>
    <row r="66" s="1" customFormat="1" ht="18" customHeight="1" spans="1:15">
      <c r="A66" s="42"/>
      <c r="B66" s="51"/>
      <c r="C66" s="43"/>
      <c r="D66" s="44"/>
      <c r="E66" s="47"/>
      <c r="F66" s="51"/>
      <c r="G66" s="184"/>
      <c r="H66" s="206">
        <v>44116</v>
      </c>
      <c r="I66" s="210">
        <v>200</v>
      </c>
      <c r="J66" s="211" t="s">
        <v>77</v>
      </c>
      <c r="K66" s="212" t="s">
        <v>78</v>
      </c>
      <c r="L66" s="213"/>
      <c r="M66" s="110"/>
      <c r="O66" s="191"/>
    </row>
    <row r="67" s="1" customFormat="1" ht="18" customHeight="1" spans="1:15">
      <c r="A67" s="42"/>
      <c r="B67" s="51"/>
      <c r="C67" s="43"/>
      <c r="D67" s="44"/>
      <c r="E67" s="47"/>
      <c r="F67" s="51"/>
      <c r="G67" s="184"/>
      <c r="H67" s="57">
        <v>44104</v>
      </c>
      <c r="I67" s="33">
        <v>40970</v>
      </c>
      <c r="J67" s="86" t="s">
        <v>77</v>
      </c>
      <c r="K67" s="195" t="s">
        <v>183</v>
      </c>
      <c r="L67" s="193"/>
      <c r="M67" s="77"/>
      <c r="N67" s="77"/>
      <c r="O67" s="191"/>
    </row>
    <row r="68" s="1" customFormat="1" ht="18" customHeight="1" spans="1:15">
      <c r="A68" s="42"/>
      <c r="B68" s="51"/>
      <c r="C68" s="43"/>
      <c r="D68" s="44"/>
      <c r="E68" s="47"/>
      <c r="F68" s="51"/>
      <c r="G68" s="184"/>
      <c r="H68" s="57">
        <v>44104</v>
      </c>
      <c r="I68" s="33">
        <v>2500</v>
      </c>
      <c r="J68" s="86" t="s">
        <v>77</v>
      </c>
      <c r="K68" s="195" t="s">
        <v>105</v>
      </c>
      <c r="L68" s="193"/>
      <c r="M68" s="77"/>
      <c r="N68" s="77"/>
      <c r="O68" s="191"/>
    </row>
    <row r="69" s="2" customFormat="1" ht="18" customHeight="1" spans="1:15">
      <c r="A69" s="50"/>
      <c r="B69" s="51"/>
      <c r="C69" s="52"/>
      <c r="D69" s="53"/>
      <c r="E69" s="47"/>
      <c r="F69" s="51"/>
      <c r="G69" s="184"/>
      <c r="H69" s="57">
        <v>44104</v>
      </c>
      <c r="I69" s="214">
        <v>100</v>
      </c>
      <c r="J69" s="86" t="s">
        <v>77</v>
      </c>
      <c r="K69" s="195" t="s">
        <v>78</v>
      </c>
      <c r="L69" s="193"/>
      <c r="M69" s="78"/>
      <c r="N69" s="78"/>
      <c r="O69" s="194"/>
    </row>
    <row r="70" s="2" customFormat="1" ht="18" customHeight="1" spans="1:15">
      <c r="A70" s="50"/>
      <c r="B70" s="51"/>
      <c r="C70" s="52"/>
      <c r="D70" s="53"/>
      <c r="E70" s="47"/>
      <c r="F70" s="51"/>
      <c r="G70" s="184"/>
      <c r="H70" s="57">
        <v>44103</v>
      </c>
      <c r="I70" s="214">
        <v>100</v>
      </c>
      <c r="J70" s="86" t="s">
        <v>77</v>
      </c>
      <c r="K70" s="195" t="s">
        <v>78</v>
      </c>
      <c r="L70" s="193"/>
      <c r="M70" s="78"/>
      <c r="N70" s="78"/>
      <c r="O70" s="194"/>
    </row>
    <row r="71" s="2" customFormat="1" ht="18" customHeight="1" spans="1:15">
      <c r="A71" s="50"/>
      <c r="B71" s="51"/>
      <c r="C71" s="52"/>
      <c r="D71" s="53"/>
      <c r="E71" s="47"/>
      <c r="F71" s="51"/>
      <c r="G71" s="184"/>
      <c r="H71" s="57">
        <v>44101</v>
      </c>
      <c r="I71" s="214">
        <v>100</v>
      </c>
      <c r="J71" s="86" t="s">
        <v>77</v>
      </c>
      <c r="K71" s="195" t="s">
        <v>78</v>
      </c>
      <c r="L71" s="193" t="s">
        <v>63</v>
      </c>
      <c r="M71" s="78"/>
      <c r="N71" s="78"/>
      <c r="O71" s="194"/>
    </row>
    <row r="72" s="1" customFormat="1" ht="18" customHeight="1" spans="1:15">
      <c r="A72" s="42"/>
      <c r="B72" s="51"/>
      <c r="C72" s="43"/>
      <c r="D72" s="44"/>
      <c r="E72" s="47"/>
      <c r="F72" s="51"/>
      <c r="G72" s="184"/>
      <c r="H72" s="57">
        <v>44098</v>
      </c>
      <c r="I72" s="214">
        <v>100</v>
      </c>
      <c r="J72" s="86" t="s">
        <v>77</v>
      </c>
      <c r="K72" s="195" t="s">
        <v>78</v>
      </c>
      <c r="L72" s="193"/>
      <c r="M72" s="77"/>
      <c r="N72" s="77"/>
      <c r="O72" s="191"/>
    </row>
    <row r="73" s="1" customFormat="1" ht="18" customHeight="1" spans="1:15">
      <c r="A73" s="42"/>
      <c r="B73" s="51">
        <f t="shared" ref="B73:B89" si="5">ROUND(G73/(1+E73),2)</f>
        <v>0</v>
      </c>
      <c r="C73" s="43"/>
      <c r="D73" s="44"/>
      <c r="E73" s="47"/>
      <c r="F73" s="51">
        <f t="shared" ref="F73:F89" si="6">ROUND(G73/(1+E73)*E73,2)</f>
        <v>0</v>
      </c>
      <c r="G73" s="184"/>
      <c r="H73" s="57" t="s">
        <v>178</v>
      </c>
      <c r="I73" s="214">
        <v>100</v>
      </c>
      <c r="J73" s="86" t="s">
        <v>77</v>
      </c>
      <c r="K73" s="195" t="s">
        <v>78</v>
      </c>
      <c r="L73" s="193"/>
      <c r="M73" s="77"/>
      <c r="N73" s="77"/>
      <c r="O73" s="191"/>
    </row>
    <row r="74" s="1" customFormat="1" ht="18" customHeight="1" spans="1:15">
      <c r="A74" s="42"/>
      <c r="B74" s="51">
        <f t="shared" si="5"/>
        <v>0</v>
      </c>
      <c r="C74" s="43"/>
      <c r="D74" s="44"/>
      <c r="E74" s="47"/>
      <c r="F74" s="51">
        <f t="shared" si="6"/>
        <v>0</v>
      </c>
      <c r="G74" s="184"/>
      <c r="H74" s="57">
        <v>44095</v>
      </c>
      <c r="I74" s="33">
        <v>100</v>
      </c>
      <c r="J74" s="86" t="s">
        <v>77</v>
      </c>
      <c r="K74" s="195" t="s">
        <v>78</v>
      </c>
      <c r="L74" s="218"/>
      <c r="M74" s="77"/>
      <c r="N74" s="77"/>
      <c r="O74" s="191"/>
    </row>
    <row r="75" s="1" customFormat="1" ht="18" customHeight="1" spans="1:15">
      <c r="A75" s="42"/>
      <c r="B75" s="51">
        <f t="shared" si="5"/>
        <v>0</v>
      </c>
      <c r="C75" s="43"/>
      <c r="D75" s="44"/>
      <c r="E75" s="47"/>
      <c r="F75" s="51">
        <f t="shared" si="6"/>
        <v>0</v>
      </c>
      <c r="G75" s="184"/>
      <c r="H75" s="57" t="s">
        <v>177</v>
      </c>
      <c r="I75" s="33">
        <v>50</v>
      </c>
      <c r="J75" s="86" t="s">
        <v>77</v>
      </c>
      <c r="K75" s="195" t="s">
        <v>78</v>
      </c>
      <c r="L75" s="191"/>
      <c r="M75" s="77" t="s">
        <v>163</v>
      </c>
      <c r="N75" s="77"/>
      <c r="O75" s="191"/>
    </row>
    <row r="76" s="1" customFormat="1" ht="18" customHeight="1" spans="1:15">
      <c r="A76" s="42"/>
      <c r="B76" s="51">
        <f t="shared" si="5"/>
        <v>0</v>
      </c>
      <c r="C76" s="43"/>
      <c r="D76" s="44"/>
      <c r="E76" s="47"/>
      <c r="F76" s="51">
        <f t="shared" si="6"/>
        <v>0</v>
      </c>
      <c r="G76" s="184"/>
      <c r="H76" s="57" t="s">
        <v>174</v>
      </c>
      <c r="I76" s="33">
        <v>100</v>
      </c>
      <c r="J76" s="86" t="s">
        <v>77</v>
      </c>
      <c r="K76" s="195" t="s">
        <v>78</v>
      </c>
      <c r="L76" s="191"/>
      <c r="M76" s="77"/>
      <c r="N76" s="77"/>
      <c r="O76" s="191"/>
    </row>
    <row r="77" s="1" customFormat="1" ht="18" customHeight="1" spans="1:15">
      <c r="A77" s="42"/>
      <c r="B77" s="51">
        <f t="shared" si="5"/>
        <v>0</v>
      </c>
      <c r="C77" s="43"/>
      <c r="D77" s="44"/>
      <c r="E77" s="47"/>
      <c r="F77" s="51">
        <f t="shared" si="6"/>
        <v>0</v>
      </c>
      <c r="G77" s="184"/>
      <c r="H77" s="57" t="s">
        <v>175</v>
      </c>
      <c r="I77" s="33">
        <v>100</v>
      </c>
      <c r="J77" s="86" t="s">
        <v>77</v>
      </c>
      <c r="K77" s="195" t="s">
        <v>78</v>
      </c>
      <c r="L77" s="191"/>
      <c r="M77" s="77"/>
      <c r="N77" s="77"/>
      <c r="O77" s="191"/>
    </row>
    <row r="78" s="1" customFormat="1" ht="18" customHeight="1" spans="1:15">
      <c r="A78" s="42"/>
      <c r="B78" s="51">
        <f t="shared" si="5"/>
        <v>0</v>
      </c>
      <c r="C78" s="43"/>
      <c r="D78" s="44"/>
      <c r="E78" s="47"/>
      <c r="F78" s="51">
        <f t="shared" si="6"/>
        <v>0</v>
      </c>
      <c r="G78" s="184"/>
      <c r="H78" s="58" t="s">
        <v>164</v>
      </c>
      <c r="I78" s="197">
        <v>1192.9</v>
      </c>
      <c r="J78" s="89" t="s">
        <v>77</v>
      </c>
      <c r="K78" s="198" t="s">
        <v>165</v>
      </c>
      <c r="L78" s="191"/>
      <c r="M78" s="77"/>
      <c r="N78" s="77"/>
      <c r="O78" s="191"/>
    </row>
    <row r="79" s="1" customFormat="1" ht="18" customHeight="1" spans="1:15">
      <c r="A79" s="42"/>
      <c r="B79" s="51">
        <f t="shared" si="5"/>
        <v>0</v>
      </c>
      <c r="C79" s="43"/>
      <c r="D79" s="44"/>
      <c r="E79" s="47"/>
      <c r="F79" s="51">
        <f t="shared" si="6"/>
        <v>0</v>
      </c>
      <c r="G79" s="184"/>
      <c r="H79" s="58" t="s">
        <v>164</v>
      </c>
      <c r="I79" s="197">
        <v>200</v>
      </c>
      <c r="J79" s="89" t="s">
        <v>77</v>
      </c>
      <c r="K79" s="198" t="s">
        <v>78</v>
      </c>
      <c r="L79" s="191"/>
      <c r="M79" s="77"/>
      <c r="N79" s="77"/>
      <c r="O79" s="191"/>
    </row>
    <row r="80" s="1" customFormat="1" ht="18" customHeight="1" spans="1:15">
      <c r="A80" s="42"/>
      <c r="B80" s="51">
        <f t="shared" si="5"/>
        <v>2000</v>
      </c>
      <c r="C80" s="43"/>
      <c r="D80" s="44"/>
      <c r="E80" s="47"/>
      <c r="F80" s="51">
        <f t="shared" si="6"/>
        <v>0</v>
      </c>
      <c r="G80" s="184">
        <f>I80</f>
        <v>2000</v>
      </c>
      <c r="H80" s="58" t="s">
        <v>164</v>
      </c>
      <c r="I80" s="197">
        <v>2000</v>
      </c>
      <c r="J80" s="89" t="s">
        <v>77</v>
      </c>
      <c r="K80" s="198" t="s">
        <v>105</v>
      </c>
      <c r="L80" s="191"/>
      <c r="M80" s="77"/>
      <c r="N80" s="77"/>
      <c r="O80" s="191"/>
    </row>
    <row r="81" s="1" customFormat="1" ht="18" customHeight="1" spans="1:15">
      <c r="A81" s="42"/>
      <c r="B81" s="51">
        <f t="shared" si="5"/>
        <v>0</v>
      </c>
      <c r="C81" s="43"/>
      <c r="D81" s="44"/>
      <c r="E81" s="47"/>
      <c r="F81" s="51">
        <f t="shared" si="6"/>
        <v>0</v>
      </c>
      <c r="G81" s="184"/>
      <c r="H81" s="58" t="s">
        <v>164</v>
      </c>
      <c r="I81" s="197">
        <v>6400</v>
      </c>
      <c r="J81" s="89" t="s">
        <v>77</v>
      </c>
      <c r="K81" s="198" t="s">
        <v>146</v>
      </c>
      <c r="L81" s="191"/>
      <c r="M81" s="77"/>
      <c r="N81" s="77"/>
      <c r="O81" s="191"/>
    </row>
    <row r="82" s="1" customFormat="1" ht="18" customHeight="1" spans="1:15">
      <c r="A82" s="42"/>
      <c r="B82" s="51">
        <f t="shared" si="5"/>
        <v>0</v>
      </c>
      <c r="C82" s="43"/>
      <c r="D82" s="44"/>
      <c r="E82" s="47"/>
      <c r="F82" s="51">
        <f t="shared" si="6"/>
        <v>0</v>
      </c>
      <c r="G82" s="184"/>
      <c r="H82" s="58" t="s">
        <v>164</v>
      </c>
      <c r="I82" s="197">
        <v>221</v>
      </c>
      <c r="J82" s="89" t="s">
        <v>77</v>
      </c>
      <c r="K82" s="198" t="s">
        <v>140</v>
      </c>
      <c r="L82" s="191"/>
      <c r="M82" s="77"/>
      <c r="N82" s="77"/>
      <c r="O82" s="191"/>
    </row>
    <row r="83" s="1" customFormat="1" ht="18" customHeight="1" spans="1:15">
      <c r="A83" s="42"/>
      <c r="B83" s="51">
        <f t="shared" si="5"/>
        <v>0</v>
      </c>
      <c r="C83" s="43"/>
      <c r="D83" s="44"/>
      <c r="E83" s="47"/>
      <c r="F83" s="51">
        <f t="shared" si="6"/>
        <v>0</v>
      </c>
      <c r="G83" s="184"/>
      <c r="H83" s="58" t="s">
        <v>158</v>
      </c>
      <c r="I83" s="197">
        <v>100</v>
      </c>
      <c r="J83" s="89" t="s">
        <v>77</v>
      </c>
      <c r="K83" s="198" t="s">
        <v>78</v>
      </c>
      <c r="L83" s="191" t="s">
        <v>159</v>
      </c>
      <c r="M83" s="77"/>
      <c r="N83" s="77"/>
      <c r="O83" s="191"/>
    </row>
    <row r="84" s="1" customFormat="1" ht="18" customHeight="1" spans="1:15">
      <c r="A84" s="42"/>
      <c r="B84" s="51">
        <f t="shared" si="5"/>
        <v>0</v>
      </c>
      <c r="C84" s="43"/>
      <c r="D84" s="44"/>
      <c r="E84" s="47"/>
      <c r="F84" s="51">
        <f t="shared" si="6"/>
        <v>0</v>
      </c>
      <c r="G84" s="184"/>
      <c r="H84" s="58" t="s">
        <v>158</v>
      </c>
      <c r="I84" s="197">
        <v>100</v>
      </c>
      <c r="J84" s="89" t="s">
        <v>77</v>
      </c>
      <c r="K84" s="198" t="s">
        <v>78</v>
      </c>
      <c r="L84" s="191" t="s">
        <v>159</v>
      </c>
      <c r="M84" s="77"/>
      <c r="N84" s="77"/>
      <c r="O84" s="191"/>
    </row>
    <row r="85" s="1" customFormat="1" ht="18" customHeight="1" spans="1:15">
      <c r="A85" s="42"/>
      <c r="B85" s="51">
        <f t="shared" si="5"/>
        <v>0</v>
      </c>
      <c r="C85" s="43"/>
      <c r="D85" s="44"/>
      <c r="E85" s="47"/>
      <c r="F85" s="51">
        <f t="shared" si="6"/>
        <v>0</v>
      </c>
      <c r="G85" s="184"/>
      <c r="H85" s="57">
        <v>43923</v>
      </c>
      <c r="I85" s="33">
        <v>100</v>
      </c>
      <c r="J85" s="86" t="s">
        <v>77</v>
      </c>
      <c r="K85" s="195" t="s">
        <v>78</v>
      </c>
      <c r="L85" s="191"/>
      <c r="M85" s="77"/>
      <c r="N85" s="77"/>
      <c r="O85" s="191"/>
    </row>
    <row r="86" s="1" customFormat="1" ht="18" customHeight="1" spans="1:15">
      <c r="A86" s="42"/>
      <c r="B86" s="51">
        <f t="shared" si="5"/>
        <v>0</v>
      </c>
      <c r="C86" s="43"/>
      <c r="D86" s="44"/>
      <c r="E86" s="47"/>
      <c r="F86" s="51">
        <f t="shared" si="6"/>
        <v>0</v>
      </c>
      <c r="G86" s="184"/>
      <c r="H86" s="30" t="s">
        <v>79</v>
      </c>
      <c r="I86" s="31">
        <v>200</v>
      </c>
      <c r="J86" s="86" t="s">
        <v>77</v>
      </c>
      <c r="K86" s="195" t="s">
        <v>78</v>
      </c>
      <c r="L86" s="191"/>
      <c r="M86" s="77"/>
      <c r="N86" s="77"/>
      <c r="O86" s="191"/>
    </row>
    <row r="87" s="1" customFormat="1" ht="18" customHeight="1" spans="1:15">
      <c r="A87" s="42"/>
      <c r="B87" s="51">
        <f t="shared" si="5"/>
        <v>0</v>
      </c>
      <c r="C87" s="43"/>
      <c r="D87" s="44"/>
      <c r="E87" s="47"/>
      <c r="F87" s="25">
        <f t="shared" si="6"/>
        <v>0</v>
      </c>
      <c r="G87" s="184"/>
      <c r="H87" s="30" t="s">
        <v>79</v>
      </c>
      <c r="I87" s="210">
        <v>-88680</v>
      </c>
      <c r="J87" s="211" t="s">
        <v>80</v>
      </c>
      <c r="K87" s="212" t="s">
        <v>133</v>
      </c>
      <c r="L87" s="191"/>
      <c r="M87" s="77"/>
      <c r="N87" s="77"/>
      <c r="O87" s="191"/>
    </row>
    <row r="88" s="1" customFormat="1" ht="18" customHeight="1" spans="1:15">
      <c r="A88" s="42"/>
      <c r="B88" s="25">
        <f t="shared" si="5"/>
        <v>0</v>
      </c>
      <c r="C88" s="43"/>
      <c r="D88" s="44"/>
      <c r="E88" s="47"/>
      <c r="F88" s="25">
        <f t="shared" si="6"/>
        <v>0</v>
      </c>
      <c r="G88" s="184"/>
      <c r="H88" s="57" t="s">
        <v>82</v>
      </c>
      <c r="I88" s="33">
        <v>188304</v>
      </c>
      <c r="J88" s="86" t="s">
        <v>77</v>
      </c>
      <c r="K88" s="196" t="s">
        <v>83</v>
      </c>
      <c r="L88" s="194"/>
      <c r="M88" s="77"/>
      <c r="N88" s="77"/>
      <c r="O88" s="191"/>
    </row>
    <row r="89" s="1" customFormat="1" ht="18" customHeight="1" spans="1:16">
      <c r="A89" s="42"/>
      <c r="B89" s="25">
        <f t="shared" si="5"/>
        <v>0</v>
      </c>
      <c r="C89" s="43"/>
      <c r="D89" s="44"/>
      <c r="E89" s="47"/>
      <c r="F89" s="25">
        <f t="shared" si="6"/>
        <v>0</v>
      </c>
      <c r="G89" s="184"/>
      <c r="H89" s="104" t="s">
        <v>82</v>
      </c>
      <c r="I89" s="215">
        <v>-300000</v>
      </c>
      <c r="J89" s="114" t="s">
        <v>84</v>
      </c>
      <c r="K89" s="234" t="s">
        <v>85</v>
      </c>
      <c r="L89" s="194"/>
      <c r="M89" s="77"/>
      <c r="N89" s="115"/>
      <c r="O89" s="216" t="s">
        <v>86</v>
      </c>
      <c r="P89" s="120"/>
    </row>
    <row r="90" s="1" customFormat="1" ht="18" customHeight="1" spans="1:16">
      <c r="A90" s="42"/>
      <c r="B90" s="25"/>
      <c r="C90" s="43"/>
      <c r="D90" s="44"/>
      <c r="E90" s="47"/>
      <c r="F90" s="25"/>
      <c r="G90" s="184"/>
      <c r="H90" s="57" t="s">
        <v>82</v>
      </c>
      <c r="I90" s="197">
        <v>21333.33</v>
      </c>
      <c r="J90" s="86" t="s">
        <v>77</v>
      </c>
      <c r="K90" s="217" t="s">
        <v>87</v>
      </c>
      <c r="L90" s="218"/>
      <c r="M90" s="91"/>
      <c r="N90" s="91"/>
      <c r="O90" s="218"/>
      <c r="P90" s="122"/>
    </row>
    <row r="91" s="1" customFormat="1" ht="18" customHeight="1" spans="1:15">
      <c r="A91" s="42"/>
      <c r="B91" s="25">
        <f t="shared" ref="B91:B126" si="7">ROUND(G91/(1+E91),2)</f>
        <v>0</v>
      </c>
      <c r="C91" s="43"/>
      <c r="D91" s="44"/>
      <c r="E91" s="47"/>
      <c r="F91" s="25">
        <f t="shared" ref="F91:F126" si="8">ROUND(G91/(1+E91)*E91,2)</f>
        <v>0</v>
      </c>
      <c r="G91" s="184"/>
      <c r="H91" s="57" t="s">
        <v>82</v>
      </c>
      <c r="I91" s="33">
        <v>300</v>
      </c>
      <c r="J91" s="86" t="s">
        <v>77</v>
      </c>
      <c r="K91" s="195" t="s">
        <v>78</v>
      </c>
      <c r="L91" s="194"/>
      <c r="M91" s="77"/>
      <c r="N91" s="77"/>
      <c r="O91" s="191"/>
    </row>
    <row r="92" s="1" customFormat="1" ht="18" customHeight="1" spans="1:15">
      <c r="A92" s="42"/>
      <c r="B92" s="25">
        <f t="shared" si="7"/>
        <v>10000</v>
      </c>
      <c r="C92" s="43"/>
      <c r="D92" s="44"/>
      <c r="E92" s="47"/>
      <c r="F92" s="25">
        <f t="shared" si="8"/>
        <v>0</v>
      </c>
      <c r="G92" s="184">
        <f>10000</f>
        <v>10000</v>
      </c>
      <c r="H92" s="57" t="s">
        <v>82</v>
      </c>
      <c r="I92" s="33">
        <f>G92</f>
        <v>10000</v>
      </c>
      <c r="J92" s="86" t="s">
        <v>77</v>
      </c>
      <c r="K92" s="195" t="s">
        <v>105</v>
      </c>
      <c r="L92" s="194"/>
      <c r="M92" s="77"/>
      <c r="N92" s="77"/>
      <c r="O92" s="191"/>
    </row>
    <row r="93" s="1" customFormat="1" ht="18" customHeight="1" spans="1:15">
      <c r="A93" s="42"/>
      <c r="B93" s="25">
        <f t="shared" si="7"/>
        <v>0</v>
      </c>
      <c r="C93" s="43"/>
      <c r="D93" s="44"/>
      <c r="E93" s="47"/>
      <c r="F93" s="25">
        <f t="shared" si="8"/>
        <v>0</v>
      </c>
      <c r="G93" s="184"/>
      <c r="H93" s="57" t="s">
        <v>89</v>
      </c>
      <c r="I93" s="33">
        <v>-300000</v>
      </c>
      <c r="J93" s="86" t="s">
        <v>90</v>
      </c>
      <c r="K93" s="195" t="s">
        <v>91</v>
      </c>
      <c r="L93" s="194"/>
      <c r="M93" s="77"/>
      <c r="N93" s="77"/>
      <c r="O93" s="191"/>
    </row>
    <row r="94" s="1" customFormat="1" ht="18" customHeight="1" spans="1:15">
      <c r="A94" s="42"/>
      <c r="B94" s="25">
        <f t="shared" si="7"/>
        <v>0</v>
      </c>
      <c r="C94" s="43"/>
      <c r="D94" s="44"/>
      <c r="E94" s="47"/>
      <c r="F94" s="25">
        <f t="shared" si="8"/>
        <v>0</v>
      </c>
      <c r="G94" s="184"/>
      <c r="H94" s="57" t="s">
        <v>89</v>
      </c>
      <c r="I94" s="51">
        <v>100</v>
      </c>
      <c r="J94" s="86" t="s">
        <v>77</v>
      </c>
      <c r="K94" s="195" t="s">
        <v>78</v>
      </c>
      <c r="L94" s="194"/>
      <c r="M94" s="77"/>
      <c r="N94" s="77"/>
      <c r="O94" s="191"/>
    </row>
    <row r="95" s="1" customFormat="1" ht="18" customHeight="1" spans="1:15">
      <c r="A95" s="42"/>
      <c r="B95" s="25">
        <f t="shared" si="7"/>
        <v>0</v>
      </c>
      <c r="C95" s="43"/>
      <c r="D95" s="44"/>
      <c r="E95" s="47"/>
      <c r="F95" s="25">
        <f t="shared" si="8"/>
        <v>0</v>
      </c>
      <c r="G95" s="184"/>
      <c r="H95" s="57" t="s">
        <v>92</v>
      </c>
      <c r="I95" s="51">
        <v>100</v>
      </c>
      <c r="J95" s="86" t="s">
        <v>77</v>
      </c>
      <c r="K95" s="195" t="s">
        <v>78</v>
      </c>
      <c r="L95" s="194"/>
      <c r="M95" s="77"/>
      <c r="N95" s="77"/>
      <c r="O95" s="191"/>
    </row>
    <row r="96" s="1" customFormat="1" ht="18" customHeight="1" spans="1:15">
      <c r="A96" s="42"/>
      <c r="B96" s="25">
        <f t="shared" si="7"/>
        <v>0</v>
      </c>
      <c r="C96" s="43"/>
      <c r="D96" s="44"/>
      <c r="E96" s="47"/>
      <c r="F96" s="25">
        <f t="shared" si="8"/>
        <v>0</v>
      </c>
      <c r="G96" s="184"/>
      <c r="H96" s="57"/>
      <c r="I96" s="51"/>
      <c r="J96" s="86"/>
      <c r="K96" s="195"/>
      <c r="L96" s="194"/>
      <c r="M96" s="77"/>
      <c r="N96" s="77"/>
      <c r="O96" s="191"/>
    </row>
    <row r="97" s="1" customFormat="1" ht="18" customHeight="1" spans="1:15">
      <c r="A97" s="42"/>
      <c r="B97" s="25">
        <f t="shared" si="7"/>
        <v>0</v>
      </c>
      <c r="C97" s="43"/>
      <c r="D97" s="44"/>
      <c r="E97" s="47"/>
      <c r="F97" s="25">
        <f t="shared" si="8"/>
        <v>0</v>
      </c>
      <c r="G97" s="184"/>
      <c r="H97" s="57" t="s">
        <v>93</v>
      </c>
      <c r="I97" s="235">
        <v>184767</v>
      </c>
      <c r="J97" s="86" t="s">
        <v>94</v>
      </c>
      <c r="K97" s="195" t="s">
        <v>95</v>
      </c>
      <c r="L97" s="194"/>
      <c r="M97" s="77"/>
      <c r="N97" s="77"/>
      <c r="O97" s="191"/>
    </row>
    <row r="98" s="1" customFormat="1" ht="18" customHeight="1" spans="1:15">
      <c r="A98" s="42"/>
      <c r="B98" s="25">
        <f t="shared" si="7"/>
        <v>0</v>
      </c>
      <c r="C98" s="43"/>
      <c r="D98" s="44"/>
      <c r="E98" s="47"/>
      <c r="F98" s="25">
        <f t="shared" si="8"/>
        <v>0</v>
      </c>
      <c r="G98" s="184"/>
      <c r="H98" s="57" t="s">
        <v>93</v>
      </c>
      <c r="I98" s="235">
        <v>48000</v>
      </c>
      <c r="J98" s="86" t="s">
        <v>77</v>
      </c>
      <c r="K98" s="195" t="s">
        <v>146</v>
      </c>
      <c r="L98" s="194"/>
      <c r="M98" s="77"/>
      <c r="N98" s="77"/>
      <c r="O98" s="191"/>
    </row>
    <row r="99" s="1" customFormat="1" ht="18" customHeight="1" spans="1:15">
      <c r="A99" s="42"/>
      <c r="B99" s="25">
        <f t="shared" si="7"/>
        <v>0</v>
      </c>
      <c r="C99" s="43"/>
      <c r="D99" s="44"/>
      <c r="E99" s="47"/>
      <c r="F99" s="25">
        <f t="shared" si="8"/>
        <v>0</v>
      </c>
      <c r="G99" s="184"/>
      <c r="H99" s="57" t="s">
        <v>93</v>
      </c>
      <c r="I99" s="235">
        <v>1652</v>
      </c>
      <c r="J99" s="86" t="s">
        <v>77</v>
      </c>
      <c r="K99" s="195" t="s">
        <v>140</v>
      </c>
      <c r="L99" s="194"/>
      <c r="M99" s="77"/>
      <c r="N99" s="77"/>
      <c r="O99" s="191"/>
    </row>
    <row r="100" s="1" customFormat="1" ht="18" customHeight="1" spans="1:15">
      <c r="A100" s="42"/>
      <c r="B100" s="25">
        <f t="shared" si="7"/>
        <v>0</v>
      </c>
      <c r="C100" s="43"/>
      <c r="D100" s="44"/>
      <c r="E100" s="47"/>
      <c r="F100" s="25">
        <f t="shared" si="8"/>
        <v>0</v>
      </c>
      <c r="G100" s="184"/>
      <c r="H100" s="57" t="s">
        <v>93</v>
      </c>
      <c r="I100" s="236">
        <v>67389</v>
      </c>
      <c r="J100" s="211" t="s">
        <v>77</v>
      </c>
      <c r="K100" s="212" t="s">
        <v>147</v>
      </c>
      <c r="L100" s="194"/>
      <c r="M100" s="77"/>
      <c r="N100" s="77"/>
      <c r="O100" s="191"/>
    </row>
    <row r="101" s="1" customFormat="1" ht="18" customHeight="1" spans="1:15">
      <c r="A101" s="42"/>
      <c r="B101" s="25">
        <f t="shared" si="7"/>
        <v>0</v>
      </c>
      <c r="C101" s="43"/>
      <c r="D101" s="44"/>
      <c r="E101" s="45"/>
      <c r="F101" s="25">
        <f t="shared" si="8"/>
        <v>0</v>
      </c>
      <c r="G101" s="184"/>
      <c r="H101" s="57" t="s">
        <v>93</v>
      </c>
      <c r="I101" s="235">
        <v>100</v>
      </c>
      <c r="J101" s="86" t="s">
        <v>77</v>
      </c>
      <c r="K101" s="195" t="s">
        <v>78</v>
      </c>
      <c r="L101" s="194"/>
      <c r="M101" s="77"/>
      <c r="N101" s="77"/>
      <c r="O101" s="191"/>
    </row>
    <row r="102" s="1" customFormat="1" ht="18" customHeight="1" spans="1:15">
      <c r="A102" s="42"/>
      <c r="B102" s="25">
        <f t="shared" si="7"/>
        <v>5000</v>
      </c>
      <c r="C102" s="43"/>
      <c r="D102" s="44"/>
      <c r="E102" s="45"/>
      <c r="F102" s="25">
        <f t="shared" si="8"/>
        <v>0</v>
      </c>
      <c r="G102" s="184">
        <f>5000</f>
        <v>5000</v>
      </c>
      <c r="H102" s="57" t="s">
        <v>93</v>
      </c>
      <c r="I102" s="235">
        <f>G102</f>
        <v>5000</v>
      </c>
      <c r="J102" s="86" t="s">
        <v>77</v>
      </c>
      <c r="K102" s="195" t="s">
        <v>105</v>
      </c>
      <c r="L102" s="194"/>
      <c r="M102" s="77"/>
      <c r="N102" s="77"/>
      <c r="O102" s="191"/>
    </row>
    <row r="103" s="1" customFormat="1" ht="18" customHeight="1" spans="1:15">
      <c r="A103" s="42"/>
      <c r="B103" s="25">
        <f t="shared" si="7"/>
        <v>0</v>
      </c>
      <c r="C103" s="43"/>
      <c r="D103" s="44"/>
      <c r="E103" s="45"/>
      <c r="F103" s="25">
        <f t="shared" si="8"/>
        <v>0</v>
      </c>
      <c r="G103" s="184"/>
      <c r="H103" s="57" t="s">
        <v>99</v>
      </c>
      <c r="I103" s="235">
        <v>-157908</v>
      </c>
      <c r="J103" s="86" t="s">
        <v>90</v>
      </c>
      <c r="K103" s="195" t="s">
        <v>91</v>
      </c>
      <c r="L103" s="194"/>
      <c r="M103" s="77"/>
      <c r="N103" s="77"/>
      <c r="O103" s="191"/>
    </row>
    <row r="104" s="1" customFormat="1" ht="18" customHeight="1" spans="1:15">
      <c r="A104" s="42"/>
      <c r="B104" s="25">
        <f t="shared" si="7"/>
        <v>0</v>
      </c>
      <c r="C104" s="43"/>
      <c r="D104" s="44"/>
      <c r="E104" s="45"/>
      <c r="F104" s="25">
        <f t="shared" si="8"/>
        <v>0</v>
      </c>
      <c r="G104" s="184"/>
      <c r="H104" s="57" t="s">
        <v>99</v>
      </c>
      <c r="I104" s="235">
        <v>100</v>
      </c>
      <c r="J104" s="86" t="s">
        <v>77</v>
      </c>
      <c r="K104" s="195" t="s">
        <v>78</v>
      </c>
      <c r="L104" s="194"/>
      <c r="M104" s="77"/>
      <c r="N104" s="77"/>
      <c r="O104" s="191"/>
    </row>
    <row r="105" s="1" customFormat="1" ht="18" customHeight="1" spans="1:15">
      <c r="A105" s="42"/>
      <c r="B105" s="25">
        <f t="shared" si="7"/>
        <v>0</v>
      </c>
      <c r="C105" s="43"/>
      <c r="D105" s="44"/>
      <c r="E105" s="45"/>
      <c r="F105" s="25">
        <f t="shared" si="8"/>
        <v>0</v>
      </c>
      <c r="G105" s="184"/>
      <c r="H105" s="57" t="s">
        <v>100</v>
      </c>
      <c r="I105" s="235">
        <v>200</v>
      </c>
      <c r="J105" s="86" t="s">
        <v>77</v>
      </c>
      <c r="K105" s="195" t="s">
        <v>78</v>
      </c>
      <c r="L105" s="194"/>
      <c r="M105" s="77"/>
      <c r="N105" s="77"/>
      <c r="O105" s="191"/>
    </row>
    <row r="106" s="1" customFormat="1" ht="18" customHeight="1" spans="1:15">
      <c r="A106" s="42"/>
      <c r="B106" s="25">
        <f t="shared" si="7"/>
        <v>0</v>
      </c>
      <c r="C106" s="43"/>
      <c r="D106" s="44"/>
      <c r="E106" s="45"/>
      <c r="F106" s="25">
        <f t="shared" si="8"/>
        <v>0</v>
      </c>
      <c r="G106" s="184"/>
      <c r="H106" s="57" t="s">
        <v>101</v>
      </c>
      <c r="I106" s="235">
        <v>200</v>
      </c>
      <c r="J106" s="86" t="s">
        <v>77</v>
      </c>
      <c r="K106" s="195" t="s">
        <v>78</v>
      </c>
      <c r="L106" s="194"/>
      <c r="M106" s="77"/>
      <c r="N106" s="77"/>
      <c r="O106" s="191"/>
    </row>
    <row r="107" s="1" customFormat="1" ht="18" customHeight="1" spans="1:15">
      <c r="A107" s="42"/>
      <c r="B107" s="25">
        <f t="shared" si="7"/>
        <v>0</v>
      </c>
      <c r="C107" s="43"/>
      <c r="D107" s="44"/>
      <c r="E107" s="45"/>
      <c r="F107" s="25">
        <f t="shared" si="8"/>
        <v>0</v>
      </c>
      <c r="G107" s="184"/>
      <c r="H107" s="57" t="s">
        <v>101</v>
      </c>
      <c r="I107" s="235">
        <v>381546</v>
      </c>
      <c r="J107" s="86" t="s">
        <v>94</v>
      </c>
      <c r="K107" s="195" t="s">
        <v>95</v>
      </c>
      <c r="L107" s="194"/>
      <c r="M107" s="77"/>
      <c r="O107" s="191"/>
    </row>
    <row r="108" s="1" customFormat="1" ht="18" customHeight="1" spans="1:15">
      <c r="A108" s="42"/>
      <c r="B108" s="25">
        <f t="shared" si="7"/>
        <v>0</v>
      </c>
      <c r="C108" s="43"/>
      <c r="D108" s="44"/>
      <c r="E108" s="45"/>
      <c r="F108" s="25">
        <f t="shared" si="8"/>
        <v>0</v>
      </c>
      <c r="G108" s="184"/>
      <c r="H108" s="57" t="s">
        <v>101</v>
      </c>
      <c r="I108" s="235">
        <v>24955</v>
      </c>
      <c r="J108" s="86" t="s">
        <v>77</v>
      </c>
      <c r="K108" s="195" t="s">
        <v>146</v>
      </c>
      <c r="L108" s="194"/>
      <c r="M108" s="77"/>
      <c r="N108" s="77"/>
      <c r="O108" s="191"/>
    </row>
    <row r="109" s="1" customFormat="1" ht="18" customHeight="1" spans="1:15">
      <c r="A109" s="42"/>
      <c r="B109" s="25">
        <f t="shared" si="7"/>
        <v>0</v>
      </c>
      <c r="C109" s="43"/>
      <c r="D109" s="44"/>
      <c r="E109" s="45"/>
      <c r="F109" s="25">
        <f t="shared" si="8"/>
        <v>0</v>
      </c>
      <c r="G109" s="184"/>
      <c r="H109" s="57" t="s">
        <v>101</v>
      </c>
      <c r="I109" s="235">
        <v>936</v>
      </c>
      <c r="J109" s="86" t="s">
        <v>77</v>
      </c>
      <c r="K109" s="195" t="s">
        <v>140</v>
      </c>
      <c r="L109" s="194"/>
      <c r="M109" s="77"/>
      <c r="N109" s="77"/>
      <c r="O109" s="191"/>
    </row>
    <row r="110" s="1" customFormat="1" ht="18" customHeight="1" spans="1:15">
      <c r="A110" s="42"/>
      <c r="B110" s="25">
        <f t="shared" si="7"/>
        <v>0</v>
      </c>
      <c r="C110" s="43"/>
      <c r="D110" s="44"/>
      <c r="E110" s="45"/>
      <c r="F110" s="25">
        <f t="shared" si="8"/>
        <v>0</v>
      </c>
      <c r="G110" s="184"/>
      <c r="H110" s="57" t="s">
        <v>101</v>
      </c>
      <c r="I110" s="236">
        <v>120092</v>
      </c>
      <c r="J110" s="211" t="s">
        <v>77</v>
      </c>
      <c r="K110" s="212" t="s">
        <v>148</v>
      </c>
      <c r="L110" s="194"/>
      <c r="M110" s="77"/>
      <c r="N110" s="77"/>
      <c r="O110" s="191"/>
    </row>
    <row r="111" s="1" customFormat="1" ht="18" customHeight="1" spans="1:15">
      <c r="A111" s="42"/>
      <c r="B111" s="25">
        <f t="shared" si="7"/>
        <v>8500</v>
      </c>
      <c r="C111" s="43"/>
      <c r="D111" s="44"/>
      <c r="E111" s="45"/>
      <c r="F111" s="25">
        <f t="shared" si="8"/>
        <v>0</v>
      </c>
      <c r="G111" s="184">
        <v>8500</v>
      </c>
      <c r="H111" s="57" t="s">
        <v>101</v>
      </c>
      <c r="I111" s="235">
        <f>G111</f>
        <v>8500</v>
      </c>
      <c r="J111" s="86" t="s">
        <v>77</v>
      </c>
      <c r="K111" s="195" t="s">
        <v>105</v>
      </c>
      <c r="L111" s="194"/>
      <c r="M111" s="77"/>
      <c r="N111" s="77"/>
      <c r="O111" s="191"/>
    </row>
    <row r="112" s="1" customFormat="1" ht="18" customHeight="1" spans="1:15">
      <c r="A112" s="42"/>
      <c r="B112" s="25">
        <f t="shared" si="7"/>
        <v>0</v>
      </c>
      <c r="C112" s="43"/>
      <c r="D112" s="44"/>
      <c r="E112" s="45"/>
      <c r="F112" s="25">
        <f t="shared" si="8"/>
        <v>0</v>
      </c>
      <c r="G112" s="184"/>
      <c r="H112" s="57" t="s">
        <v>106</v>
      </c>
      <c r="I112" s="235">
        <v>9000</v>
      </c>
      <c r="J112" s="86" t="s">
        <v>77</v>
      </c>
      <c r="K112" s="195" t="s">
        <v>107</v>
      </c>
      <c r="L112" s="194"/>
      <c r="M112" s="77"/>
      <c r="N112" s="77"/>
      <c r="O112" s="191"/>
    </row>
    <row r="113" s="1" customFormat="1" ht="18" customHeight="1" spans="1:15">
      <c r="A113" s="42"/>
      <c r="B113" s="25">
        <f t="shared" si="7"/>
        <v>0</v>
      </c>
      <c r="C113" s="43"/>
      <c r="D113" s="44"/>
      <c r="E113" s="45"/>
      <c r="F113" s="25">
        <f t="shared" si="8"/>
        <v>0</v>
      </c>
      <c r="G113" s="184"/>
      <c r="H113" s="57" t="s">
        <v>106</v>
      </c>
      <c r="I113" s="235">
        <v>-66373</v>
      </c>
      <c r="J113" s="86" t="s">
        <v>90</v>
      </c>
      <c r="K113" s="195" t="s">
        <v>91</v>
      </c>
      <c r="L113" s="194"/>
      <c r="M113" s="77"/>
      <c r="N113" s="77"/>
      <c r="O113" s="191"/>
    </row>
    <row r="114" s="1" customFormat="1" ht="18" customHeight="1" spans="1:15">
      <c r="A114" s="42"/>
      <c r="B114" s="25">
        <f t="shared" si="7"/>
        <v>0</v>
      </c>
      <c r="C114" s="43"/>
      <c r="D114" s="44"/>
      <c r="E114" s="45"/>
      <c r="F114" s="25">
        <f t="shared" si="8"/>
        <v>0</v>
      </c>
      <c r="G114" s="184"/>
      <c r="H114" s="57" t="s">
        <v>106</v>
      </c>
      <c r="I114" s="210">
        <v>-37965</v>
      </c>
      <c r="J114" s="211" t="s">
        <v>90</v>
      </c>
      <c r="K114" s="212" t="s">
        <v>149</v>
      </c>
      <c r="L114" s="33">
        <v>-37965</v>
      </c>
      <c r="M114" s="151" t="s">
        <v>150</v>
      </c>
      <c r="N114" s="77"/>
      <c r="O114" s="191"/>
    </row>
    <row r="115" s="1" customFormat="1" ht="18" customHeight="1" spans="1:15">
      <c r="A115" s="42"/>
      <c r="B115" s="25">
        <f t="shared" si="7"/>
        <v>0</v>
      </c>
      <c r="C115" s="43"/>
      <c r="D115" s="44"/>
      <c r="E115" s="45"/>
      <c r="F115" s="25">
        <f t="shared" si="8"/>
        <v>0</v>
      </c>
      <c r="G115" s="184"/>
      <c r="H115" s="57" t="s">
        <v>109</v>
      </c>
      <c r="I115" s="235">
        <v>8496</v>
      </c>
      <c r="J115" s="86" t="s">
        <v>77</v>
      </c>
      <c r="K115" s="195" t="s">
        <v>110</v>
      </c>
      <c r="L115" s="194"/>
      <c r="M115" s="77"/>
      <c r="N115" s="77"/>
      <c r="O115" s="191"/>
    </row>
    <row r="116" s="1" customFormat="1" ht="18" customHeight="1" spans="1:17">
      <c r="A116" s="42"/>
      <c r="B116" s="25">
        <f t="shared" si="7"/>
        <v>0</v>
      </c>
      <c r="C116" s="43"/>
      <c r="D116" s="44"/>
      <c r="E116" s="45"/>
      <c r="F116" s="25">
        <f t="shared" si="8"/>
        <v>0</v>
      </c>
      <c r="G116" s="184"/>
      <c r="H116" s="57" t="s">
        <v>109</v>
      </c>
      <c r="I116" s="235">
        <v>212400</v>
      </c>
      <c r="J116" s="86" t="s">
        <v>111</v>
      </c>
      <c r="K116" s="195" t="s">
        <v>112</v>
      </c>
      <c r="L116" s="194"/>
      <c r="M116" s="77"/>
      <c r="N116" s="77"/>
      <c r="O116" s="191"/>
      <c r="Q116" s="1">
        <f>I117+I113+I107+I103+I97+I93+I89+I88</f>
        <v>0</v>
      </c>
    </row>
    <row r="117" s="1" customFormat="1" ht="18" customHeight="1" spans="1:15">
      <c r="A117" s="42"/>
      <c r="B117" s="25">
        <f t="shared" si="7"/>
        <v>0</v>
      </c>
      <c r="C117" s="43"/>
      <c r="D117" s="44"/>
      <c r="E117" s="45"/>
      <c r="F117" s="25">
        <f t="shared" si="8"/>
        <v>0</v>
      </c>
      <c r="G117" s="184"/>
      <c r="H117" s="57" t="s">
        <v>109</v>
      </c>
      <c r="I117" s="235">
        <v>69664</v>
      </c>
      <c r="J117" s="86" t="s">
        <v>94</v>
      </c>
      <c r="K117" s="195" t="s">
        <v>95</v>
      </c>
      <c r="L117" s="194"/>
      <c r="M117" s="77"/>
      <c r="N117" s="77"/>
      <c r="O117" s="191"/>
    </row>
    <row r="118" s="1" customFormat="1" ht="18" customHeight="1" spans="1:15">
      <c r="A118" s="42"/>
      <c r="B118" s="25">
        <f t="shared" si="7"/>
        <v>0</v>
      </c>
      <c r="C118" s="43"/>
      <c r="D118" s="44"/>
      <c r="E118" s="45"/>
      <c r="F118" s="25">
        <f t="shared" si="8"/>
        <v>0</v>
      </c>
      <c r="G118" s="184"/>
      <c r="H118" s="57" t="s">
        <v>109</v>
      </c>
      <c r="I118" s="235">
        <v>14679</v>
      </c>
      <c r="J118" s="86" t="s">
        <v>77</v>
      </c>
      <c r="K118" s="195" t="s">
        <v>146</v>
      </c>
      <c r="L118" s="194"/>
      <c r="M118" s="77"/>
      <c r="N118" s="77"/>
      <c r="O118" s="191"/>
    </row>
    <row r="119" s="1" customFormat="1" ht="18" customHeight="1" spans="1:15">
      <c r="A119" s="42"/>
      <c r="B119" s="25">
        <f t="shared" si="7"/>
        <v>0</v>
      </c>
      <c r="C119" s="43"/>
      <c r="D119" s="44"/>
      <c r="E119" s="45"/>
      <c r="F119" s="25">
        <f t="shared" si="8"/>
        <v>0</v>
      </c>
      <c r="G119" s="184"/>
      <c r="H119" s="57" t="s">
        <v>109</v>
      </c>
      <c r="I119" s="235">
        <v>551</v>
      </c>
      <c r="J119" s="86" t="s">
        <v>77</v>
      </c>
      <c r="K119" s="195" t="s">
        <v>140</v>
      </c>
      <c r="L119" s="194"/>
      <c r="M119" s="77"/>
      <c r="N119" s="77"/>
      <c r="O119" s="191"/>
    </row>
    <row r="120" s="1" customFormat="1" ht="18" customHeight="1" spans="1:15">
      <c r="A120" s="42"/>
      <c r="B120" s="25">
        <f t="shared" si="7"/>
        <v>0</v>
      </c>
      <c r="C120" s="43"/>
      <c r="D120" s="44"/>
      <c r="E120" s="45"/>
      <c r="F120" s="25">
        <f t="shared" si="8"/>
        <v>0</v>
      </c>
      <c r="G120" s="184"/>
      <c r="H120" s="57" t="s">
        <v>109</v>
      </c>
      <c r="I120" s="236">
        <v>45972</v>
      </c>
      <c r="J120" s="211" t="s">
        <v>77</v>
      </c>
      <c r="K120" s="212" t="s">
        <v>148</v>
      </c>
      <c r="L120" s="194"/>
      <c r="M120" s="77"/>
      <c r="N120" s="77"/>
      <c r="O120" s="191"/>
    </row>
    <row r="121" s="1" customFormat="1" ht="18" customHeight="1" spans="1:15">
      <c r="A121" s="42"/>
      <c r="B121" s="25">
        <f t="shared" si="7"/>
        <v>5000</v>
      </c>
      <c r="C121" s="43"/>
      <c r="D121" s="44"/>
      <c r="E121" s="45"/>
      <c r="F121" s="25">
        <f t="shared" si="8"/>
        <v>0</v>
      </c>
      <c r="G121" s="184">
        <v>5000</v>
      </c>
      <c r="H121" s="57" t="s">
        <v>109</v>
      </c>
      <c r="I121" s="235">
        <f>G121</f>
        <v>5000</v>
      </c>
      <c r="J121" s="86" t="s">
        <v>77</v>
      </c>
      <c r="K121" s="195" t="s">
        <v>105</v>
      </c>
      <c r="L121" s="194"/>
      <c r="M121" s="77"/>
      <c r="N121" s="77"/>
      <c r="O121" s="191"/>
    </row>
    <row r="122" s="1" customFormat="1" ht="18" customHeight="1" spans="1:15">
      <c r="A122" s="42"/>
      <c r="B122" s="25">
        <f t="shared" si="7"/>
        <v>0</v>
      </c>
      <c r="C122" s="43"/>
      <c r="D122" s="44"/>
      <c r="E122" s="45"/>
      <c r="F122" s="25">
        <f t="shared" si="8"/>
        <v>0</v>
      </c>
      <c r="G122" s="184"/>
      <c r="H122" s="57" t="s">
        <v>116</v>
      </c>
      <c r="I122" s="235">
        <v>500</v>
      </c>
      <c r="J122" s="86" t="s">
        <v>77</v>
      </c>
      <c r="K122" s="195" t="s">
        <v>117</v>
      </c>
      <c r="L122" s="194"/>
      <c r="M122" s="77"/>
      <c r="N122" s="77"/>
      <c r="O122" s="191"/>
    </row>
    <row r="123" s="1" customFormat="1" ht="18" customHeight="1" spans="1:15">
      <c r="A123" s="42"/>
      <c r="B123" s="25">
        <f t="shared" si="7"/>
        <v>5000</v>
      </c>
      <c r="C123" s="43"/>
      <c r="D123" s="44"/>
      <c r="E123" s="45"/>
      <c r="F123" s="25">
        <f t="shared" si="8"/>
        <v>0</v>
      </c>
      <c r="G123" s="184">
        <f>5000</f>
        <v>5000</v>
      </c>
      <c r="H123" s="57" t="s">
        <v>116</v>
      </c>
      <c r="I123" s="235">
        <f>G123</f>
        <v>5000</v>
      </c>
      <c r="J123" s="86" t="s">
        <v>77</v>
      </c>
      <c r="K123" s="195" t="s">
        <v>105</v>
      </c>
      <c r="L123" s="194"/>
      <c r="M123" s="77"/>
      <c r="N123" s="77"/>
      <c r="O123" s="191"/>
    </row>
    <row r="124" s="1" customFormat="1" ht="18" customHeight="1" spans="1:15">
      <c r="A124" s="42"/>
      <c r="B124" s="25">
        <f t="shared" si="7"/>
        <v>0</v>
      </c>
      <c r="C124" s="43"/>
      <c r="D124" s="44"/>
      <c r="E124" s="45"/>
      <c r="F124" s="25">
        <f t="shared" si="8"/>
        <v>0</v>
      </c>
      <c r="G124" s="184"/>
      <c r="H124" s="57" t="s">
        <v>116</v>
      </c>
      <c r="I124" s="235">
        <v>14679</v>
      </c>
      <c r="J124" s="86" t="s">
        <v>77</v>
      </c>
      <c r="K124" s="195" t="s">
        <v>146</v>
      </c>
      <c r="L124" s="194"/>
      <c r="M124" s="77"/>
      <c r="N124" s="77"/>
      <c r="O124" s="191"/>
    </row>
    <row r="125" s="1" customFormat="1" ht="18" customHeight="1" spans="1:15">
      <c r="A125" s="42"/>
      <c r="B125" s="25">
        <f t="shared" si="7"/>
        <v>0</v>
      </c>
      <c r="C125" s="43"/>
      <c r="D125" s="44"/>
      <c r="E125" s="45"/>
      <c r="F125" s="25">
        <f t="shared" si="8"/>
        <v>0</v>
      </c>
      <c r="G125" s="184"/>
      <c r="H125" s="57" t="s">
        <v>116</v>
      </c>
      <c r="I125" s="235">
        <v>551</v>
      </c>
      <c r="J125" s="86" t="s">
        <v>77</v>
      </c>
      <c r="K125" s="195" t="s">
        <v>140</v>
      </c>
      <c r="L125" s="194"/>
      <c r="M125" s="77"/>
      <c r="N125" s="77"/>
      <c r="O125" s="191"/>
    </row>
    <row r="126" s="1" customFormat="1" ht="18" customHeight="1" spans="1:15">
      <c r="A126" s="42"/>
      <c r="B126" s="25">
        <f t="shared" si="7"/>
        <v>0</v>
      </c>
      <c r="C126" s="43"/>
      <c r="D126" s="44"/>
      <c r="E126" s="45"/>
      <c r="F126" s="25">
        <f t="shared" si="8"/>
        <v>0</v>
      </c>
      <c r="G126" s="184"/>
      <c r="H126" s="57"/>
      <c r="I126" s="33"/>
      <c r="J126" s="86"/>
      <c r="K126" s="195"/>
      <c r="L126" s="194"/>
      <c r="M126" s="77"/>
      <c r="N126" s="77"/>
      <c r="O126" s="191"/>
    </row>
    <row r="127" ht="18" customHeight="1" spans="1:15">
      <c r="A127" s="38" t="s">
        <v>23</v>
      </c>
      <c r="B127" s="123">
        <f>SUM(B17:B126)</f>
        <v>8722191.28</v>
      </c>
      <c r="C127" s="38"/>
      <c r="D127" s="124"/>
      <c r="E127" s="124"/>
      <c r="F127" s="179">
        <f>SUM(F17:F126)</f>
        <v>418072.92</v>
      </c>
      <c r="G127" s="220">
        <f>SUM(G17:G126)</f>
        <v>9140264.2</v>
      </c>
      <c r="H127" s="221"/>
      <c r="I127" s="37">
        <f>SUM(I17:I126)</f>
        <v>7589174.23</v>
      </c>
      <c r="J127" s="226"/>
      <c r="K127" s="124"/>
      <c r="L127" s="180"/>
      <c r="M127" s="40"/>
      <c r="N127" s="40"/>
      <c r="O127" s="180"/>
    </row>
    <row r="128" ht="18" customHeight="1" spans="1:14">
      <c r="A128" s="126" t="s">
        <v>120</v>
      </c>
      <c r="B128" s="127">
        <f>B14*0.936</f>
        <v>7127339.44954129</v>
      </c>
      <c r="C128" s="126"/>
      <c r="D128" s="128"/>
      <c r="E128" s="128"/>
      <c r="F128" s="127"/>
      <c r="G128" s="127">
        <f>G14-G127</f>
        <v>-2040264.2</v>
      </c>
      <c r="H128" s="29" t="s">
        <v>121</v>
      </c>
      <c r="I128" s="37">
        <f>I14-I127</f>
        <v>10825.7699999996</v>
      </c>
      <c r="J128" s="14"/>
      <c r="K128" s="227"/>
      <c r="M128" s="13"/>
      <c r="N128" s="13"/>
    </row>
    <row r="129" ht="18" customHeight="1" spans="1:14">
      <c r="A129" s="126" t="s">
        <v>122</v>
      </c>
      <c r="B129" s="127">
        <f>B128-B127</f>
        <v>-1594851.83045871</v>
      </c>
      <c r="C129" s="126"/>
      <c r="D129" s="128"/>
      <c r="E129" s="128"/>
      <c r="F129" s="127"/>
      <c r="G129" s="127"/>
      <c r="H129" s="130"/>
      <c r="I129" s="127"/>
      <c r="J129" s="14"/>
      <c r="K129" s="227"/>
      <c r="M129" s="13"/>
      <c r="N129" s="13"/>
    </row>
    <row r="130" ht="18" customHeight="1" spans="1:13">
      <c r="A130" s="7" t="s">
        <v>124</v>
      </c>
      <c r="C130" s="7"/>
      <c r="M130" s="14">
        <f>K132+L132</f>
        <v>67683.9388073395</v>
      </c>
    </row>
    <row r="131" ht="18" customHeight="1" spans="1:18">
      <c r="A131" s="29" t="s">
        <v>125</v>
      </c>
      <c r="B131" s="28" t="s">
        <v>126</v>
      </c>
      <c r="C131" s="180"/>
      <c r="D131" s="29" t="s">
        <v>125</v>
      </c>
      <c r="E131" s="27" t="s">
        <v>17</v>
      </c>
      <c r="F131" s="28" t="s">
        <v>126</v>
      </c>
      <c r="G131" s="8" t="s">
        <v>127</v>
      </c>
      <c r="H131" s="28" t="s">
        <v>128</v>
      </c>
      <c r="I131" s="28" t="s">
        <v>129</v>
      </c>
      <c r="J131" s="176" t="s">
        <v>130</v>
      </c>
      <c r="K131" s="28" t="s">
        <v>131</v>
      </c>
      <c r="L131" s="28" t="s">
        <v>132</v>
      </c>
      <c r="M131" s="28" t="s">
        <v>133</v>
      </c>
      <c r="O131" s="228" t="s">
        <v>166</v>
      </c>
      <c r="P131" s="229" t="s">
        <v>167</v>
      </c>
      <c r="Q131" s="29" t="s">
        <v>181</v>
      </c>
      <c r="R131" s="29"/>
    </row>
    <row r="132" ht="18" customHeight="1" spans="1:18">
      <c r="A132" s="180" t="s">
        <v>134</v>
      </c>
      <c r="B132" s="25">
        <f>(B128-B127)*0.25</f>
        <v>-398712.957614677</v>
      </c>
      <c r="C132" s="180"/>
      <c r="D132" s="36" t="s">
        <v>135</v>
      </c>
      <c r="E132" s="29" t="s">
        <v>136</v>
      </c>
      <c r="F132" s="179">
        <f>F14-F127</f>
        <v>114954.60293578</v>
      </c>
      <c r="G132" s="8">
        <v>64220.1834862385</v>
      </c>
      <c r="H132" s="179">
        <v>0</v>
      </c>
      <c r="I132" s="179">
        <f>F7+F8-F17-F18</f>
        <v>41792.0369724771</v>
      </c>
      <c r="J132" s="179">
        <f>-F21</f>
        <v>-34513.27</v>
      </c>
      <c r="K132" s="141">
        <f>F9</f>
        <v>109174.311926606</v>
      </c>
      <c r="L132" s="179">
        <f>F10+F12-F23-F26-F28-F32-F33-F35</f>
        <v>-41490.373119266</v>
      </c>
      <c r="M132" s="141">
        <f>-F38-F43</f>
        <v>-80618.16</v>
      </c>
      <c r="O132" s="228">
        <f>F12</f>
        <v>25688.0733944954</v>
      </c>
      <c r="P132" s="229">
        <f>-O132</f>
        <v>-25688.0733944954</v>
      </c>
      <c r="Q132" s="40">
        <f>F132-I132-J132-'12次'!K96-'12次'!L96-'12次'!M96</f>
        <v>17857.7635779814</v>
      </c>
      <c r="R132" s="40"/>
    </row>
    <row r="133" ht="18" customHeight="1" spans="1:18">
      <c r="A133" s="180" t="s">
        <v>137</v>
      </c>
      <c r="B133" s="222" t="s">
        <v>138</v>
      </c>
      <c r="C133" s="180"/>
      <c r="D133" s="223" t="s">
        <v>139</v>
      </c>
      <c r="E133" s="21">
        <v>0.07</v>
      </c>
      <c r="F133" s="31">
        <f>F132*E133</f>
        <v>8046.8222055046</v>
      </c>
      <c r="G133" s="8">
        <v>3211.00917431193</v>
      </c>
      <c r="H133" s="31">
        <v>0</v>
      </c>
      <c r="I133" s="31">
        <f>I132*E133</f>
        <v>2925.44258807339</v>
      </c>
      <c r="J133" s="31">
        <f>J132*E133</f>
        <v>-2415.9289</v>
      </c>
      <c r="K133" s="33">
        <f>K132*E133</f>
        <v>7642.20183486239</v>
      </c>
      <c r="L133" s="31">
        <f>L132*E133</f>
        <v>-2904.32611834862</v>
      </c>
      <c r="M133" s="33">
        <f>M132*E133</f>
        <v>-5643.2712</v>
      </c>
      <c r="O133" s="230"/>
      <c r="P133" s="231"/>
      <c r="Q133" s="40">
        <f>Q132*E133</f>
        <v>1250.0434504587</v>
      </c>
      <c r="R133" s="40"/>
    </row>
    <row r="134" ht="18" customHeight="1" spans="1:18">
      <c r="A134" s="180" t="s">
        <v>140</v>
      </c>
      <c r="B134" s="222"/>
      <c r="C134" s="180"/>
      <c r="D134" s="223" t="s">
        <v>141</v>
      </c>
      <c r="E134" s="21">
        <v>0.03</v>
      </c>
      <c r="F134" s="31">
        <f>F132*E134</f>
        <v>3448.6380880734</v>
      </c>
      <c r="G134" s="8">
        <v>1926.60550458716</v>
      </c>
      <c r="H134" s="31">
        <v>0</v>
      </c>
      <c r="I134" s="31">
        <f>I132*E134</f>
        <v>1253.76110917431</v>
      </c>
      <c r="J134" s="31">
        <f>J132*E134</f>
        <v>-1035.3981</v>
      </c>
      <c r="K134" s="33">
        <f>K132*E134</f>
        <v>3275.22935779817</v>
      </c>
      <c r="L134" s="31">
        <f>L132*E134</f>
        <v>-1244.71119357798</v>
      </c>
      <c r="M134" s="33">
        <f>M132*E134</f>
        <v>-2418.5448</v>
      </c>
      <c r="O134" s="230"/>
      <c r="P134" s="231"/>
      <c r="Q134" s="40">
        <f>Q132*E134</f>
        <v>535.732907339442</v>
      </c>
      <c r="R134" s="40"/>
    </row>
    <row r="135" ht="18" customHeight="1" spans="1:18">
      <c r="A135" s="180"/>
      <c r="B135" s="31"/>
      <c r="C135" s="180"/>
      <c r="D135" s="223" t="s">
        <v>142</v>
      </c>
      <c r="E135" s="21">
        <v>0.02</v>
      </c>
      <c r="F135" s="31">
        <f>F132*E135</f>
        <v>2299.0920587156</v>
      </c>
      <c r="G135" s="8">
        <v>1284.40366972477</v>
      </c>
      <c r="H135" s="31">
        <v>0</v>
      </c>
      <c r="I135" s="31">
        <f>I132*E135</f>
        <v>835.840739449541</v>
      </c>
      <c r="J135" s="31">
        <f>J132*E135</f>
        <v>-690.2654</v>
      </c>
      <c r="K135" s="33">
        <f>K132*E135</f>
        <v>2183.48623853211</v>
      </c>
      <c r="L135" s="31">
        <f>L132*E135</f>
        <v>-829.807462385321</v>
      </c>
      <c r="M135" s="33">
        <f>M132*E135</f>
        <v>-1612.3632</v>
      </c>
      <c r="O135" s="230"/>
      <c r="P135" s="231"/>
      <c r="Q135" s="40">
        <f>Q132*E135</f>
        <v>357.155271559628</v>
      </c>
      <c r="R135" s="40"/>
    </row>
    <row r="136" ht="18" customHeight="1" spans="1:18">
      <c r="A136" s="36" t="s">
        <v>143</v>
      </c>
      <c r="B136" s="123">
        <f>SUM(B132:B135)</f>
        <v>-398712.957614677</v>
      </c>
      <c r="C136" s="180"/>
      <c r="D136" s="41" t="s">
        <v>143</v>
      </c>
      <c r="E136" s="36"/>
      <c r="F136" s="179">
        <f t="shared" ref="F136:M136" si="9">SUM(F132:F135)</f>
        <v>128749.155288074</v>
      </c>
      <c r="G136" s="8">
        <v>70642.2018348624</v>
      </c>
      <c r="H136" s="179">
        <v>0</v>
      </c>
      <c r="I136" s="179">
        <f>SUM(I131:I135)</f>
        <v>46807.0814091743</v>
      </c>
      <c r="J136" s="179">
        <f t="shared" si="9"/>
        <v>-38654.8624</v>
      </c>
      <c r="K136" s="141">
        <f t="shared" si="9"/>
        <v>122275.229357798</v>
      </c>
      <c r="L136" s="179">
        <f t="shared" si="9"/>
        <v>-46469.217893578</v>
      </c>
      <c r="M136" s="141">
        <f t="shared" si="9"/>
        <v>-90292.3392</v>
      </c>
      <c r="O136" s="228">
        <f>O132*1.12</f>
        <v>28770.6422018349</v>
      </c>
      <c r="P136" s="231">
        <f>-O136</f>
        <v>-28770.6422018349</v>
      </c>
      <c r="Q136" s="40"/>
      <c r="R136" s="40"/>
    </row>
    <row r="137" ht="18" customHeight="1" spans="3:18">
      <c r="C137" s="7"/>
      <c r="D137" s="19" t="s">
        <v>140</v>
      </c>
      <c r="E137" s="224">
        <v>0.0006</v>
      </c>
      <c r="F137" s="31">
        <f>B14*E137</f>
        <v>4568.80733944954</v>
      </c>
      <c r="H137" s="31">
        <f>B7*E137</f>
        <v>550.45871559633</v>
      </c>
      <c r="I137" s="31">
        <f>B8*E137</f>
        <v>550.45871559633</v>
      </c>
      <c r="K137" s="31">
        <f>B9*E137</f>
        <v>935.779816513761</v>
      </c>
      <c r="L137" s="31">
        <f>(B10+B12)*E137</f>
        <v>770.642201834862</v>
      </c>
      <c r="O137" s="230">
        <f>B12*E137</f>
        <v>220.183486238532</v>
      </c>
      <c r="Q137" s="40">
        <f>E137*B13</f>
        <v>660.550458715596</v>
      </c>
      <c r="R137" s="40"/>
    </row>
    <row r="138" ht="18" customHeight="1" spans="3:18">
      <c r="C138" s="7"/>
      <c r="D138" s="27" t="s">
        <v>143</v>
      </c>
      <c r="E138" s="124"/>
      <c r="F138" s="37">
        <f t="shared" ref="F138:I138" si="10">F137</f>
        <v>4568.80733944954</v>
      </c>
      <c r="H138" s="37">
        <f t="shared" si="10"/>
        <v>550.45871559633</v>
      </c>
      <c r="I138" s="37">
        <f t="shared" si="10"/>
        <v>550.45871559633</v>
      </c>
      <c r="O138" s="221" t="s">
        <v>168</v>
      </c>
      <c r="P138" s="232" t="s">
        <v>169</v>
      </c>
      <c r="Q138" s="40"/>
      <c r="R138" s="40"/>
    </row>
    <row r="139" ht="18" customHeight="1" spans="3:18">
      <c r="C139" s="7"/>
      <c r="D139" s="27" t="s">
        <v>23</v>
      </c>
      <c r="E139" s="38"/>
      <c r="F139" s="37">
        <f t="shared" ref="F139:I139" si="11">F136+F138</f>
        <v>133317.962627523</v>
      </c>
      <c r="H139" s="37">
        <f t="shared" si="11"/>
        <v>550.45871559633</v>
      </c>
      <c r="I139" s="37">
        <f t="shared" si="11"/>
        <v>47357.5401247706</v>
      </c>
      <c r="O139" s="221"/>
      <c r="Q139" s="40"/>
      <c r="R139" s="40"/>
    </row>
    <row r="140" ht="18" customHeight="1" spans="3:18">
      <c r="C140" s="7"/>
      <c r="D140" s="38" t="s">
        <v>134</v>
      </c>
      <c r="E140" s="124">
        <v>0.016</v>
      </c>
      <c r="F140" s="37">
        <f>B14*E140</f>
        <v>121834.862385321</v>
      </c>
      <c r="G140" s="225" t="s">
        <v>144</v>
      </c>
      <c r="H140" s="37">
        <f>B7*E140</f>
        <v>14678.8990825688</v>
      </c>
      <c r="I140" s="37">
        <f>B8*E140</f>
        <v>14678.8990825688</v>
      </c>
      <c r="K140" s="37">
        <f>B9*E140</f>
        <v>24954.128440367</v>
      </c>
      <c r="L140" s="37">
        <f>SUM(G10:G12)*E140</f>
        <v>54400</v>
      </c>
      <c r="O140" s="221">
        <f>G12*E140</f>
        <v>6400</v>
      </c>
      <c r="Q140" s="40">
        <f>E140*G13</f>
        <v>19200</v>
      </c>
      <c r="R140" s="40"/>
    </row>
    <row r="141" ht="18" customHeight="1" spans="3:18">
      <c r="C141" s="7"/>
      <c r="G141" s="8" t="s">
        <v>145</v>
      </c>
      <c r="I141" s="8">
        <f>B129*0.25</f>
        <v>-398712.957614677</v>
      </c>
      <c r="Q141" s="180" t="s">
        <v>182</v>
      </c>
      <c r="R141" s="233">
        <f>Q132+Q133+Q134+Q135+Q137+Q140</f>
        <v>39861.2456660548</v>
      </c>
    </row>
    <row r="142" ht="18" customHeight="1" spans="3:11">
      <c r="C142" s="7"/>
      <c r="I142" s="8">
        <f>B129*0.25</f>
        <v>-398712.957614677</v>
      </c>
      <c r="K142" s="9">
        <f>'12次'!I96+'12次'!J96+'12次'!K96+'12次'!L96+'12次'!M96</f>
        <v>97096.8393577986</v>
      </c>
    </row>
    <row r="143" ht="18" customHeight="1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</sheetData>
  <autoFilter ref="A16:Q142">
    <extLst/>
  </autoFilter>
  <mergeCells count="18">
    <mergeCell ref="A1:J1"/>
    <mergeCell ref="H2:J2"/>
    <mergeCell ref="C5:D5"/>
    <mergeCell ref="E5:F5"/>
    <mergeCell ref="H5:J5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3"/>
  <sheetViews>
    <sheetView topLeftCell="D121" workbookViewId="0">
      <selection activeCell="A62" sqref="A62:G66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3" customWidth="1"/>
    <col min="13" max="13" width="13.5" style="14" customWidth="1"/>
    <col min="14" max="14" width="5.625" style="14" customWidth="1"/>
    <col min="15" max="15" width="11.125" style="14" customWidth="1"/>
    <col min="16" max="16" width="12" style="14" customWidth="1"/>
    <col min="17" max="17" width="10.375" style="14"/>
    <col min="18" max="18" width="9.625" style="14"/>
    <col min="19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69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69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69"/>
    </row>
    <row r="4" ht="18" customHeight="1" spans="1:12">
      <c r="A4" s="7" t="s">
        <v>9</v>
      </c>
      <c r="H4" s="26"/>
      <c r="I4" s="72"/>
      <c r="J4" s="26"/>
      <c r="K4" s="26" t="s">
        <v>10</v>
      </c>
      <c r="L4" s="69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3" si="0">G7/(1+C7+E7)</f>
        <v>917431.19266055</v>
      </c>
      <c r="C7" s="32">
        <v>0.02</v>
      </c>
      <c r="D7" s="33">
        <f t="shared" ref="D7:D13" si="1">G7/(1+E7+C7)*C7</f>
        <v>18348.623853211</v>
      </c>
      <c r="E7" s="32">
        <v>0.07</v>
      </c>
      <c r="F7" s="31">
        <f t="shared" ref="F7:F13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31">
        <f t="shared" si="2"/>
        <v>25688.0733944954</v>
      </c>
      <c r="G12" s="178">
        <v>400000</v>
      </c>
      <c r="H12" s="30">
        <v>44056</v>
      </c>
      <c r="I12" s="31">
        <v>400000</v>
      </c>
      <c r="J12" s="40" t="s">
        <v>22</v>
      </c>
    </row>
    <row r="13" ht="18" customHeight="1" spans="1:10">
      <c r="A13" s="30">
        <v>44098</v>
      </c>
      <c r="B13" s="31">
        <f t="shared" si="0"/>
        <v>1100917.43119266</v>
      </c>
      <c r="C13" s="35">
        <v>0.02</v>
      </c>
      <c r="D13" s="33">
        <f t="shared" si="1"/>
        <v>22018.3486238532</v>
      </c>
      <c r="E13" s="35">
        <v>0.07</v>
      </c>
      <c r="F13" s="31">
        <f t="shared" si="2"/>
        <v>77064.2201834862</v>
      </c>
      <c r="G13" s="178">
        <v>1200000</v>
      </c>
      <c r="H13" s="30">
        <v>44102</v>
      </c>
      <c r="I13" s="31">
        <v>500000</v>
      </c>
      <c r="J13" s="40" t="s">
        <v>22</v>
      </c>
    </row>
    <row r="14" ht="18" customHeight="1" spans="1:10">
      <c r="A14" s="36" t="s">
        <v>23</v>
      </c>
      <c r="B14" s="37">
        <f>SUM(B7:B13)</f>
        <v>7614678.89908257</v>
      </c>
      <c r="C14" s="38"/>
      <c r="D14" s="37">
        <f>SUM(D7:D12)</f>
        <v>130275.229357798</v>
      </c>
      <c r="E14" s="38"/>
      <c r="F14" s="179">
        <f>SUM(F7:F13)</f>
        <v>533027.52293578</v>
      </c>
      <c r="G14" s="37">
        <f>SUM(G7:G12)</f>
        <v>7100000</v>
      </c>
      <c r="H14" s="180"/>
      <c r="I14" s="37">
        <f>SUM(I7:I13)</f>
        <v>7600000</v>
      </c>
      <c r="J14" s="180"/>
    </row>
    <row r="15" ht="18" customHeight="1" spans="1:15">
      <c r="A15" s="7" t="s">
        <v>24</v>
      </c>
      <c r="J15" s="9"/>
      <c r="K15" s="26" t="s">
        <v>25</v>
      </c>
      <c r="L15" s="12"/>
      <c r="O15" s="189">
        <f>O18+O21+O23+O32+O35</f>
        <v>2519.89</v>
      </c>
    </row>
    <row r="16" ht="18" customHeight="1" spans="1:15">
      <c r="A16" s="41" t="s">
        <v>26</v>
      </c>
      <c r="B16" s="28" t="s">
        <v>27</v>
      </c>
      <c r="C16" s="27" t="s">
        <v>28</v>
      </c>
      <c r="D16" s="27" t="s">
        <v>29</v>
      </c>
      <c r="E16" s="27" t="s">
        <v>17</v>
      </c>
      <c r="F16" s="28" t="s">
        <v>30</v>
      </c>
      <c r="G16" s="28" t="s">
        <v>15</v>
      </c>
      <c r="H16" s="27" t="s">
        <v>31</v>
      </c>
      <c r="I16" s="28" t="s">
        <v>32</v>
      </c>
      <c r="J16" s="27" t="s">
        <v>21</v>
      </c>
      <c r="K16" s="74" t="s">
        <v>33</v>
      </c>
      <c r="L16" s="40" t="s">
        <v>34</v>
      </c>
      <c r="M16" s="29" t="s">
        <v>35</v>
      </c>
      <c r="N16" s="29" t="s">
        <v>36</v>
      </c>
      <c r="O16" s="29" t="s">
        <v>37</v>
      </c>
    </row>
    <row r="17" s="1" customFormat="1" ht="18" customHeight="1" spans="1:15">
      <c r="A17" s="42">
        <v>43617</v>
      </c>
      <c r="B17" s="25">
        <f t="shared" ref="B17:B66" si="3">ROUND(G17/(1+E17),2)</f>
        <v>970873.79</v>
      </c>
      <c r="C17" s="43"/>
      <c r="D17" s="44" t="s">
        <v>38</v>
      </c>
      <c r="E17" s="45">
        <v>0.03</v>
      </c>
      <c r="F17" s="25">
        <f t="shared" ref="F17:F66" si="4">ROUND(G17/(1+E17)*E17,2)</f>
        <v>29126.21</v>
      </c>
      <c r="G17" s="178">
        <v>1000000</v>
      </c>
      <c r="H17" s="30">
        <v>43640</v>
      </c>
      <c r="I17" s="31">
        <v>300000</v>
      </c>
      <c r="J17" s="40" t="s">
        <v>22</v>
      </c>
      <c r="K17" s="190" t="s">
        <v>39</v>
      </c>
      <c r="L17" s="77" t="s">
        <v>40</v>
      </c>
      <c r="M17" s="77" t="s">
        <v>41</v>
      </c>
      <c r="N17" s="77"/>
      <c r="O17" s="191"/>
    </row>
    <row r="18" s="1" customFormat="1" ht="18" customHeight="1" spans="1:15">
      <c r="A18" s="42">
        <v>43617</v>
      </c>
      <c r="B18" s="25">
        <f t="shared" si="3"/>
        <v>442477.88</v>
      </c>
      <c r="C18" s="43"/>
      <c r="D18" s="44" t="s">
        <v>38</v>
      </c>
      <c r="E18" s="45">
        <v>0.13</v>
      </c>
      <c r="F18" s="25">
        <f t="shared" si="4"/>
        <v>57522.12</v>
      </c>
      <c r="G18" s="178">
        <f>100000*5</f>
        <v>500000</v>
      </c>
      <c r="H18" s="30">
        <v>43640</v>
      </c>
      <c r="I18" s="31">
        <v>500000</v>
      </c>
      <c r="J18" s="40" t="s">
        <v>22</v>
      </c>
      <c r="K18" s="190" t="s">
        <v>42</v>
      </c>
      <c r="L18" s="77" t="s">
        <v>160</v>
      </c>
      <c r="M18" s="77" t="s">
        <v>41</v>
      </c>
      <c r="N18" s="77" t="s">
        <v>41</v>
      </c>
      <c r="O18" s="192">
        <v>119.5</v>
      </c>
    </row>
    <row r="19" s="1" customFormat="1" ht="18" customHeight="1" spans="1:15">
      <c r="A19" s="42">
        <v>43678</v>
      </c>
      <c r="B19" s="25">
        <f t="shared" si="3"/>
        <v>99500</v>
      </c>
      <c r="C19" s="43"/>
      <c r="D19" s="44" t="s">
        <v>44</v>
      </c>
      <c r="E19" s="45"/>
      <c r="F19" s="25">
        <f t="shared" si="4"/>
        <v>0</v>
      </c>
      <c r="G19" s="178">
        <v>99500</v>
      </c>
      <c r="H19" s="30">
        <v>43682</v>
      </c>
      <c r="I19" s="31">
        <v>99500</v>
      </c>
      <c r="J19" s="40" t="s">
        <v>45</v>
      </c>
      <c r="K19" s="190" t="s">
        <v>46</v>
      </c>
      <c r="L19" s="77" t="s">
        <v>47</v>
      </c>
      <c r="M19" s="77"/>
      <c r="N19" s="77"/>
      <c r="O19" s="191"/>
    </row>
    <row r="20" s="1" customFormat="1" ht="18" customHeight="1" spans="1:15">
      <c r="A20" s="42">
        <v>43739</v>
      </c>
      <c r="B20" s="25">
        <f t="shared" si="3"/>
        <v>4000</v>
      </c>
      <c r="C20" s="43"/>
      <c r="D20" s="44" t="s">
        <v>44</v>
      </c>
      <c r="E20" s="45"/>
      <c r="F20" s="25">
        <f t="shared" si="4"/>
        <v>0</v>
      </c>
      <c r="G20" s="178">
        <v>4000</v>
      </c>
      <c r="H20" s="30"/>
      <c r="I20" s="31"/>
      <c r="J20" s="40"/>
      <c r="K20" s="190" t="s">
        <v>48</v>
      </c>
      <c r="L20" s="77" t="s">
        <v>49</v>
      </c>
      <c r="M20" s="77"/>
      <c r="N20" s="77"/>
      <c r="O20" s="191"/>
    </row>
    <row r="21" s="1" customFormat="1" ht="18" customHeight="1" spans="1:15">
      <c r="A21" s="42">
        <v>43770</v>
      </c>
      <c r="B21" s="25">
        <f t="shared" si="3"/>
        <v>265486.73</v>
      </c>
      <c r="C21" s="43"/>
      <c r="D21" s="44" t="s">
        <v>38</v>
      </c>
      <c r="E21" s="47">
        <v>0.13</v>
      </c>
      <c r="F21" s="25">
        <f t="shared" si="4"/>
        <v>34513.27</v>
      </c>
      <c r="G21" s="178">
        <f>100000*3</f>
        <v>300000</v>
      </c>
      <c r="H21" s="30">
        <v>43784</v>
      </c>
      <c r="I21" s="31">
        <v>300000</v>
      </c>
      <c r="J21" s="40" t="s">
        <v>22</v>
      </c>
      <c r="K21" s="190" t="s">
        <v>42</v>
      </c>
      <c r="L21" s="77" t="s">
        <v>50</v>
      </c>
      <c r="M21" s="77" t="s">
        <v>41</v>
      </c>
      <c r="N21" s="77" t="s">
        <v>41</v>
      </c>
      <c r="O21" s="192">
        <v>923.01</v>
      </c>
    </row>
    <row r="22" s="1" customFormat="1" ht="18" customHeight="1" spans="1:15">
      <c r="A22" s="42"/>
      <c r="B22" s="25">
        <f t="shared" si="3"/>
        <v>0</v>
      </c>
      <c r="C22" s="43"/>
      <c r="D22" s="44"/>
      <c r="E22" s="45"/>
      <c r="F22" s="25">
        <f t="shared" si="4"/>
        <v>0</v>
      </c>
      <c r="G22" s="178"/>
      <c r="H22" s="30">
        <v>43784</v>
      </c>
      <c r="I22" s="31">
        <v>300000</v>
      </c>
      <c r="J22" s="40" t="s">
        <v>22</v>
      </c>
      <c r="K22" s="190" t="s">
        <v>39</v>
      </c>
      <c r="L22" s="77" t="s">
        <v>51</v>
      </c>
      <c r="M22" s="77"/>
      <c r="N22" s="77"/>
      <c r="O22" s="191"/>
    </row>
    <row r="23" s="1" customFormat="1" ht="18" customHeight="1" spans="1:15">
      <c r="A23" s="42">
        <v>43800</v>
      </c>
      <c r="B23" s="25">
        <f t="shared" si="3"/>
        <v>159292.04</v>
      </c>
      <c r="C23" s="43"/>
      <c r="D23" s="44" t="s">
        <v>38</v>
      </c>
      <c r="E23" s="47">
        <v>0.13</v>
      </c>
      <c r="F23" s="25">
        <f t="shared" si="4"/>
        <v>20707.96</v>
      </c>
      <c r="G23" s="178">
        <v>180000</v>
      </c>
      <c r="H23" s="30">
        <v>43798</v>
      </c>
      <c r="I23" s="31">
        <v>180000</v>
      </c>
      <c r="J23" s="40" t="s">
        <v>22</v>
      </c>
      <c r="K23" s="190" t="s">
        <v>42</v>
      </c>
      <c r="L23" s="77" t="s">
        <v>52</v>
      </c>
      <c r="M23" s="77" t="s">
        <v>41</v>
      </c>
      <c r="N23" s="77"/>
      <c r="O23" s="192">
        <v>321.43</v>
      </c>
    </row>
    <row r="24" s="1" customFormat="1" ht="18" customHeight="1" spans="1:15">
      <c r="A24" s="42">
        <v>43800</v>
      </c>
      <c r="B24" s="25">
        <f t="shared" si="3"/>
        <v>0</v>
      </c>
      <c r="C24" s="43"/>
      <c r="D24" s="44"/>
      <c r="E24" s="45"/>
      <c r="F24" s="25">
        <f t="shared" si="4"/>
        <v>0</v>
      </c>
      <c r="G24" s="178"/>
      <c r="H24" s="30">
        <v>43816</v>
      </c>
      <c r="I24" s="31">
        <v>510000</v>
      </c>
      <c r="J24" s="40" t="s">
        <v>22</v>
      </c>
      <c r="K24" s="190" t="s">
        <v>39</v>
      </c>
      <c r="L24" s="77" t="s">
        <v>51</v>
      </c>
      <c r="M24" s="77"/>
      <c r="N24" s="77"/>
      <c r="O24" s="191"/>
    </row>
    <row r="25" s="1" customFormat="1" ht="18" customHeight="1" spans="1:15">
      <c r="A25" s="42"/>
      <c r="B25" s="25">
        <f t="shared" si="3"/>
        <v>0</v>
      </c>
      <c r="C25" s="43"/>
      <c r="D25" s="44"/>
      <c r="E25" s="45"/>
      <c r="F25" s="25">
        <f t="shared" si="4"/>
        <v>0</v>
      </c>
      <c r="G25" s="178"/>
      <c r="H25" s="30">
        <v>43816</v>
      </c>
      <c r="I25" s="31">
        <v>500000</v>
      </c>
      <c r="J25" s="40" t="s">
        <v>22</v>
      </c>
      <c r="K25" s="190" t="s">
        <v>42</v>
      </c>
      <c r="L25" s="77" t="s">
        <v>53</v>
      </c>
      <c r="M25" s="77"/>
      <c r="N25" s="77"/>
      <c r="O25" s="191"/>
    </row>
    <row r="26" s="1" customFormat="1" ht="18" customHeight="1" spans="1:15">
      <c r="A26" s="42">
        <v>43800</v>
      </c>
      <c r="B26" s="25">
        <f t="shared" si="3"/>
        <v>26161.81</v>
      </c>
      <c r="C26" s="43"/>
      <c r="D26" s="44" t="s">
        <v>38</v>
      </c>
      <c r="E26" s="47">
        <v>0.13</v>
      </c>
      <c r="F26" s="25">
        <f t="shared" si="4"/>
        <v>3401.04</v>
      </c>
      <c r="G26" s="178">
        <f>289+712.88+1692.98+5848.99+20479+540</f>
        <v>29562.85</v>
      </c>
      <c r="H26" s="30"/>
      <c r="I26" s="31"/>
      <c r="J26" s="40"/>
      <c r="K26" s="190" t="s">
        <v>54</v>
      </c>
      <c r="L26" s="77"/>
      <c r="M26" s="77"/>
      <c r="N26" s="77"/>
      <c r="O26" s="191"/>
    </row>
    <row r="27" s="1" customFormat="1" ht="18" customHeight="1" spans="1:15">
      <c r="A27" s="42">
        <v>43800</v>
      </c>
      <c r="B27" s="25">
        <f t="shared" si="3"/>
        <v>3590</v>
      </c>
      <c r="C27" s="43"/>
      <c r="D27" s="44" t="s">
        <v>44</v>
      </c>
      <c r="E27" s="45"/>
      <c r="F27" s="25">
        <f t="shared" si="4"/>
        <v>0</v>
      </c>
      <c r="G27" s="178">
        <v>3590</v>
      </c>
      <c r="H27" s="30"/>
      <c r="I27" s="31"/>
      <c r="J27" s="40"/>
      <c r="K27" s="190" t="s">
        <v>55</v>
      </c>
      <c r="L27" s="77" t="s">
        <v>56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3"/>
        <v>11518.87</v>
      </c>
      <c r="C28" s="43"/>
      <c r="D28" s="44" t="s">
        <v>38</v>
      </c>
      <c r="E28" s="47">
        <v>0.06</v>
      </c>
      <c r="F28" s="25">
        <f t="shared" si="4"/>
        <v>691.13</v>
      </c>
      <c r="G28" s="178">
        <f>1207+1069+372+1480+1468+1278+1095+955+1360+742+1184</f>
        <v>12210</v>
      </c>
      <c r="H28" s="30"/>
      <c r="I28" s="31"/>
      <c r="J28" s="40"/>
      <c r="K28" s="190" t="s">
        <v>57</v>
      </c>
      <c r="L28" s="77" t="s">
        <v>58</v>
      </c>
      <c r="M28" s="77"/>
      <c r="N28" s="77"/>
      <c r="O28" s="191"/>
    </row>
    <row r="29" s="1" customFormat="1" ht="18" customHeight="1" spans="1:15">
      <c r="A29" s="42">
        <v>43800</v>
      </c>
      <c r="B29" s="25">
        <f t="shared" si="3"/>
        <v>1855</v>
      </c>
      <c r="C29" s="43"/>
      <c r="D29" s="44" t="s">
        <v>59</v>
      </c>
      <c r="E29" s="47"/>
      <c r="F29" s="25">
        <f t="shared" si="4"/>
        <v>0</v>
      </c>
      <c r="G29" s="178">
        <v>1855</v>
      </c>
      <c r="H29" s="30"/>
      <c r="I29" s="31"/>
      <c r="J29" s="40"/>
      <c r="K29" s="190" t="s">
        <v>57</v>
      </c>
      <c r="L29" s="77" t="s">
        <v>58</v>
      </c>
      <c r="M29" s="77"/>
      <c r="N29" s="77"/>
      <c r="O29" s="191"/>
    </row>
    <row r="30" s="1" customFormat="1" ht="18" customHeight="1" spans="1:15">
      <c r="A30" s="42"/>
      <c r="B30" s="25">
        <f t="shared" si="3"/>
        <v>0</v>
      </c>
      <c r="C30" s="43"/>
      <c r="D30" s="44"/>
      <c r="E30" s="45"/>
      <c r="F30" s="25">
        <f t="shared" si="4"/>
        <v>0</v>
      </c>
      <c r="G30" s="178"/>
      <c r="H30" s="30">
        <v>43819</v>
      </c>
      <c r="I30" s="31">
        <v>1000000</v>
      </c>
      <c r="J30" s="40" t="s">
        <v>45</v>
      </c>
      <c r="K30" s="190" t="s">
        <v>60</v>
      </c>
      <c r="L30" s="77" t="s">
        <v>61</v>
      </c>
      <c r="M30" s="77"/>
      <c r="N30" s="77"/>
      <c r="O30" s="191"/>
    </row>
    <row r="31" s="2" customFormat="1" ht="18" customHeight="1" spans="1:15">
      <c r="A31" s="50"/>
      <c r="B31" s="51">
        <f t="shared" si="3"/>
        <v>0</v>
      </c>
      <c r="C31" s="52"/>
      <c r="D31" s="53"/>
      <c r="E31" s="181"/>
      <c r="F31" s="51">
        <f t="shared" si="4"/>
        <v>0</v>
      </c>
      <c r="G31" s="51"/>
      <c r="H31" s="182">
        <v>43819</v>
      </c>
      <c r="I31" s="141">
        <v>-1000000</v>
      </c>
      <c r="J31" s="75" t="s">
        <v>45</v>
      </c>
      <c r="K31" s="193" t="s">
        <v>62</v>
      </c>
      <c r="L31" s="78" t="s">
        <v>63</v>
      </c>
      <c r="M31" s="78"/>
      <c r="N31" s="78"/>
      <c r="O31" s="194"/>
    </row>
    <row r="32" s="2" customFormat="1" ht="18" customHeight="1" spans="1:15">
      <c r="A32" s="50">
        <v>43800</v>
      </c>
      <c r="B32" s="51">
        <f t="shared" si="3"/>
        <v>442477.88</v>
      </c>
      <c r="C32" s="52"/>
      <c r="D32" s="53" t="s">
        <v>38</v>
      </c>
      <c r="E32" s="183">
        <v>0.13</v>
      </c>
      <c r="F32" s="51">
        <f t="shared" si="4"/>
        <v>57522.12</v>
      </c>
      <c r="G32" s="51">
        <v>500000</v>
      </c>
      <c r="H32" s="57">
        <v>43830</v>
      </c>
      <c r="I32" s="33">
        <v>300000</v>
      </c>
      <c r="J32" s="86" t="s">
        <v>22</v>
      </c>
      <c r="K32" s="195" t="s">
        <v>42</v>
      </c>
      <c r="L32" s="78" t="s">
        <v>64</v>
      </c>
      <c r="M32" s="78" t="s">
        <v>41</v>
      </c>
      <c r="N32" s="78" t="s">
        <v>65</v>
      </c>
      <c r="O32" s="194">
        <v>729.95</v>
      </c>
    </row>
    <row r="33" s="2" customFormat="1" ht="18" customHeight="1" spans="1:15">
      <c r="A33" s="50">
        <v>43800</v>
      </c>
      <c r="B33" s="51">
        <f t="shared" si="3"/>
        <v>485436.89</v>
      </c>
      <c r="C33" s="52"/>
      <c r="D33" s="53" t="s">
        <v>38</v>
      </c>
      <c r="E33" s="183">
        <v>0.03</v>
      </c>
      <c r="F33" s="51">
        <f t="shared" si="4"/>
        <v>14563.11</v>
      </c>
      <c r="G33" s="51">
        <v>500000</v>
      </c>
      <c r="H33" s="57">
        <v>43846</v>
      </c>
      <c r="I33" s="33">
        <v>390000</v>
      </c>
      <c r="J33" s="86" t="s">
        <v>22</v>
      </c>
      <c r="K33" s="195" t="s">
        <v>39</v>
      </c>
      <c r="L33" s="78" t="s">
        <v>51</v>
      </c>
      <c r="M33" s="78"/>
      <c r="N33" s="78"/>
      <c r="O33" s="194"/>
    </row>
    <row r="34" s="2" customFormat="1" ht="18" customHeight="1" spans="1:15">
      <c r="A34" s="50">
        <v>43800</v>
      </c>
      <c r="B34" s="51">
        <f t="shared" si="3"/>
        <v>1200000</v>
      </c>
      <c r="C34" s="52"/>
      <c r="D34" s="53" t="s">
        <v>66</v>
      </c>
      <c r="E34" s="183"/>
      <c r="F34" s="51">
        <f t="shared" si="4"/>
        <v>0</v>
      </c>
      <c r="G34" s="51">
        <v>1200000</v>
      </c>
      <c r="H34" s="57"/>
      <c r="I34" s="33"/>
      <c r="J34" s="86"/>
      <c r="K34" s="195" t="s">
        <v>67</v>
      </c>
      <c r="L34" s="78"/>
      <c r="M34" s="78"/>
      <c r="N34" s="78"/>
      <c r="O34" s="194"/>
    </row>
    <row r="35" s="2" customFormat="1" ht="18" customHeight="1" spans="1:15">
      <c r="A35" s="50">
        <v>43831</v>
      </c>
      <c r="B35" s="51">
        <f t="shared" si="3"/>
        <v>265486.73</v>
      </c>
      <c r="C35" s="52"/>
      <c r="D35" s="53" t="s">
        <v>38</v>
      </c>
      <c r="E35" s="183">
        <v>0.13</v>
      </c>
      <c r="F35" s="51">
        <f t="shared" si="4"/>
        <v>34513.27</v>
      </c>
      <c r="G35" s="51">
        <f>3*100000</f>
        <v>300000</v>
      </c>
      <c r="H35" s="57">
        <v>43846</v>
      </c>
      <c r="I35" s="33">
        <v>300000</v>
      </c>
      <c r="J35" s="86" t="s">
        <v>22</v>
      </c>
      <c r="K35" s="195" t="s">
        <v>42</v>
      </c>
      <c r="L35" s="78" t="s">
        <v>68</v>
      </c>
      <c r="M35" s="78" t="s">
        <v>41</v>
      </c>
      <c r="N35" s="78" t="s">
        <v>69</v>
      </c>
      <c r="O35" s="194">
        <v>426</v>
      </c>
    </row>
    <row r="36" s="2" customFormat="1" ht="18" customHeight="1" spans="1:15">
      <c r="A36" s="50">
        <v>43831</v>
      </c>
      <c r="B36" s="51">
        <f t="shared" si="3"/>
        <v>600000</v>
      </c>
      <c r="C36" s="52"/>
      <c r="D36" s="53" t="s">
        <v>66</v>
      </c>
      <c r="E36" s="183"/>
      <c r="F36" s="51">
        <f t="shared" si="4"/>
        <v>0</v>
      </c>
      <c r="G36" s="33">
        <v>600000</v>
      </c>
      <c r="H36" s="57"/>
      <c r="I36" s="33"/>
      <c r="J36" s="86"/>
      <c r="K36" s="196" t="s">
        <v>70</v>
      </c>
      <c r="L36" s="78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3"/>
        <v>600000</v>
      </c>
      <c r="C37" s="52"/>
      <c r="D37" s="53" t="s">
        <v>66</v>
      </c>
      <c r="E37" s="183"/>
      <c r="F37" s="51">
        <f t="shared" si="4"/>
        <v>0</v>
      </c>
      <c r="G37" s="33">
        <v>600000</v>
      </c>
      <c r="H37" s="57">
        <v>43852</v>
      </c>
      <c r="I37" s="33">
        <v>400000</v>
      </c>
      <c r="J37" s="86" t="s">
        <v>45</v>
      </c>
      <c r="K37" s="196" t="s">
        <v>72</v>
      </c>
      <c r="L37" s="78" t="s">
        <v>71</v>
      </c>
      <c r="M37" s="78"/>
      <c r="N37" s="78"/>
      <c r="O37" s="194"/>
    </row>
    <row r="38" s="2" customFormat="1" ht="18" customHeight="1" spans="1:15">
      <c r="A38" s="50">
        <v>43831</v>
      </c>
      <c r="B38" s="51">
        <f t="shared" si="3"/>
        <v>733944.95</v>
      </c>
      <c r="C38" s="52"/>
      <c r="D38" s="53" t="s">
        <v>38</v>
      </c>
      <c r="E38" s="183">
        <v>0.09</v>
      </c>
      <c r="F38" s="51">
        <f t="shared" si="4"/>
        <v>66055.05</v>
      </c>
      <c r="G38" s="33">
        <v>800000</v>
      </c>
      <c r="H38" s="57"/>
      <c r="I38" s="33"/>
      <c r="J38" s="86"/>
      <c r="K38" s="196" t="s">
        <v>73</v>
      </c>
      <c r="L38" s="78" t="s">
        <v>74</v>
      </c>
      <c r="M38" s="78" t="s">
        <v>41</v>
      </c>
      <c r="N38" s="78" t="s">
        <v>41</v>
      </c>
      <c r="O38" s="194"/>
    </row>
    <row r="39" s="2" customFormat="1" ht="18" customHeight="1" spans="1:15">
      <c r="A39" s="50"/>
      <c r="B39" s="51">
        <f t="shared" si="3"/>
        <v>0</v>
      </c>
      <c r="C39" s="52"/>
      <c r="D39" s="53"/>
      <c r="E39" s="183"/>
      <c r="F39" s="51">
        <f t="shared" si="4"/>
        <v>0</v>
      </c>
      <c r="G39" s="33"/>
      <c r="H39" s="57">
        <v>43850</v>
      </c>
      <c r="I39" s="33">
        <v>200000</v>
      </c>
      <c r="J39" s="86" t="s">
        <v>45</v>
      </c>
      <c r="K39" s="195" t="s">
        <v>60</v>
      </c>
      <c r="L39" s="78"/>
      <c r="M39" s="78"/>
      <c r="N39" s="78"/>
      <c r="O39" s="194"/>
    </row>
    <row r="40" s="2" customFormat="1" ht="18" customHeight="1" spans="1:15">
      <c r="A40" s="50"/>
      <c r="B40" s="51">
        <f t="shared" si="3"/>
        <v>0</v>
      </c>
      <c r="C40" s="52"/>
      <c r="D40" s="53"/>
      <c r="E40" s="183"/>
      <c r="F40" s="51">
        <f t="shared" si="4"/>
        <v>0</v>
      </c>
      <c r="G40" s="33"/>
      <c r="H40" s="57">
        <v>43853</v>
      </c>
      <c r="I40" s="33">
        <v>500000</v>
      </c>
      <c r="J40" s="86" t="s">
        <v>22</v>
      </c>
      <c r="K40" s="195" t="s">
        <v>73</v>
      </c>
      <c r="L40" s="78" t="s">
        <v>75</v>
      </c>
      <c r="M40" s="78"/>
      <c r="N40" s="78"/>
      <c r="O40" s="194"/>
    </row>
    <row r="41" s="2" customFormat="1" ht="18" customHeight="1" spans="1:15">
      <c r="A41" s="50"/>
      <c r="B41" s="51">
        <f t="shared" si="3"/>
        <v>0</v>
      </c>
      <c r="C41" s="52"/>
      <c r="D41" s="53"/>
      <c r="E41" s="183"/>
      <c r="F41" s="51">
        <f t="shared" si="4"/>
        <v>0</v>
      </c>
      <c r="G41" s="33"/>
      <c r="H41" s="57">
        <v>43853</v>
      </c>
      <c r="I41" s="33">
        <v>600000</v>
      </c>
      <c r="J41" s="86" t="s">
        <v>45</v>
      </c>
      <c r="K41" s="195" t="s">
        <v>70</v>
      </c>
      <c r="L41" s="78" t="s">
        <v>71</v>
      </c>
      <c r="M41" s="78"/>
      <c r="N41" s="78"/>
      <c r="O41" s="194"/>
    </row>
    <row r="42" s="2" customFormat="1" ht="18" customHeight="1" spans="1:15">
      <c r="A42" s="50"/>
      <c r="B42" s="51">
        <f t="shared" si="3"/>
        <v>0</v>
      </c>
      <c r="C42" s="52"/>
      <c r="D42" s="53"/>
      <c r="E42" s="183"/>
      <c r="F42" s="51">
        <f t="shared" si="4"/>
        <v>0</v>
      </c>
      <c r="G42" s="33"/>
      <c r="H42" s="57">
        <v>43853</v>
      </c>
      <c r="I42" s="33">
        <v>200000</v>
      </c>
      <c r="J42" s="86" t="s">
        <v>45</v>
      </c>
      <c r="K42" s="195" t="s">
        <v>72</v>
      </c>
      <c r="L42" s="78" t="s">
        <v>71</v>
      </c>
      <c r="M42" s="78"/>
      <c r="N42" s="78"/>
      <c r="O42" s="194"/>
    </row>
    <row r="43" s="2" customFormat="1" ht="18" customHeight="1" spans="1:15">
      <c r="A43" s="50">
        <v>43891</v>
      </c>
      <c r="B43" s="51">
        <f t="shared" si="3"/>
        <v>485436.89</v>
      </c>
      <c r="C43" s="52"/>
      <c r="D43" s="53" t="s">
        <v>38</v>
      </c>
      <c r="E43" s="183">
        <v>0.03</v>
      </c>
      <c r="F43" s="51">
        <f t="shared" si="4"/>
        <v>14563.11</v>
      </c>
      <c r="G43" s="33">
        <v>500000</v>
      </c>
      <c r="H43" s="57">
        <v>43923</v>
      </c>
      <c r="I43" s="33">
        <v>320000</v>
      </c>
      <c r="J43" s="86" t="s">
        <v>22</v>
      </c>
      <c r="K43" s="195" t="s">
        <v>39</v>
      </c>
      <c r="L43" s="78" t="s">
        <v>40</v>
      </c>
      <c r="M43" s="78"/>
      <c r="N43" s="78"/>
      <c r="O43" s="194"/>
    </row>
    <row r="44" s="2" customFormat="1" ht="18" customHeight="1" spans="1:15">
      <c r="A44" s="50">
        <v>43922</v>
      </c>
      <c r="B44" s="51">
        <f t="shared" si="3"/>
        <v>265486.73</v>
      </c>
      <c r="C44" s="52"/>
      <c r="D44" s="53" t="s">
        <v>38</v>
      </c>
      <c r="E44" s="183">
        <v>0.13</v>
      </c>
      <c r="F44" s="51">
        <f t="shared" si="4"/>
        <v>34513.27</v>
      </c>
      <c r="G44" s="33">
        <v>300000</v>
      </c>
      <c r="H44" s="58"/>
      <c r="I44" s="197"/>
      <c r="J44" s="89"/>
      <c r="K44" s="198" t="s">
        <v>42</v>
      </c>
      <c r="L44" s="91" t="s">
        <v>68</v>
      </c>
      <c r="M44" s="78"/>
      <c r="N44" s="78"/>
      <c r="O44" s="194"/>
    </row>
    <row r="45" s="1" customFormat="1" ht="18" customHeight="1" spans="1:15">
      <c r="A45" s="42">
        <v>43983</v>
      </c>
      <c r="B45" s="51">
        <f t="shared" si="3"/>
        <v>150500</v>
      </c>
      <c r="C45" s="43"/>
      <c r="D45" s="44" t="s">
        <v>66</v>
      </c>
      <c r="E45" s="47"/>
      <c r="F45" s="51">
        <f t="shared" si="4"/>
        <v>0</v>
      </c>
      <c r="G45" s="184">
        <v>150500</v>
      </c>
      <c r="H45" s="58">
        <v>43986</v>
      </c>
      <c r="I45" s="197">
        <v>150500</v>
      </c>
      <c r="J45" s="89" t="s">
        <v>152</v>
      </c>
      <c r="K45" s="198" t="s">
        <v>153</v>
      </c>
      <c r="L45" s="91" t="s">
        <v>154</v>
      </c>
      <c r="M45" s="77" t="s">
        <v>41</v>
      </c>
      <c r="N45" s="77" t="s">
        <v>41</v>
      </c>
      <c r="O45" s="191"/>
    </row>
    <row r="46" s="1" customFormat="1" ht="18" customHeight="1" spans="1:15">
      <c r="A46" s="42">
        <v>43983</v>
      </c>
      <c r="B46" s="51">
        <f t="shared" si="3"/>
        <v>154000</v>
      </c>
      <c r="C46" s="43"/>
      <c r="D46" s="44" t="s">
        <v>66</v>
      </c>
      <c r="E46" s="47"/>
      <c r="F46" s="51">
        <f t="shared" si="4"/>
        <v>0</v>
      </c>
      <c r="G46" s="184">
        <v>154000</v>
      </c>
      <c r="H46" s="58">
        <v>43986</v>
      </c>
      <c r="I46" s="197">
        <v>150000</v>
      </c>
      <c r="J46" s="89" t="s">
        <v>22</v>
      </c>
      <c r="K46" s="198" t="s">
        <v>156</v>
      </c>
      <c r="L46" s="91" t="s">
        <v>157</v>
      </c>
      <c r="M46" s="77" t="s">
        <v>41</v>
      </c>
      <c r="N46" s="77" t="s">
        <v>41</v>
      </c>
      <c r="O46" s="191"/>
    </row>
    <row r="47" s="1" customFormat="1" ht="18" customHeight="1" spans="1:15">
      <c r="A47" s="42"/>
      <c r="B47" s="51">
        <f t="shared" si="3"/>
        <v>0</v>
      </c>
      <c r="C47" s="43"/>
      <c r="D47" s="44"/>
      <c r="E47" s="47"/>
      <c r="F47" s="51">
        <f t="shared" si="4"/>
        <v>0</v>
      </c>
      <c r="G47" s="184"/>
      <c r="H47" s="58">
        <v>44067</v>
      </c>
      <c r="I47" s="197">
        <v>150000</v>
      </c>
      <c r="J47" s="89" t="s">
        <v>22</v>
      </c>
      <c r="K47" s="198" t="s">
        <v>39</v>
      </c>
      <c r="L47" s="91" t="s">
        <v>40</v>
      </c>
      <c r="M47" s="77"/>
      <c r="N47" s="77"/>
      <c r="O47" s="191"/>
    </row>
    <row r="48" s="1" customFormat="1" ht="18" customHeight="1" spans="1:15">
      <c r="A48" s="42">
        <v>44075</v>
      </c>
      <c r="B48" s="51">
        <f t="shared" si="3"/>
        <v>240000</v>
      </c>
      <c r="C48" s="43"/>
      <c r="D48" s="44" t="s">
        <v>66</v>
      </c>
      <c r="E48" s="47"/>
      <c r="F48" s="51">
        <f t="shared" si="4"/>
        <v>0</v>
      </c>
      <c r="G48" s="184">
        <f>90000+90000+60000</f>
        <v>240000</v>
      </c>
      <c r="H48" s="58">
        <v>44067</v>
      </c>
      <c r="I48" s="197">
        <v>240000</v>
      </c>
      <c r="J48" s="89" t="s">
        <v>22</v>
      </c>
      <c r="K48" s="198" t="s">
        <v>161</v>
      </c>
      <c r="L48" s="91" t="s">
        <v>162</v>
      </c>
      <c r="M48" s="77" t="s">
        <v>41</v>
      </c>
      <c r="N48" s="77" t="s">
        <v>41</v>
      </c>
      <c r="O48" s="191"/>
    </row>
    <row r="49" s="1" customFormat="1" ht="18" customHeight="1" spans="1:15">
      <c r="A49" s="42"/>
      <c r="B49" s="51">
        <f t="shared" si="3"/>
        <v>0</v>
      </c>
      <c r="C49" s="43"/>
      <c r="D49" s="44"/>
      <c r="E49" s="47"/>
      <c r="F49" s="51">
        <f t="shared" si="4"/>
        <v>0</v>
      </c>
      <c r="G49" s="184"/>
      <c r="H49" s="58"/>
      <c r="I49" s="199">
        <v>-1000000</v>
      </c>
      <c r="J49" s="200" t="s">
        <v>170</v>
      </c>
      <c r="K49" s="201" t="s">
        <v>63</v>
      </c>
      <c r="L49" s="90" t="s">
        <v>63</v>
      </c>
      <c r="M49" s="77"/>
      <c r="N49" s="77"/>
      <c r="O49" s="191"/>
    </row>
    <row r="50" s="1" customFormat="1" ht="18" customHeight="1" spans="1:15">
      <c r="A50" s="42"/>
      <c r="B50" s="51">
        <f t="shared" si="3"/>
        <v>0</v>
      </c>
      <c r="C50" s="43"/>
      <c r="D50" s="44"/>
      <c r="E50" s="47"/>
      <c r="F50" s="51">
        <f t="shared" si="4"/>
        <v>0</v>
      </c>
      <c r="G50" s="184"/>
      <c r="H50" s="58">
        <v>44081</v>
      </c>
      <c r="I50" s="197">
        <v>100000</v>
      </c>
      <c r="J50" s="89" t="s">
        <v>22</v>
      </c>
      <c r="K50" s="198" t="s">
        <v>171</v>
      </c>
      <c r="L50" s="90" t="s">
        <v>63</v>
      </c>
      <c r="M50" s="77">
        <v>100000</v>
      </c>
      <c r="N50" s="77"/>
      <c r="O50" s="191"/>
    </row>
    <row r="51" s="1" customFormat="1" ht="18" customHeight="1" spans="1:15">
      <c r="A51" s="42"/>
      <c r="B51" s="51">
        <f t="shared" si="3"/>
        <v>0</v>
      </c>
      <c r="C51" s="43"/>
      <c r="D51" s="44"/>
      <c r="E51" s="47"/>
      <c r="F51" s="51">
        <f t="shared" si="4"/>
        <v>0</v>
      </c>
      <c r="G51" s="184"/>
      <c r="H51" s="57">
        <v>44084</v>
      </c>
      <c r="I51" s="33">
        <v>200000</v>
      </c>
      <c r="J51" s="86" t="s">
        <v>22</v>
      </c>
      <c r="K51" s="195" t="s">
        <v>161</v>
      </c>
      <c r="L51" s="90" t="s">
        <v>63</v>
      </c>
      <c r="M51" s="77">
        <v>200000</v>
      </c>
      <c r="N51" s="77"/>
      <c r="O51" s="191"/>
    </row>
    <row r="52" s="1" customFormat="1" ht="18" customHeight="1" spans="1:15">
      <c r="A52" s="42">
        <v>44075</v>
      </c>
      <c r="B52" s="51">
        <f t="shared" si="3"/>
        <v>283.02</v>
      </c>
      <c r="C52" s="43"/>
      <c r="D52" s="44" t="s">
        <v>38</v>
      </c>
      <c r="E52" s="47">
        <v>0.06</v>
      </c>
      <c r="F52" s="51">
        <f t="shared" si="4"/>
        <v>16.98</v>
      </c>
      <c r="G52" s="184">
        <v>300</v>
      </c>
      <c r="H52" s="58"/>
      <c r="I52" s="197"/>
      <c r="J52" s="89"/>
      <c r="K52" s="198" t="s">
        <v>172</v>
      </c>
      <c r="L52" s="90" t="s">
        <v>173</v>
      </c>
      <c r="N52" s="77"/>
      <c r="O52" s="191"/>
    </row>
    <row r="53" s="1" customFormat="1" ht="18" customHeight="1" spans="1:15">
      <c r="A53" s="42"/>
      <c r="B53" s="51">
        <f t="shared" si="3"/>
        <v>0</v>
      </c>
      <c r="C53" s="43"/>
      <c r="D53" s="44"/>
      <c r="E53" s="47"/>
      <c r="F53" s="51">
        <f t="shared" si="4"/>
        <v>0</v>
      </c>
      <c r="G53" s="184"/>
      <c r="H53" s="57">
        <v>44091</v>
      </c>
      <c r="I53" s="33">
        <v>80000</v>
      </c>
      <c r="J53" s="86" t="s">
        <v>22</v>
      </c>
      <c r="K53" s="195" t="s">
        <v>176</v>
      </c>
      <c r="L53" s="90" t="s">
        <v>63</v>
      </c>
      <c r="M53" s="77">
        <v>80000</v>
      </c>
      <c r="N53" s="77"/>
      <c r="O53" s="191"/>
    </row>
    <row r="54" s="1" customFormat="1" ht="18" customHeight="1" spans="1:15">
      <c r="A54" s="42"/>
      <c r="B54" s="51">
        <f t="shared" si="3"/>
        <v>0</v>
      </c>
      <c r="C54" s="43"/>
      <c r="D54" s="44"/>
      <c r="E54" s="47"/>
      <c r="F54" s="51">
        <f t="shared" si="4"/>
        <v>0</v>
      </c>
      <c r="G54" s="184"/>
      <c r="H54" s="57">
        <v>44095</v>
      </c>
      <c r="I54" s="33">
        <v>100000</v>
      </c>
      <c r="J54" s="86" t="s">
        <v>22</v>
      </c>
      <c r="K54" s="195" t="s">
        <v>171</v>
      </c>
      <c r="L54" s="53" t="s">
        <v>63</v>
      </c>
      <c r="M54" s="77">
        <v>100000</v>
      </c>
      <c r="N54" s="77"/>
      <c r="O54" s="191"/>
    </row>
    <row r="55" s="1" customFormat="1" ht="18" customHeight="1" spans="1:15">
      <c r="A55" s="42"/>
      <c r="B55" s="51">
        <f t="shared" si="3"/>
        <v>0</v>
      </c>
      <c r="C55" s="43"/>
      <c r="D55" s="44"/>
      <c r="E55" s="47"/>
      <c r="F55" s="51">
        <f t="shared" si="4"/>
        <v>0</v>
      </c>
      <c r="G55" s="184"/>
      <c r="H55" s="57">
        <v>44096</v>
      </c>
      <c r="I55" s="33">
        <v>200000</v>
      </c>
      <c r="J55" s="86" t="s">
        <v>22</v>
      </c>
      <c r="K55" s="195" t="s">
        <v>161</v>
      </c>
      <c r="L55" s="53" t="s">
        <v>63</v>
      </c>
      <c r="M55" s="77">
        <v>200000</v>
      </c>
      <c r="N55" s="77"/>
      <c r="O55" s="191"/>
    </row>
    <row r="56" s="1" customFormat="1" ht="18" customHeight="1" spans="1:15">
      <c r="A56" s="42"/>
      <c r="B56" s="51">
        <f t="shared" si="3"/>
        <v>0</v>
      </c>
      <c r="C56" s="43"/>
      <c r="D56" s="44"/>
      <c r="E56" s="47"/>
      <c r="F56" s="51">
        <f t="shared" si="4"/>
        <v>0</v>
      </c>
      <c r="G56" s="184"/>
      <c r="H56" s="57">
        <v>44098</v>
      </c>
      <c r="I56" s="33">
        <v>100000</v>
      </c>
      <c r="J56" s="86" t="s">
        <v>22</v>
      </c>
      <c r="K56" s="195" t="s">
        <v>171</v>
      </c>
      <c r="L56" s="53" t="s">
        <v>63</v>
      </c>
      <c r="M56" s="77">
        <v>100000</v>
      </c>
      <c r="N56" s="77"/>
      <c r="O56" s="191"/>
    </row>
    <row r="57" s="1" customFormat="1" ht="18" customHeight="1" spans="1:15">
      <c r="A57" s="42">
        <v>44101</v>
      </c>
      <c r="B57" s="51">
        <f t="shared" si="3"/>
        <v>269289.82</v>
      </c>
      <c r="C57" s="43">
        <v>3</v>
      </c>
      <c r="D57" s="44" t="s">
        <v>38</v>
      </c>
      <c r="E57" s="47">
        <v>0.13</v>
      </c>
      <c r="F57" s="51">
        <f t="shared" si="4"/>
        <v>35007.68</v>
      </c>
      <c r="G57" s="184">
        <v>304297.5</v>
      </c>
      <c r="H57" s="57">
        <v>44101</v>
      </c>
      <c r="I57" s="33">
        <v>120000</v>
      </c>
      <c r="J57" s="86" t="s">
        <v>22</v>
      </c>
      <c r="K57" s="195" t="s">
        <v>171</v>
      </c>
      <c r="L57" s="53" t="s">
        <v>63</v>
      </c>
      <c r="M57" s="77">
        <v>120000</v>
      </c>
      <c r="N57" s="77"/>
      <c r="O57" s="191"/>
    </row>
    <row r="58" s="1" customFormat="1" ht="18" customHeight="1" spans="1:15">
      <c r="A58" s="42">
        <v>44101</v>
      </c>
      <c r="B58" s="51">
        <f t="shared" si="3"/>
        <v>310050</v>
      </c>
      <c r="C58" s="43">
        <v>4</v>
      </c>
      <c r="D58" s="44"/>
      <c r="E58" s="47"/>
      <c r="F58" s="51">
        <f t="shared" si="4"/>
        <v>0</v>
      </c>
      <c r="G58" s="184">
        <v>310050</v>
      </c>
      <c r="H58" s="57">
        <v>44103</v>
      </c>
      <c r="I58" s="33">
        <v>100000</v>
      </c>
      <c r="J58" s="86" t="s">
        <v>22</v>
      </c>
      <c r="K58" s="195" t="s">
        <v>161</v>
      </c>
      <c r="L58" s="53" t="s">
        <v>179</v>
      </c>
      <c r="M58" s="77">
        <v>100000</v>
      </c>
      <c r="N58" s="77"/>
      <c r="O58" s="191"/>
    </row>
    <row r="59" s="1" customFormat="1" ht="18" customHeight="1" spans="1:15">
      <c r="A59" s="42">
        <v>44101</v>
      </c>
      <c r="B59" s="51">
        <f t="shared" si="3"/>
        <v>290020.85</v>
      </c>
      <c r="C59" s="43">
        <v>4</v>
      </c>
      <c r="D59" s="44"/>
      <c r="E59" s="47"/>
      <c r="F59" s="51">
        <f t="shared" si="4"/>
        <v>0</v>
      </c>
      <c r="G59" s="184">
        <v>290020.85</v>
      </c>
      <c r="H59" s="57"/>
      <c r="I59" s="33"/>
      <c r="J59" s="86"/>
      <c r="K59" s="195" t="s">
        <v>161</v>
      </c>
      <c r="L59" s="53" t="s">
        <v>180</v>
      </c>
      <c r="M59" s="77"/>
      <c r="N59" s="77"/>
      <c r="O59" s="191"/>
    </row>
    <row r="60" s="1" customFormat="1" ht="18" customHeight="1" spans="1:15">
      <c r="A60" s="42">
        <v>44075</v>
      </c>
      <c r="B60" s="51">
        <f t="shared" si="3"/>
        <v>110511.5</v>
      </c>
      <c r="C60" s="43">
        <v>2</v>
      </c>
      <c r="D60" s="44" t="s">
        <v>38</v>
      </c>
      <c r="E60" s="47">
        <v>0.13</v>
      </c>
      <c r="F60" s="51">
        <f t="shared" si="4"/>
        <v>14366.5</v>
      </c>
      <c r="G60" s="184">
        <f>46878+78000</f>
        <v>124878</v>
      </c>
      <c r="H60" s="57"/>
      <c r="I60" s="33"/>
      <c r="J60" s="86"/>
      <c r="K60" s="195" t="s">
        <v>171</v>
      </c>
      <c r="L60" s="53" t="s">
        <v>53</v>
      </c>
      <c r="M60" s="77"/>
      <c r="N60" s="77" t="s">
        <v>41</v>
      </c>
      <c r="O60" s="191"/>
    </row>
    <row r="61" s="1" customFormat="1" ht="18" customHeight="1" spans="1:15">
      <c r="A61" s="42"/>
      <c r="B61" s="51">
        <f t="shared" si="3"/>
        <v>0</v>
      </c>
      <c r="C61" s="43"/>
      <c r="D61" s="44"/>
      <c r="E61" s="47"/>
      <c r="F61" s="51">
        <f t="shared" si="4"/>
        <v>0</v>
      </c>
      <c r="G61" s="184"/>
      <c r="H61" s="57">
        <v>44104</v>
      </c>
      <c r="I61" s="33">
        <v>200000</v>
      </c>
      <c r="J61" s="86" t="s">
        <v>22</v>
      </c>
      <c r="K61" s="195" t="s">
        <v>176</v>
      </c>
      <c r="L61" s="53" t="s">
        <v>53</v>
      </c>
      <c r="M61" s="77"/>
      <c r="N61" s="77"/>
      <c r="O61" s="191"/>
    </row>
    <row r="62" s="2" customFormat="1" ht="18" customHeight="1" spans="1:15">
      <c r="A62" s="50"/>
      <c r="B62" s="51"/>
      <c r="C62" s="52"/>
      <c r="D62" s="44"/>
      <c r="E62" s="47"/>
      <c r="F62" s="51"/>
      <c r="G62" s="185"/>
      <c r="H62" s="68">
        <v>44116</v>
      </c>
      <c r="I62" s="99">
        <v>100000</v>
      </c>
      <c r="J62" s="78" t="s">
        <v>22</v>
      </c>
      <c r="K62" s="202" t="s">
        <v>171</v>
      </c>
      <c r="L62" s="53" t="s">
        <v>53</v>
      </c>
      <c r="M62" s="194"/>
      <c r="N62" s="194"/>
      <c r="O62" s="194"/>
    </row>
    <row r="63" s="2" customFormat="1" ht="18" customHeight="1" spans="1:15">
      <c r="A63" s="50"/>
      <c r="B63" s="51"/>
      <c r="C63" s="52"/>
      <c r="D63" s="44"/>
      <c r="E63" s="56"/>
      <c r="F63" s="51"/>
      <c r="G63" s="185"/>
      <c r="H63" s="68">
        <v>44116</v>
      </c>
      <c r="I63" s="99">
        <v>145000</v>
      </c>
      <c r="J63" s="78" t="s">
        <v>22</v>
      </c>
      <c r="K63" s="202" t="s">
        <v>161</v>
      </c>
      <c r="L63" s="53" t="s">
        <v>180</v>
      </c>
      <c r="M63" s="194"/>
      <c r="N63" s="194"/>
      <c r="O63" s="194"/>
    </row>
    <row r="64" s="2" customFormat="1" ht="18" customHeight="1" spans="1:15">
      <c r="A64" s="50"/>
      <c r="B64" s="51"/>
      <c r="C64" s="52"/>
      <c r="D64" s="44"/>
      <c r="E64" s="56"/>
      <c r="F64" s="51"/>
      <c r="G64" s="185"/>
      <c r="H64" s="186">
        <v>44116</v>
      </c>
      <c r="I64" s="203">
        <v>-200000</v>
      </c>
      <c r="J64" s="96" t="s">
        <v>22</v>
      </c>
      <c r="K64" s="204" t="s">
        <v>184</v>
      </c>
      <c r="L64" s="205"/>
      <c r="M64" s="194"/>
      <c r="N64" s="194"/>
      <c r="O64" s="194"/>
    </row>
    <row r="65" s="2" customFormat="1" ht="18" customHeight="1" spans="1:15">
      <c r="A65" s="50"/>
      <c r="B65" s="51"/>
      <c r="C65" s="52"/>
      <c r="D65" s="44"/>
      <c r="E65" s="56"/>
      <c r="F65" s="51"/>
      <c r="G65" s="185"/>
      <c r="H65" s="186">
        <v>44117</v>
      </c>
      <c r="I65" s="203">
        <v>200000</v>
      </c>
      <c r="J65" s="96" t="s">
        <v>22</v>
      </c>
      <c r="K65" s="204" t="s">
        <v>185</v>
      </c>
      <c r="L65" s="207" t="s">
        <v>51</v>
      </c>
      <c r="M65" s="194"/>
      <c r="N65" s="194"/>
      <c r="O65" s="194"/>
    </row>
    <row r="66" s="2" customFormat="1" ht="18" customHeight="1" spans="1:15">
      <c r="A66" s="50"/>
      <c r="B66" s="51"/>
      <c r="C66" s="52"/>
      <c r="D66" s="44"/>
      <c r="E66" s="56"/>
      <c r="F66" s="51"/>
      <c r="G66" s="185"/>
      <c r="H66" s="68"/>
      <c r="I66" s="99"/>
      <c r="J66" s="78"/>
      <c r="K66" s="202" t="s">
        <v>185</v>
      </c>
      <c r="L66" s="108" t="s">
        <v>51</v>
      </c>
      <c r="M66" s="194"/>
      <c r="N66" s="194"/>
      <c r="O66" s="194"/>
    </row>
    <row r="67" s="2" customFormat="1" ht="18" customHeight="1" spans="1:15">
      <c r="A67" s="50"/>
      <c r="B67" s="51"/>
      <c r="C67" s="52"/>
      <c r="D67" s="44"/>
      <c r="E67" s="56"/>
      <c r="F67" s="51"/>
      <c r="G67" s="185"/>
      <c r="H67" s="68"/>
      <c r="I67" s="99"/>
      <c r="J67" s="78"/>
      <c r="K67" s="202"/>
      <c r="L67" s="108"/>
      <c r="M67" s="194"/>
      <c r="N67" s="194"/>
      <c r="O67" s="194"/>
    </row>
    <row r="68" s="1" customFormat="1" ht="18" customHeight="1" spans="1:15">
      <c r="A68" s="42"/>
      <c r="B68" s="51"/>
      <c r="C68" s="43"/>
      <c r="D68" s="44"/>
      <c r="E68" s="47"/>
      <c r="F68" s="51"/>
      <c r="G68" s="184"/>
      <c r="H68" s="57"/>
      <c r="I68" s="33"/>
      <c r="J68" s="86"/>
      <c r="K68" s="208"/>
      <c r="L68" s="209"/>
      <c r="M68" s="110"/>
      <c r="N68" s="191"/>
      <c r="O68" s="191"/>
    </row>
    <row r="69" s="1" customFormat="1" ht="18" customHeight="1" spans="1:15">
      <c r="A69" s="42"/>
      <c r="B69" s="51"/>
      <c r="C69" s="43"/>
      <c r="D69" s="44"/>
      <c r="E69" s="47"/>
      <c r="F69" s="51"/>
      <c r="G69" s="184"/>
      <c r="H69" s="206">
        <v>44117</v>
      </c>
      <c r="I69" s="210">
        <v>100</v>
      </c>
      <c r="J69" s="211" t="s">
        <v>77</v>
      </c>
      <c r="K69" s="212" t="s">
        <v>78</v>
      </c>
      <c r="L69" s="53"/>
      <c r="M69" s="110"/>
      <c r="N69" s="191"/>
      <c r="O69" s="191"/>
    </row>
    <row r="70" s="1" customFormat="1" ht="18" customHeight="1" spans="1:15">
      <c r="A70" s="42"/>
      <c r="B70" s="51"/>
      <c r="C70" s="43"/>
      <c r="D70" s="44"/>
      <c r="E70" s="47"/>
      <c r="F70" s="51"/>
      <c r="G70" s="184"/>
      <c r="H70" s="57">
        <v>44116</v>
      </c>
      <c r="I70" s="33">
        <v>200</v>
      </c>
      <c r="J70" s="86" t="s">
        <v>77</v>
      </c>
      <c r="K70" s="195" t="s">
        <v>78</v>
      </c>
      <c r="L70" s="213"/>
      <c r="M70" s="110"/>
      <c r="N70" s="191"/>
      <c r="O70" s="191"/>
    </row>
    <row r="71" s="1" customFormat="1" ht="18" customHeight="1" spans="1:15">
      <c r="A71" s="42"/>
      <c r="B71" s="51"/>
      <c r="C71" s="43"/>
      <c r="D71" s="44"/>
      <c r="E71" s="47"/>
      <c r="F71" s="51"/>
      <c r="G71" s="184"/>
      <c r="H71" s="57">
        <v>44104</v>
      </c>
      <c r="I71" s="33">
        <v>40970</v>
      </c>
      <c r="J71" s="86" t="s">
        <v>77</v>
      </c>
      <c r="K71" s="195" t="s">
        <v>183</v>
      </c>
      <c r="L71" s="53"/>
      <c r="M71" s="77"/>
      <c r="N71" s="77"/>
      <c r="O71" s="191"/>
    </row>
    <row r="72" s="1" customFormat="1" ht="18" customHeight="1" spans="1:15">
      <c r="A72" s="42"/>
      <c r="B72" s="51"/>
      <c r="C72" s="43"/>
      <c r="D72" s="44"/>
      <c r="E72" s="47"/>
      <c r="F72" s="51"/>
      <c r="G72" s="184"/>
      <c r="H72" s="57">
        <v>44104</v>
      </c>
      <c r="I72" s="33">
        <v>2500</v>
      </c>
      <c r="J72" s="86" t="s">
        <v>77</v>
      </c>
      <c r="K72" s="195" t="s">
        <v>105</v>
      </c>
      <c r="L72" s="53"/>
      <c r="M72" s="77"/>
      <c r="N72" s="77"/>
      <c r="O72" s="191"/>
    </row>
    <row r="73" s="2" customFormat="1" ht="18" customHeight="1" spans="1:15">
      <c r="A73" s="50"/>
      <c r="B73" s="51"/>
      <c r="C73" s="52"/>
      <c r="D73" s="53"/>
      <c r="E73" s="47"/>
      <c r="F73" s="51"/>
      <c r="G73" s="184"/>
      <c r="H73" s="57">
        <v>44104</v>
      </c>
      <c r="I73" s="214">
        <v>100</v>
      </c>
      <c r="J73" s="86" t="s">
        <v>77</v>
      </c>
      <c r="K73" s="195" t="s">
        <v>78</v>
      </c>
      <c r="L73" s="53"/>
      <c r="M73" s="78"/>
      <c r="N73" s="78"/>
      <c r="O73" s="194"/>
    </row>
    <row r="74" s="2" customFormat="1" ht="18" customHeight="1" spans="1:15">
      <c r="A74" s="50"/>
      <c r="B74" s="51"/>
      <c r="C74" s="52"/>
      <c r="D74" s="53"/>
      <c r="E74" s="47"/>
      <c r="F74" s="51"/>
      <c r="G74" s="184"/>
      <c r="H74" s="57">
        <v>44103</v>
      </c>
      <c r="I74" s="214">
        <v>100</v>
      </c>
      <c r="J74" s="86" t="s">
        <v>77</v>
      </c>
      <c r="K74" s="195" t="s">
        <v>78</v>
      </c>
      <c r="L74" s="53"/>
      <c r="M74" s="78"/>
      <c r="N74" s="78"/>
      <c r="O74" s="194"/>
    </row>
    <row r="75" s="2" customFormat="1" ht="18" customHeight="1" spans="1:15">
      <c r="A75" s="50"/>
      <c r="B75" s="51"/>
      <c r="C75" s="52"/>
      <c r="D75" s="53"/>
      <c r="E75" s="47"/>
      <c r="F75" s="51"/>
      <c r="G75" s="184"/>
      <c r="H75" s="57">
        <v>44101</v>
      </c>
      <c r="I75" s="214">
        <v>100</v>
      </c>
      <c r="J75" s="86" t="s">
        <v>77</v>
      </c>
      <c r="K75" s="195" t="s">
        <v>78</v>
      </c>
      <c r="L75" s="53" t="s">
        <v>63</v>
      </c>
      <c r="M75" s="78"/>
      <c r="N75" s="78"/>
      <c r="O75" s="194"/>
    </row>
    <row r="76" s="1" customFormat="1" ht="18" customHeight="1" spans="1:15">
      <c r="A76" s="42"/>
      <c r="B76" s="51"/>
      <c r="C76" s="43"/>
      <c r="D76" s="44"/>
      <c r="E76" s="47"/>
      <c r="F76" s="51"/>
      <c r="G76" s="184"/>
      <c r="H76" s="57">
        <v>44098</v>
      </c>
      <c r="I76" s="214">
        <v>100</v>
      </c>
      <c r="J76" s="86" t="s">
        <v>77</v>
      </c>
      <c r="K76" s="195" t="s">
        <v>78</v>
      </c>
      <c r="L76" s="53"/>
      <c r="M76" s="77"/>
      <c r="N76" s="77"/>
      <c r="O76" s="191"/>
    </row>
    <row r="77" s="1" customFormat="1" ht="18" customHeight="1" spans="1:15">
      <c r="A77" s="42"/>
      <c r="B77" s="51">
        <f t="shared" ref="B77:B93" si="5">ROUND(G77/(1+E77),2)</f>
        <v>0</v>
      </c>
      <c r="C77" s="43"/>
      <c r="D77" s="44"/>
      <c r="E77" s="47"/>
      <c r="F77" s="51">
        <f t="shared" ref="F77:F93" si="6">ROUND(G77/(1+E77)*E77,2)</f>
        <v>0</v>
      </c>
      <c r="G77" s="184"/>
      <c r="H77" s="57" t="s">
        <v>178</v>
      </c>
      <c r="I77" s="214">
        <v>100</v>
      </c>
      <c r="J77" s="86" t="s">
        <v>77</v>
      </c>
      <c r="K77" s="195" t="s">
        <v>78</v>
      </c>
      <c r="L77" s="53"/>
      <c r="M77" s="77"/>
      <c r="N77" s="77"/>
      <c r="O77" s="191"/>
    </row>
    <row r="78" s="1" customFormat="1" ht="18" customHeight="1" spans="1:15">
      <c r="A78" s="42"/>
      <c r="B78" s="51">
        <f t="shared" si="5"/>
        <v>0</v>
      </c>
      <c r="C78" s="43"/>
      <c r="D78" s="44"/>
      <c r="E78" s="47"/>
      <c r="F78" s="51">
        <f t="shared" si="6"/>
        <v>0</v>
      </c>
      <c r="G78" s="184"/>
      <c r="H78" s="57">
        <v>44095</v>
      </c>
      <c r="I78" s="33">
        <v>100</v>
      </c>
      <c r="J78" s="86" t="s">
        <v>77</v>
      </c>
      <c r="K78" s="195" t="s">
        <v>78</v>
      </c>
      <c r="L78" s="91"/>
      <c r="M78" s="77"/>
      <c r="N78" s="77"/>
      <c r="O78" s="191"/>
    </row>
    <row r="79" s="1" customFormat="1" ht="18" customHeight="1" spans="1:15">
      <c r="A79" s="42"/>
      <c r="B79" s="51">
        <f t="shared" si="5"/>
        <v>0</v>
      </c>
      <c r="C79" s="43"/>
      <c r="D79" s="44"/>
      <c r="E79" s="47"/>
      <c r="F79" s="51">
        <f t="shared" si="6"/>
        <v>0</v>
      </c>
      <c r="G79" s="184"/>
      <c r="H79" s="57" t="s">
        <v>177</v>
      </c>
      <c r="I79" s="33">
        <v>50</v>
      </c>
      <c r="J79" s="86" t="s">
        <v>77</v>
      </c>
      <c r="K79" s="195" t="s">
        <v>78</v>
      </c>
      <c r="L79" s="77"/>
      <c r="M79" s="77" t="s">
        <v>163</v>
      </c>
      <c r="N79" s="77"/>
      <c r="O79" s="191"/>
    </row>
    <row r="80" s="1" customFormat="1" ht="18" customHeight="1" spans="1:15">
      <c r="A80" s="42"/>
      <c r="B80" s="51">
        <f t="shared" si="5"/>
        <v>0</v>
      </c>
      <c r="C80" s="43"/>
      <c r="D80" s="44"/>
      <c r="E80" s="47"/>
      <c r="F80" s="51">
        <f t="shared" si="6"/>
        <v>0</v>
      </c>
      <c r="G80" s="184"/>
      <c r="H80" s="57" t="s">
        <v>174</v>
      </c>
      <c r="I80" s="33">
        <v>100</v>
      </c>
      <c r="J80" s="86" t="s">
        <v>77</v>
      </c>
      <c r="K80" s="195" t="s">
        <v>78</v>
      </c>
      <c r="L80" s="77"/>
      <c r="M80" s="77"/>
      <c r="N80" s="77"/>
      <c r="O80" s="191"/>
    </row>
    <row r="81" s="1" customFormat="1" ht="18" customHeight="1" spans="1:15">
      <c r="A81" s="42"/>
      <c r="B81" s="51">
        <f t="shared" si="5"/>
        <v>0</v>
      </c>
      <c r="C81" s="43"/>
      <c r="D81" s="44"/>
      <c r="E81" s="47"/>
      <c r="F81" s="51">
        <f t="shared" si="6"/>
        <v>0</v>
      </c>
      <c r="G81" s="184"/>
      <c r="H81" s="57" t="s">
        <v>175</v>
      </c>
      <c r="I81" s="33">
        <v>100</v>
      </c>
      <c r="J81" s="86" t="s">
        <v>77</v>
      </c>
      <c r="K81" s="195" t="s">
        <v>78</v>
      </c>
      <c r="L81" s="77"/>
      <c r="M81" s="77"/>
      <c r="N81" s="77"/>
      <c r="O81" s="191"/>
    </row>
    <row r="82" s="1" customFormat="1" ht="18" customHeight="1" spans="1:15">
      <c r="A82" s="42"/>
      <c r="B82" s="51">
        <f t="shared" si="5"/>
        <v>0</v>
      </c>
      <c r="C82" s="43"/>
      <c r="D82" s="44"/>
      <c r="E82" s="47"/>
      <c r="F82" s="51">
        <f t="shared" si="6"/>
        <v>0</v>
      </c>
      <c r="G82" s="184"/>
      <c r="H82" s="58" t="s">
        <v>164</v>
      </c>
      <c r="I82" s="197">
        <v>1192.9</v>
      </c>
      <c r="J82" s="89" t="s">
        <v>77</v>
      </c>
      <c r="K82" s="198" t="s">
        <v>165</v>
      </c>
      <c r="L82" s="77"/>
      <c r="M82" s="77"/>
      <c r="N82" s="77"/>
      <c r="O82" s="191"/>
    </row>
    <row r="83" s="1" customFormat="1" ht="18" customHeight="1" spans="1:15">
      <c r="A83" s="42"/>
      <c r="B83" s="51">
        <f t="shared" si="5"/>
        <v>0</v>
      </c>
      <c r="C83" s="43"/>
      <c r="D83" s="44"/>
      <c r="E83" s="47"/>
      <c r="F83" s="51">
        <f t="shared" si="6"/>
        <v>0</v>
      </c>
      <c r="G83" s="184"/>
      <c r="H83" s="58" t="s">
        <v>164</v>
      </c>
      <c r="I83" s="197">
        <v>200</v>
      </c>
      <c r="J83" s="89" t="s">
        <v>77</v>
      </c>
      <c r="K83" s="198" t="s">
        <v>78</v>
      </c>
      <c r="L83" s="77"/>
      <c r="M83" s="77"/>
      <c r="N83" s="77"/>
      <c r="O83" s="191"/>
    </row>
    <row r="84" s="1" customFormat="1" ht="18" customHeight="1" spans="1:15">
      <c r="A84" s="42"/>
      <c r="B84" s="51">
        <f t="shared" si="5"/>
        <v>2000</v>
      </c>
      <c r="C84" s="43"/>
      <c r="D84" s="44"/>
      <c r="E84" s="47"/>
      <c r="F84" s="51">
        <f t="shared" si="6"/>
        <v>0</v>
      </c>
      <c r="G84" s="184">
        <f>I84</f>
        <v>2000</v>
      </c>
      <c r="H84" s="58" t="s">
        <v>164</v>
      </c>
      <c r="I84" s="197">
        <v>2000</v>
      </c>
      <c r="J84" s="89" t="s">
        <v>77</v>
      </c>
      <c r="K84" s="198" t="s">
        <v>105</v>
      </c>
      <c r="L84" s="77"/>
      <c r="M84" s="77"/>
      <c r="N84" s="77"/>
      <c r="O84" s="191"/>
    </row>
    <row r="85" s="1" customFormat="1" ht="18" customHeight="1" spans="1:15">
      <c r="A85" s="42"/>
      <c r="B85" s="51">
        <f t="shared" si="5"/>
        <v>0</v>
      </c>
      <c r="C85" s="43"/>
      <c r="D85" s="44"/>
      <c r="E85" s="47"/>
      <c r="F85" s="51">
        <f t="shared" si="6"/>
        <v>0</v>
      </c>
      <c r="G85" s="184"/>
      <c r="H85" s="58" t="s">
        <v>164</v>
      </c>
      <c r="I85" s="197">
        <v>6400</v>
      </c>
      <c r="J85" s="89" t="s">
        <v>77</v>
      </c>
      <c r="K85" s="198" t="s">
        <v>146</v>
      </c>
      <c r="L85" s="77"/>
      <c r="M85" s="77"/>
      <c r="N85" s="77"/>
      <c r="O85" s="191"/>
    </row>
    <row r="86" s="1" customFormat="1" ht="18" customHeight="1" spans="1:15">
      <c r="A86" s="42"/>
      <c r="B86" s="51">
        <f t="shared" si="5"/>
        <v>0</v>
      </c>
      <c r="C86" s="43"/>
      <c r="D86" s="44"/>
      <c r="E86" s="47"/>
      <c r="F86" s="51">
        <f t="shared" si="6"/>
        <v>0</v>
      </c>
      <c r="G86" s="184"/>
      <c r="H86" s="58" t="s">
        <v>164</v>
      </c>
      <c r="I86" s="197">
        <v>221</v>
      </c>
      <c r="J86" s="89" t="s">
        <v>77</v>
      </c>
      <c r="K86" s="198" t="s">
        <v>140</v>
      </c>
      <c r="L86" s="77"/>
      <c r="M86" s="77"/>
      <c r="N86" s="77"/>
      <c r="O86" s="191"/>
    </row>
    <row r="87" s="1" customFormat="1" ht="18" customHeight="1" spans="1:15">
      <c r="A87" s="42"/>
      <c r="B87" s="51">
        <f t="shared" si="5"/>
        <v>0</v>
      </c>
      <c r="C87" s="43"/>
      <c r="D87" s="44"/>
      <c r="E87" s="47"/>
      <c r="F87" s="51">
        <f t="shared" si="6"/>
        <v>0</v>
      </c>
      <c r="G87" s="184"/>
      <c r="H87" s="58" t="s">
        <v>158</v>
      </c>
      <c r="I87" s="197">
        <v>100</v>
      </c>
      <c r="J87" s="89" t="s">
        <v>77</v>
      </c>
      <c r="K87" s="198" t="s">
        <v>78</v>
      </c>
      <c r="L87" s="77" t="s">
        <v>159</v>
      </c>
      <c r="M87" s="77"/>
      <c r="N87" s="77"/>
      <c r="O87" s="191"/>
    </row>
    <row r="88" s="1" customFormat="1" ht="18" customHeight="1" spans="1:15">
      <c r="A88" s="42"/>
      <c r="B88" s="51">
        <f t="shared" si="5"/>
        <v>0</v>
      </c>
      <c r="C88" s="43"/>
      <c r="D88" s="44"/>
      <c r="E88" s="47"/>
      <c r="F88" s="51">
        <f t="shared" si="6"/>
        <v>0</v>
      </c>
      <c r="G88" s="184"/>
      <c r="H88" s="58" t="s">
        <v>158</v>
      </c>
      <c r="I88" s="197">
        <v>100</v>
      </c>
      <c r="J88" s="89" t="s">
        <v>77</v>
      </c>
      <c r="K88" s="198" t="s">
        <v>78</v>
      </c>
      <c r="L88" s="77" t="s">
        <v>159</v>
      </c>
      <c r="M88" s="77"/>
      <c r="N88" s="77"/>
      <c r="O88" s="191"/>
    </row>
    <row r="89" s="1" customFormat="1" ht="18" customHeight="1" spans="1:15">
      <c r="A89" s="42"/>
      <c r="B89" s="51">
        <f t="shared" si="5"/>
        <v>0</v>
      </c>
      <c r="C89" s="43"/>
      <c r="D89" s="44"/>
      <c r="E89" s="47"/>
      <c r="F89" s="51">
        <f t="shared" si="6"/>
        <v>0</v>
      </c>
      <c r="G89" s="184"/>
      <c r="H89" s="57">
        <v>43923</v>
      </c>
      <c r="I89" s="33">
        <v>100</v>
      </c>
      <c r="J89" s="86" t="s">
        <v>77</v>
      </c>
      <c r="K89" s="195" t="s">
        <v>78</v>
      </c>
      <c r="L89" s="77"/>
      <c r="M89" s="77"/>
      <c r="N89" s="77"/>
      <c r="O89" s="191"/>
    </row>
    <row r="90" s="1" customFormat="1" ht="18" customHeight="1" spans="1:15">
      <c r="A90" s="42"/>
      <c r="B90" s="51">
        <f t="shared" si="5"/>
        <v>0</v>
      </c>
      <c r="C90" s="43"/>
      <c r="D90" s="44"/>
      <c r="E90" s="47"/>
      <c r="F90" s="51">
        <f t="shared" si="6"/>
        <v>0</v>
      </c>
      <c r="G90" s="184"/>
      <c r="H90" s="30" t="s">
        <v>79</v>
      </c>
      <c r="I90" s="31">
        <v>200</v>
      </c>
      <c r="J90" s="86" t="s">
        <v>77</v>
      </c>
      <c r="K90" s="195" t="s">
        <v>78</v>
      </c>
      <c r="L90" s="77"/>
      <c r="M90" s="77"/>
      <c r="N90" s="77"/>
      <c r="O90" s="191"/>
    </row>
    <row r="91" s="1" customFormat="1" ht="18" customHeight="1" spans="1:15">
      <c r="A91" s="42"/>
      <c r="B91" s="51">
        <f t="shared" si="5"/>
        <v>0</v>
      </c>
      <c r="C91" s="43"/>
      <c r="D91" s="44"/>
      <c r="E91" s="47"/>
      <c r="F91" s="25">
        <f t="shared" si="6"/>
        <v>0</v>
      </c>
      <c r="G91" s="184"/>
      <c r="H91" s="30" t="s">
        <v>79</v>
      </c>
      <c r="I91" s="210">
        <v>-88680</v>
      </c>
      <c r="J91" s="211" t="s">
        <v>80</v>
      </c>
      <c r="K91" s="212" t="s">
        <v>133</v>
      </c>
      <c r="L91" s="77"/>
      <c r="M91" s="77"/>
      <c r="N91" s="77"/>
      <c r="O91" s="191"/>
    </row>
    <row r="92" s="1" customFormat="1" ht="18" customHeight="1" spans="1:15">
      <c r="A92" s="42"/>
      <c r="B92" s="25">
        <f t="shared" si="5"/>
        <v>0</v>
      </c>
      <c r="C92" s="43"/>
      <c r="D92" s="44"/>
      <c r="E92" s="47"/>
      <c r="F92" s="25">
        <f t="shared" si="6"/>
        <v>0</v>
      </c>
      <c r="G92" s="184"/>
      <c r="H92" s="57" t="s">
        <v>82</v>
      </c>
      <c r="I92" s="33">
        <v>188304</v>
      </c>
      <c r="J92" s="86" t="s">
        <v>77</v>
      </c>
      <c r="K92" s="196" t="s">
        <v>83</v>
      </c>
      <c r="L92" s="78"/>
      <c r="M92" s="77"/>
      <c r="N92" s="77"/>
      <c r="O92" s="191"/>
    </row>
    <row r="93" s="1" customFormat="1" ht="18" customHeight="1" spans="1:16">
      <c r="A93" s="42"/>
      <c r="B93" s="25">
        <f t="shared" si="5"/>
        <v>0</v>
      </c>
      <c r="C93" s="43"/>
      <c r="D93" s="44"/>
      <c r="E93" s="47"/>
      <c r="F93" s="25">
        <f t="shared" si="6"/>
        <v>0</v>
      </c>
      <c r="G93" s="184"/>
      <c r="H93" s="104" t="s">
        <v>82</v>
      </c>
      <c r="I93" s="215">
        <v>-300000</v>
      </c>
      <c r="J93" s="114" t="s">
        <v>84</v>
      </c>
      <c r="K93" s="234" t="s">
        <v>85</v>
      </c>
      <c r="L93" s="78"/>
      <c r="M93" s="77"/>
      <c r="N93" s="115"/>
      <c r="O93" s="216" t="s">
        <v>86</v>
      </c>
      <c r="P93" s="120"/>
    </row>
    <row r="94" s="1" customFormat="1" ht="18" customHeight="1" spans="1:16">
      <c r="A94" s="42"/>
      <c r="B94" s="25"/>
      <c r="C94" s="43"/>
      <c r="D94" s="44"/>
      <c r="E94" s="47"/>
      <c r="F94" s="25"/>
      <c r="G94" s="184"/>
      <c r="H94" s="57" t="s">
        <v>82</v>
      </c>
      <c r="I94" s="197">
        <v>21333.33</v>
      </c>
      <c r="J94" s="86" t="s">
        <v>77</v>
      </c>
      <c r="K94" s="217" t="s">
        <v>87</v>
      </c>
      <c r="L94" s="91"/>
      <c r="M94" s="91"/>
      <c r="N94" s="91"/>
      <c r="O94" s="218"/>
      <c r="P94" s="122"/>
    </row>
    <row r="95" s="1" customFormat="1" ht="18" customHeight="1" spans="1:15">
      <c r="A95" s="42"/>
      <c r="B95" s="25">
        <f t="shared" ref="B95:B130" si="7">ROUND(G95/(1+E95),2)</f>
        <v>0</v>
      </c>
      <c r="C95" s="43"/>
      <c r="D95" s="44"/>
      <c r="E95" s="47"/>
      <c r="F95" s="25">
        <f t="shared" ref="F95:F130" si="8">ROUND(G95/(1+E95)*E95,2)</f>
        <v>0</v>
      </c>
      <c r="G95" s="184"/>
      <c r="H95" s="57" t="s">
        <v>82</v>
      </c>
      <c r="I95" s="33">
        <v>300</v>
      </c>
      <c r="J95" s="86" t="s">
        <v>77</v>
      </c>
      <c r="K95" s="195" t="s">
        <v>78</v>
      </c>
      <c r="L95" s="78"/>
      <c r="M95" s="77"/>
      <c r="N95" s="77"/>
      <c r="O95" s="191"/>
    </row>
    <row r="96" s="1" customFormat="1" ht="18" customHeight="1" spans="1:15">
      <c r="A96" s="42"/>
      <c r="B96" s="25">
        <f t="shared" si="7"/>
        <v>10000</v>
      </c>
      <c r="C96" s="43"/>
      <c r="D96" s="44"/>
      <c r="E96" s="47"/>
      <c r="F96" s="25">
        <f t="shared" si="8"/>
        <v>0</v>
      </c>
      <c r="G96" s="184">
        <f>10000</f>
        <v>10000</v>
      </c>
      <c r="H96" s="57" t="s">
        <v>82</v>
      </c>
      <c r="I96" s="33">
        <f>G96</f>
        <v>10000</v>
      </c>
      <c r="J96" s="86" t="s">
        <v>77</v>
      </c>
      <c r="K96" s="195" t="s">
        <v>105</v>
      </c>
      <c r="L96" s="78"/>
      <c r="M96" s="77"/>
      <c r="N96" s="77"/>
      <c r="O96" s="191"/>
    </row>
    <row r="97" s="1" customFormat="1" ht="18" customHeight="1" spans="1:15">
      <c r="A97" s="42"/>
      <c r="B97" s="25">
        <f t="shared" si="7"/>
        <v>0</v>
      </c>
      <c r="C97" s="43"/>
      <c r="D97" s="44"/>
      <c r="E97" s="47"/>
      <c r="F97" s="25">
        <f t="shared" si="8"/>
        <v>0</v>
      </c>
      <c r="G97" s="184"/>
      <c r="H97" s="57" t="s">
        <v>89</v>
      </c>
      <c r="I97" s="33">
        <v>-300000</v>
      </c>
      <c r="J97" s="86" t="s">
        <v>90</v>
      </c>
      <c r="K97" s="195" t="s">
        <v>91</v>
      </c>
      <c r="L97" s="78"/>
      <c r="M97" s="77"/>
      <c r="N97" s="77"/>
      <c r="O97" s="191"/>
    </row>
    <row r="98" s="1" customFormat="1" ht="18" customHeight="1" spans="1:15">
      <c r="A98" s="42"/>
      <c r="B98" s="25">
        <f t="shared" si="7"/>
        <v>0</v>
      </c>
      <c r="C98" s="43"/>
      <c r="D98" s="44"/>
      <c r="E98" s="47"/>
      <c r="F98" s="25">
        <f t="shared" si="8"/>
        <v>0</v>
      </c>
      <c r="G98" s="184"/>
      <c r="H98" s="57" t="s">
        <v>89</v>
      </c>
      <c r="I98" s="51">
        <v>100</v>
      </c>
      <c r="J98" s="86" t="s">
        <v>77</v>
      </c>
      <c r="K98" s="195" t="s">
        <v>78</v>
      </c>
      <c r="L98" s="78"/>
      <c r="M98" s="77"/>
      <c r="N98" s="77"/>
      <c r="O98" s="191"/>
    </row>
    <row r="99" s="1" customFormat="1" ht="18" customHeight="1" spans="1:15">
      <c r="A99" s="42"/>
      <c r="B99" s="25">
        <f t="shared" si="7"/>
        <v>0</v>
      </c>
      <c r="C99" s="43"/>
      <c r="D99" s="44"/>
      <c r="E99" s="47"/>
      <c r="F99" s="25">
        <f t="shared" si="8"/>
        <v>0</v>
      </c>
      <c r="G99" s="184"/>
      <c r="H99" s="57" t="s">
        <v>92</v>
      </c>
      <c r="I99" s="51">
        <v>100</v>
      </c>
      <c r="J99" s="86" t="s">
        <v>77</v>
      </c>
      <c r="K99" s="195" t="s">
        <v>78</v>
      </c>
      <c r="L99" s="78"/>
      <c r="M99" s="77"/>
      <c r="N99" s="77"/>
      <c r="O99" s="191"/>
    </row>
    <row r="100" s="1" customFormat="1" ht="18" customHeight="1" spans="1:15">
      <c r="A100" s="42"/>
      <c r="B100" s="25">
        <f t="shared" si="7"/>
        <v>0</v>
      </c>
      <c r="C100" s="43"/>
      <c r="D100" s="44"/>
      <c r="E100" s="47"/>
      <c r="F100" s="25">
        <f t="shared" si="8"/>
        <v>0</v>
      </c>
      <c r="G100" s="184"/>
      <c r="H100" s="57"/>
      <c r="I100" s="51"/>
      <c r="J100" s="86"/>
      <c r="K100" s="195"/>
      <c r="L100" s="78"/>
      <c r="M100" s="77"/>
      <c r="N100" s="77"/>
      <c r="O100" s="191"/>
    </row>
    <row r="101" s="1" customFormat="1" ht="18" customHeight="1" spans="1:15">
      <c r="A101" s="42"/>
      <c r="B101" s="25">
        <f t="shared" si="7"/>
        <v>0</v>
      </c>
      <c r="C101" s="43"/>
      <c r="D101" s="44"/>
      <c r="E101" s="47"/>
      <c r="F101" s="25">
        <f t="shared" si="8"/>
        <v>0</v>
      </c>
      <c r="G101" s="184"/>
      <c r="H101" s="57" t="s">
        <v>93</v>
      </c>
      <c r="I101" s="235">
        <v>184767</v>
      </c>
      <c r="J101" s="86" t="s">
        <v>94</v>
      </c>
      <c r="K101" s="195" t="s">
        <v>95</v>
      </c>
      <c r="L101" s="78"/>
      <c r="M101" s="77"/>
      <c r="N101" s="77"/>
      <c r="O101" s="191"/>
    </row>
    <row r="102" s="1" customFormat="1" ht="18" customHeight="1" spans="1:15">
      <c r="A102" s="42"/>
      <c r="B102" s="25">
        <f t="shared" si="7"/>
        <v>0</v>
      </c>
      <c r="C102" s="43"/>
      <c r="D102" s="44"/>
      <c r="E102" s="47"/>
      <c r="F102" s="25">
        <f t="shared" si="8"/>
        <v>0</v>
      </c>
      <c r="G102" s="184"/>
      <c r="H102" s="57" t="s">
        <v>93</v>
      </c>
      <c r="I102" s="235">
        <v>48000</v>
      </c>
      <c r="J102" s="86" t="s">
        <v>77</v>
      </c>
      <c r="K102" s="195" t="s">
        <v>146</v>
      </c>
      <c r="L102" s="78"/>
      <c r="M102" s="77"/>
      <c r="N102" s="77"/>
      <c r="O102" s="191"/>
    </row>
    <row r="103" s="1" customFormat="1" ht="18" customHeight="1" spans="1:15">
      <c r="A103" s="42"/>
      <c r="B103" s="25">
        <f t="shared" si="7"/>
        <v>0</v>
      </c>
      <c r="C103" s="43"/>
      <c r="D103" s="44"/>
      <c r="E103" s="47"/>
      <c r="F103" s="25">
        <f t="shared" si="8"/>
        <v>0</v>
      </c>
      <c r="G103" s="184"/>
      <c r="H103" s="57" t="s">
        <v>93</v>
      </c>
      <c r="I103" s="235">
        <v>1652</v>
      </c>
      <c r="J103" s="86" t="s">
        <v>77</v>
      </c>
      <c r="K103" s="195" t="s">
        <v>140</v>
      </c>
      <c r="L103" s="78"/>
      <c r="M103" s="77"/>
      <c r="N103" s="77"/>
      <c r="O103" s="191"/>
    </row>
    <row r="104" s="1" customFormat="1" ht="18" customHeight="1" spans="1:15">
      <c r="A104" s="42"/>
      <c r="B104" s="25">
        <f t="shared" si="7"/>
        <v>0</v>
      </c>
      <c r="C104" s="43"/>
      <c r="D104" s="44"/>
      <c r="E104" s="47"/>
      <c r="F104" s="25">
        <f t="shared" si="8"/>
        <v>0</v>
      </c>
      <c r="G104" s="184"/>
      <c r="H104" s="57" t="s">
        <v>93</v>
      </c>
      <c r="I104" s="236">
        <v>67389</v>
      </c>
      <c r="J104" s="211" t="s">
        <v>77</v>
      </c>
      <c r="K104" s="212" t="s">
        <v>147</v>
      </c>
      <c r="L104" s="78"/>
      <c r="M104" s="77"/>
      <c r="N104" s="77"/>
      <c r="O104" s="191"/>
    </row>
    <row r="105" s="1" customFormat="1" ht="18" customHeight="1" spans="1:15">
      <c r="A105" s="42"/>
      <c r="B105" s="25">
        <f t="shared" si="7"/>
        <v>0</v>
      </c>
      <c r="C105" s="43"/>
      <c r="D105" s="44"/>
      <c r="E105" s="45"/>
      <c r="F105" s="25">
        <f t="shared" si="8"/>
        <v>0</v>
      </c>
      <c r="G105" s="184"/>
      <c r="H105" s="57" t="s">
        <v>93</v>
      </c>
      <c r="I105" s="235">
        <v>100</v>
      </c>
      <c r="J105" s="86" t="s">
        <v>77</v>
      </c>
      <c r="K105" s="195" t="s">
        <v>78</v>
      </c>
      <c r="L105" s="78"/>
      <c r="M105" s="77"/>
      <c r="N105" s="77"/>
      <c r="O105" s="191"/>
    </row>
    <row r="106" s="1" customFormat="1" ht="18" customHeight="1" spans="1:15">
      <c r="A106" s="42"/>
      <c r="B106" s="25">
        <f t="shared" si="7"/>
        <v>5000</v>
      </c>
      <c r="C106" s="43"/>
      <c r="D106" s="44"/>
      <c r="E106" s="45"/>
      <c r="F106" s="25">
        <f t="shared" si="8"/>
        <v>0</v>
      </c>
      <c r="G106" s="184">
        <f>5000</f>
        <v>5000</v>
      </c>
      <c r="H106" s="57" t="s">
        <v>93</v>
      </c>
      <c r="I106" s="235">
        <f>G106</f>
        <v>5000</v>
      </c>
      <c r="J106" s="86" t="s">
        <v>77</v>
      </c>
      <c r="K106" s="195" t="s">
        <v>105</v>
      </c>
      <c r="L106" s="78"/>
      <c r="M106" s="77"/>
      <c r="N106" s="77"/>
      <c r="O106" s="191"/>
    </row>
    <row r="107" s="1" customFormat="1" ht="18" customHeight="1" spans="1:15">
      <c r="A107" s="42"/>
      <c r="B107" s="25">
        <f t="shared" si="7"/>
        <v>0</v>
      </c>
      <c r="C107" s="43"/>
      <c r="D107" s="44"/>
      <c r="E107" s="45"/>
      <c r="F107" s="25">
        <f t="shared" si="8"/>
        <v>0</v>
      </c>
      <c r="G107" s="184"/>
      <c r="H107" s="57" t="s">
        <v>99</v>
      </c>
      <c r="I107" s="235">
        <v>-157908</v>
      </c>
      <c r="J107" s="86" t="s">
        <v>90</v>
      </c>
      <c r="K107" s="195" t="s">
        <v>91</v>
      </c>
      <c r="L107" s="78"/>
      <c r="M107" s="77"/>
      <c r="N107" s="77"/>
      <c r="O107" s="191"/>
    </row>
    <row r="108" s="1" customFormat="1" ht="18" customHeight="1" spans="1:15">
      <c r="A108" s="42"/>
      <c r="B108" s="25">
        <f t="shared" si="7"/>
        <v>0</v>
      </c>
      <c r="C108" s="43"/>
      <c r="D108" s="44"/>
      <c r="E108" s="45"/>
      <c r="F108" s="25">
        <f t="shared" si="8"/>
        <v>0</v>
      </c>
      <c r="G108" s="184"/>
      <c r="H108" s="57" t="s">
        <v>99</v>
      </c>
      <c r="I108" s="235">
        <v>100</v>
      </c>
      <c r="J108" s="86" t="s">
        <v>77</v>
      </c>
      <c r="K108" s="195" t="s">
        <v>78</v>
      </c>
      <c r="L108" s="78"/>
      <c r="M108" s="77"/>
      <c r="N108" s="77"/>
      <c r="O108" s="191"/>
    </row>
    <row r="109" s="1" customFormat="1" ht="18" customHeight="1" spans="1:15">
      <c r="A109" s="42"/>
      <c r="B109" s="25">
        <f t="shared" si="7"/>
        <v>0</v>
      </c>
      <c r="C109" s="43"/>
      <c r="D109" s="44"/>
      <c r="E109" s="45"/>
      <c r="F109" s="25">
        <f t="shared" si="8"/>
        <v>0</v>
      </c>
      <c r="G109" s="184"/>
      <c r="H109" s="57" t="s">
        <v>100</v>
      </c>
      <c r="I109" s="235">
        <v>200</v>
      </c>
      <c r="J109" s="86" t="s">
        <v>77</v>
      </c>
      <c r="K109" s="195" t="s">
        <v>78</v>
      </c>
      <c r="L109" s="78"/>
      <c r="M109" s="77"/>
      <c r="N109" s="77"/>
      <c r="O109" s="191"/>
    </row>
    <row r="110" s="1" customFormat="1" ht="18" customHeight="1" spans="1:15">
      <c r="A110" s="42"/>
      <c r="B110" s="25">
        <f t="shared" si="7"/>
        <v>0</v>
      </c>
      <c r="C110" s="43"/>
      <c r="D110" s="44"/>
      <c r="E110" s="45"/>
      <c r="F110" s="25">
        <f t="shared" si="8"/>
        <v>0</v>
      </c>
      <c r="G110" s="184"/>
      <c r="H110" s="57" t="s">
        <v>101</v>
      </c>
      <c r="I110" s="235">
        <v>200</v>
      </c>
      <c r="J110" s="86" t="s">
        <v>77</v>
      </c>
      <c r="K110" s="195" t="s">
        <v>78</v>
      </c>
      <c r="L110" s="78"/>
      <c r="M110" s="77"/>
      <c r="N110" s="77"/>
      <c r="O110" s="191"/>
    </row>
    <row r="111" s="1" customFormat="1" ht="18" customHeight="1" spans="1:15">
      <c r="A111" s="42"/>
      <c r="B111" s="25">
        <f t="shared" si="7"/>
        <v>0</v>
      </c>
      <c r="C111" s="43"/>
      <c r="D111" s="44"/>
      <c r="E111" s="45"/>
      <c r="F111" s="25">
        <f t="shared" si="8"/>
        <v>0</v>
      </c>
      <c r="G111" s="184"/>
      <c r="H111" s="57" t="s">
        <v>101</v>
      </c>
      <c r="I111" s="235">
        <v>381546</v>
      </c>
      <c r="J111" s="86" t="s">
        <v>94</v>
      </c>
      <c r="K111" s="195" t="s">
        <v>95</v>
      </c>
      <c r="L111" s="78"/>
      <c r="M111" s="77"/>
      <c r="O111" s="191"/>
    </row>
    <row r="112" s="1" customFormat="1" ht="18" customHeight="1" spans="1:15">
      <c r="A112" s="42"/>
      <c r="B112" s="25">
        <f t="shared" si="7"/>
        <v>0</v>
      </c>
      <c r="C112" s="43"/>
      <c r="D112" s="44"/>
      <c r="E112" s="45"/>
      <c r="F112" s="25">
        <f t="shared" si="8"/>
        <v>0</v>
      </c>
      <c r="G112" s="184"/>
      <c r="H112" s="57" t="s">
        <v>101</v>
      </c>
      <c r="I112" s="235">
        <v>24955</v>
      </c>
      <c r="J112" s="86" t="s">
        <v>77</v>
      </c>
      <c r="K112" s="195" t="s">
        <v>146</v>
      </c>
      <c r="L112" s="78"/>
      <c r="M112" s="77"/>
      <c r="N112" s="77"/>
      <c r="O112" s="191"/>
    </row>
    <row r="113" s="1" customFormat="1" ht="18" customHeight="1" spans="1:15">
      <c r="A113" s="42"/>
      <c r="B113" s="25">
        <f t="shared" si="7"/>
        <v>0</v>
      </c>
      <c r="C113" s="43"/>
      <c r="D113" s="44"/>
      <c r="E113" s="45"/>
      <c r="F113" s="25">
        <f t="shared" si="8"/>
        <v>0</v>
      </c>
      <c r="G113" s="184"/>
      <c r="H113" s="57" t="s">
        <v>101</v>
      </c>
      <c r="I113" s="235">
        <v>936</v>
      </c>
      <c r="J113" s="86" t="s">
        <v>77</v>
      </c>
      <c r="K113" s="195" t="s">
        <v>140</v>
      </c>
      <c r="L113" s="78"/>
      <c r="M113" s="77"/>
      <c r="N113" s="77"/>
      <c r="O113" s="191"/>
    </row>
    <row r="114" s="1" customFormat="1" ht="18" customHeight="1" spans="1:15">
      <c r="A114" s="42"/>
      <c r="B114" s="25">
        <f t="shared" si="7"/>
        <v>0</v>
      </c>
      <c r="C114" s="43"/>
      <c r="D114" s="44"/>
      <c r="E114" s="45"/>
      <c r="F114" s="25">
        <f t="shared" si="8"/>
        <v>0</v>
      </c>
      <c r="G114" s="184"/>
      <c r="H114" s="57" t="s">
        <v>101</v>
      </c>
      <c r="I114" s="236">
        <v>120092</v>
      </c>
      <c r="J114" s="211" t="s">
        <v>77</v>
      </c>
      <c r="K114" s="212" t="s">
        <v>148</v>
      </c>
      <c r="L114" s="78"/>
      <c r="M114" s="77"/>
      <c r="N114" s="77"/>
      <c r="O114" s="191"/>
    </row>
    <row r="115" s="1" customFormat="1" ht="18" customHeight="1" spans="1:15">
      <c r="A115" s="42"/>
      <c r="B115" s="25">
        <f t="shared" si="7"/>
        <v>8500</v>
      </c>
      <c r="C115" s="43"/>
      <c r="D115" s="44"/>
      <c r="E115" s="45"/>
      <c r="F115" s="25">
        <f t="shared" si="8"/>
        <v>0</v>
      </c>
      <c r="G115" s="184">
        <v>8500</v>
      </c>
      <c r="H115" s="57" t="s">
        <v>101</v>
      </c>
      <c r="I115" s="235">
        <f>G115</f>
        <v>8500</v>
      </c>
      <c r="J115" s="86" t="s">
        <v>77</v>
      </c>
      <c r="K115" s="195" t="s">
        <v>105</v>
      </c>
      <c r="L115" s="78"/>
      <c r="M115" s="77"/>
      <c r="N115" s="77"/>
      <c r="O115" s="191"/>
    </row>
    <row r="116" s="1" customFormat="1" ht="18" customHeight="1" spans="1:15">
      <c r="A116" s="42"/>
      <c r="B116" s="25">
        <f t="shared" si="7"/>
        <v>0</v>
      </c>
      <c r="C116" s="43"/>
      <c r="D116" s="44"/>
      <c r="E116" s="45"/>
      <c r="F116" s="25">
        <f t="shared" si="8"/>
        <v>0</v>
      </c>
      <c r="G116" s="184"/>
      <c r="H116" s="57" t="s">
        <v>106</v>
      </c>
      <c r="I116" s="235">
        <v>9000</v>
      </c>
      <c r="J116" s="86" t="s">
        <v>77</v>
      </c>
      <c r="K116" s="195" t="s">
        <v>107</v>
      </c>
      <c r="L116" s="78"/>
      <c r="M116" s="77"/>
      <c r="N116" s="77"/>
      <c r="O116" s="191"/>
    </row>
    <row r="117" s="1" customFormat="1" ht="18" customHeight="1" spans="1:15">
      <c r="A117" s="42"/>
      <c r="B117" s="25">
        <f t="shared" si="7"/>
        <v>0</v>
      </c>
      <c r="C117" s="43"/>
      <c r="D117" s="44"/>
      <c r="E117" s="45"/>
      <c r="F117" s="25">
        <f t="shared" si="8"/>
        <v>0</v>
      </c>
      <c r="G117" s="184"/>
      <c r="H117" s="57" t="s">
        <v>106</v>
      </c>
      <c r="I117" s="235">
        <v>-66373</v>
      </c>
      <c r="J117" s="86" t="s">
        <v>90</v>
      </c>
      <c r="K117" s="195" t="s">
        <v>91</v>
      </c>
      <c r="L117" s="78"/>
      <c r="M117" s="77"/>
      <c r="N117" s="77"/>
      <c r="O117" s="191"/>
    </row>
    <row r="118" s="1" customFormat="1" ht="18" customHeight="1" spans="1:15">
      <c r="A118" s="42"/>
      <c r="B118" s="25">
        <f t="shared" si="7"/>
        <v>0</v>
      </c>
      <c r="C118" s="43"/>
      <c r="D118" s="44"/>
      <c r="E118" s="45"/>
      <c r="F118" s="25">
        <f t="shared" si="8"/>
        <v>0</v>
      </c>
      <c r="G118" s="184"/>
      <c r="H118" s="57" t="s">
        <v>106</v>
      </c>
      <c r="I118" s="210">
        <v>-37965</v>
      </c>
      <c r="J118" s="211" t="s">
        <v>90</v>
      </c>
      <c r="K118" s="212" t="s">
        <v>149</v>
      </c>
      <c r="L118" s="85">
        <v>-37965</v>
      </c>
      <c r="M118" s="151" t="s">
        <v>150</v>
      </c>
      <c r="N118" s="77"/>
      <c r="O118" s="191"/>
    </row>
    <row r="119" s="1" customFormat="1" ht="18" customHeight="1" spans="1:15">
      <c r="A119" s="42"/>
      <c r="B119" s="25">
        <f t="shared" si="7"/>
        <v>0</v>
      </c>
      <c r="C119" s="43"/>
      <c r="D119" s="44"/>
      <c r="E119" s="45"/>
      <c r="F119" s="25">
        <f t="shared" si="8"/>
        <v>0</v>
      </c>
      <c r="G119" s="184"/>
      <c r="H119" s="57" t="s">
        <v>109</v>
      </c>
      <c r="I119" s="235">
        <v>8496</v>
      </c>
      <c r="J119" s="86" t="s">
        <v>77</v>
      </c>
      <c r="K119" s="195" t="s">
        <v>110</v>
      </c>
      <c r="L119" s="78"/>
      <c r="M119" s="77"/>
      <c r="N119" s="77"/>
      <c r="O119" s="191"/>
    </row>
    <row r="120" s="1" customFormat="1" ht="18" customHeight="1" spans="1:17">
      <c r="A120" s="42"/>
      <c r="B120" s="25">
        <f t="shared" si="7"/>
        <v>0</v>
      </c>
      <c r="C120" s="43"/>
      <c r="D120" s="44"/>
      <c r="E120" s="45"/>
      <c r="F120" s="25">
        <f t="shared" si="8"/>
        <v>0</v>
      </c>
      <c r="G120" s="184"/>
      <c r="H120" s="57" t="s">
        <v>109</v>
      </c>
      <c r="I120" s="235">
        <v>212400</v>
      </c>
      <c r="J120" s="86" t="s">
        <v>111</v>
      </c>
      <c r="K120" s="195" t="s">
        <v>112</v>
      </c>
      <c r="L120" s="78"/>
      <c r="M120" s="77"/>
      <c r="N120" s="77"/>
      <c r="O120" s="191"/>
      <c r="Q120" s="1">
        <f>I121+I117+I111+I107+I101+I97+I93+I92</f>
        <v>0</v>
      </c>
    </row>
    <row r="121" s="1" customFormat="1" ht="18" customHeight="1" spans="1:15">
      <c r="A121" s="42"/>
      <c r="B121" s="25">
        <f t="shared" si="7"/>
        <v>0</v>
      </c>
      <c r="C121" s="43"/>
      <c r="D121" s="44"/>
      <c r="E121" s="45"/>
      <c r="F121" s="25">
        <f t="shared" si="8"/>
        <v>0</v>
      </c>
      <c r="G121" s="184"/>
      <c r="H121" s="57" t="s">
        <v>109</v>
      </c>
      <c r="I121" s="235">
        <v>69664</v>
      </c>
      <c r="J121" s="86" t="s">
        <v>94</v>
      </c>
      <c r="K121" s="195" t="s">
        <v>95</v>
      </c>
      <c r="L121" s="78"/>
      <c r="M121" s="77"/>
      <c r="N121" s="77"/>
      <c r="O121" s="191"/>
    </row>
    <row r="122" s="1" customFormat="1" ht="18" customHeight="1" spans="1:15">
      <c r="A122" s="42"/>
      <c r="B122" s="25">
        <f t="shared" si="7"/>
        <v>0</v>
      </c>
      <c r="C122" s="43"/>
      <c r="D122" s="44"/>
      <c r="E122" s="45"/>
      <c r="F122" s="25">
        <f t="shared" si="8"/>
        <v>0</v>
      </c>
      <c r="G122" s="184"/>
      <c r="H122" s="57" t="s">
        <v>109</v>
      </c>
      <c r="I122" s="235">
        <v>14679</v>
      </c>
      <c r="J122" s="86" t="s">
        <v>77</v>
      </c>
      <c r="K122" s="195" t="s">
        <v>146</v>
      </c>
      <c r="L122" s="78"/>
      <c r="M122" s="77"/>
      <c r="N122" s="77"/>
      <c r="O122" s="191"/>
    </row>
    <row r="123" s="1" customFormat="1" ht="18" customHeight="1" spans="1:15">
      <c r="A123" s="42"/>
      <c r="B123" s="25">
        <f t="shared" si="7"/>
        <v>0</v>
      </c>
      <c r="C123" s="43"/>
      <c r="D123" s="44"/>
      <c r="E123" s="45"/>
      <c r="F123" s="25">
        <f t="shared" si="8"/>
        <v>0</v>
      </c>
      <c r="G123" s="184"/>
      <c r="H123" s="57" t="s">
        <v>109</v>
      </c>
      <c r="I123" s="235">
        <v>551</v>
      </c>
      <c r="J123" s="86" t="s">
        <v>77</v>
      </c>
      <c r="K123" s="195" t="s">
        <v>140</v>
      </c>
      <c r="L123" s="78"/>
      <c r="M123" s="77"/>
      <c r="N123" s="77"/>
      <c r="O123" s="191"/>
    </row>
    <row r="124" s="1" customFormat="1" ht="18" customHeight="1" spans="1:15">
      <c r="A124" s="42"/>
      <c r="B124" s="25">
        <f t="shared" si="7"/>
        <v>0</v>
      </c>
      <c r="C124" s="43"/>
      <c r="D124" s="44"/>
      <c r="E124" s="45"/>
      <c r="F124" s="25">
        <f t="shared" si="8"/>
        <v>0</v>
      </c>
      <c r="G124" s="184"/>
      <c r="H124" s="57" t="s">
        <v>109</v>
      </c>
      <c r="I124" s="236">
        <v>45972</v>
      </c>
      <c r="J124" s="211" t="s">
        <v>77</v>
      </c>
      <c r="K124" s="212" t="s">
        <v>148</v>
      </c>
      <c r="L124" s="78"/>
      <c r="M124" s="77"/>
      <c r="N124" s="77"/>
      <c r="O124" s="191"/>
    </row>
    <row r="125" s="1" customFormat="1" ht="18" customHeight="1" spans="1:15">
      <c r="A125" s="42"/>
      <c r="B125" s="25">
        <f t="shared" si="7"/>
        <v>5000</v>
      </c>
      <c r="C125" s="43"/>
      <c r="D125" s="44"/>
      <c r="E125" s="45"/>
      <c r="F125" s="25">
        <f t="shared" si="8"/>
        <v>0</v>
      </c>
      <c r="G125" s="184">
        <v>5000</v>
      </c>
      <c r="H125" s="57" t="s">
        <v>109</v>
      </c>
      <c r="I125" s="235">
        <f>G125</f>
        <v>5000</v>
      </c>
      <c r="J125" s="86" t="s">
        <v>77</v>
      </c>
      <c r="K125" s="195" t="s">
        <v>105</v>
      </c>
      <c r="L125" s="78"/>
      <c r="M125" s="77"/>
      <c r="N125" s="77"/>
      <c r="O125" s="191"/>
    </row>
    <row r="126" s="1" customFormat="1" ht="18" customHeight="1" spans="1:15">
      <c r="A126" s="42"/>
      <c r="B126" s="25">
        <f t="shared" si="7"/>
        <v>0</v>
      </c>
      <c r="C126" s="43"/>
      <c r="D126" s="44"/>
      <c r="E126" s="45"/>
      <c r="F126" s="25">
        <f t="shared" si="8"/>
        <v>0</v>
      </c>
      <c r="G126" s="184"/>
      <c r="H126" s="57" t="s">
        <v>116</v>
      </c>
      <c r="I126" s="235">
        <v>500</v>
      </c>
      <c r="J126" s="86" t="s">
        <v>77</v>
      </c>
      <c r="K126" s="195" t="s">
        <v>117</v>
      </c>
      <c r="L126" s="78"/>
      <c r="M126" s="77"/>
      <c r="N126" s="77"/>
      <c r="O126" s="191"/>
    </row>
    <row r="127" s="1" customFormat="1" ht="18" customHeight="1" spans="1:15">
      <c r="A127" s="42"/>
      <c r="B127" s="25">
        <f t="shared" si="7"/>
        <v>5000</v>
      </c>
      <c r="C127" s="43"/>
      <c r="D127" s="44"/>
      <c r="E127" s="45"/>
      <c r="F127" s="25">
        <f t="shared" si="8"/>
        <v>0</v>
      </c>
      <c r="G127" s="184">
        <f>5000</f>
        <v>5000</v>
      </c>
      <c r="H127" s="57" t="s">
        <v>116</v>
      </c>
      <c r="I127" s="235">
        <f>G127</f>
        <v>5000</v>
      </c>
      <c r="J127" s="86" t="s">
        <v>77</v>
      </c>
      <c r="K127" s="195" t="s">
        <v>105</v>
      </c>
      <c r="L127" s="78"/>
      <c r="M127" s="77"/>
      <c r="N127" s="77"/>
      <c r="O127" s="191"/>
    </row>
    <row r="128" s="1" customFormat="1" ht="18" customHeight="1" spans="1:15">
      <c r="A128" s="42"/>
      <c r="B128" s="25">
        <f t="shared" si="7"/>
        <v>0</v>
      </c>
      <c r="C128" s="43"/>
      <c r="D128" s="44"/>
      <c r="E128" s="45"/>
      <c r="F128" s="25">
        <f t="shared" si="8"/>
        <v>0</v>
      </c>
      <c r="G128" s="184"/>
      <c r="H128" s="57" t="s">
        <v>116</v>
      </c>
      <c r="I128" s="235">
        <v>14679</v>
      </c>
      <c r="J128" s="86" t="s">
        <v>77</v>
      </c>
      <c r="K128" s="195" t="s">
        <v>146</v>
      </c>
      <c r="L128" s="78"/>
      <c r="M128" s="77"/>
      <c r="N128" s="77"/>
      <c r="O128" s="191"/>
    </row>
    <row r="129" s="1" customFormat="1" ht="18" customHeight="1" spans="1:15">
      <c r="A129" s="42"/>
      <c r="B129" s="25">
        <f t="shared" si="7"/>
        <v>0</v>
      </c>
      <c r="C129" s="43"/>
      <c r="D129" s="44"/>
      <c r="E129" s="45"/>
      <c r="F129" s="25">
        <f t="shared" si="8"/>
        <v>0</v>
      </c>
      <c r="G129" s="184"/>
      <c r="H129" s="57" t="s">
        <v>116</v>
      </c>
      <c r="I129" s="235">
        <v>551</v>
      </c>
      <c r="J129" s="86" t="s">
        <v>77</v>
      </c>
      <c r="K129" s="195" t="s">
        <v>140</v>
      </c>
      <c r="L129" s="78"/>
      <c r="M129" s="77"/>
      <c r="N129" s="77"/>
      <c r="O129" s="191"/>
    </row>
    <row r="130" s="1" customFormat="1" ht="18" customHeight="1" spans="1:15">
      <c r="A130" s="42"/>
      <c r="B130" s="25">
        <f t="shared" si="7"/>
        <v>0</v>
      </c>
      <c r="C130" s="43"/>
      <c r="D130" s="44"/>
      <c r="E130" s="45"/>
      <c r="F130" s="25">
        <f t="shared" si="8"/>
        <v>0</v>
      </c>
      <c r="G130" s="184"/>
      <c r="H130" s="57"/>
      <c r="I130" s="33"/>
      <c r="J130" s="86"/>
      <c r="K130" s="195"/>
      <c r="L130" s="78"/>
      <c r="M130" s="77"/>
      <c r="N130" s="77"/>
      <c r="O130" s="191"/>
    </row>
    <row r="131" ht="18" customHeight="1" spans="1:15">
      <c r="A131" s="38" t="s">
        <v>23</v>
      </c>
      <c r="B131" s="123">
        <f>SUM(B17:B130)</f>
        <v>8623181.38</v>
      </c>
      <c r="C131" s="38"/>
      <c r="D131" s="124"/>
      <c r="E131" s="124"/>
      <c r="F131" s="179">
        <f>SUM(F17:F130)</f>
        <v>417082.82</v>
      </c>
      <c r="G131" s="220">
        <f>SUM(G17:G130)</f>
        <v>9040264.2</v>
      </c>
      <c r="H131" s="221"/>
      <c r="I131" s="37">
        <f>SUM(I17:I130)</f>
        <v>7589274.23</v>
      </c>
      <c r="J131" s="226"/>
      <c r="K131" s="124"/>
      <c r="L131" s="40"/>
      <c r="M131" s="40"/>
      <c r="N131" s="40"/>
      <c r="O131" s="180"/>
    </row>
    <row r="132" ht="18" customHeight="1" spans="1:14">
      <c r="A132" s="126" t="s">
        <v>120</v>
      </c>
      <c r="B132" s="127">
        <f>B14*0.936</f>
        <v>7127339.44954129</v>
      </c>
      <c r="C132" s="126"/>
      <c r="D132" s="128"/>
      <c r="E132" s="128"/>
      <c r="F132" s="127"/>
      <c r="G132" s="127">
        <f>G14-G131</f>
        <v>-1940264.2</v>
      </c>
      <c r="H132" s="29" t="s">
        <v>121</v>
      </c>
      <c r="I132" s="37">
        <f>I14-I131</f>
        <v>10725.7699999996</v>
      </c>
      <c r="J132" s="14"/>
      <c r="K132" s="227"/>
      <c r="M132" s="13"/>
      <c r="N132" s="13"/>
    </row>
    <row r="133" ht="18" customHeight="1" spans="1:14">
      <c r="A133" s="126" t="s">
        <v>122</v>
      </c>
      <c r="B133" s="127">
        <f>B132-B131</f>
        <v>-1495841.93045871</v>
      </c>
      <c r="C133" s="126"/>
      <c r="D133" s="128"/>
      <c r="E133" s="128"/>
      <c r="F133" s="127"/>
      <c r="G133" s="127"/>
      <c r="H133" s="130"/>
      <c r="I133" s="127"/>
      <c r="J133" s="14"/>
      <c r="K133" s="227"/>
      <c r="M133" s="13"/>
      <c r="N133" s="13"/>
    </row>
    <row r="134" ht="18" customHeight="1" spans="1:13">
      <c r="A134" s="7" t="s">
        <v>124</v>
      </c>
      <c r="C134" s="7"/>
      <c r="M134" s="14">
        <f>K136+L136</f>
        <v>67683.9388073399</v>
      </c>
    </row>
    <row r="135" ht="18" customHeight="1" spans="1:18">
      <c r="A135" s="29" t="s">
        <v>125</v>
      </c>
      <c r="B135" s="28" t="s">
        <v>126</v>
      </c>
      <c r="C135" s="180"/>
      <c r="D135" s="29" t="s">
        <v>125</v>
      </c>
      <c r="E135" s="27" t="s">
        <v>17</v>
      </c>
      <c r="F135" s="28" t="s">
        <v>126</v>
      </c>
      <c r="G135" s="8" t="s">
        <v>127</v>
      </c>
      <c r="H135" s="28" t="s">
        <v>128</v>
      </c>
      <c r="I135" s="28" t="s">
        <v>129</v>
      </c>
      <c r="J135" s="176" t="s">
        <v>130</v>
      </c>
      <c r="K135" s="28" t="s">
        <v>131</v>
      </c>
      <c r="L135" s="23" t="s">
        <v>132</v>
      </c>
      <c r="M135" s="28" t="s">
        <v>133</v>
      </c>
      <c r="O135" s="228" t="s">
        <v>166</v>
      </c>
      <c r="P135" s="229" t="s">
        <v>167</v>
      </c>
      <c r="Q135" s="29" t="s">
        <v>181</v>
      </c>
      <c r="R135" s="29"/>
    </row>
    <row r="136" ht="18" customHeight="1" spans="1:18">
      <c r="A136" s="180" t="s">
        <v>134</v>
      </c>
      <c r="B136" s="25">
        <f>(B132-B131)*0.25</f>
        <v>-373960.482614677</v>
      </c>
      <c r="C136" s="180"/>
      <c r="D136" s="36" t="s">
        <v>135</v>
      </c>
      <c r="E136" s="29" t="s">
        <v>136</v>
      </c>
      <c r="F136" s="179">
        <f>F14-F131</f>
        <v>115944.70293578</v>
      </c>
      <c r="G136" s="8">
        <v>64220.1834862385</v>
      </c>
      <c r="H136" s="179">
        <v>0</v>
      </c>
      <c r="I136" s="179">
        <f>F7+F8-F17-F18</f>
        <v>41792.036972477</v>
      </c>
      <c r="J136" s="179">
        <f>-F21</f>
        <v>-34513.27</v>
      </c>
      <c r="K136" s="141">
        <f>F9</f>
        <v>109174.311926606</v>
      </c>
      <c r="L136" s="67">
        <f>F10+F12-F23-F26-F28-F32-F33-F35</f>
        <v>-41490.3731192661</v>
      </c>
      <c r="M136" s="141">
        <f>-F38-F43</f>
        <v>-80618.16</v>
      </c>
      <c r="O136" s="228">
        <f>F12</f>
        <v>25688.0733944954</v>
      </c>
      <c r="P136" s="229">
        <f>-O136</f>
        <v>-25688.0733944954</v>
      </c>
      <c r="Q136" s="40">
        <f>F136-I136-J136-'12次'!K96-'12次'!L96-'12次'!M96</f>
        <v>18847.8635779815</v>
      </c>
      <c r="R136" s="40"/>
    </row>
    <row r="137" ht="18" customHeight="1" spans="1:18">
      <c r="A137" s="180" t="s">
        <v>137</v>
      </c>
      <c r="B137" s="222" t="s">
        <v>138</v>
      </c>
      <c r="C137" s="180"/>
      <c r="D137" s="223" t="s">
        <v>139</v>
      </c>
      <c r="E137" s="21">
        <v>0.07</v>
      </c>
      <c r="F137" s="31">
        <f>F136*E137</f>
        <v>8116.1292055046</v>
      </c>
      <c r="G137" s="8">
        <v>3211.00917431193</v>
      </c>
      <c r="H137" s="31">
        <v>0</v>
      </c>
      <c r="I137" s="31">
        <f>I136*E137</f>
        <v>2925.44258807339</v>
      </c>
      <c r="J137" s="31">
        <f>J136*E137</f>
        <v>-2415.9289</v>
      </c>
      <c r="K137" s="33">
        <f>K136*E137</f>
        <v>7642.20183486239</v>
      </c>
      <c r="L137" s="23">
        <f>L136*E137</f>
        <v>-2904.32611834863</v>
      </c>
      <c r="M137" s="33">
        <f>M136*E137</f>
        <v>-5643.2712</v>
      </c>
      <c r="O137" s="230"/>
      <c r="P137" s="231"/>
      <c r="Q137" s="40">
        <f>Q136*E137</f>
        <v>1319.3504504587</v>
      </c>
      <c r="R137" s="40"/>
    </row>
    <row r="138" ht="18" customHeight="1" spans="1:18">
      <c r="A138" s="180" t="s">
        <v>140</v>
      </c>
      <c r="B138" s="222"/>
      <c r="C138" s="180"/>
      <c r="D138" s="223" t="s">
        <v>141</v>
      </c>
      <c r="E138" s="21">
        <v>0.03</v>
      </c>
      <c r="F138" s="31">
        <f>F136*E138</f>
        <v>3478.3410880734</v>
      </c>
      <c r="G138" s="8">
        <v>1926.60550458716</v>
      </c>
      <c r="H138" s="31">
        <v>0</v>
      </c>
      <c r="I138" s="31">
        <f>I136*E138</f>
        <v>1253.76110917431</v>
      </c>
      <c r="J138" s="31">
        <f>J136*E138</f>
        <v>-1035.3981</v>
      </c>
      <c r="K138" s="33">
        <f>K136*E138</f>
        <v>3275.22935779817</v>
      </c>
      <c r="L138" s="23">
        <f>L136*E138</f>
        <v>-1244.71119357798</v>
      </c>
      <c r="M138" s="33">
        <f>M136*E138</f>
        <v>-2418.5448</v>
      </c>
      <c r="O138" s="230"/>
      <c r="P138" s="231"/>
      <c r="Q138" s="40">
        <f>Q136*E138</f>
        <v>565.435907339444</v>
      </c>
      <c r="R138" s="40"/>
    </row>
    <row r="139" ht="18" customHeight="1" spans="1:18">
      <c r="A139" s="180"/>
      <c r="B139" s="31"/>
      <c r="C139" s="180"/>
      <c r="D139" s="223" t="s">
        <v>142</v>
      </c>
      <c r="E139" s="21">
        <v>0.02</v>
      </c>
      <c r="F139" s="31">
        <f>F136*E139</f>
        <v>2318.8940587156</v>
      </c>
      <c r="G139" s="8">
        <v>1284.40366972477</v>
      </c>
      <c r="H139" s="31">
        <v>0</v>
      </c>
      <c r="I139" s="31">
        <f>I136*E139</f>
        <v>835.84073944954</v>
      </c>
      <c r="J139" s="31">
        <f>J136*E139</f>
        <v>-690.2654</v>
      </c>
      <c r="K139" s="33">
        <f>K136*E139</f>
        <v>2183.48623853211</v>
      </c>
      <c r="L139" s="23">
        <f>L136*E139</f>
        <v>-829.807462385322</v>
      </c>
      <c r="M139" s="33">
        <f>M136*E139</f>
        <v>-1612.3632</v>
      </c>
      <c r="O139" s="230"/>
      <c r="P139" s="231"/>
      <c r="Q139" s="40">
        <f>Q136*E139</f>
        <v>376.957271559629</v>
      </c>
      <c r="R139" s="40"/>
    </row>
    <row r="140" ht="18" customHeight="1" spans="1:18">
      <c r="A140" s="36" t="s">
        <v>143</v>
      </c>
      <c r="B140" s="123">
        <f>SUM(B136:B139)</f>
        <v>-373960.482614677</v>
      </c>
      <c r="C140" s="180"/>
      <c r="D140" s="41" t="s">
        <v>143</v>
      </c>
      <c r="E140" s="36"/>
      <c r="F140" s="179">
        <f t="shared" ref="F140:M140" si="9">SUM(F136:F139)</f>
        <v>129858.067288074</v>
      </c>
      <c r="G140" s="8">
        <v>70642.2018348624</v>
      </c>
      <c r="H140" s="179">
        <v>0</v>
      </c>
      <c r="I140" s="179">
        <f>SUM(I135:I139)</f>
        <v>46807.0814091742</v>
      </c>
      <c r="J140" s="179">
        <f t="shared" si="9"/>
        <v>-38654.8624</v>
      </c>
      <c r="K140" s="141">
        <f t="shared" si="9"/>
        <v>122275.229357798</v>
      </c>
      <c r="L140" s="67">
        <f t="shared" si="9"/>
        <v>-46469.217893578</v>
      </c>
      <c r="M140" s="141">
        <f t="shared" si="9"/>
        <v>-90292.3392</v>
      </c>
      <c r="O140" s="228">
        <f>O136*1.12</f>
        <v>28770.6422018349</v>
      </c>
      <c r="P140" s="231">
        <f>-O140</f>
        <v>-28770.6422018349</v>
      </c>
      <c r="Q140" s="40"/>
      <c r="R140" s="40"/>
    </row>
    <row r="141" ht="18" customHeight="1" spans="3:18">
      <c r="C141" s="7"/>
      <c r="D141" s="19" t="s">
        <v>140</v>
      </c>
      <c r="E141" s="224">
        <v>0.0006</v>
      </c>
      <c r="F141" s="31">
        <f>B14*E141</f>
        <v>4568.80733944954</v>
      </c>
      <c r="H141" s="31">
        <f>B7*E141</f>
        <v>550.45871559633</v>
      </c>
      <c r="I141" s="31">
        <f>B8*E141</f>
        <v>550.45871559633</v>
      </c>
      <c r="K141" s="31">
        <f>B9*E141</f>
        <v>935.779816513761</v>
      </c>
      <c r="L141" s="23">
        <f>(B10+B12)*E141</f>
        <v>770.642201834862</v>
      </c>
      <c r="O141" s="230">
        <f>B12*E141</f>
        <v>220.183486238532</v>
      </c>
      <c r="Q141" s="40">
        <f>E141*B13</f>
        <v>660.550458715596</v>
      </c>
      <c r="R141" s="40"/>
    </row>
    <row r="142" ht="18" customHeight="1" spans="3:18">
      <c r="C142" s="7"/>
      <c r="D142" s="27" t="s">
        <v>143</v>
      </c>
      <c r="E142" s="124"/>
      <c r="F142" s="37">
        <f t="shared" ref="F142:I142" si="10">F141</f>
        <v>4568.80733944954</v>
      </c>
      <c r="H142" s="37">
        <f t="shared" si="10"/>
        <v>550.45871559633</v>
      </c>
      <c r="I142" s="37">
        <f t="shared" si="10"/>
        <v>550.45871559633</v>
      </c>
      <c r="O142" s="221" t="s">
        <v>168</v>
      </c>
      <c r="P142" s="232" t="s">
        <v>169</v>
      </c>
      <c r="Q142" s="40"/>
      <c r="R142" s="40"/>
    </row>
    <row r="143" ht="18" customHeight="1" spans="3:18">
      <c r="C143" s="7"/>
      <c r="D143" s="27" t="s">
        <v>23</v>
      </c>
      <c r="E143" s="38"/>
      <c r="F143" s="37">
        <f t="shared" ref="F143:I143" si="11">F140+F142</f>
        <v>134426.874627523</v>
      </c>
      <c r="H143" s="37">
        <f t="shared" si="11"/>
        <v>550.45871559633</v>
      </c>
      <c r="I143" s="37">
        <f t="shared" si="11"/>
        <v>47357.5401247706</v>
      </c>
      <c r="O143" s="221"/>
      <c r="Q143" s="40"/>
      <c r="R143" s="40"/>
    </row>
    <row r="144" ht="18" customHeight="1" spans="3:18">
      <c r="C144" s="7"/>
      <c r="D144" s="38" t="s">
        <v>134</v>
      </c>
      <c r="E144" s="124">
        <v>0.016</v>
      </c>
      <c r="F144" s="37">
        <f>B14*E144</f>
        <v>121834.862385321</v>
      </c>
      <c r="G144" s="225" t="s">
        <v>144</v>
      </c>
      <c r="H144" s="37">
        <f>B7*E144</f>
        <v>14678.8990825688</v>
      </c>
      <c r="I144" s="37">
        <f>B8*E144</f>
        <v>14678.8990825688</v>
      </c>
      <c r="K144" s="37">
        <f>B9*E144</f>
        <v>24954.128440367</v>
      </c>
      <c r="L144" s="23">
        <f>SUM(G10:G12)*E144</f>
        <v>54400</v>
      </c>
      <c r="O144" s="221">
        <f>G12*E144</f>
        <v>6400</v>
      </c>
      <c r="Q144" s="40">
        <f>E144*G13</f>
        <v>19200</v>
      </c>
      <c r="R144" s="40"/>
    </row>
    <row r="145" ht="18" customHeight="1" spans="3:18">
      <c r="C145" s="7"/>
      <c r="G145" s="8" t="s">
        <v>145</v>
      </c>
      <c r="I145" s="8">
        <f>B133*0.25</f>
        <v>-373960.482614677</v>
      </c>
      <c r="Q145" s="180" t="s">
        <v>182</v>
      </c>
      <c r="R145" s="233">
        <f>Q136+Q137+Q138+Q139+Q141+Q144</f>
        <v>40970.1576660548</v>
      </c>
    </row>
    <row r="146" ht="18" customHeight="1" spans="3:11">
      <c r="C146" s="7"/>
      <c r="I146" s="8">
        <f>B133*0.25</f>
        <v>-373960.482614677</v>
      </c>
      <c r="K146" s="9">
        <f>'12次'!I96+'12次'!J96+'12次'!K96+'12次'!L96+'12次'!M96</f>
        <v>97096.8393577986</v>
      </c>
    </row>
    <row r="147" ht="18" customHeight="1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</sheetData>
  <autoFilter ref="A16:Q146">
    <extLst/>
  </autoFilter>
  <mergeCells count="18">
    <mergeCell ref="A1:J1"/>
    <mergeCell ref="H2:J2"/>
    <mergeCell ref="C5:D5"/>
    <mergeCell ref="E5:F5"/>
    <mergeCell ref="H5:J5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3"/>
  <sheetViews>
    <sheetView topLeftCell="A48" workbookViewId="0">
      <selection activeCell="J50" sqref="J50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3" customWidth="1"/>
    <col min="13" max="13" width="13.5" style="14" customWidth="1"/>
    <col min="14" max="14" width="5.625" style="14" customWidth="1"/>
    <col min="15" max="15" width="11.125" style="14" customWidth="1"/>
    <col min="16" max="16" width="12" style="14" customWidth="1"/>
    <col min="17" max="17" width="10.375" style="14"/>
    <col min="18" max="18" width="9.625" style="14"/>
    <col min="19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69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69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69"/>
    </row>
    <row r="4" ht="18" customHeight="1" spans="1:12">
      <c r="A4" s="7" t="s">
        <v>9</v>
      </c>
      <c r="H4" s="26"/>
      <c r="I4" s="72"/>
      <c r="J4" s="26"/>
      <c r="K4" s="26" t="s">
        <v>10</v>
      </c>
      <c r="L4" s="69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3" si="0">G7/(1+C7+E7)</f>
        <v>917431.19266055</v>
      </c>
      <c r="C7" s="32">
        <v>0.02</v>
      </c>
      <c r="D7" s="33">
        <f t="shared" ref="D7:D13" si="1">G7/(1+E7+C7)*C7</f>
        <v>18348.623853211</v>
      </c>
      <c r="E7" s="32">
        <v>0.07</v>
      </c>
      <c r="F7" s="31">
        <f t="shared" ref="F7:F13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31">
        <f t="shared" si="2"/>
        <v>25688.0733944954</v>
      </c>
      <c r="G12" s="178">
        <v>400000</v>
      </c>
      <c r="H12" s="30">
        <v>44056</v>
      </c>
      <c r="I12" s="31">
        <v>400000</v>
      </c>
      <c r="J12" s="40" t="s">
        <v>22</v>
      </c>
    </row>
    <row r="13" ht="18" customHeight="1" spans="1:10">
      <c r="A13" s="30">
        <v>44098</v>
      </c>
      <c r="B13" s="31">
        <f t="shared" si="0"/>
        <v>1100917.43119266</v>
      </c>
      <c r="C13" s="35">
        <v>0.02</v>
      </c>
      <c r="D13" s="33">
        <f t="shared" si="1"/>
        <v>22018.3486238532</v>
      </c>
      <c r="E13" s="35">
        <v>0.07</v>
      </c>
      <c r="F13" s="31">
        <f t="shared" si="2"/>
        <v>77064.2201834862</v>
      </c>
      <c r="G13" s="178">
        <v>1200000</v>
      </c>
      <c r="H13" s="30">
        <v>44102</v>
      </c>
      <c r="I13" s="31">
        <v>500000</v>
      </c>
      <c r="J13" s="40" t="s">
        <v>22</v>
      </c>
    </row>
    <row r="14" ht="18" customHeight="1" spans="1:10">
      <c r="A14" s="36" t="s">
        <v>23</v>
      </c>
      <c r="B14" s="37">
        <f>SUM(B7:B13)</f>
        <v>7614678.89908257</v>
      </c>
      <c r="C14" s="38"/>
      <c r="D14" s="37">
        <f>SUM(D7:D12)</f>
        <v>130275.229357798</v>
      </c>
      <c r="E14" s="38"/>
      <c r="F14" s="179">
        <f>SUM(F7:F13)</f>
        <v>533027.52293578</v>
      </c>
      <c r="G14" s="37">
        <f>SUM(G7:G12)</f>
        <v>7100000</v>
      </c>
      <c r="H14" s="180"/>
      <c r="I14" s="37">
        <f>SUM(I7:I13)</f>
        <v>7600000</v>
      </c>
      <c r="J14" s="180"/>
    </row>
    <row r="15" ht="18" customHeight="1" spans="1:15">
      <c r="A15" s="7" t="s">
        <v>24</v>
      </c>
      <c r="J15" s="9"/>
      <c r="K15" s="26" t="s">
        <v>25</v>
      </c>
      <c r="L15" s="12"/>
      <c r="O15" s="189">
        <f>O18+O21+O23+O32+O35</f>
        <v>2519.89</v>
      </c>
    </row>
    <row r="16" ht="18" customHeight="1" spans="1:15">
      <c r="A16" s="41" t="s">
        <v>26</v>
      </c>
      <c r="B16" s="28" t="s">
        <v>27</v>
      </c>
      <c r="C16" s="27" t="s">
        <v>28</v>
      </c>
      <c r="D16" s="27" t="s">
        <v>29</v>
      </c>
      <c r="E16" s="27" t="s">
        <v>17</v>
      </c>
      <c r="F16" s="28" t="s">
        <v>30</v>
      </c>
      <c r="G16" s="28" t="s">
        <v>15</v>
      </c>
      <c r="H16" s="27" t="s">
        <v>31</v>
      </c>
      <c r="I16" s="28" t="s">
        <v>32</v>
      </c>
      <c r="J16" s="27" t="s">
        <v>21</v>
      </c>
      <c r="K16" s="74" t="s">
        <v>33</v>
      </c>
      <c r="L16" s="40" t="s">
        <v>34</v>
      </c>
      <c r="M16" s="29" t="s">
        <v>35</v>
      </c>
      <c r="N16" s="29" t="s">
        <v>36</v>
      </c>
      <c r="O16" s="29" t="s">
        <v>37</v>
      </c>
    </row>
    <row r="17" s="1" customFormat="1" ht="18" customHeight="1" spans="1:15">
      <c r="A17" s="42">
        <v>43617</v>
      </c>
      <c r="B17" s="25">
        <f t="shared" ref="B17:B66" si="3">ROUND(G17/(1+E17),2)</f>
        <v>970873.79</v>
      </c>
      <c r="C17" s="43"/>
      <c r="D17" s="44" t="s">
        <v>38</v>
      </c>
      <c r="E17" s="45">
        <v>0.03</v>
      </c>
      <c r="F17" s="25">
        <f t="shared" ref="F17:F66" si="4">ROUND(G17/(1+E17)*E17,2)</f>
        <v>29126.21</v>
      </c>
      <c r="G17" s="178">
        <v>1000000</v>
      </c>
      <c r="H17" s="30">
        <v>43640</v>
      </c>
      <c r="I17" s="31">
        <v>300000</v>
      </c>
      <c r="J17" s="40" t="s">
        <v>22</v>
      </c>
      <c r="K17" s="190" t="s">
        <v>39</v>
      </c>
      <c r="L17" s="77" t="s">
        <v>40</v>
      </c>
      <c r="M17" s="77" t="s">
        <v>41</v>
      </c>
      <c r="N17" s="77"/>
      <c r="O17" s="191"/>
    </row>
    <row r="18" s="1" customFormat="1" ht="18" customHeight="1" spans="1:15">
      <c r="A18" s="42">
        <v>43617</v>
      </c>
      <c r="B18" s="25">
        <f t="shared" si="3"/>
        <v>442477.88</v>
      </c>
      <c r="C18" s="43"/>
      <c r="D18" s="44" t="s">
        <v>38</v>
      </c>
      <c r="E18" s="45">
        <v>0.13</v>
      </c>
      <c r="F18" s="25">
        <f t="shared" si="4"/>
        <v>57522.12</v>
      </c>
      <c r="G18" s="178">
        <f>100000*5</f>
        <v>500000</v>
      </c>
      <c r="H18" s="30">
        <v>43640</v>
      </c>
      <c r="I18" s="31">
        <v>500000</v>
      </c>
      <c r="J18" s="40" t="s">
        <v>22</v>
      </c>
      <c r="K18" s="190" t="s">
        <v>42</v>
      </c>
      <c r="L18" s="77" t="s">
        <v>160</v>
      </c>
      <c r="M18" s="77" t="s">
        <v>41</v>
      </c>
      <c r="N18" s="77" t="s">
        <v>41</v>
      </c>
      <c r="O18" s="192">
        <v>119.5</v>
      </c>
    </row>
    <row r="19" s="1" customFormat="1" ht="18" customHeight="1" spans="1:15">
      <c r="A19" s="42">
        <v>43678</v>
      </c>
      <c r="B19" s="25">
        <f t="shared" si="3"/>
        <v>99500</v>
      </c>
      <c r="C19" s="43"/>
      <c r="D19" s="44" t="s">
        <v>44</v>
      </c>
      <c r="E19" s="45"/>
      <c r="F19" s="25">
        <f t="shared" si="4"/>
        <v>0</v>
      </c>
      <c r="G19" s="178">
        <v>99500</v>
      </c>
      <c r="H19" s="30">
        <v>43682</v>
      </c>
      <c r="I19" s="31">
        <v>99500</v>
      </c>
      <c r="J19" s="40" t="s">
        <v>45</v>
      </c>
      <c r="K19" s="190" t="s">
        <v>46</v>
      </c>
      <c r="L19" s="77" t="s">
        <v>47</v>
      </c>
      <c r="M19" s="77"/>
      <c r="N19" s="77"/>
      <c r="O19" s="191"/>
    </row>
    <row r="20" s="1" customFormat="1" ht="18" customHeight="1" spans="1:15">
      <c r="A20" s="42">
        <v>43739</v>
      </c>
      <c r="B20" s="25">
        <f t="shared" si="3"/>
        <v>4000</v>
      </c>
      <c r="C20" s="43"/>
      <c r="D20" s="44" t="s">
        <v>44</v>
      </c>
      <c r="E20" s="45"/>
      <c r="F20" s="25">
        <f t="shared" si="4"/>
        <v>0</v>
      </c>
      <c r="G20" s="178">
        <v>4000</v>
      </c>
      <c r="H20" s="30"/>
      <c r="I20" s="31"/>
      <c r="J20" s="40"/>
      <c r="K20" s="190" t="s">
        <v>48</v>
      </c>
      <c r="L20" s="77" t="s">
        <v>49</v>
      </c>
      <c r="M20" s="77"/>
      <c r="N20" s="77"/>
      <c r="O20" s="191"/>
    </row>
    <row r="21" s="1" customFormat="1" ht="18" customHeight="1" spans="1:15">
      <c r="A21" s="42">
        <v>43770</v>
      </c>
      <c r="B21" s="25">
        <f t="shared" si="3"/>
        <v>265486.73</v>
      </c>
      <c r="C21" s="43"/>
      <c r="D21" s="44" t="s">
        <v>38</v>
      </c>
      <c r="E21" s="47">
        <v>0.13</v>
      </c>
      <c r="F21" s="25">
        <f t="shared" si="4"/>
        <v>34513.27</v>
      </c>
      <c r="G21" s="178">
        <f>100000*3</f>
        <v>300000</v>
      </c>
      <c r="H21" s="30">
        <v>43784</v>
      </c>
      <c r="I21" s="31">
        <v>300000</v>
      </c>
      <c r="J21" s="40" t="s">
        <v>22</v>
      </c>
      <c r="K21" s="190" t="s">
        <v>42</v>
      </c>
      <c r="L21" s="77" t="s">
        <v>50</v>
      </c>
      <c r="M21" s="77" t="s">
        <v>41</v>
      </c>
      <c r="N21" s="77" t="s">
        <v>41</v>
      </c>
      <c r="O21" s="192">
        <v>923.01</v>
      </c>
    </row>
    <row r="22" s="1" customFormat="1" ht="18" customHeight="1" spans="1:15">
      <c r="A22" s="42"/>
      <c r="B22" s="25">
        <f t="shared" si="3"/>
        <v>0</v>
      </c>
      <c r="C22" s="43"/>
      <c r="D22" s="44"/>
      <c r="E22" s="45"/>
      <c r="F22" s="25">
        <f t="shared" si="4"/>
        <v>0</v>
      </c>
      <c r="G22" s="178"/>
      <c r="H22" s="30">
        <v>43784</v>
      </c>
      <c r="I22" s="31">
        <v>300000</v>
      </c>
      <c r="J22" s="40" t="s">
        <v>22</v>
      </c>
      <c r="K22" s="190" t="s">
        <v>39</v>
      </c>
      <c r="L22" s="77" t="s">
        <v>51</v>
      </c>
      <c r="M22" s="77"/>
      <c r="N22" s="77"/>
      <c r="O22" s="191"/>
    </row>
    <row r="23" s="1" customFormat="1" ht="18" customHeight="1" spans="1:15">
      <c r="A23" s="42">
        <v>43800</v>
      </c>
      <c r="B23" s="25">
        <f t="shared" si="3"/>
        <v>159292.04</v>
      </c>
      <c r="C23" s="43"/>
      <c r="D23" s="44" t="s">
        <v>38</v>
      </c>
      <c r="E23" s="47">
        <v>0.13</v>
      </c>
      <c r="F23" s="25">
        <f t="shared" si="4"/>
        <v>20707.96</v>
      </c>
      <c r="G23" s="178">
        <v>180000</v>
      </c>
      <c r="H23" s="30">
        <v>43798</v>
      </c>
      <c r="I23" s="31">
        <v>180000</v>
      </c>
      <c r="J23" s="40" t="s">
        <v>22</v>
      </c>
      <c r="K23" s="190" t="s">
        <v>42</v>
      </c>
      <c r="L23" s="77" t="s">
        <v>52</v>
      </c>
      <c r="M23" s="77" t="s">
        <v>41</v>
      </c>
      <c r="N23" s="77"/>
      <c r="O23" s="192">
        <v>321.43</v>
      </c>
    </row>
    <row r="24" s="1" customFormat="1" ht="18" customHeight="1" spans="1:15">
      <c r="A24" s="42">
        <v>43800</v>
      </c>
      <c r="B24" s="25">
        <f t="shared" si="3"/>
        <v>0</v>
      </c>
      <c r="C24" s="43"/>
      <c r="D24" s="44"/>
      <c r="E24" s="45"/>
      <c r="F24" s="25">
        <f t="shared" si="4"/>
        <v>0</v>
      </c>
      <c r="G24" s="178"/>
      <c r="H24" s="30">
        <v>43816</v>
      </c>
      <c r="I24" s="31">
        <v>510000</v>
      </c>
      <c r="J24" s="40" t="s">
        <v>22</v>
      </c>
      <c r="K24" s="190" t="s">
        <v>39</v>
      </c>
      <c r="L24" s="77" t="s">
        <v>51</v>
      </c>
      <c r="M24" s="77"/>
      <c r="N24" s="77"/>
      <c r="O24" s="191"/>
    </row>
    <row r="25" s="1" customFormat="1" ht="18" customHeight="1" spans="1:15">
      <c r="A25" s="42"/>
      <c r="B25" s="25">
        <f t="shared" si="3"/>
        <v>0</v>
      </c>
      <c r="C25" s="43"/>
      <c r="D25" s="44"/>
      <c r="E25" s="45"/>
      <c r="F25" s="25">
        <f t="shared" si="4"/>
        <v>0</v>
      </c>
      <c r="G25" s="178"/>
      <c r="H25" s="30">
        <v>43816</v>
      </c>
      <c r="I25" s="31">
        <v>500000</v>
      </c>
      <c r="J25" s="40" t="s">
        <v>22</v>
      </c>
      <c r="K25" s="190" t="s">
        <v>42</v>
      </c>
      <c r="L25" s="77" t="s">
        <v>53</v>
      </c>
      <c r="M25" s="77"/>
      <c r="N25" s="77"/>
      <c r="O25" s="191"/>
    </row>
    <row r="26" s="1" customFormat="1" ht="18" customHeight="1" spans="1:15">
      <c r="A26" s="42">
        <v>43800</v>
      </c>
      <c r="B26" s="25">
        <f t="shared" si="3"/>
        <v>26161.81</v>
      </c>
      <c r="C26" s="43"/>
      <c r="D26" s="44" t="s">
        <v>38</v>
      </c>
      <c r="E26" s="47">
        <v>0.13</v>
      </c>
      <c r="F26" s="25">
        <f t="shared" si="4"/>
        <v>3401.04</v>
      </c>
      <c r="G26" s="178">
        <f>289+712.88+1692.98+5848.99+20479+540</f>
        <v>29562.85</v>
      </c>
      <c r="H26" s="30"/>
      <c r="I26" s="31"/>
      <c r="J26" s="40"/>
      <c r="K26" s="190" t="s">
        <v>54</v>
      </c>
      <c r="L26" s="77"/>
      <c r="M26" s="77"/>
      <c r="N26" s="77"/>
      <c r="O26" s="191"/>
    </row>
    <row r="27" s="1" customFormat="1" ht="18" customHeight="1" spans="1:15">
      <c r="A27" s="42">
        <v>43800</v>
      </c>
      <c r="B27" s="25">
        <f t="shared" si="3"/>
        <v>3590</v>
      </c>
      <c r="C27" s="43"/>
      <c r="D27" s="44" t="s">
        <v>44</v>
      </c>
      <c r="E27" s="45"/>
      <c r="F27" s="25">
        <f t="shared" si="4"/>
        <v>0</v>
      </c>
      <c r="G27" s="178">
        <v>3590</v>
      </c>
      <c r="H27" s="30"/>
      <c r="I27" s="31"/>
      <c r="J27" s="40"/>
      <c r="K27" s="190" t="s">
        <v>55</v>
      </c>
      <c r="L27" s="77" t="s">
        <v>56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3"/>
        <v>11518.87</v>
      </c>
      <c r="C28" s="43"/>
      <c r="D28" s="44" t="s">
        <v>38</v>
      </c>
      <c r="E28" s="47">
        <v>0.06</v>
      </c>
      <c r="F28" s="25">
        <f t="shared" si="4"/>
        <v>691.13</v>
      </c>
      <c r="G28" s="178">
        <f>1207+1069+372+1480+1468+1278+1095+955+1360+742+1184</f>
        <v>12210</v>
      </c>
      <c r="H28" s="30"/>
      <c r="I28" s="31"/>
      <c r="J28" s="40"/>
      <c r="K28" s="190" t="s">
        <v>57</v>
      </c>
      <c r="L28" s="77" t="s">
        <v>58</v>
      </c>
      <c r="M28" s="77"/>
      <c r="N28" s="77"/>
      <c r="O28" s="191"/>
    </row>
    <row r="29" s="1" customFormat="1" ht="18" customHeight="1" spans="1:15">
      <c r="A29" s="42">
        <v>43800</v>
      </c>
      <c r="B29" s="25">
        <f t="shared" si="3"/>
        <v>1855</v>
      </c>
      <c r="C29" s="43"/>
      <c r="D29" s="44" t="s">
        <v>59</v>
      </c>
      <c r="E29" s="47"/>
      <c r="F29" s="25">
        <f t="shared" si="4"/>
        <v>0</v>
      </c>
      <c r="G29" s="178">
        <v>1855</v>
      </c>
      <c r="H29" s="30"/>
      <c r="I29" s="31"/>
      <c r="J29" s="40"/>
      <c r="K29" s="190" t="s">
        <v>57</v>
      </c>
      <c r="L29" s="77" t="s">
        <v>58</v>
      </c>
      <c r="M29" s="77"/>
      <c r="N29" s="77"/>
      <c r="O29" s="191"/>
    </row>
    <row r="30" s="1" customFormat="1" ht="18" customHeight="1" spans="1:15">
      <c r="A30" s="42"/>
      <c r="B30" s="25">
        <f t="shared" si="3"/>
        <v>0</v>
      </c>
      <c r="C30" s="43"/>
      <c r="D30" s="44"/>
      <c r="E30" s="45"/>
      <c r="F30" s="25">
        <f t="shared" si="4"/>
        <v>0</v>
      </c>
      <c r="G30" s="178"/>
      <c r="H30" s="30">
        <v>43819</v>
      </c>
      <c r="I30" s="31">
        <v>1000000</v>
      </c>
      <c r="J30" s="40" t="s">
        <v>45</v>
      </c>
      <c r="K30" s="190" t="s">
        <v>60</v>
      </c>
      <c r="L30" s="77" t="s">
        <v>61</v>
      </c>
      <c r="M30" s="77"/>
      <c r="N30" s="77"/>
      <c r="O30" s="191"/>
    </row>
    <row r="31" s="2" customFormat="1" ht="18" customHeight="1" spans="1:15">
      <c r="A31" s="50"/>
      <c r="B31" s="51">
        <f t="shared" si="3"/>
        <v>0</v>
      </c>
      <c r="C31" s="52"/>
      <c r="D31" s="53"/>
      <c r="E31" s="181"/>
      <c r="F31" s="51">
        <f t="shared" si="4"/>
        <v>0</v>
      </c>
      <c r="G31" s="51"/>
      <c r="H31" s="182">
        <v>43819</v>
      </c>
      <c r="I31" s="141">
        <v>-1000000</v>
      </c>
      <c r="J31" s="75" t="s">
        <v>45</v>
      </c>
      <c r="K31" s="193" t="s">
        <v>62</v>
      </c>
      <c r="L31" s="78" t="s">
        <v>63</v>
      </c>
      <c r="M31" s="78"/>
      <c r="N31" s="78"/>
      <c r="O31" s="194"/>
    </row>
    <row r="32" s="2" customFormat="1" ht="18" customHeight="1" spans="1:15">
      <c r="A32" s="50">
        <v>43800</v>
      </c>
      <c r="B32" s="51">
        <f t="shared" si="3"/>
        <v>442477.88</v>
      </c>
      <c r="C32" s="52"/>
      <c r="D32" s="53" t="s">
        <v>38</v>
      </c>
      <c r="E32" s="183">
        <v>0.13</v>
      </c>
      <c r="F32" s="51">
        <f t="shared" si="4"/>
        <v>57522.12</v>
      </c>
      <c r="G32" s="51">
        <v>500000</v>
      </c>
      <c r="H32" s="57">
        <v>43830</v>
      </c>
      <c r="I32" s="33">
        <v>300000</v>
      </c>
      <c r="J32" s="86" t="s">
        <v>22</v>
      </c>
      <c r="K32" s="195" t="s">
        <v>42</v>
      </c>
      <c r="L32" s="78" t="s">
        <v>64</v>
      </c>
      <c r="M32" s="78" t="s">
        <v>41</v>
      </c>
      <c r="N32" s="78" t="s">
        <v>65</v>
      </c>
      <c r="O32" s="194">
        <v>729.95</v>
      </c>
    </row>
    <row r="33" s="2" customFormat="1" ht="18" customHeight="1" spans="1:15">
      <c r="A33" s="50">
        <v>43800</v>
      </c>
      <c r="B33" s="51">
        <f t="shared" si="3"/>
        <v>485436.89</v>
      </c>
      <c r="C33" s="52"/>
      <c r="D33" s="53" t="s">
        <v>38</v>
      </c>
      <c r="E33" s="183">
        <v>0.03</v>
      </c>
      <c r="F33" s="51">
        <f t="shared" si="4"/>
        <v>14563.11</v>
      </c>
      <c r="G33" s="51">
        <v>500000</v>
      </c>
      <c r="H33" s="57">
        <v>43846</v>
      </c>
      <c r="I33" s="33">
        <v>390000</v>
      </c>
      <c r="J33" s="86" t="s">
        <v>22</v>
      </c>
      <c r="K33" s="195" t="s">
        <v>39</v>
      </c>
      <c r="L33" s="78" t="s">
        <v>51</v>
      </c>
      <c r="M33" s="78"/>
      <c r="N33" s="78"/>
      <c r="O33" s="194"/>
    </row>
    <row r="34" s="2" customFormat="1" ht="18" customHeight="1" spans="1:15">
      <c r="A34" s="50">
        <v>43800</v>
      </c>
      <c r="B34" s="51">
        <f t="shared" si="3"/>
        <v>1200000</v>
      </c>
      <c r="C34" s="52"/>
      <c r="D34" s="53" t="s">
        <v>66</v>
      </c>
      <c r="E34" s="183"/>
      <c r="F34" s="51">
        <f t="shared" si="4"/>
        <v>0</v>
      </c>
      <c r="G34" s="51">
        <v>1200000</v>
      </c>
      <c r="H34" s="57"/>
      <c r="I34" s="33"/>
      <c r="J34" s="86"/>
      <c r="K34" s="195" t="s">
        <v>67</v>
      </c>
      <c r="L34" s="78"/>
      <c r="M34" s="78"/>
      <c r="N34" s="78"/>
      <c r="O34" s="194"/>
    </row>
    <row r="35" s="2" customFormat="1" ht="18" customHeight="1" spans="1:15">
      <c r="A35" s="50">
        <v>43831</v>
      </c>
      <c r="B35" s="51">
        <f t="shared" si="3"/>
        <v>265486.73</v>
      </c>
      <c r="C35" s="52"/>
      <c r="D35" s="53" t="s">
        <v>38</v>
      </c>
      <c r="E35" s="183">
        <v>0.13</v>
      </c>
      <c r="F35" s="51">
        <f t="shared" si="4"/>
        <v>34513.27</v>
      </c>
      <c r="G35" s="51">
        <f>3*100000</f>
        <v>300000</v>
      </c>
      <c r="H35" s="57">
        <v>43846</v>
      </c>
      <c r="I35" s="33">
        <v>300000</v>
      </c>
      <c r="J35" s="86" t="s">
        <v>22</v>
      </c>
      <c r="K35" s="195" t="s">
        <v>42</v>
      </c>
      <c r="L35" s="78" t="s">
        <v>68</v>
      </c>
      <c r="M35" s="78" t="s">
        <v>41</v>
      </c>
      <c r="N35" s="78" t="s">
        <v>69</v>
      </c>
      <c r="O35" s="194">
        <v>426</v>
      </c>
    </row>
    <row r="36" s="2" customFormat="1" ht="18" customHeight="1" spans="1:15">
      <c r="A36" s="50">
        <v>43831</v>
      </c>
      <c r="B36" s="51">
        <f t="shared" si="3"/>
        <v>600000</v>
      </c>
      <c r="C36" s="52"/>
      <c r="D36" s="53" t="s">
        <v>66</v>
      </c>
      <c r="E36" s="183"/>
      <c r="F36" s="51">
        <f t="shared" si="4"/>
        <v>0</v>
      </c>
      <c r="G36" s="33">
        <v>600000</v>
      </c>
      <c r="H36" s="57"/>
      <c r="I36" s="33"/>
      <c r="J36" s="86"/>
      <c r="K36" s="196" t="s">
        <v>70</v>
      </c>
      <c r="L36" s="78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3"/>
        <v>600000</v>
      </c>
      <c r="C37" s="52"/>
      <c r="D37" s="53" t="s">
        <v>66</v>
      </c>
      <c r="E37" s="183"/>
      <c r="F37" s="51">
        <f t="shared" si="4"/>
        <v>0</v>
      </c>
      <c r="G37" s="33">
        <v>600000</v>
      </c>
      <c r="H37" s="57">
        <v>43852</v>
      </c>
      <c r="I37" s="33">
        <v>400000</v>
      </c>
      <c r="J37" s="86" t="s">
        <v>45</v>
      </c>
      <c r="K37" s="196" t="s">
        <v>72</v>
      </c>
      <c r="L37" s="78" t="s">
        <v>71</v>
      </c>
      <c r="M37" s="78"/>
      <c r="N37" s="78"/>
      <c r="O37" s="194"/>
    </row>
    <row r="38" s="2" customFormat="1" ht="18" customHeight="1" spans="1:15">
      <c r="A38" s="50">
        <v>43831</v>
      </c>
      <c r="B38" s="51">
        <f t="shared" si="3"/>
        <v>733944.95</v>
      </c>
      <c r="C38" s="52"/>
      <c r="D38" s="53" t="s">
        <v>38</v>
      </c>
      <c r="E38" s="183">
        <v>0.09</v>
      </c>
      <c r="F38" s="51">
        <f t="shared" si="4"/>
        <v>66055.05</v>
      </c>
      <c r="G38" s="33">
        <v>800000</v>
      </c>
      <c r="H38" s="57"/>
      <c r="I38" s="33"/>
      <c r="J38" s="86"/>
      <c r="K38" s="196" t="s">
        <v>73</v>
      </c>
      <c r="L38" s="78" t="s">
        <v>74</v>
      </c>
      <c r="M38" s="78" t="s">
        <v>41</v>
      </c>
      <c r="N38" s="78" t="s">
        <v>41</v>
      </c>
      <c r="O38" s="194"/>
    </row>
    <row r="39" s="2" customFormat="1" ht="18" customHeight="1" spans="1:15">
      <c r="A39" s="50"/>
      <c r="B39" s="51">
        <f t="shared" si="3"/>
        <v>0</v>
      </c>
      <c r="C39" s="52"/>
      <c r="D39" s="53"/>
      <c r="E39" s="183"/>
      <c r="F39" s="51">
        <f t="shared" si="4"/>
        <v>0</v>
      </c>
      <c r="G39" s="33"/>
      <c r="H39" s="57">
        <v>43850</v>
      </c>
      <c r="I39" s="33">
        <v>200000</v>
      </c>
      <c r="J39" s="86" t="s">
        <v>45</v>
      </c>
      <c r="K39" s="195" t="s">
        <v>60</v>
      </c>
      <c r="L39" s="78"/>
      <c r="M39" s="78"/>
      <c r="N39" s="78"/>
      <c r="O39" s="194"/>
    </row>
    <row r="40" s="2" customFormat="1" ht="18" customHeight="1" spans="1:15">
      <c r="A40" s="50"/>
      <c r="B40" s="51">
        <f t="shared" si="3"/>
        <v>0</v>
      </c>
      <c r="C40" s="52"/>
      <c r="D40" s="53"/>
      <c r="E40" s="183"/>
      <c r="F40" s="51">
        <f t="shared" si="4"/>
        <v>0</v>
      </c>
      <c r="G40" s="33"/>
      <c r="H40" s="57">
        <v>43853</v>
      </c>
      <c r="I40" s="33">
        <v>500000</v>
      </c>
      <c r="J40" s="86" t="s">
        <v>22</v>
      </c>
      <c r="K40" s="195" t="s">
        <v>73</v>
      </c>
      <c r="L40" s="78" t="s">
        <v>75</v>
      </c>
      <c r="M40" s="78"/>
      <c r="N40" s="78"/>
      <c r="O40" s="194"/>
    </row>
    <row r="41" s="2" customFormat="1" ht="18" customHeight="1" spans="1:15">
      <c r="A41" s="50"/>
      <c r="B41" s="51">
        <f t="shared" si="3"/>
        <v>0</v>
      </c>
      <c r="C41" s="52"/>
      <c r="D41" s="53"/>
      <c r="E41" s="183"/>
      <c r="F41" s="51">
        <f t="shared" si="4"/>
        <v>0</v>
      </c>
      <c r="G41" s="33"/>
      <c r="H41" s="57">
        <v>43853</v>
      </c>
      <c r="I41" s="33">
        <v>600000</v>
      </c>
      <c r="J41" s="86" t="s">
        <v>45</v>
      </c>
      <c r="K41" s="195" t="s">
        <v>70</v>
      </c>
      <c r="L41" s="78" t="s">
        <v>71</v>
      </c>
      <c r="M41" s="78"/>
      <c r="N41" s="78"/>
      <c r="O41" s="194"/>
    </row>
    <row r="42" s="2" customFormat="1" ht="18" customHeight="1" spans="1:15">
      <c r="A42" s="50"/>
      <c r="B42" s="51">
        <f t="shared" si="3"/>
        <v>0</v>
      </c>
      <c r="C42" s="52"/>
      <c r="D42" s="53"/>
      <c r="E42" s="183"/>
      <c r="F42" s="51">
        <f t="shared" si="4"/>
        <v>0</v>
      </c>
      <c r="G42" s="33"/>
      <c r="H42" s="57">
        <v>43853</v>
      </c>
      <c r="I42" s="33">
        <v>200000</v>
      </c>
      <c r="J42" s="86" t="s">
        <v>45</v>
      </c>
      <c r="K42" s="195" t="s">
        <v>72</v>
      </c>
      <c r="L42" s="78" t="s">
        <v>71</v>
      </c>
      <c r="M42" s="78"/>
      <c r="N42" s="78"/>
      <c r="O42" s="194"/>
    </row>
    <row r="43" s="2" customFormat="1" ht="18" customHeight="1" spans="1:15">
      <c r="A43" s="50">
        <v>43891</v>
      </c>
      <c r="B43" s="51">
        <f t="shared" si="3"/>
        <v>485436.89</v>
      </c>
      <c r="C43" s="52"/>
      <c r="D43" s="53" t="s">
        <v>38</v>
      </c>
      <c r="E43" s="183">
        <v>0.03</v>
      </c>
      <c r="F43" s="51">
        <f t="shared" si="4"/>
        <v>14563.11</v>
      </c>
      <c r="G43" s="33">
        <v>500000</v>
      </c>
      <c r="H43" s="57">
        <v>43923</v>
      </c>
      <c r="I43" s="33">
        <v>320000</v>
      </c>
      <c r="J43" s="86" t="s">
        <v>22</v>
      </c>
      <c r="K43" s="195" t="s">
        <v>39</v>
      </c>
      <c r="L43" s="78" t="s">
        <v>40</v>
      </c>
      <c r="M43" s="78"/>
      <c r="N43" s="78"/>
      <c r="O43" s="194"/>
    </row>
    <row r="44" s="2" customFormat="1" ht="18" customHeight="1" spans="1:15">
      <c r="A44" s="50">
        <v>43922</v>
      </c>
      <c r="B44" s="51">
        <f t="shared" si="3"/>
        <v>265486.73</v>
      </c>
      <c r="C44" s="52"/>
      <c r="D44" s="53" t="s">
        <v>38</v>
      </c>
      <c r="E44" s="183">
        <v>0.13</v>
      </c>
      <c r="F44" s="51">
        <f t="shared" si="4"/>
        <v>34513.27</v>
      </c>
      <c r="G44" s="33">
        <v>300000</v>
      </c>
      <c r="H44" s="58"/>
      <c r="I44" s="197"/>
      <c r="J44" s="89"/>
      <c r="K44" s="198" t="s">
        <v>42</v>
      </c>
      <c r="L44" s="91" t="s">
        <v>68</v>
      </c>
      <c r="M44" s="78"/>
      <c r="N44" s="78"/>
      <c r="O44" s="194"/>
    </row>
    <row r="45" s="1" customFormat="1" ht="18" customHeight="1" spans="1:15">
      <c r="A45" s="42">
        <v>43983</v>
      </c>
      <c r="B45" s="51">
        <f t="shared" si="3"/>
        <v>150500</v>
      </c>
      <c r="C45" s="43"/>
      <c r="D45" s="44" t="s">
        <v>66</v>
      </c>
      <c r="E45" s="47"/>
      <c r="F45" s="51">
        <f t="shared" si="4"/>
        <v>0</v>
      </c>
      <c r="G45" s="184">
        <v>150500</v>
      </c>
      <c r="H45" s="58">
        <v>43986</v>
      </c>
      <c r="I45" s="197">
        <v>150500</v>
      </c>
      <c r="J45" s="89" t="s">
        <v>152</v>
      </c>
      <c r="K45" s="198" t="s">
        <v>153</v>
      </c>
      <c r="L45" s="91" t="s">
        <v>154</v>
      </c>
      <c r="M45" s="77" t="s">
        <v>41</v>
      </c>
      <c r="N45" s="77" t="s">
        <v>41</v>
      </c>
      <c r="O45" s="191"/>
    </row>
    <row r="46" s="1" customFormat="1" ht="18" customHeight="1" spans="1:15">
      <c r="A46" s="42">
        <v>43983</v>
      </c>
      <c r="B46" s="51">
        <f t="shared" si="3"/>
        <v>154000</v>
      </c>
      <c r="C46" s="43"/>
      <c r="D46" s="44" t="s">
        <v>66</v>
      </c>
      <c r="E46" s="47"/>
      <c r="F46" s="51">
        <f t="shared" si="4"/>
        <v>0</v>
      </c>
      <c r="G46" s="184">
        <v>154000</v>
      </c>
      <c r="H46" s="58">
        <v>43986</v>
      </c>
      <c r="I46" s="197">
        <v>150000</v>
      </c>
      <c r="J46" s="89" t="s">
        <v>22</v>
      </c>
      <c r="K46" s="198" t="s">
        <v>156</v>
      </c>
      <c r="L46" s="91" t="s">
        <v>157</v>
      </c>
      <c r="M46" s="77" t="s">
        <v>41</v>
      </c>
      <c r="N46" s="77" t="s">
        <v>41</v>
      </c>
      <c r="O46" s="191"/>
    </row>
    <row r="47" s="1" customFormat="1" ht="18" customHeight="1" spans="1:15">
      <c r="A47" s="42"/>
      <c r="B47" s="51">
        <f t="shared" si="3"/>
        <v>0</v>
      </c>
      <c r="C47" s="43"/>
      <c r="D47" s="44"/>
      <c r="E47" s="47"/>
      <c r="F47" s="51">
        <f t="shared" si="4"/>
        <v>0</v>
      </c>
      <c r="G47" s="184"/>
      <c r="H47" s="58">
        <v>44067</v>
      </c>
      <c r="I47" s="197">
        <v>150000</v>
      </c>
      <c r="J47" s="89" t="s">
        <v>22</v>
      </c>
      <c r="K47" s="198" t="s">
        <v>39</v>
      </c>
      <c r="L47" s="91" t="s">
        <v>40</v>
      </c>
      <c r="M47" s="77"/>
      <c r="N47" s="77"/>
      <c r="O47" s="191"/>
    </row>
    <row r="48" s="1" customFormat="1" ht="18" customHeight="1" spans="1:15">
      <c r="A48" s="42">
        <v>44075</v>
      </c>
      <c r="B48" s="51">
        <f t="shared" si="3"/>
        <v>240000</v>
      </c>
      <c r="C48" s="43"/>
      <c r="D48" s="44" t="s">
        <v>66</v>
      </c>
      <c r="E48" s="47"/>
      <c r="F48" s="51">
        <f t="shared" si="4"/>
        <v>0</v>
      </c>
      <c r="G48" s="184">
        <f>90000+90000+60000</f>
        <v>240000</v>
      </c>
      <c r="H48" s="58">
        <v>44067</v>
      </c>
      <c r="I48" s="197">
        <v>240000</v>
      </c>
      <c r="J48" s="89" t="s">
        <v>22</v>
      </c>
      <c r="K48" s="198" t="s">
        <v>161</v>
      </c>
      <c r="L48" s="91" t="s">
        <v>162</v>
      </c>
      <c r="M48" s="77" t="s">
        <v>41</v>
      </c>
      <c r="N48" s="77" t="s">
        <v>41</v>
      </c>
      <c r="O48" s="191"/>
    </row>
    <row r="49" s="1" customFormat="1" ht="18" customHeight="1" spans="1:15">
      <c r="A49" s="42"/>
      <c r="B49" s="51">
        <f t="shared" si="3"/>
        <v>0</v>
      </c>
      <c r="C49" s="43"/>
      <c r="D49" s="44"/>
      <c r="E49" s="47"/>
      <c r="F49" s="51">
        <f t="shared" si="4"/>
        <v>0</v>
      </c>
      <c r="G49" s="184"/>
      <c r="H49" s="58"/>
      <c r="I49" s="199">
        <v>-1000000</v>
      </c>
      <c r="J49" s="200" t="s">
        <v>170</v>
      </c>
      <c r="K49" s="201" t="s">
        <v>63</v>
      </c>
      <c r="L49" s="90" t="s">
        <v>63</v>
      </c>
      <c r="M49" s="77"/>
      <c r="N49" s="77"/>
      <c r="O49" s="191"/>
    </row>
    <row r="50" s="1" customFormat="1" ht="18" customHeight="1" spans="1:15">
      <c r="A50" s="42"/>
      <c r="B50" s="51">
        <f t="shared" si="3"/>
        <v>0</v>
      </c>
      <c r="C50" s="43"/>
      <c r="D50" s="44"/>
      <c r="E50" s="47"/>
      <c r="F50" s="51">
        <f t="shared" si="4"/>
        <v>0</v>
      </c>
      <c r="G50" s="184"/>
      <c r="H50" s="58">
        <v>44081</v>
      </c>
      <c r="I50" s="197">
        <v>100000</v>
      </c>
      <c r="J50" s="89" t="s">
        <v>22</v>
      </c>
      <c r="K50" s="198" t="s">
        <v>171</v>
      </c>
      <c r="L50" s="90" t="s">
        <v>63</v>
      </c>
      <c r="M50" s="77">
        <v>100000</v>
      </c>
      <c r="N50" s="77"/>
      <c r="O50" s="191"/>
    </row>
    <row r="51" s="1" customFormat="1" ht="18" customHeight="1" spans="1:15">
      <c r="A51" s="42"/>
      <c r="B51" s="51">
        <f t="shared" si="3"/>
        <v>0</v>
      </c>
      <c r="C51" s="43"/>
      <c r="D51" s="44"/>
      <c r="E51" s="47"/>
      <c r="F51" s="51">
        <f t="shared" si="4"/>
        <v>0</v>
      </c>
      <c r="G51" s="184"/>
      <c r="H51" s="57">
        <v>44084</v>
      </c>
      <c r="I51" s="33">
        <v>200000</v>
      </c>
      <c r="J51" s="86" t="s">
        <v>22</v>
      </c>
      <c r="K51" s="195" t="s">
        <v>161</v>
      </c>
      <c r="L51" s="90" t="s">
        <v>63</v>
      </c>
      <c r="M51" s="77">
        <v>200000</v>
      </c>
      <c r="N51" s="77"/>
      <c r="O51" s="191"/>
    </row>
    <row r="52" s="1" customFormat="1" ht="18" customHeight="1" spans="1:15">
      <c r="A52" s="42">
        <v>44075</v>
      </c>
      <c r="B52" s="51">
        <f t="shared" si="3"/>
        <v>283.02</v>
      </c>
      <c r="C52" s="43"/>
      <c r="D52" s="44" t="s">
        <v>38</v>
      </c>
      <c r="E52" s="47">
        <v>0.06</v>
      </c>
      <c r="F52" s="51">
        <f t="shared" si="4"/>
        <v>16.98</v>
      </c>
      <c r="G52" s="184">
        <v>300</v>
      </c>
      <c r="H52" s="58"/>
      <c r="I52" s="197"/>
      <c r="J52" s="89"/>
      <c r="K52" s="198" t="s">
        <v>172</v>
      </c>
      <c r="L52" s="90" t="s">
        <v>173</v>
      </c>
      <c r="N52" s="77"/>
      <c r="O52" s="191"/>
    </row>
    <row r="53" s="1" customFormat="1" ht="18" customHeight="1" spans="1:15">
      <c r="A53" s="42"/>
      <c r="B53" s="51">
        <f t="shared" si="3"/>
        <v>0</v>
      </c>
      <c r="C53" s="43"/>
      <c r="D53" s="44"/>
      <c r="E53" s="47"/>
      <c r="F53" s="51">
        <f t="shared" si="4"/>
        <v>0</v>
      </c>
      <c r="G53" s="184"/>
      <c r="H53" s="57">
        <v>44091</v>
      </c>
      <c r="I53" s="33">
        <v>80000</v>
      </c>
      <c r="J53" s="86" t="s">
        <v>22</v>
      </c>
      <c r="K53" s="195" t="s">
        <v>176</v>
      </c>
      <c r="L53" s="90" t="s">
        <v>63</v>
      </c>
      <c r="M53" s="77">
        <v>80000</v>
      </c>
      <c r="N53" s="77"/>
      <c r="O53" s="191"/>
    </row>
    <row r="54" s="1" customFormat="1" ht="18" customHeight="1" spans="1:15">
      <c r="A54" s="42"/>
      <c r="B54" s="51">
        <f t="shared" si="3"/>
        <v>0</v>
      </c>
      <c r="C54" s="43"/>
      <c r="D54" s="44"/>
      <c r="E54" s="47"/>
      <c r="F54" s="51">
        <f t="shared" si="4"/>
        <v>0</v>
      </c>
      <c r="G54" s="184"/>
      <c r="H54" s="57">
        <v>44095</v>
      </c>
      <c r="I54" s="33">
        <v>100000</v>
      </c>
      <c r="J54" s="86" t="s">
        <v>22</v>
      </c>
      <c r="K54" s="195" t="s">
        <v>171</v>
      </c>
      <c r="L54" s="53" t="s">
        <v>63</v>
      </c>
      <c r="M54" s="77">
        <v>100000</v>
      </c>
      <c r="N54" s="77"/>
      <c r="O54" s="191"/>
    </row>
    <row r="55" s="1" customFormat="1" ht="18" customHeight="1" spans="1:15">
      <c r="A55" s="42"/>
      <c r="B55" s="51">
        <f t="shared" si="3"/>
        <v>0</v>
      </c>
      <c r="C55" s="43"/>
      <c r="D55" s="44"/>
      <c r="E55" s="47"/>
      <c r="F55" s="51">
        <f t="shared" si="4"/>
        <v>0</v>
      </c>
      <c r="G55" s="184"/>
      <c r="H55" s="57">
        <v>44096</v>
      </c>
      <c r="I55" s="33">
        <v>200000</v>
      </c>
      <c r="J55" s="86" t="s">
        <v>22</v>
      </c>
      <c r="K55" s="195" t="s">
        <v>161</v>
      </c>
      <c r="L55" s="53" t="s">
        <v>63</v>
      </c>
      <c r="M55" s="77">
        <v>200000</v>
      </c>
      <c r="N55" s="77"/>
      <c r="O55" s="191"/>
    </row>
    <row r="56" s="1" customFormat="1" ht="18" customHeight="1" spans="1:15">
      <c r="A56" s="42"/>
      <c r="B56" s="51">
        <f t="shared" si="3"/>
        <v>0</v>
      </c>
      <c r="C56" s="43"/>
      <c r="D56" s="44"/>
      <c r="E56" s="47"/>
      <c r="F56" s="51">
        <f t="shared" si="4"/>
        <v>0</v>
      </c>
      <c r="G56" s="184"/>
      <c r="H56" s="57">
        <v>44098</v>
      </c>
      <c r="I56" s="33">
        <v>100000</v>
      </c>
      <c r="J56" s="86" t="s">
        <v>22</v>
      </c>
      <c r="K56" s="195" t="s">
        <v>171</v>
      </c>
      <c r="L56" s="53" t="s">
        <v>63</v>
      </c>
      <c r="M56" s="77">
        <v>100000</v>
      </c>
      <c r="N56" s="77"/>
      <c r="O56" s="191"/>
    </row>
    <row r="57" s="1" customFormat="1" ht="18" customHeight="1" spans="1:15">
      <c r="A57" s="42">
        <v>44101</v>
      </c>
      <c r="B57" s="51">
        <f t="shared" si="3"/>
        <v>269289.82</v>
      </c>
      <c r="C57" s="43">
        <v>3</v>
      </c>
      <c r="D57" s="44" t="s">
        <v>38</v>
      </c>
      <c r="E57" s="47">
        <v>0.13</v>
      </c>
      <c r="F57" s="51">
        <f t="shared" si="4"/>
        <v>35007.68</v>
      </c>
      <c r="G57" s="184">
        <v>304297.5</v>
      </c>
      <c r="H57" s="57">
        <v>44101</v>
      </c>
      <c r="I57" s="33">
        <v>120000</v>
      </c>
      <c r="J57" s="86" t="s">
        <v>22</v>
      </c>
      <c r="K57" s="195" t="s">
        <v>171</v>
      </c>
      <c r="L57" s="53" t="s">
        <v>63</v>
      </c>
      <c r="M57" s="77">
        <v>120000</v>
      </c>
      <c r="N57" s="77"/>
      <c r="O57" s="191"/>
    </row>
    <row r="58" s="1" customFormat="1" ht="18" customHeight="1" spans="1:15">
      <c r="A58" s="42">
        <v>44101</v>
      </c>
      <c r="B58" s="51">
        <f t="shared" si="3"/>
        <v>310050</v>
      </c>
      <c r="C58" s="43">
        <v>4</v>
      </c>
      <c r="D58" s="44"/>
      <c r="E58" s="47"/>
      <c r="F58" s="51">
        <f t="shared" si="4"/>
        <v>0</v>
      </c>
      <c r="G58" s="184">
        <v>310050</v>
      </c>
      <c r="H58" s="57">
        <v>44103</v>
      </c>
      <c r="I58" s="33">
        <v>100000</v>
      </c>
      <c r="J58" s="86" t="s">
        <v>22</v>
      </c>
      <c r="K58" s="195" t="s">
        <v>161</v>
      </c>
      <c r="L58" s="53" t="s">
        <v>179</v>
      </c>
      <c r="M58" s="77">
        <v>100000</v>
      </c>
      <c r="N58" s="77"/>
      <c r="O58" s="191"/>
    </row>
    <row r="59" s="1" customFormat="1" ht="18" customHeight="1" spans="1:15">
      <c r="A59" s="42">
        <v>44101</v>
      </c>
      <c r="B59" s="51">
        <f t="shared" si="3"/>
        <v>290020.85</v>
      </c>
      <c r="C59" s="43">
        <v>4</v>
      </c>
      <c r="D59" s="44"/>
      <c r="E59" s="47"/>
      <c r="F59" s="51">
        <f t="shared" si="4"/>
        <v>0</v>
      </c>
      <c r="G59" s="184">
        <v>290020.85</v>
      </c>
      <c r="H59" s="57"/>
      <c r="I59" s="33"/>
      <c r="J59" s="86"/>
      <c r="K59" s="195" t="s">
        <v>161</v>
      </c>
      <c r="L59" s="53" t="s">
        <v>180</v>
      </c>
      <c r="M59" s="77"/>
      <c r="N59" s="77"/>
      <c r="O59" s="191"/>
    </row>
    <row r="60" s="1" customFormat="1" ht="18" customHeight="1" spans="1:15">
      <c r="A60" s="42">
        <v>44075</v>
      </c>
      <c r="B60" s="51">
        <f t="shared" si="3"/>
        <v>110511.5</v>
      </c>
      <c r="C60" s="43">
        <v>2</v>
      </c>
      <c r="D60" s="44" t="s">
        <v>38</v>
      </c>
      <c r="E60" s="47">
        <v>0.13</v>
      </c>
      <c r="F60" s="51">
        <f t="shared" si="4"/>
        <v>14366.5</v>
      </c>
      <c r="G60" s="184">
        <f>46878+78000</f>
        <v>124878</v>
      </c>
      <c r="H60" s="57"/>
      <c r="I60" s="33"/>
      <c r="J60" s="86"/>
      <c r="K60" s="195" t="s">
        <v>171</v>
      </c>
      <c r="L60" s="53" t="s">
        <v>53</v>
      </c>
      <c r="M60" s="77"/>
      <c r="N60" s="77" t="s">
        <v>41</v>
      </c>
      <c r="O60" s="191"/>
    </row>
    <row r="61" s="1" customFormat="1" ht="18" customHeight="1" spans="1:15">
      <c r="A61" s="42"/>
      <c r="B61" s="51">
        <f t="shared" si="3"/>
        <v>0</v>
      </c>
      <c r="C61" s="43"/>
      <c r="D61" s="44"/>
      <c r="E61" s="47"/>
      <c r="F61" s="51">
        <f t="shared" si="4"/>
        <v>0</v>
      </c>
      <c r="G61" s="184"/>
      <c r="H61" s="57">
        <v>44104</v>
      </c>
      <c r="I61" s="33">
        <v>200000</v>
      </c>
      <c r="J61" s="86" t="s">
        <v>22</v>
      </c>
      <c r="K61" s="195" t="s">
        <v>176</v>
      </c>
      <c r="L61" s="53" t="s">
        <v>53</v>
      </c>
      <c r="M61" s="77"/>
      <c r="N61" s="77"/>
      <c r="O61" s="191"/>
    </row>
    <row r="62" s="2" customFormat="1" ht="18" customHeight="1" spans="1:15">
      <c r="A62" s="50"/>
      <c r="B62" s="51"/>
      <c r="C62" s="52"/>
      <c r="D62" s="44"/>
      <c r="E62" s="47"/>
      <c r="F62" s="51"/>
      <c r="G62" s="185"/>
      <c r="H62" s="68">
        <v>44116</v>
      </c>
      <c r="I62" s="99">
        <v>100000</v>
      </c>
      <c r="J62" s="78" t="s">
        <v>22</v>
      </c>
      <c r="K62" s="202" t="s">
        <v>171</v>
      </c>
      <c r="L62" s="53" t="s">
        <v>53</v>
      </c>
      <c r="M62" s="194"/>
      <c r="N62" s="194"/>
      <c r="O62" s="194"/>
    </row>
    <row r="63" s="2" customFormat="1" ht="18" customHeight="1" spans="1:15">
      <c r="A63" s="50"/>
      <c r="B63" s="51"/>
      <c r="C63" s="52"/>
      <c r="D63" s="44"/>
      <c r="E63" s="56"/>
      <c r="F63" s="51"/>
      <c r="G63" s="185"/>
      <c r="H63" s="68">
        <v>44116</v>
      </c>
      <c r="I63" s="99">
        <v>145000</v>
      </c>
      <c r="J63" s="78" t="s">
        <v>22</v>
      </c>
      <c r="K63" s="202" t="s">
        <v>161</v>
      </c>
      <c r="L63" s="53" t="s">
        <v>180</v>
      </c>
      <c r="M63" s="194"/>
      <c r="N63" s="194"/>
      <c r="O63" s="194"/>
    </row>
    <row r="64" s="2" customFormat="1" ht="18" customHeight="1" spans="1:15">
      <c r="A64" s="50"/>
      <c r="B64" s="51"/>
      <c r="C64" s="52"/>
      <c r="D64" s="44"/>
      <c r="E64" s="56"/>
      <c r="F64" s="51"/>
      <c r="G64" s="185"/>
      <c r="H64" s="186">
        <v>44116</v>
      </c>
      <c r="I64" s="203">
        <v>-200000</v>
      </c>
      <c r="J64" s="96" t="s">
        <v>22</v>
      </c>
      <c r="K64" s="204" t="s">
        <v>184</v>
      </c>
      <c r="L64" s="205"/>
      <c r="M64" s="194"/>
      <c r="N64" s="194"/>
      <c r="O64" s="194"/>
    </row>
    <row r="65" s="2" customFormat="1" ht="18" customHeight="1" spans="1:15">
      <c r="A65" s="50"/>
      <c r="B65" s="51"/>
      <c r="C65" s="52"/>
      <c r="D65" s="44"/>
      <c r="E65" s="56"/>
      <c r="F65" s="51"/>
      <c r="G65" s="185"/>
      <c r="H65" s="186">
        <v>44117</v>
      </c>
      <c r="I65" s="203">
        <v>200000</v>
      </c>
      <c r="J65" s="96" t="s">
        <v>22</v>
      </c>
      <c r="K65" s="204" t="s">
        <v>185</v>
      </c>
      <c r="L65" s="207" t="s">
        <v>51</v>
      </c>
      <c r="M65" s="194"/>
      <c r="N65" s="194"/>
      <c r="O65" s="194"/>
    </row>
    <row r="66" s="2" customFormat="1" ht="18" customHeight="1" spans="1:15">
      <c r="A66" s="50"/>
      <c r="B66" s="51"/>
      <c r="C66" s="52"/>
      <c r="D66" s="44"/>
      <c r="E66" s="56"/>
      <c r="F66" s="51"/>
      <c r="G66" s="185"/>
      <c r="H66" s="68"/>
      <c r="I66" s="99"/>
      <c r="J66" s="78"/>
      <c r="K66" s="202" t="s">
        <v>185</v>
      </c>
      <c r="L66" s="108" t="s">
        <v>51</v>
      </c>
      <c r="M66" s="194"/>
      <c r="N66" s="194"/>
      <c r="O66" s="194"/>
    </row>
    <row r="67" s="2" customFormat="1" ht="18" customHeight="1" spans="1:15">
      <c r="A67" s="50"/>
      <c r="B67" s="51"/>
      <c r="C67" s="52"/>
      <c r="D67" s="44"/>
      <c r="E67" s="56"/>
      <c r="F67" s="51"/>
      <c r="G67" s="185"/>
      <c r="H67" s="68"/>
      <c r="I67" s="99"/>
      <c r="J67" s="78"/>
      <c r="K67" s="202"/>
      <c r="L67" s="108"/>
      <c r="M67" s="194"/>
      <c r="N67" s="194"/>
      <c r="O67" s="194"/>
    </row>
    <row r="68" s="1" customFormat="1" ht="18" customHeight="1" spans="1:15">
      <c r="A68" s="42"/>
      <c r="B68" s="51"/>
      <c r="C68" s="43"/>
      <c r="D68" s="44"/>
      <c r="E68" s="47"/>
      <c r="F68" s="51"/>
      <c r="G68" s="184"/>
      <c r="H68" s="57"/>
      <c r="I68" s="33"/>
      <c r="J68" s="86"/>
      <c r="K68" s="208"/>
      <c r="L68" s="209"/>
      <c r="M68" s="110"/>
      <c r="N68" s="191"/>
      <c r="O68" s="191"/>
    </row>
    <row r="69" s="1" customFormat="1" ht="18" customHeight="1" spans="1:15">
      <c r="A69" s="42"/>
      <c r="B69" s="51"/>
      <c r="C69" s="43"/>
      <c r="D69" s="44"/>
      <c r="E69" s="47"/>
      <c r="F69" s="51"/>
      <c r="G69" s="184"/>
      <c r="H69" s="206">
        <v>44117</v>
      </c>
      <c r="I69" s="210">
        <v>100</v>
      </c>
      <c r="J69" s="211" t="s">
        <v>77</v>
      </c>
      <c r="K69" s="212" t="s">
        <v>78</v>
      </c>
      <c r="L69" s="53"/>
      <c r="M69" s="110"/>
      <c r="N69" s="191"/>
      <c r="O69" s="191"/>
    </row>
    <row r="70" s="1" customFormat="1" ht="18" customHeight="1" spans="1:15">
      <c r="A70" s="42"/>
      <c r="B70" s="51"/>
      <c r="C70" s="43"/>
      <c r="D70" s="44"/>
      <c r="E70" s="47"/>
      <c r="F70" s="51"/>
      <c r="G70" s="184"/>
      <c r="H70" s="57">
        <v>44116</v>
      </c>
      <c r="I70" s="33">
        <v>200</v>
      </c>
      <c r="J70" s="86" t="s">
        <v>77</v>
      </c>
      <c r="K70" s="195" t="s">
        <v>78</v>
      </c>
      <c r="L70" s="213"/>
      <c r="M70" s="110"/>
      <c r="N70" s="191"/>
      <c r="O70" s="191"/>
    </row>
    <row r="71" s="1" customFormat="1" ht="18" customHeight="1" spans="1:15">
      <c r="A71" s="42"/>
      <c r="B71" s="51"/>
      <c r="C71" s="43"/>
      <c r="D71" s="44"/>
      <c r="E71" s="47"/>
      <c r="F71" s="51"/>
      <c r="G71" s="184"/>
      <c r="H71" s="57">
        <v>44104</v>
      </c>
      <c r="I71" s="33">
        <v>40970</v>
      </c>
      <c r="J71" s="86" t="s">
        <v>77</v>
      </c>
      <c r="K71" s="195" t="s">
        <v>183</v>
      </c>
      <c r="L71" s="53"/>
      <c r="M71" s="77"/>
      <c r="N71" s="77"/>
      <c r="O71" s="191"/>
    </row>
    <row r="72" s="1" customFormat="1" ht="18" customHeight="1" spans="1:15">
      <c r="A72" s="42"/>
      <c r="B72" s="51"/>
      <c r="C72" s="43"/>
      <c r="D72" s="44"/>
      <c r="E72" s="47"/>
      <c r="F72" s="51"/>
      <c r="G72" s="184"/>
      <c r="H72" s="57">
        <v>44104</v>
      </c>
      <c r="I72" s="33">
        <v>2500</v>
      </c>
      <c r="J72" s="86" t="s">
        <v>77</v>
      </c>
      <c r="K72" s="195" t="s">
        <v>105</v>
      </c>
      <c r="L72" s="53"/>
      <c r="M72" s="77"/>
      <c r="N72" s="77"/>
      <c r="O72" s="191"/>
    </row>
    <row r="73" s="2" customFormat="1" ht="18" customHeight="1" spans="1:15">
      <c r="A73" s="50"/>
      <c r="B73" s="51"/>
      <c r="C73" s="52"/>
      <c r="D73" s="53"/>
      <c r="E73" s="47"/>
      <c r="F73" s="51"/>
      <c r="G73" s="184"/>
      <c r="H73" s="57">
        <v>44104</v>
      </c>
      <c r="I73" s="214">
        <v>100</v>
      </c>
      <c r="J73" s="86" t="s">
        <v>77</v>
      </c>
      <c r="K73" s="195" t="s">
        <v>78</v>
      </c>
      <c r="L73" s="53"/>
      <c r="M73" s="78"/>
      <c r="N73" s="78"/>
      <c r="O73" s="194"/>
    </row>
    <row r="74" s="2" customFormat="1" ht="18" customHeight="1" spans="1:15">
      <c r="A74" s="50"/>
      <c r="B74" s="51"/>
      <c r="C74" s="52"/>
      <c r="D74" s="53"/>
      <c r="E74" s="47"/>
      <c r="F74" s="51"/>
      <c r="G74" s="184"/>
      <c r="H74" s="57">
        <v>44103</v>
      </c>
      <c r="I74" s="214">
        <v>100</v>
      </c>
      <c r="J74" s="86" t="s">
        <v>77</v>
      </c>
      <c r="K74" s="195" t="s">
        <v>78</v>
      </c>
      <c r="L74" s="53"/>
      <c r="M74" s="78"/>
      <c r="N74" s="78"/>
      <c r="O74" s="194"/>
    </row>
    <row r="75" s="2" customFormat="1" ht="18" customHeight="1" spans="1:15">
      <c r="A75" s="50"/>
      <c r="B75" s="51"/>
      <c r="C75" s="52"/>
      <c r="D75" s="53"/>
      <c r="E75" s="47"/>
      <c r="F75" s="51"/>
      <c r="G75" s="184"/>
      <c r="H75" s="57">
        <v>44101</v>
      </c>
      <c r="I75" s="214">
        <v>100</v>
      </c>
      <c r="J75" s="86" t="s">
        <v>77</v>
      </c>
      <c r="K75" s="195" t="s">
        <v>78</v>
      </c>
      <c r="L75" s="53" t="s">
        <v>63</v>
      </c>
      <c r="M75" s="78"/>
      <c r="N75" s="78"/>
      <c r="O75" s="194"/>
    </row>
    <row r="76" s="1" customFormat="1" ht="18" customHeight="1" spans="1:15">
      <c r="A76" s="42"/>
      <c r="B76" s="51"/>
      <c r="C76" s="43"/>
      <c r="D76" s="44"/>
      <c r="E76" s="47"/>
      <c r="F76" s="51"/>
      <c r="G76" s="184"/>
      <c r="H76" s="57">
        <v>44098</v>
      </c>
      <c r="I76" s="214">
        <v>100</v>
      </c>
      <c r="J76" s="86" t="s">
        <v>77</v>
      </c>
      <c r="K76" s="195" t="s">
        <v>78</v>
      </c>
      <c r="L76" s="53"/>
      <c r="M76" s="77"/>
      <c r="N76" s="77"/>
      <c r="O76" s="191"/>
    </row>
    <row r="77" s="1" customFormat="1" ht="18" customHeight="1" spans="1:15">
      <c r="A77" s="42"/>
      <c r="B77" s="51">
        <f t="shared" ref="B77:B93" si="5">ROUND(G77/(1+E77),2)</f>
        <v>0</v>
      </c>
      <c r="C77" s="43"/>
      <c r="D77" s="44"/>
      <c r="E77" s="47"/>
      <c r="F77" s="51">
        <f t="shared" ref="F77:F93" si="6">ROUND(G77/(1+E77)*E77,2)</f>
        <v>0</v>
      </c>
      <c r="G77" s="184"/>
      <c r="H77" s="57" t="s">
        <v>178</v>
      </c>
      <c r="I77" s="214">
        <v>100</v>
      </c>
      <c r="J77" s="86" t="s">
        <v>77</v>
      </c>
      <c r="K77" s="195" t="s">
        <v>78</v>
      </c>
      <c r="L77" s="53"/>
      <c r="M77" s="77"/>
      <c r="N77" s="77"/>
      <c r="O77" s="191"/>
    </row>
    <row r="78" s="1" customFormat="1" ht="18" customHeight="1" spans="1:15">
      <c r="A78" s="42"/>
      <c r="B78" s="51">
        <f t="shared" si="5"/>
        <v>0</v>
      </c>
      <c r="C78" s="43"/>
      <c r="D78" s="44"/>
      <c r="E78" s="47"/>
      <c r="F78" s="51">
        <f t="shared" si="6"/>
        <v>0</v>
      </c>
      <c r="G78" s="184"/>
      <c r="H78" s="57">
        <v>44095</v>
      </c>
      <c r="I78" s="33">
        <v>100</v>
      </c>
      <c r="J78" s="86" t="s">
        <v>77</v>
      </c>
      <c r="K78" s="195" t="s">
        <v>78</v>
      </c>
      <c r="L78" s="91"/>
      <c r="M78" s="77"/>
      <c r="N78" s="77"/>
      <c r="O78" s="191"/>
    </row>
    <row r="79" s="1" customFormat="1" ht="18" customHeight="1" spans="1:15">
      <c r="A79" s="42"/>
      <c r="B79" s="51">
        <f t="shared" si="5"/>
        <v>0</v>
      </c>
      <c r="C79" s="43"/>
      <c r="D79" s="44"/>
      <c r="E79" s="47"/>
      <c r="F79" s="51">
        <f t="shared" si="6"/>
        <v>0</v>
      </c>
      <c r="G79" s="184"/>
      <c r="H79" s="57" t="s">
        <v>177</v>
      </c>
      <c r="I79" s="33">
        <v>50</v>
      </c>
      <c r="J79" s="86" t="s">
        <v>77</v>
      </c>
      <c r="K79" s="195" t="s">
        <v>78</v>
      </c>
      <c r="L79" s="77"/>
      <c r="M79" s="77" t="s">
        <v>163</v>
      </c>
      <c r="N79" s="77"/>
      <c r="O79" s="191"/>
    </row>
    <row r="80" s="1" customFormat="1" ht="18" customHeight="1" spans="1:15">
      <c r="A80" s="42"/>
      <c r="B80" s="51">
        <f t="shared" si="5"/>
        <v>0</v>
      </c>
      <c r="C80" s="43"/>
      <c r="D80" s="44"/>
      <c r="E80" s="47"/>
      <c r="F80" s="51">
        <f t="shared" si="6"/>
        <v>0</v>
      </c>
      <c r="G80" s="184"/>
      <c r="H80" s="57" t="s">
        <v>174</v>
      </c>
      <c r="I80" s="33">
        <v>100</v>
      </c>
      <c r="J80" s="86" t="s">
        <v>77</v>
      </c>
      <c r="K80" s="195" t="s">
        <v>78</v>
      </c>
      <c r="L80" s="77"/>
      <c r="M80" s="77"/>
      <c r="N80" s="77"/>
      <c r="O80" s="191"/>
    </row>
    <row r="81" s="1" customFormat="1" ht="18" customHeight="1" spans="1:15">
      <c r="A81" s="42"/>
      <c r="B81" s="51">
        <f t="shared" si="5"/>
        <v>0</v>
      </c>
      <c r="C81" s="43"/>
      <c r="D81" s="44"/>
      <c r="E81" s="47"/>
      <c r="F81" s="51">
        <f t="shared" si="6"/>
        <v>0</v>
      </c>
      <c r="G81" s="184"/>
      <c r="H81" s="57" t="s">
        <v>175</v>
      </c>
      <c r="I81" s="33">
        <v>100</v>
      </c>
      <c r="J81" s="86" t="s">
        <v>77</v>
      </c>
      <c r="K81" s="195" t="s">
        <v>78</v>
      </c>
      <c r="L81" s="77"/>
      <c r="M81" s="77"/>
      <c r="N81" s="77"/>
      <c r="O81" s="191"/>
    </row>
    <row r="82" s="1" customFormat="1" ht="18" customHeight="1" spans="1:15">
      <c r="A82" s="42"/>
      <c r="B82" s="51">
        <f t="shared" si="5"/>
        <v>0</v>
      </c>
      <c r="C82" s="43"/>
      <c r="D82" s="44"/>
      <c r="E82" s="47"/>
      <c r="F82" s="51">
        <f t="shared" si="6"/>
        <v>0</v>
      </c>
      <c r="G82" s="184"/>
      <c r="H82" s="58" t="s">
        <v>164</v>
      </c>
      <c r="I82" s="197">
        <v>1192.9</v>
      </c>
      <c r="J82" s="89" t="s">
        <v>77</v>
      </c>
      <c r="K82" s="198" t="s">
        <v>165</v>
      </c>
      <c r="L82" s="77"/>
      <c r="M82" s="77"/>
      <c r="N82" s="77"/>
      <c r="O82" s="191"/>
    </row>
    <row r="83" s="1" customFormat="1" ht="18" customHeight="1" spans="1:15">
      <c r="A83" s="42"/>
      <c r="B83" s="51">
        <f t="shared" si="5"/>
        <v>0</v>
      </c>
      <c r="C83" s="43"/>
      <c r="D83" s="44"/>
      <c r="E83" s="47"/>
      <c r="F83" s="51">
        <f t="shared" si="6"/>
        <v>0</v>
      </c>
      <c r="G83" s="184"/>
      <c r="H83" s="58" t="s">
        <v>164</v>
      </c>
      <c r="I83" s="197">
        <v>200</v>
      </c>
      <c r="J83" s="89" t="s">
        <v>77</v>
      </c>
      <c r="K83" s="198" t="s">
        <v>78</v>
      </c>
      <c r="L83" s="77"/>
      <c r="M83" s="77"/>
      <c r="N83" s="77"/>
      <c r="O83" s="191"/>
    </row>
    <row r="84" s="1" customFormat="1" ht="18" customHeight="1" spans="1:15">
      <c r="A84" s="42"/>
      <c r="B84" s="51">
        <f t="shared" si="5"/>
        <v>2000</v>
      </c>
      <c r="C84" s="43"/>
      <c r="D84" s="44"/>
      <c r="E84" s="47"/>
      <c r="F84" s="51">
        <f t="shared" si="6"/>
        <v>0</v>
      </c>
      <c r="G84" s="184">
        <f>I84</f>
        <v>2000</v>
      </c>
      <c r="H84" s="58" t="s">
        <v>164</v>
      </c>
      <c r="I84" s="197">
        <v>2000</v>
      </c>
      <c r="J84" s="89" t="s">
        <v>77</v>
      </c>
      <c r="K84" s="198" t="s">
        <v>105</v>
      </c>
      <c r="L84" s="77"/>
      <c r="M84" s="77"/>
      <c r="N84" s="77"/>
      <c r="O84" s="191"/>
    </row>
    <row r="85" s="1" customFormat="1" ht="18" customHeight="1" spans="1:15">
      <c r="A85" s="42"/>
      <c r="B85" s="51">
        <f t="shared" si="5"/>
        <v>0</v>
      </c>
      <c r="C85" s="43"/>
      <c r="D85" s="44"/>
      <c r="E85" s="47"/>
      <c r="F85" s="51">
        <f t="shared" si="6"/>
        <v>0</v>
      </c>
      <c r="G85" s="184"/>
      <c r="H85" s="58" t="s">
        <v>164</v>
      </c>
      <c r="I85" s="197">
        <v>6400</v>
      </c>
      <c r="J85" s="89" t="s">
        <v>77</v>
      </c>
      <c r="K85" s="198" t="s">
        <v>186</v>
      </c>
      <c r="L85" s="77"/>
      <c r="M85" s="77"/>
      <c r="N85" s="77"/>
      <c r="O85" s="191"/>
    </row>
    <row r="86" s="1" customFormat="1" ht="18" customHeight="1" spans="1:15">
      <c r="A86" s="42"/>
      <c r="B86" s="51">
        <f t="shared" si="5"/>
        <v>0</v>
      </c>
      <c r="C86" s="43"/>
      <c r="D86" s="44"/>
      <c r="E86" s="47"/>
      <c r="F86" s="51">
        <f t="shared" si="6"/>
        <v>0</v>
      </c>
      <c r="G86" s="184"/>
      <c r="H86" s="58" t="s">
        <v>164</v>
      </c>
      <c r="I86" s="197">
        <v>221</v>
      </c>
      <c r="J86" s="89" t="s">
        <v>77</v>
      </c>
      <c r="K86" s="198" t="s">
        <v>187</v>
      </c>
      <c r="L86" s="77"/>
      <c r="M86" s="77"/>
      <c r="N86" s="77"/>
      <c r="O86" s="191"/>
    </row>
    <row r="87" s="1" customFormat="1" ht="18" customHeight="1" spans="1:15">
      <c r="A87" s="42"/>
      <c r="B87" s="51">
        <f t="shared" si="5"/>
        <v>0</v>
      </c>
      <c r="C87" s="43"/>
      <c r="D87" s="44"/>
      <c r="E87" s="47"/>
      <c r="F87" s="51">
        <f t="shared" si="6"/>
        <v>0</v>
      </c>
      <c r="G87" s="184"/>
      <c r="H87" s="58" t="s">
        <v>158</v>
      </c>
      <c r="I87" s="197">
        <v>100</v>
      </c>
      <c r="J87" s="89" t="s">
        <v>77</v>
      </c>
      <c r="K87" s="198" t="s">
        <v>78</v>
      </c>
      <c r="L87" s="77"/>
      <c r="M87" s="77"/>
      <c r="N87" s="77"/>
      <c r="O87" s="191"/>
    </row>
    <row r="88" s="1" customFormat="1" ht="18" customHeight="1" spans="1:15">
      <c r="A88" s="42"/>
      <c r="B88" s="51">
        <f t="shared" si="5"/>
        <v>0</v>
      </c>
      <c r="C88" s="43"/>
      <c r="D88" s="44"/>
      <c r="E88" s="47"/>
      <c r="F88" s="51">
        <f t="shared" si="6"/>
        <v>0</v>
      </c>
      <c r="G88" s="184"/>
      <c r="H88" s="58" t="s">
        <v>158</v>
      </c>
      <c r="I88" s="197">
        <v>100</v>
      </c>
      <c r="J88" s="89" t="s">
        <v>77</v>
      </c>
      <c r="K88" s="198" t="s">
        <v>78</v>
      </c>
      <c r="L88" s="77"/>
      <c r="M88" s="77"/>
      <c r="N88" s="77"/>
      <c r="O88" s="191"/>
    </row>
    <row r="89" s="1" customFormat="1" ht="18" customHeight="1" spans="1:15">
      <c r="A89" s="42"/>
      <c r="B89" s="51">
        <f t="shared" si="5"/>
        <v>0</v>
      </c>
      <c r="C89" s="43"/>
      <c r="D89" s="44"/>
      <c r="E89" s="47"/>
      <c r="F89" s="51">
        <f t="shared" si="6"/>
        <v>0</v>
      </c>
      <c r="G89" s="184"/>
      <c r="H89" s="57">
        <v>43923</v>
      </c>
      <c r="I89" s="33">
        <v>100</v>
      </c>
      <c r="J89" s="86" t="s">
        <v>77</v>
      </c>
      <c r="K89" s="195" t="s">
        <v>78</v>
      </c>
      <c r="L89" s="77"/>
      <c r="M89" s="77"/>
      <c r="N89" s="77"/>
      <c r="O89" s="191"/>
    </row>
    <row r="90" s="1" customFormat="1" ht="18" customHeight="1" spans="1:15">
      <c r="A90" s="42"/>
      <c r="B90" s="51">
        <f t="shared" si="5"/>
        <v>0</v>
      </c>
      <c r="C90" s="43"/>
      <c r="D90" s="44"/>
      <c r="E90" s="47"/>
      <c r="F90" s="51">
        <f t="shared" si="6"/>
        <v>0</v>
      </c>
      <c r="G90" s="184"/>
      <c r="H90" s="30" t="s">
        <v>79</v>
      </c>
      <c r="I90" s="31">
        <v>200</v>
      </c>
      <c r="J90" s="86" t="s">
        <v>77</v>
      </c>
      <c r="K90" s="195" t="s">
        <v>78</v>
      </c>
      <c r="L90" s="77"/>
      <c r="M90" s="77"/>
      <c r="N90" s="77"/>
      <c r="O90" s="191"/>
    </row>
    <row r="91" s="1" customFormat="1" ht="18" customHeight="1" spans="1:15">
      <c r="A91" s="42"/>
      <c r="B91" s="51">
        <f t="shared" si="5"/>
        <v>0</v>
      </c>
      <c r="C91" s="43"/>
      <c r="D91" s="44"/>
      <c r="E91" s="47"/>
      <c r="F91" s="25">
        <f t="shared" si="6"/>
        <v>0</v>
      </c>
      <c r="G91" s="184"/>
      <c r="H91" s="30" t="s">
        <v>79</v>
      </c>
      <c r="I91" s="210">
        <v>-88680</v>
      </c>
      <c r="J91" s="211" t="s">
        <v>80</v>
      </c>
      <c r="K91" s="190" t="s">
        <v>81</v>
      </c>
      <c r="L91" s="77"/>
      <c r="M91" s="77"/>
      <c r="N91" s="77"/>
      <c r="O91" s="191"/>
    </row>
    <row r="92" s="1" customFormat="1" ht="18" customHeight="1" spans="1:15">
      <c r="A92" s="42"/>
      <c r="B92" s="25">
        <f t="shared" si="5"/>
        <v>0</v>
      </c>
      <c r="C92" s="43"/>
      <c r="D92" s="44"/>
      <c r="E92" s="47"/>
      <c r="F92" s="25">
        <f t="shared" si="6"/>
        <v>0</v>
      </c>
      <c r="G92" s="184"/>
      <c r="H92" s="57" t="s">
        <v>82</v>
      </c>
      <c r="I92" s="33">
        <v>188304</v>
      </c>
      <c r="J92" s="86" t="s">
        <v>77</v>
      </c>
      <c r="K92" s="196" t="s">
        <v>83</v>
      </c>
      <c r="L92" s="78"/>
      <c r="M92" s="77"/>
      <c r="N92" s="77"/>
      <c r="O92" s="191"/>
    </row>
    <row r="93" s="1" customFormat="1" ht="18" customHeight="1" spans="1:16">
      <c r="A93" s="42"/>
      <c r="B93" s="25">
        <f t="shared" si="5"/>
        <v>0</v>
      </c>
      <c r="C93" s="43"/>
      <c r="D93" s="44"/>
      <c r="E93" s="47"/>
      <c r="F93" s="25">
        <f t="shared" si="6"/>
        <v>0</v>
      </c>
      <c r="G93" s="184"/>
      <c r="H93" s="104" t="s">
        <v>82</v>
      </c>
      <c r="I93" s="215">
        <v>-300000</v>
      </c>
      <c r="J93" s="114" t="s">
        <v>84</v>
      </c>
      <c r="K93" s="196" t="s">
        <v>85</v>
      </c>
      <c r="L93" s="78"/>
      <c r="M93" s="77"/>
      <c r="N93" s="115"/>
      <c r="O93" s="216" t="s">
        <v>86</v>
      </c>
      <c r="P93" s="120"/>
    </row>
    <row r="94" s="1" customFormat="1" ht="18" customHeight="1" spans="1:16">
      <c r="A94" s="42"/>
      <c r="B94" s="25"/>
      <c r="C94" s="43"/>
      <c r="D94" s="44"/>
      <c r="E94" s="47"/>
      <c r="F94" s="25"/>
      <c r="G94" s="184"/>
      <c r="H94" s="57" t="s">
        <v>82</v>
      </c>
      <c r="I94" s="197">
        <v>21333.33</v>
      </c>
      <c r="J94" s="86" t="s">
        <v>77</v>
      </c>
      <c r="K94" s="217" t="s">
        <v>87</v>
      </c>
      <c r="L94" s="91"/>
      <c r="M94" s="91"/>
      <c r="N94" s="91"/>
      <c r="O94" s="218"/>
      <c r="P94" s="122"/>
    </row>
    <row r="95" s="1" customFormat="1" ht="18" customHeight="1" spans="1:15">
      <c r="A95" s="42"/>
      <c r="B95" s="25">
        <f t="shared" ref="B95:B130" si="7">ROUND(G95/(1+E95),2)</f>
        <v>0</v>
      </c>
      <c r="C95" s="43"/>
      <c r="D95" s="44"/>
      <c r="E95" s="47"/>
      <c r="F95" s="25">
        <f t="shared" ref="F95:F130" si="8">ROUND(G95/(1+E95)*E95,2)</f>
        <v>0</v>
      </c>
      <c r="G95" s="184"/>
      <c r="H95" s="57" t="s">
        <v>82</v>
      </c>
      <c r="I95" s="33">
        <v>300</v>
      </c>
      <c r="J95" s="86" t="s">
        <v>77</v>
      </c>
      <c r="K95" s="195" t="s">
        <v>78</v>
      </c>
      <c r="L95" s="78"/>
      <c r="M95" s="77"/>
      <c r="N95" s="77"/>
      <c r="O95" s="191"/>
    </row>
    <row r="96" s="1" customFormat="1" ht="18" customHeight="1" spans="1:15">
      <c r="A96" s="42"/>
      <c r="B96" s="25">
        <f t="shared" si="7"/>
        <v>10000</v>
      </c>
      <c r="C96" s="43"/>
      <c r="D96" s="44"/>
      <c r="E96" s="47"/>
      <c r="F96" s="25">
        <f t="shared" si="8"/>
        <v>0</v>
      </c>
      <c r="G96" s="184">
        <f>10000</f>
        <v>10000</v>
      </c>
      <c r="H96" s="57" t="s">
        <v>82</v>
      </c>
      <c r="I96" s="33">
        <f>G96</f>
        <v>10000</v>
      </c>
      <c r="J96" s="86" t="s">
        <v>77</v>
      </c>
      <c r="K96" s="195" t="s">
        <v>88</v>
      </c>
      <c r="L96" s="78"/>
      <c r="M96" s="77"/>
      <c r="N96" s="77"/>
      <c r="O96" s="191"/>
    </row>
    <row r="97" s="1" customFormat="1" ht="18" customHeight="1" spans="1:15">
      <c r="A97" s="42"/>
      <c r="B97" s="25">
        <f t="shared" si="7"/>
        <v>0</v>
      </c>
      <c r="C97" s="43"/>
      <c r="D97" s="44"/>
      <c r="E97" s="47"/>
      <c r="F97" s="25">
        <f t="shared" si="8"/>
        <v>0</v>
      </c>
      <c r="G97" s="184"/>
      <c r="H97" s="57" t="s">
        <v>89</v>
      </c>
      <c r="I97" s="33">
        <v>-300000</v>
      </c>
      <c r="J97" s="86" t="s">
        <v>90</v>
      </c>
      <c r="K97" s="195" t="s">
        <v>91</v>
      </c>
      <c r="L97" s="78"/>
      <c r="M97" s="77"/>
      <c r="N97" s="77"/>
      <c r="O97" s="191"/>
    </row>
    <row r="98" s="1" customFormat="1" ht="18" customHeight="1" spans="1:15">
      <c r="A98" s="42"/>
      <c r="B98" s="25">
        <f t="shared" si="7"/>
        <v>0</v>
      </c>
      <c r="C98" s="43"/>
      <c r="D98" s="44"/>
      <c r="E98" s="47"/>
      <c r="F98" s="25">
        <f t="shared" si="8"/>
        <v>0</v>
      </c>
      <c r="G98" s="184"/>
      <c r="H98" s="57" t="s">
        <v>89</v>
      </c>
      <c r="I98" s="51">
        <v>100</v>
      </c>
      <c r="J98" s="86" t="s">
        <v>77</v>
      </c>
      <c r="K98" s="195" t="s">
        <v>78</v>
      </c>
      <c r="L98" s="78"/>
      <c r="M98" s="77"/>
      <c r="N98" s="77"/>
      <c r="O98" s="191"/>
    </row>
    <row r="99" s="1" customFormat="1" ht="18" customHeight="1" spans="1:15">
      <c r="A99" s="42"/>
      <c r="B99" s="25">
        <f t="shared" si="7"/>
        <v>0</v>
      </c>
      <c r="C99" s="43"/>
      <c r="D99" s="44"/>
      <c r="E99" s="47"/>
      <c r="F99" s="25">
        <f t="shared" si="8"/>
        <v>0</v>
      </c>
      <c r="G99" s="184"/>
      <c r="H99" s="57" t="s">
        <v>92</v>
      </c>
      <c r="I99" s="51">
        <v>100</v>
      </c>
      <c r="J99" s="86" t="s">
        <v>77</v>
      </c>
      <c r="K99" s="195" t="s">
        <v>78</v>
      </c>
      <c r="L99" s="78"/>
      <c r="M99" s="77"/>
      <c r="N99" s="77"/>
      <c r="O99" s="191"/>
    </row>
    <row r="100" s="1" customFormat="1" ht="18" customHeight="1" spans="1:15">
      <c r="A100" s="42"/>
      <c r="B100" s="25">
        <f t="shared" si="7"/>
        <v>0</v>
      </c>
      <c r="C100" s="43"/>
      <c r="D100" s="44"/>
      <c r="E100" s="47"/>
      <c r="F100" s="25">
        <f t="shared" si="8"/>
        <v>0</v>
      </c>
      <c r="G100" s="184"/>
      <c r="H100" s="57"/>
      <c r="I100" s="51"/>
      <c r="J100" s="86"/>
      <c r="K100" s="195"/>
      <c r="L100" s="78"/>
      <c r="M100" s="77"/>
      <c r="N100" s="77"/>
      <c r="O100" s="191"/>
    </row>
    <row r="101" s="1" customFormat="1" ht="18" customHeight="1" spans="1:15">
      <c r="A101" s="42"/>
      <c r="B101" s="25">
        <f t="shared" si="7"/>
        <v>0</v>
      </c>
      <c r="C101" s="43"/>
      <c r="D101" s="44"/>
      <c r="E101" s="47"/>
      <c r="F101" s="25">
        <f t="shared" si="8"/>
        <v>0</v>
      </c>
      <c r="G101" s="184"/>
      <c r="H101" s="57" t="s">
        <v>93</v>
      </c>
      <c r="I101" s="51">
        <v>184767</v>
      </c>
      <c r="J101" s="78" t="s">
        <v>94</v>
      </c>
      <c r="K101" s="195" t="s">
        <v>95</v>
      </c>
      <c r="L101" s="78"/>
      <c r="M101" s="77"/>
      <c r="N101" s="77"/>
      <c r="O101" s="191"/>
    </row>
    <row r="102" s="1" customFormat="1" ht="18" customHeight="1" spans="1:15">
      <c r="A102" s="42"/>
      <c r="B102" s="25">
        <f t="shared" si="7"/>
        <v>0</v>
      </c>
      <c r="C102" s="43"/>
      <c r="D102" s="44"/>
      <c r="E102" s="47"/>
      <c r="F102" s="25">
        <f t="shared" si="8"/>
        <v>0</v>
      </c>
      <c r="G102" s="184"/>
      <c r="H102" s="57" t="s">
        <v>93</v>
      </c>
      <c r="I102" s="51">
        <v>48000</v>
      </c>
      <c r="J102" s="78" t="s">
        <v>77</v>
      </c>
      <c r="K102" s="195" t="s">
        <v>96</v>
      </c>
      <c r="L102" s="78"/>
      <c r="M102" s="77"/>
      <c r="N102" s="77"/>
      <c r="O102" s="191"/>
    </row>
    <row r="103" s="1" customFormat="1" ht="18" customHeight="1" spans="1:15">
      <c r="A103" s="42"/>
      <c r="B103" s="25">
        <f t="shared" si="7"/>
        <v>0</v>
      </c>
      <c r="C103" s="43"/>
      <c r="D103" s="44"/>
      <c r="E103" s="47"/>
      <c r="F103" s="25">
        <f t="shared" si="8"/>
        <v>0</v>
      </c>
      <c r="G103" s="184"/>
      <c r="H103" s="57" t="s">
        <v>93</v>
      </c>
      <c r="I103" s="51">
        <v>1652</v>
      </c>
      <c r="J103" s="78" t="s">
        <v>77</v>
      </c>
      <c r="K103" s="195" t="s">
        <v>97</v>
      </c>
      <c r="L103" s="78"/>
      <c r="M103" s="77"/>
      <c r="N103" s="77"/>
      <c r="O103" s="191"/>
    </row>
    <row r="104" s="1" customFormat="1" ht="18" customHeight="1" spans="1:15">
      <c r="A104" s="42"/>
      <c r="B104" s="25">
        <f t="shared" si="7"/>
        <v>0</v>
      </c>
      <c r="C104" s="43"/>
      <c r="D104" s="44"/>
      <c r="E104" s="47"/>
      <c r="F104" s="25">
        <f t="shared" si="8"/>
        <v>0</v>
      </c>
      <c r="G104" s="184"/>
      <c r="H104" s="57" t="s">
        <v>93</v>
      </c>
      <c r="I104" s="219">
        <v>67389</v>
      </c>
      <c r="J104" s="96" t="s">
        <v>77</v>
      </c>
      <c r="K104" s="195" t="s">
        <v>98</v>
      </c>
      <c r="L104" s="78"/>
      <c r="M104" s="77"/>
      <c r="N104" s="77"/>
      <c r="O104" s="191"/>
    </row>
    <row r="105" s="1" customFormat="1" ht="18" customHeight="1" spans="1:15">
      <c r="A105" s="42"/>
      <c r="B105" s="25">
        <f t="shared" si="7"/>
        <v>0</v>
      </c>
      <c r="C105" s="43"/>
      <c r="D105" s="44"/>
      <c r="E105" s="45"/>
      <c r="F105" s="25">
        <f t="shared" si="8"/>
        <v>0</v>
      </c>
      <c r="G105" s="184"/>
      <c r="H105" s="57" t="s">
        <v>93</v>
      </c>
      <c r="I105" s="51">
        <v>100</v>
      </c>
      <c r="J105" s="78" t="s">
        <v>77</v>
      </c>
      <c r="K105" s="195" t="s">
        <v>78</v>
      </c>
      <c r="L105" s="78"/>
      <c r="M105" s="77"/>
      <c r="N105" s="77"/>
      <c r="O105" s="191"/>
    </row>
    <row r="106" s="1" customFormat="1" ht="18" customHeight="1" spans="1:15">
      <c r="A106" s="42"/>
      <c r="B106" s="25">
        <f t="shared" si="7"/>
        <v>5000</v>
      </c>
      <c r="C106" s="43"/>
      <c r="D106" s="44"/>
      <c r="E106" s="45"/>
      <c r="F106" s="25">
        <f t="shared" si="8"/>
        <v>0</v>
      </c>
      <c r="G106" s="184">
        <f>5000</f>
        <v>5000</v>
      </c>
      <c r="H106" s="57" t="s">
        <v>93</v>
      </c>
      <c r="I106" s="51">
        <f>G106</f>
        <v>5000</v>
      </c>
      <c r="J106" s="78" t="s">
        <v>77</v>
      </c>
      <c r="K106" s="195" t="s">
        <v>88</v>
      </c>
      <c r="L106" s="78"/>
      <c r="M106" s="77"/>
      <c r="N106" s="77"/>
      <c r="O106" s="191"/>
    </row>
    <row r="107" s="1" customFormat="1" ht="18" customHeight="1" spans="1:15">
      <c r="A107" s="42"/>
      <c r="B107" s="25">
        <f t="shared" si="7"/>
        <v>0</v>
      </c>
      <c r="C107" s="43"/>
      <c r="D107" s="44"/>
      <c r="E107" s="45"/>
      <c r="F107" s="25">
        <f t="shared" si="8"/>
        <v>0</v>
      </c>
      <c r="G107" s="184"/>
      <c r="H107" s="57" t="s">
        <v>99</v>
      </c>
      <c r="I107" s="51">
        <v>-157908</v>
      </c>
      <c r="J107" s="78" t="s">
        <v>90</v>
      </c>
      <c r="K107" s="195" t="s">
        <v>91</v>
      </c>
      <c r="L107" s="78"/>
      <c r="M107" s="77"/>
      <c r="N107" s="77"/>
      <c r="O107" s="191"/>
    </row>
    <row r="108" s="1" customFormat="1" ht="18" customHeight="1" spans="1:15">
      <c r="A108" s="42"/>
      <c r="B108" s="25">
        <f t="shared" si="7"/>
        <v>0</v>
      </c>
      <c r="C108" s="43"/>
      <c r="D108" s="44"/>
      <c r="E108" s="45"/>
      <c r="F108" s="25">
        <f t="shared" si="8"/>
        <v>0</v>
      </c>
      <c r="G108" s="184"/>
      <c r="H108" s="57" t="s">
        <v>99</v>
      </c>
      <c r="I108" s="51">
        <v>100</v>
      </c>
      <c r="J108" s="78" t="s">
        <v>77</v>
      </c>
      <c r="K108" s="195" t="s">
        <v>78</v>
      </c>
      <c r="L108" s="78"/>
      <c r="M108" s="77"/>
      <c r="N108" s="77"/>
      <c r="O108" s="191"/>
    </row>
    <row r="109" s="1" customFormat="1" ht="18" customHeight="1" spans="1:15">
      <c r="A109" s="42"/>
      <c r="B109" s="25">
        <f t="shared" si="7"/>
        <v>0</v>
      </c>
      <c r="C109" s="43"/>
      <c r="D109" s="44"/>
      <c r="E109" s="45"/>
      <c r="F109" s="25">
        <f t="shared" si="8"/>
        <v>0</v>
      </c>
      <c r="G109" s="184"/>
      <c r="H109" s="57" t="s">
        <v>100</v>
      </c>
      <c r="I109" s="51">
        <v>200</v>
      </c>
      <c r="J109" s="78" t="s">
        <v>77</v>
      </c>
      <c r="K109" s="195" t="s">
        <v>78</v>
      </c>
      <c r="L109" s="78"/>
      <c r="M109" s="77"/>
      <c r="N109" s="77"/>
      <c r="O109" s="191"/>
    </row>
    <row r="110" s="1" customFormat="1" ht="18" customHeight="1" spans="1:15">
      <c r="A110" s="42"/>
      <c r="B110" s="25">
        <f t="shared" si="7"/>
        <v>0</v>
      </c>
      <c r="C110" s="43"/>
      <c r="D110" s="44"/>
      <c r="E110" s="45"/>
      <c r="F110" s="25">
        <f t="shared" si="8"/>
        <v>0</v>
      </c>
      <c r="G110" s="184"/>
      <c r="H110" s="57" t="s">
        <v>101</v>
      </c>
      <c r="I110" s="51">
        <v>200</v>
      </c>
      <c r="J110" s="78" t="s">
        <v>77</v>
      </c>
      <c r="K110" s="195" t="s">
        <v>78</v>
      </c>
      <c r="L110" s="78"/>
      <c r="M110" s="77"/>
      <c r="N110" s="77"/>
      <c r="O110" s="191"/>
    </row>
    <row r="111" s="1" customFormat="1" ht="18" customHeight="1" spans="1:15">
      <c r="A111" s="42"/>
      <c r="B111" s="25">
        <f t="shared" si="7"/>
        <v>0</v>
      </c>
      <c r="C111" s="43"/>
      <c r="D111" s="44"/>
      <c r="E111" s="45"/>
      <c r="F111" s="25">
        <f t="shared" si="8"/>
        <v>0</v>
      </c>
      <c r="G111" s="184"/>
      <c r="H111" s="57" t="s">
        <v>101</v>
      </c>
      <c r="I111" s="51">
        <v>381546</v>
      </c>
      <c r="J111" s="78" t="s">
        <v>94</v>
      </c>
      <c r="K111" s="195" t="s">
        <v>95</v>
      </c>
      <c r="L111" s="78"/>
      <c r="M111" s="77"/>
      <c r="O111" s="191"/>
    </row>
    <row r="112" s="1" customFormat="1" ht="18" customHeight="1" spans="1:15">
      <c r="A112" s="42"/>
      <c r="B112" s="25">
        <f t="shared" si="7"/>
        <v>0</v>
      </c>
      <c r="C112" s="43"/>
      <c r="D112" s="44"/>
      <c r="E112" s="45"/>
      <c r="F112" s="25">
        <f t="shared" si="8"/>
        <v>0</v>
      </c>
      <c r="G112" s="184"/>
      <c r="H112" s="57" t="s">
        <v>101</v>
      </c>
      <c r="I112" s="51">
        <v>24955</v>
      </c>
      <c r="J112" s="78" t="s">
        <v>77</v>
      </c>
      <c r="K112" s="195" t="s">
        <v>102</v>
      </c>
      <c r="L112" s="78"/>
      <c r="M112" s="77"/>
      <c r="N112" s="77"/>
      <c r="O112" s="191"/>
    </row>
    <row r="113" s="1" customFormat="1" ht="18" customHeight="1" spans="1:15">
      <c r="A113" s="42"/>
      <c r="B113" s="25">
        <f t="shared" si="7"/>
        <v>0</v>
      </c>
      <c r="C113" s="43"/>
      <c r="D113" s="44"/>
      <c r="E113" s="45"/>
      <c r="F113" s="25">
        <f t="shared" si="8"/>
        <v>0</v>
      </c>
      <c r="G113" s="184"/>
      <c r="H113" s="57" t="s">
        <v>101</v>
      </c>
      <c r="I113" s="51">
        <v>936</v>
      </c>
      <c r="J113" s="78" t="s">
        <v>77</v>
      </c>
      <c r="K113" s="195" t="s">
        <v>103</v>
      </c>
      <c r="L113" s="78"/>
      <c r="M113" s="77"/>
      <c r="N113" s="77"/>
      <c r="O113" s="191"/>
    </row>
    <row r="114" s="1" customFormat="1" ht="18" customHeight="1" spans="1:15">
      <c r="A114" s="42"/>
      <c r="B114" s="25">
        <f t="shared" si="7"/>
        <v>0</v>
      </c>
      <c r="C114" s="43"/>
      <c r="D114" s="44"/>
      <c r="E114" s="45"/>
      <c r="F114" s="25">
        <f t="shared" si="8"/>
        <v>0</v>
      </c>
      <c r="G114" s="184"/>
      <c r="H114" s="57" t="s">
        <v>101</v>
      </c>
      <c r="I114" s="219">
        <v>120092</v>
      </c>
      <c r="J114" s="96" t="s">
        <v>77</v>
      </c>
      <c r="K114" s="195" t="s">
        <v>104</v>
      </c>
      <c r="L114" s="78"/>
      <c r="M114" s="77"/>
      <c r="N114" s="77"/>
      <c r="O114" s="191"/>
    </row>
    <row r="115" s="1" customFormat="1" ht="18" customHeight="1" spans="1:15">
      <c r="A115" s="42"/>
      <c r="B115" s="25">
        <f t="shared" si="7"/>
        <v>8500</v>
      </c>
      <c r="C115" s="43"/>
      <c r="D115" s="44"/>
      <c r="E115" s="45"/>
      <c r="F115" s="25">
        <f t="shared" si="8"/>
        <v>0</v>
      </c>
      <c r="G115" s="184">
        <v>8500</v>
      </c>
      <c r="H115" s="57" t="s">
        <v>101</v>
      </c>
      <c r="I115" s="51">
        <f>G115</f>
        <v>8500</v>
      </c>
      <c r="J115" s="78" t="s">
        <v>77</v>
      </c>
      <c r="K115" s="195" t="s">
        <v>105</v>
      </c>
      <c r="L115" s="78"/>
      <c r="M115" s="77"/>
      <c r="N115" s="77"/>
      <c r="O115" s="191"/>
    </row>
    <row r="116" s="1" customFormat="1" ht="18" customHeight="1" spans="1:15">
      <c r="A116" s="42"/>
      <c r="B116" s="25">
        <f t="shared" si="7"/>
        <v>0</v>
      </c>
      <c r="C116" s="43"/>
      <c r="D116" s="44"/>
      <c r="E116" s="45"/>
      <c r="F116" s="25">
        <f t="shared" si="8"/>
        <v>0</v>
      </c>
      <c r="G116" s="184"/>
      <c r="H116" s="57" t="s">
        <v>106</v>
      </c>
      <c r="I116" s="51">
        <v>9000</v>
      </c>
      <c r="J116" s="78" t="s">
        <v>77</v>
      </c>
      <c r="K116" s="195" t="s">
        <v>107</v>
      </c>
      <c r="L116" s="78"/>
      <c r="M116" s="77"/>
      <c r="N116" s="77"/>
      <c r="O116" s="191"/>
    </row>
    <row r="117" s="1" customFormat="1" ht="18" customHeight="1" spans="1:15">
      <c r="A117" s="42"/>
      <c r="B117" s="25">
        <f t="shared" si="7"/>
        <v>0</v>
      </c>
      <c r="C117" s="43"/>
      <c r="D117" s="44"/>
      <c r="E117" s="45"/>
      <c r="F117" s="25">
        <f t="shared" si="8"/>
        <v>0</v>
      </c>
      <c r="G117" s="184"/>
      <c r="H117" s="57" t="s">
        <v>106</v>
      </c>
      <c r="I117" s="51">
        <v>-66373</v>
      </c>
      <c r="J117" s="78" t="s">
        <v>90</v>
      </c>
      <c r="K117" s="195" t="s">
        <v>91</v>
      </c>
      <c r="L117" s="78"/>
      <c r="M117" s="77"/>
      <c r="N117" s="77"/>
      <c r="O117" s="191"/>
    </row>
    <row r="118" s="1" customFormat="1" ht="18" customHeight="1" spans="1:15">
      <c r="A118" s="42"/>
      <c r="B118" s="25">
        <f t="shared" si="7"/>
        <v>0</v>
      </c>
      <c r="C118" s="43"/>
      <c r="D118" s="44"/>
      <c r="E118" s="45"/>
      <c r="F118" s="25">
        <f t="shared" si="8"/>
        <v>0</v>
      </c>
      <c r="G118" s="184"/>
      <c r="H118" s="57" t="s">
        <v>106</v>
      </c>
      <c r="I118" s="219">
        <v>-37965</v>
      </c>
      <c r="J118" s="96" t="s">
        <v>90</v>
      </c>
      <c r="K118" s="195" t="s">
        <v>108</v>
      </c>
      <c r="L118" s="85">
        <v>-37965</v>
      </c>
      <c r="M118" s="151" t="s">
        <v>150</v>
      </c>
      <c r="N118" s="77"/>
      <c r="O118" s="191"/>
    </row>
    <row r="119" s="1" customFormat="1" ht="18" customHeight="1" spans="1:15">
      <c r="A119" s="42"/>
      <c r="B119" s="25">
        <f t="shared" si="7"/>
        <v>0</v>
      </c>
      <c r="C119" s="43"/>
      <c r="D119" s="44"/>
      <c r="E119" s="45"/>
      <c r="F119" s="25">
        <f t="shared" si="8"/>
        <v>0</v>
      </c>
      <c r="G119" s="184"/>
      <c r="H119" s="57" t="s">
        <v>109</v>
      </c>
      <c r="I119" s="51">
        <v>8496</v>
      </c>
      <c r="J119" s="78" t="s">
        <v>77</v>
      </c>
      <c r="K119" s="195" t="s">
        <v>110</v>
      </c>
      <c r="L119" s="78"/>
      <c r="M119" s="77"/>
      <c r="N119" s="77"/>
      <c r="O119" s="191"/>
    </row>
    <row r="120" s="1" customFormat="1" ht="18" customHeight="1" spans="1:17">
      <c r="A120" s="42"/>
      <c r="B120" s="25">
        <f t="shared" si="7"/>
        <v>0</v>
      </c>
      <c r="C120" s="43"/>
      <c r="D120" s="44"/>
      <c r="E120" s="45"/>
      <c r="F120" s="25">
        <f t="shared" si="8"/>
        <v>0</v>
      </c>
      <c r="G120" s="184"/>
      <c r="H120" s="57" t="s">
        <v>109</v>
      </c>
      <c r="I120" s="51">
        <v>212400</v>
      </c>
      <c r="J120" s="78" t="s">
        <v>111</v>
      </c>
      <c r="K120" s="195" t="s">
        <v>112</v>
      </c>
      <c r="L120" s="78"/>
      <c r="M120" s="77"/>
      <c r="N120" s="77"/>
      <c r="O120" s="191"/>
      <c r="Q120" s="1">
        <f>I121+I117+I111+I107+I101+I97+I93+I92</f>
        <v>0</v>
      </c>
    </row>
    <row r="121" s="1" customFormat="1" ht="18" customHeight="1" spans="1:15">
      <c r="A121" s="42"/>
      <c r="B121" s="25">
        <f t="shared" si="7"/>
        <v>0</v>
      </c>
      <c r="C121" s="43"/>
      <c r="D121" s="44"/>
      <c r="E121" s="45"/>
      <c r="F121" s="25">
        <f t="shared" si="8"/>
        <v>0</v>
      </c>
      <c r="G121" s="184"/>
      <c r="H121" s="57" t="s">
        <v>109</v>
      </c>
      <c r="I121" s="51">
        <v>69664</v>
      </c>
      <c r="J121" s="78" t="s">
        <v>94</v>
      </c>
      <c r="K121" s="195" t="s">
        <v>95</v>
      </c>
      <c r="L121" s="78"/>
      <c r="M121" s="77"/>
      <c r="N121" s="77"/>
      <c r="O121" s="191"/>
    </row>
    <row r="122" s="1" customFormat="1" ht="18" customHeight="1" spans="1:15">
      <c r="A122" s="42"/>
      <c r="B122" s="25">
        <f t="shared" si="7"/>
        <v>0</v>
      </c>
      <c r="C122" s="43"/>
      <c r="D122" s="44"/>
      <c r="E122" s="45"/>
      <c r="F122" s="25">
        <f t="shared" si="8"/>
        <v>0</v>
      </c>
      <c r="G122" s="184"/>
      <c r="H122" s="57" t="s">
        <v>109</v>
      </c>
      <c r="I122" s="51">
        <v>14679</v>
      </c>
      <c r="J122" s="78" t="s">
        <v>77</v>
      </c>
      <c r="K122" s="195" t="s">
        <v>113</v>
      </c>
      <c r="L122" s="78"/>
      <c r="M122" s="77"/>
      <c r="N122" s="77"/>
      <c r="O122" s="191"/>
    </row>
    <row r="123" s="1" customFormat="1" ht="18" customHeight="1" spans="1:15">
      <c r="A123" s="42"/>
      <c r="B123" s="25">
        <f t="shared" si="7"/>
        <v>0</v>
      </c>
      <c r="C123" s="43"/>
      <c r="D123" s="44"/>
      <c r="E123" s="45"/>
      <c r="F123" s="25">
        <f t="shared" si="8"/>
        <v>0</v>
      </c>
      <c r="G123" s="184"/>
      <c r="H123" s="57" t="s">
        <v>109</v>
      </c>
      <c r="I123" s="51">
        <v>551</v>
      </c>
      <c r="J123" s="78" t="s">
        <v>77</v>
      </c>
      <c r="K123" s="195" t="s">
        <v>114</v>
      </c>
      <c r="L123" s="78"/>
      <c r="M123" s="77"/>
      <c r="N123" s="77"/>
      <c r="O123" s="191"/>
    </row>
    <row r="124" s="1" customFormat="1" ht="18" customHeight="1" spans="1:15">
      <c r="A124" s="42"/>
      <c r="B124" s="25">
        <f t="shared" si="7"/>
        <v>0</v>
      </c>
      <c r="C124" s="43"/>
      <c r="D124" s="44"/>
      <c r="E124" s="45"/>
      <c r="F124" s="25">
        <f t="shared" si="8"/>
        <v>0</v>
      </c>
      <c r="G124" s="184"/>
      <c r="H124" s="57" t="s">
        <v>109</v>
      </c>
      <c r="I124" s="219">
        <v>45972</v>
      </c>
      <c r="J124" s="96" t="s">
        <v>77</v>
      </c>
      <c r="K124" s="195" t="s">
        <v>115</v>
      </c>
      <c r="L124" s="78"/>
      <c r="M124" s="77"/>
      <c r="N124" s="77"/>
      <c r="O124" s="191"/>
    </row>
    <row r="125" s="1" customFormat="1" ht="18" customHeight="1" spans="1:15">
      <c r="A125" s="42"/>
      <c r="B125" s="25">
        <f t="shared" si="7"/>
        <v>5000</v>
      </c>
      <c r="C125" s="43"/>
      <c r="D125" s="44"/>
      <c r="E125" s="45"/>
      <c r="F125" s="25">
        <f t="shared" si="8"/>
        <v>0</v>
      </c>
      <c r="G125" s="184">
        <v>5000</v>
      </c>
      <c r="H125" s="57" t="s">
        <v>109</v>
      </c>
      <c r="I125" s="51">
        <f>G125</f>
        <v>5000</v>
      </c>
      <c r="J125" s="78" t="s">
        <v>77</v>
      </c>
      <c r="K125" s="195" t="s">
        <v>105</v>
      </c>
      <c r="L125" s="78"/>
      <c r="M125" s="77"/>
      <c r="N125" s="77"/>
      <c r="O125" s="191"/>
    </row>
    <row r="126" s="1" customFormat="1" ht="18" customHeight="1" spans="1:15">
      <c r="A126" s="42"/>
      <c r="B126" s="25">
        <f t="shared" si="7"/>
        <v>0</v>
      </c>
      <c r="C126" s="43"/>
      <c r="D126" s="44"/>
      <c r="E126" s="45"/>
      <c r="F126" s="25">
        <f t="shared" si="8"/>
        <v>0</v>
      </c>
      <c r="G126" s="184"/>
      <c r="H126" s="57" t="s">
        <v>116</v>
      </c>
      <c r="I126" s="51">
        <v>500</v>
      </c>
      <c r="J126" s="78" t="s">
        <v>77</v>
      </c>
      <c r="K126" s="195" t="s">
        <v>117</v>
      </c>
      <c r="L126" s="78"/>
      <c r="M126" s="77"/>
      <c r="N126" s="77"/>
      <c r="O126" s="191"/>
    </row>
    <row r="127" s="1" customFormat="1" ht="18" customHeight="1" spans="1:15">
      <c r="A127" s="42"/>
      <c r="B127" s="25">
        <f t="shared" si="7"/>
        <v>5000</v>
      </c>
      <c r="C127" s="43"/>
      <c r="D127" s="44"/>
      <c r="E127" s="45"/>
      <c r="F127" s="25">
        <f t="shared" si="8"/>
        <v>0</v>
      </c>
      <c r="G127" s="184">
        <f>5000</f>
        <v>5000</v>
      </c>
      <c r="H127" s="57" t="s">
        <v>116</v>
      </c>
      <c r="I127" s="51">
        <f>G127</f>
        <v>5000</v>
      </c>
      <c r="J127" s="78" t="s">
        <v>77</v>
      </c>
      <c r="K127" s="195" t="s">
        <v>105</v>
      </c>
      <c r="L127" s="78"/>
      <c r="M127" s="77"/>
      <c r="N127" s="77"/>
      <c r="O127" s="191"/>
    </row>
    <row r="128" s="1" customFormat="1" ht="18" customHeight="1" spans="1:15">
      <c r="A128" s="42"/>
      <c r="B128" s="25">
        <f t="shared" si="7"/>
        <v>0</v>
      </c>
      <c r="C128" s="43"/>
      <c r="D128" s="44"/>
      <c r="E128" s="45"/>
      <c r="F128" s="25">
        <f t="shared" si="8"/>
        <v>0</v>
      </c>
      <c r="G128" s="184"/>
      <c r="H128" s="57" t="s">
        <v>116</v>
      </c>
      <c r="I128" s="51">
        <v>14679</v>
      </c>
      <c r="J128" s="78" t="s">
        <v>77</v>
      </c>
      <c r="K128" s="195" t="s">
        <v>118</v>
      </c>
      <c r="L128" s="78"/>
      <c r="M128" s="77"/>
      <c r="N128" s="77"/>
      <c r="O128" s="191"/>
    </row>
    <row r="129" s="1" customFormat="1" ht="18" customHeight="1" spans="1:15">
      <c r="A129" s="42"/>
      <c r="B129" s="25">
        <f t="shared" si="7"/>
        <v>0</v>
      </c>
      <c r="C129" s="43"/>
      <c r="D129" s="44"/>
      <c r="E129" s="45"/>
      <c r="F129" s="25">
        <f t="shared" si="8"/>
        <v>0</v>
      </c>
      <c r="G129" s="184"/>
      <c r="H129" s="57" t="s">
        <v>116</v>
      </c>
      <c r="I129" s="51">
        <v>551</v>
      </c>
      <c r="J129" s="78" t="s">
        <v>77</v>
      </c>
      <c r="K129" s="195" t="s">
        <v>119</v>
      </c>
      <c r="L129" s="78"/>
      <c r="M129" s="77"/>
      <c r="N129" s="77"/>
      <c r="O129" s="191"/>
    </row>
    <row r="130" s="1" customFormat="1" ht="18" customHeight="1" spans="1:15">
      <c r="A130" s="42"/>
      <c r="B130" s="25">
        <f t="shared" si="7"/>
        <v>0</v>
      </c>
      <c r="C130" s="43"/>
      <c r="D130" s="44"/>
      <c r="E130" s="45"/>
      <c r="F130" s="25">
        <f t="shared" si="8"/>
        <v>0</v>
      </c>
      <c r="G130" s="184"/>
      <c r="H130" s="57"/>
      <c r="I130" s="33"/>
      <c r="J130" s="86"/>
      <c r="K130" s="195"/>
      <c r="L130" s="78"/>
      <c r="M130" s="77"/>
      <c r="N130" s="77"/>
      <c r="O130" s="191"/>
    </row>
    <row r="131" ht="18" customHeight="1" spans="1:15">
      <c r="A131" s="38" t="s">
        <v>23</v>
      </c>
      <c r="B131" s="123">
        <f>SUM(B17:B130)</f>
        <v>8623181.38</v>
      </c>
      <c r="C131" s="38"/>
      <c r="D131" s="124"/>
      <c r="E131" s="124"/>
      <c r="F131" s="179">
        <f>SUM(F17:F130)</f>
        <v>417082.82</v>
      </c>
      <c r="G131" s="220">
        <f>SUM(G17:G130)</f>
        <v>9040264.2</v>
      </c>
      <c r="H131" s="221"/>
      <c r="I131" s="37">
        <f>SUM(I17:I130)</f>
        <v>7589274.23</v>
      </c>
      <c r="J131" s="226"/>
      <c r="K131" s="124"/>
      <c r="L131" s="40"/>
      <c r="M131" s="40"/>
      <c r="N131" s="40"/>
      <c r="O131" s="180"/>
    </row>
    <row r="132" ht="18" customHeight="1" spans="1:14">
      <c r="A132" s="126" t="s">
        <v>120</v>
      </c>
      <c r="B132" s="127">
        <f>B14*0.936</f>
        <v>7127339.44954129</v>
      </c>
      <c r="C132" s="126"/>
      <c r="D132" s="128"/>
      <c r="E132" s="128"/>
      <c r="F132" s="127"/>
      <c r="G132" s="127">
        <f>G14-G131</f>
        <v>-1940264.2</v>
      </c>
      <c r="H132" s="29" t="s">
        <v>121</v>
      </c>
      <c r="I132" s="37">
        <f>I14-I131</f>
        <v>10725.7699999996</v>
      </c>
      <c r="J132" s="14"/>
      <c r="K132" s="227"/>
      <c r="M132" s="13"/>
      <c r="N132" s="13"/>
    </row>
    <row r="133" ht="18" customHeight="1" spans="1:14">
      <c r="A133" s="126" t="s">
        <v>122</v>
      </c>
      <c r="B133" s="127">
        <f>B132-B131</f>
        <v>-1495841.93045871</v>
      </c>
      <c r="C133" s="126"/>
      <c r="D133" s="128"/>
      <c r="E133" s="128"/>
      <c r="F133" s="127"/>
      <c r="G133" s="127"/>
      <c r="H133" s="130"/>
      <c r="I133" s="127"/>
      <c r="J133" s="14"/>
      <c r="K133" s="227"/>
      <c r="M133" s="13"/>
      <c r="N133" s="13"/>
    </row>
    <row r="134" ht="18" customHeight="1" spans="1:13">
      <c r="A134" s="7" t="s">
        <v>124</v>
      </c>
      <c r="C134" s="7"/>
      <c r="M134" s="14">
        <f>K136+L136</f>
        <v>170436.232385321</v>
      </c>
    </row>
    <row r="135" ht="18" customHeight="1" spans="1:18">
      <c r="A135" s="29" t="s">
        <v>125</v>
      </c>
      <c r="B135" s="28" t="s">
        <v>126</v>
      </c>
      <c r="C135" s="180"/>
      <c r="D135" s="29" t="s">
        <v>125</v>
      </c>
      <c r="E135" s="27" t="s">
        <v>17</v>
      </c>
      <c r="F135" s="28" t="s">
        <v>126</v>
      </c>
      <c r="G135" s="8" t="s">
        <v>127</v>
      </c>
      <c r="H135" s="28" t="s">
        <v>128</v>
      </c>
      <c r="I135" s="28" t="s">
        <v>129</v>
      </c>
      <c r="J135" s="176" t="s">
        <v>130</v>
      </c>
      <c r="K135" s="28" t="s">
        <v>131</v>
      </c>
      <c r="L135" s="23" t="s">
        <v>132</v>
      </c>
      <c r="M135" s="28" t="s">
        <v>133</v>
      </c>
      <c r="O135" s="228" t="s">
        <v>166</v>
      </c>
      <c r="P135" s="229" t="s">
        <v>167</v>
      </c>
      <c r="Q135" s="29" t="s">
        <v>181</v>
      </c>
      <c r="R135" s="29"/>
    </row>
    <row r="136" ht="18" customHeight="1" spans="1:18">
      <c r="A136" s="180" t="s">
        <v>134</v>
      </c>
      <c r="B136" s="25">
        <f>(B132-B131)*0.25</f>
        <v>-373960.482614677</v>
      </c>
      <c r="C136" s="180"/>
      <c r="D136" s="36" t="s">
        <v>135</v>
      </c>
      <c r="E136" s="29" t="s">
        <v>136</v>
      </c>
      <c r="F136" s="179">
        <f>F14-F131</f>
        <v>115944.70293578</v>
      </c>
      <c r="G136" s="8">
        <v>64220.1834862385</v>
      </c>
      <c r="H136" s="179">
        <f>F7-F17-F18</f>
        <v>-22428.1465137615</v>
      </c>
      <c r="I136" s="179">
        <f>F8+H136</f>
        <v>41792.036972477</v>
      </c>
      <c r="J136" s="179">
        <f>-F21</f>
        <v>-34513.27</v>
      </c>
      <c r="K136" s="141">
        <f>F9</f>
        <v>109174.311926606</v>
      </c>
      <c r="L136" s="67">
        <f>F10+F11-SUM(F21:F33)</f>
        <v>61261.9204587155</v>
      </c>
      <c r="M136" s="141">
        <f>-F38-F43</f>
        <v>-80618.16</v>
      </c>
      <c r="O136" s="228">
        <f>F12</f>
        <v>25688.0733944954</v>
      </c>
      <c r="P136" s="229">
        <f>-O136</f>
        <v>-25688.0733944954</v>
      </c>
      <c r="Q136" s="40">
        <f>F136-I136-J136-'12次'!K96-'12次'!L96-'12次'!M96</f>
        <v>18847.8635779815</v>
      </c>
      <c r="R136" s="40"/>
    </row>
    <row r="137" ht="18" customHeight="1" spans="1:18">
      <c r="A137" s="180" t="s">
        <v>137</v>
      </c>
      <c r="B137" s="222" t="s">
        <v>138</v>
      </c>
      <c r="C137" s="180"/>
      <c r="D137" s="223" t="s">
        <v>139</v>
      </c>
      <c r="E137" s="21">
        <v>0.05</v>
      </c>
      <c r="F137" s="31">
        <f>F136*E137</f>
        <v>5797.235146789</v>
      </c>
      <c r="G137" s="8">
        <v>3211.00917431193</v>
      </c>
      <c r="H137" s="31">
        <v>0</v>
      </c>
      <c r="I137" s="31">
        <f>I136*E137</f>
        <v>2089.60184862385</v>
      </c>
      <c r="J137" s="31">
        <f>J136*E137</f>
        <v>-1725.6635</v>
      </c>
      <c r="K137" s="33">
        <f>K136*E137</f>
        <v>5458.7155963303</v>
      </c>
      <c r="L137" s="23">
        <f>L136*E137</f>
        <v>3063.09602293578</v>
      </c>
      <c r="M137" s="33">
        <f>M136*E137</f>
        <v>-4030.908</v>
      </c>
      <c r="O137" s="230"/>
      <c r="P137" s="231"/>
      <c r="Q137" s="40">
        <f>Q136*0.07</f>
        <v>1319.35045045871</v>
      </c>
      <c r="R137" s="40"/>
    </row>
    <row r="138" ht="18" customHeight="1" spans="1:18">
      <c r="A138" s="180" t="s">
        <v>140</v>
      </c>
      <c r="B138" s="222"/>
      <c r="C138" s="180"/>
      <c r="D138" s="223" t="s">
        <v>141</v>
      </c>
      <c r="E138" s="21">
        <v>0.03</v>
      </c>
      <c r="F138" s="31">
        <f>F136*E138</f>
        <v>3478.3410880734</v>
      </c>
      <c r="G138" s="8">
        <v>1926.60550458716</v>
      </c>
      <c r="H138" s="31">
        <v>0</v>
      </c>
      <c r="I138" s="31">
        <f>I136*E138</f>
        <v>1253.76110917431</v>
      </c>
      <c r="J138" s="31">
        <f>J136*E138</f>
        <v>-1035.3981</v>
      </c>
      <c r="K138" s="33">
        <f>K136*E138</f>
        <v>3275.22935779817</v>
      </c>
      <c r="L138" s="23">
        <f>L136*E138</f>
        <v>1837.85761376146</v>
      </c>
      <c r="M138" s="33">
        <f>M136*E138</f>
        <v>-2418.5448</v>
      </c>
      <c r="O138" s="230"/>
      <c r="P138" s="231"/>
      <c r="Q138" s="40">
        <f>Q136*E138</f>
        <v>565.435907339445</v>
      </c>
      <c r="R138" s="40"/>
    </row>
    <row r="139" ht="18" customHeight="1" spans="1:18">
      <c r="A139" s="180"/>
      <c r="B139" s="31"/>
      <c r="C139" s="180"/>
      <c r="D139" s="223" t="s">
        <v>142</v>
      </c>
      <c r="E139" s="21">
        <v>0.02</v>
      </c>
      <c r="F139" s="31">
        <f>F136*E139</f>
        <v>2318.8940587156</v>
      </c>
      <c r="G139" s="8">
        <v>1284.40366972477</v>
      </c>
      <c r="H139" s="31">
        <v>0</v>
      </c>
      <c r="I139" s="31">
        <f>I136*E139</f>
        <v>835.84073944954</v>
      </c>
      <c r="J139" s="31">
        <f>J136*E139</f>
        <v>-690.2654</v>
      </c>
      <c r="K139" s="33">
        <f>K136*E139</f>
        <v>2183.48623853211</v>
      </c>
      <c r="L139" s="23">
        <f>L136*E139</f>
        <v>1225.23840917431</v>
      </c>
      <c r="M139" s="33">
        <f>M136*E139</f>
        <v>-1612.3632</v>
      </c>
      <c r="O139" s="230"/>
      <c r="P139" s="231"/>
      <c r="Q139" s="40">
        <f>Q136*E139</f>
        <v>376.95727155963</v>
      </c>
      <c r="R139" s="40"/>
    </row>
    <row r="140" ht="18" customHeight="1" spans="1:18">
      <c r="A140" s="36" t="s">
        <v>143</v>
      </c>
      <c r="B140" s="123">
        <f>SUM(B136:B139)</f>
        <v>-373960.482614677</v>
      </c>
      <c r="C140" s="180"/>
      <c r="D140" s="41" t="s">
        <v>143</v>
      </c>
      <c r="E140" s="36"/>
      <c r="F140" s="179">
        <f t="shared" ref="F140:M140" si="9">SUM(F136:F139)</f>
        <v>127539.173229358</v>
      </c>
      <c r="G140" s="8">
        <v>70642.2018348624</v>
      </c>
      <c r="H140" s="179">
        <v>0</v>
      </c>
      <c r="I140" s="179">
        <f>SUM(I135:I139)</f>
        <v>45971.2406697247</v>
      </c>
      <c r="J140" s="179">
        <f t="shared" si="9"/>
        <v>-37964.597</v>
      </c>
      <c r="K140" s="141">
        <f t="shared" si="9"/>
        <v>120091.743119267</v>
      </c>
      <c r="L140" s="67">
        <f t="shared" si="9"/>
        <v>67388.112504587</v>
      </c>
      <c r="M140" s="141">
        <f t="shared" si="9"/>
        <v>-88679.976</v>
      </c>
      <c r="O140" s="228">
        <f>O136*1.12</f>
        <v>28770.6422018349</v>
      </c>
      <c r="P140" s="231">
        <f>-O140</f>
        <v>-28770.6422018349</v>
      </c>
      <c r="Q140" s="40"/>
      <c r="R140" s="40"/>
    </row>
    <row r="141" ht="18" customHeight="1" spans="3:18">
      <c r="C141" s="7"/>
      <c r="D141" s="19" t="s">
        <v>140</v>
      </c>
      <c r="E141" s="224">
        <v>0.0006</v>
      </c>
      <c r="F141" s="31">
        <f>B14*E141</f>
        <v>4568.80733944954</v>
      </c>
      <c r="H141" s="31">
        <f>B7*E141</f>
        <v>550.45871559633</v>
      </c>
      <c r="I141" s="31">
        <f>B8*E141</f>
        <v>550.45871559633</v>
      </c>
      <c r="K141" s="31">
        <f>B9*E141</f>
        <v>935.779816513761</v>
      </c>
      <c r="L141" s="23">
        <f>(B10+B12)*E141</f>
        <v>770.642201834862</v>
      </c>
      <c r="O141" s="230">
        <f>B12*E141</f>
        <v>220.183486238532</v>
      </c>
      <c r="Q141" s="40">
        <f>E141*B13</f>
        <v>660.550458715596</v>
      </c>
      <c r="R141" s="40"/>
    </row>
    <row r="142" ht="18" customHeight="1" spans="3:18">
      <c r="C142" s="7"/>
      <c r="D142" s="27" t="s">
        <v>143</v>
      </c>
      <c r="E142" s="124"/>
      <c r="F142" s="37">
        <f t="shared" ref="F142:I142" si="10">F141</f>
        <v>4568.80733944954</v>
      </c>
      <c r="H142" s="37">
        <f t="shared" si="10"/>
        <v>550.45871559633</v>
      </c>
      <c r="I142" s="37">
        <f t="shared" si="10"/>
        <v>550.45871559633</v>
      </c>
      <c r="O142" s="221" t="s">
        <v>188</v>
      </c>
      <c r="P142" s="232" t="s">
        <v>169</v>
      </c>
      <c r="Q142" s="40"/>
      <c r="R142" s="40"/>
    </row>
    <row r="143" ht="18" customHeight="1" spans="3:18">
      <c r="C143" s="7"/>
      <c r="D143" s="27" t="s">
        <v>23</v>
      </c>
      <c r="E143" s="38"/>
      <c r="F143" s="37">
        <f t="shared" ref="F143:I143" si="11">F140+F142</f>
        <v>132107.980568808</v>
      </c>
      <c r="H143" s="37">
        <f t="shared" si="11"/>
        <v>550.45871559633</v>
      </c>
      <c r="I143" s="37">
        <f t="shared" si="11"/>
        <v>46521.699385321</v>
      </c>
      <c r="O143" s="221"/>
      <c r="Q143" s="40"/>
      <c r="R143" s="40"/>
    </row>
    <row r="144" ht="18" customHeight="1" spans="3:18">
      <c r="C144" s="7"/>
      <c r="D144" s="38" t="s">
        <v>134</v>
      </c>
      <c r="E144" s="124">
        <v>0.016</v>
      </c>
      <c r="F144" s="37">
        <f>B14*E144</f>
        <v>121834.862385321</v>
      </c>
      <c r="G144" s="225" t="s">
        <v>144</v>
      </c>
      <c r="H144" s="37">
        <f>B7*E144</f>
        <v>14678.8990825688</v>
      </c>
      <c r="I144" s="37">
        <f>B8*E144</f>
        <v>14678.8990825688</v>
      </c>
      <c r="K144" s="37">
        <f>B9*E144</f>
        <v>24954.128440367</v>
      </c>
      <c r="L144" s="23">
        <f>G10*E144+G11*E144</f>
        <v>48000</v>
      </c>
      <c r="O144" s="221">
        <f>G12*E144</f>
        <v>6400</v>
      </c>
      <c r="Q144" s="40">
        <f>E144*G13</f>
        <v>19200</v>
      </c>
      <c r="R144" s="40"/>
    </row>
    <row r="145" ht="18" customHeight="1" spans="3:18">
      <c r="C145" s="7"/>
      <c r="G145" s="8" t="s">
        <v>145</v>
      </c>
      <c r="Q145" s="180" t="s">
        <v>182</v>
      </c>
      <c r="R145" s="233">
        <f>Q136+Q137+Q138+Q139+Q141+Q144</f>
        <v>40970.1576660549</v>
      </c>
    </row>
    <row r="146" ht="18" customHeight="1" spans="3:11">
      <c r="C146" s="7"/>
      <c r="K146" s="9">
        <f>'12次'!I96+'12次'!J96+'12次'!K96+'12次'!L96+'12次'!M96</f>
        <v>97096.8393577986</v>
      </c>
    </row>
    <row r="147" ht="18" customHeight="1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</sheetData>
  <autoFilter ref="A16:Q146">
    <extLst/>
  </autoFilter>
  <mergeCells count="18">
    <mergeCell ref="A1:J1"/>
    <mergeCell ref="H2:J2"/>
    <mergeCell ref="C5:D5"/>
    <mergeCell ref="E5:F5"/>
    <mergeCell ref="H5:J5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4"/>
  <sheetViews>
    <sheetView tabSelected="1" workbookViewId="0">
      <selection activeCell="N164" sqref="N164:O164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10" customWidth="1"/>
    <col min="7" max="7" width="12.125" style="10" customWidth="1"/>
    <col min="8" max="8" width="11.5" style="11" customWidth="1"/>
    <col min="9" max="9" width="13.875" style="10" customWidth="1"/>
    <col min="10" max="10" width="11" style="12" customWidth="1"/>
    <col min="11" max="11" width="31.5" style="13" customWidth="1"/>
    <col min="12" max="12" width="12.75" style="13" customWidth="1"/>
    <col min="13" max="13" width="13.5" style="13" customWidth="1"/>
    <col min="14" max="14" width="9.25" style="13" customWidth="1"/>
    <col min="15" max="16" width="11.125" style="13" customWidth="1"/>
    <col min="17" max="18" width="12" style="13" customWidth="1"/>
    <col min="19" max="19" width="12" style="14" customWidth="1"/>
    <col min="20" max="20" width="10.375" style="14"/>
    <col min="21" max="21" width="9.625" style="14"/>
    <col min="22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69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24" t="s">
        <v>6</v>
      </c>
      <c r="I2" s="70"/>
      <c r="J2" s="71"/>
      <c r="K2" s="26"/>
      <c r="L2" s="69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69"/>
    </row>
    <row r="4" ht="18" customHeight="1" spans="1:12">
      <c r="A4" s="7" t="s">
        <v>9</v>
      </c>
      <c r="H4" s="26"/>
      <c r="I4" s="72"/>
      <c r="J4" s="26"/>
      <c r="K4" s="26"/>
      <c r="L4" s="69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3" si="0">G7/(1+C7+E7)</f>
        <v>917431.19266055</v>
      </c>
      <c r="C7" s="32">
        <v>0.02</v>
      </c>
      <c r="D7" s="33">
        <f t="shared" ref="D7:D13" si="1">G7/(1+E7+C7)*C7</f>
        <v>18348.623853211</v>
      </c>
      <c r="E7" s="32">
        <v>0.07</v>
      </c>
      <c r="F7" s="23">
        <f t="shared" ref="F7:F13" si="2">G7/(1+C7+E7)*E7</f>
        <v>64220.1834862385</v>
      </c>
      <c r="G7" s="34">
        <v>1000000</v>
      </c>
      <c r="H7" s="30">
        <v>43627</v>
      </c>
      <c r="I7" s="23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23">
        <f t="shared" si="2"/>
        <v>64220.1834862385</v>
      </c>
      <c r="G8" s="34">
        <v>1000000</v>
      </c>
      <c r="H8" s="30">
        <v>43782</v>
      </c>
      <c r="I8" s="23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23">
        <f t="shared" si="2"/>
        <v>109174.311926606</v>
      </c>
      <c r="G9" s="34">
        <v>1700000</v>
      </c>
      <c r="H9" s="30">
        <v>43812</v>
      </c>
      <c r="I9" s="23">
        <v>1700000</v>
      </c>
      <c r="J9" s="40" t="s">
        <v>22</v>
      </c>
    </row>
    <row r="10" ht="18" customHeight="1" spans="1:10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23">
        <f t="shared" si="2"/>
        <v>64220.1834862385</v>
      </c>
      <c r="G10" s="34">
        <v>1000000</v>
      </c>
      <c r="H10" s="30">
        <v>43845</v>
      </c>
      <c r="I10" s="23">
        <v>1000000</v>
      </c>
      <c r="J10" s="40" t="s">
        <v>22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23">
        <f t="shared" si="2"/>
        <v>128440.366972477</v>
      </c>
      <c r="G11" s="34">
        <v>2000000</v>
      </c>
      <c r="H11" s="30">
        <v>43852</v>
      </c>
      <c r="I11" s="23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23">
        <f t="shared" si="2"/>
        <v>25688.0733944954</v>
      </c>
      <c r="G12" s="34">
        <v>400000</v>
      </c>
      <c r="H12" s="30">
        <v>44056</v>
      </c>
      <c r="I12" s="23">
        <v>400000</v>
      </c>
      <c r="J12" s="40" t="s">
        <v>22</v>
      </c>
    </row>
    <row r="13" ht="18" customHeight="1" spans="1:10">
      <c r="A13" s="30">
        <v>44098</v>
      </c>
      <c r="B13" s="31">
        <f t="shared" si="0"/>
        <v>1100917.43119266</v>
      </c>
      <c r="C13" s="35">
        <v>0.02</v>
      </c>
      <c r="D13" s="33">
        <f t="shared" si="1"/>
        <v>22018.3486238532</v>
      </c>
      <c r="E13" s="35">
        <v>0.07</v>
      </c>
      <c r="F13" s="23">
        <f t="shared" si="2"/>
        <v>77064.2201834862</v>
      </c>
      <c r="G13" s="34">
        <v>1200000</v>
      </c>
      <c r="H13" s="30">
        <v>44102</v>
      </c>
      <c r="I13" s="23">
        <v>500000</v>
      </c>
      <c r="J13" s="40" t="s">
        <v>22</v>
      </c>
    </row>
    <row r="14" ht="18" customHeight="1" spans="1:10">
      <c r="A14" s="30"/>
      <c r="B14" s="31"/>
      <c r="C14" s="35"/>
      <c r="D14" s="33"/>
      <c r="E14" s="35"/>
      <c r="F14" s="23"/>
      <c r="G14" s="34"/>
      <c r="H14" s="30">
        <v>44148</v>
      </c>
      <c r="I14" s="23">
        <v>700000</v>
      </c>
      <c r="J14" s="40" t="s">
        <v>22</v>
      </c>
    </row>
    <row r="15" ht="18" customHeight="1" spans="1:10">
      <c r="A15" s="30"/>
      <c r="B15" s="31"/>
      <c r="C15" s="35"/>
      <c r="D15" s="33"/>
      <c r="E15" s="35"/>
      <c r="F15" s="23"/>
      <c r="G15" s="34"/>
      <c r="H15" s="30"/>
      <c r="I15" s="23"/>
      <c r="J15" s="40"/>
    </row>
    <row r="16" ht="18" customHeight="1" spans="1:16">
      <c r="A16" s="36" t="s">
        <v>23</v>
      </c>
      <c r="B16" s="37">
        <f>SUM(B7:B13)</f>
        <v>7614678.89908257</v>
      </c>
      <c r="C16" s="38"/>
      <c r="D16" s="37">
        <f>SUM(D7:D12)</f>
        <v>130275.229357798</v>
      </c>
      <c r="E16" s="38"/>
      <c r="F16" s="39">
        <f>SUM(F7:F13)</f>
        <v>533027.52293578</v>
      </c>
      <c r="G16" s="28">
        <f>SUM(G7:G15)</f>
        <v>8300000</v>
      </c>
      <c r="H16" s="40"/>
      <c r="I16" s="28">
        <f>SUM(I7:I15)</f>
        <v>8300000</v>
      </c>
      <c r="J16" s="40"/>
      <c r="O16" s="73"/>
      <c r="P16" s="73"/>
    </row>
    <row r="17" ht="18" customHeight="1" spans="1:16">
      <c r="A17" s="7" t="s">
        <v>24</v>
      </c>
      <c r="J17" s="11"/>
      <c r="K17" s="26" t="s">
        <v>25</v>
      </c>
      <c r="L17" s="12"/>
      <c r="O17" s="73"/>
      <c r="P17" s="73"/>
    </row>
    <row r="18" ht="18" customHeight="1" spans="1:16">
      <c r="A18" s="41" t="s">
        <v>26</v>
      </c>
      <c r="B18" s="28" t="s">
        <v>27</v>
      </c>
      <c r="C18" s="27" t="s">
        <v>28</v>
      </c>
      <c r="D18" s="27" t="s">
        <v>29</v>
      </c>
      <c r="E18" s="27" t="s">
        <v>17</v>
      </c>
      <c r="F18" s="28" t="s">
        <v>30</v>
      </c>
      <c r="G18" s="28" t="s">
        <v>15</v>
      </c>
      <c r="H18" s="27" t="s">
        <v>31</v>
      </c>
      <c r="I18" s="28" t="s">
        <v>32</v>
      </c>
      <c r="J18" s="27" t="s">
        <v>21</v>
      </c>
      <c r="K18" s="74" t="s">
        <v>33</v>
      </c>
      <c r="L18" s="40" t="s">
        <v>34</v>
      </c>
      <c r="M18" s="29" t="s">
        <v>35</v>
      </c>
      <c r="N18" s="29" t="s">
        <v>36</v>
      </c>
      <c r="O18" s="75" t="s">
        <v>37</v>
      </c>
      <c r="P18" s="76"/>
    </row>
    <row r="19" s="1" customFormat="1" ht="18" customHeight="1" spans="1:18">
      <c r="A19" s="42">
        <v>43617</v>
      </c>
      <c r="B19" s="25">
        <f t="shared" ref="B19:B72" si="3">ROUND(G19/(1+E19),2)</f>
        <v>970873.79</v>
      </c>
      <c r="C19" s="43"/>
      <c r="D19" s="44" t="s">
        <v>38</v>
      </c>
      <c r="E19" s="45">
        <v>0.03</v>
      </c>
      <c r="F19" s="46">
        <f t="shared" ref="F19:F72" si="4">ROUND(G19/(1+E19)*E19,2)</f>
        <v>29126.21</v>
      </c>
      <c r="G19" s="34">
        <v>1000000</v>
      </c>
      <c r="H19" s="30">
        <v>43640</v>
      </c>
      <c r="I19" s="23">
        <v>300000</v>
      </c>
      <c r="J19" s="40" t="s">
        <v>22</v>
      </c>
      <c r="K19" s="44" t="s">
        <v>39</v>
      </c>
      <c r="L19" s="77" t="s">
        <v>40</v>
      </c>
      <c r="M19" s="77" t="s">
        <v>41</v>
      </c>
      <c r="N19" s="77"/>
      <c r="O19" s="78"/>
      <c r="P19" s="79"/>
      <c r="Q19" s="98"/>
      <c r="R19" s="98"/>
    </row>
    <row r="20" s="1" customFormat="1" ht="18" customHeight="1" spans="1:18">
      <c r="A20" s="42">
        <v>43617</v>
      </c>
      <c r="B20" s="25">
        <f t="shared" si="3"/>
        <v>442477.88</v>
      </c>
      <c r="C20" s="43"/>
      <c r="D20" s="44" t="s">
        <v>38</v>
      </c>
      <c r="E20" s="45">
        <v>0.13</v>
      </c>
      <c r="F20" s="46">
        <f t="shared" si="4"/>
        <v>57522.12</v>
      </c>
      <c r="G20" s="34">
        <f>100000*5</f>
        <v>500000</v>
      </c>
      <c r="H20" s="30">
        <v>43640</v>
      </c>
      <c r="I20" s="23">
        <v>500000</v>
      </c>
      <c r="J20" s="40" t="s">
        <v>22</v>
      </c>
      <c r="K20" s="44" t="s">
        <v>42</v>
      </c>
      <c r="L20" s="77" t="s">
        <v>160</v>
      </c>
      <c r="M20" s="77" t="s">
        <v>41</v>
      </c>
      <c r="N20" s="77" t="s">
        <v>41</v>
      </c>
      <c r="O20" s="78">
        <v>119.5</v>
      </c>
      <c r="P20" s="79"/>
      <c r="Q20" s="98"/>
      <c r="R20" s="98"/>
    </row>
    <row r="21" s="1" customFormat="1" ht="18" customHeight="1" spans="1:18">
      <c r="A21" s="42">
        <v>43678</v>
      </c>
      <c r="B21" s="25">
        <f t="shared" si="3"/>
        <v>99500</v>
      </c>
      <c r="C21" s="43"/>
      <c r="D21" s="44" t="s">
        <v>44</v>
      </c>
      <c r="E21" s="45"/>
      <c r="F21" s="46">
        <f t="shared" si="4"/>
        <v>0</v>
      </c>
      <c r="G21" s="34">
        <v>99500</v>
      </c>
      <c r="H21" s="30">
        <v>43682</v>
      </c>
      <c r="I21" s="23">
        <v>99500</v>
      </c>
      <c r="J21" s="40" t="s">
        <v>45</v>
      </c>
      <c r="K21" s="44" t="s">
        <v>46</v>
      </c>
      <c r="L21" s="77" t="s">
        <v>47</v>
      </c>
      <c r="M21" s="77"/>
      <c r="N21" s="77"/>
      <c r="O21" s="78"/>
      <c r="P21" s="79"/>
      <c r="Q21" s="98"/>
      <c r="R21" s="98"/>
    </row>
    <row r="22" s="1" customFormat="1" ht="18" customHeight="1" spans="1:18">
      <c r="A22" s="42">
        <v>43739</v>
      </c>
      <c r="B22" s="25">
        <f t="shared" si="3"/>
        <v>4000</v>
      </c>
      <c r="C22" s="43"/>
      <c r="D22" s="44" t="s">
        <v>44</v>
      </c>
      <c r="E22" s="45"/>
      <c r="F22" s="46">
        <f t="shared" si="4"/>
        <v>0</v>
      </c>
      <c r="G22" s="34">
        <v>4000</v>
      </c>
      <c r="H22" s="30"/>
      <c r="I22" s="23"/>
      <c r="J22" s="40"/>
      <c r="K22" s="44" t="s">
        <v>48</v>
      </c>
      <c r="L22" s="77" t="s">
        <v>49</v>
      </c>
      <c r="M22" s="77"/>
      <c r="N22" s="77"/>
      <c r="O22" s="78"/>
      <c r="P22" s="79"/>
      <c r="Q22" s="98"/>
      <c r="R22" s="98"/>
    </row>
    <row r="23" s="1" customFormat="1" ht="18" customHeight="1" spans="1:18">
      <c r="A23" s="42">
        <v>43770</v>
      </c>
      <c r="B23" s="25">
        <f t="shared" si="3"/>
        <v>265486.73</v>
      </c>
      <c r="C23" s="43"/>
      <c r="D23" s="44" t="s">
        <v>38</v>
      </c>
      <c r="E23" s="47">
        <v>0.13</v>
      </c>
      <c r="F23" s="46">
        <f t="shared" si="4"/>
        <v>34513.27</v>
      </c>
      <c r="G23" s="34">
        <f>100000*3</f>
        <v>300000</v>
      </c>
      <c r="H23" s="30">
        <v>43784</v>
      </c>
      <c r="I23" s="23">
        <v>300000</v>
      </c>
      <c r="J23" s="40" t="s">
        <v>22</v>
      </c>
      <c r="K23" s="44" t="s">
        <v>42</v>
      </c>
      <c r="L23" s="77" t="s">
        <v>50</v>
      </c>
      <c r="M23" s="77" t="s">
        <v>41</v>
      </c>
      <c r="N23" s="77" t="s">
        <v>41</v>
      </c>
      <c r="O23" s="78">
        <v>923.01</v>
      </c>
      <c r="P23" s="79"/>
      <c r="Q23" s="98"/>
      <c r="R23" s="98"/>
    </row>
    <row r="24" s="1" customFormat="1" ht="18" customHeight="1" spans="1:18">
      <c r="A24" s="42"/>
      <c r="B24" s="25">
        <f t="shared" si="3"/>
        <v>0</v>
      </c>
      <c r="C24" s="43"/>
      <c r="D24" s="44"/>
      <c r="E24" s="45"/>
      <c r="F24" s="46">
        <f t="shared" si="4"/>
        <v>0</v>
      </c>
      <c r="G24" s="34"/>
      <c r="H24" s="30">
        <v>43784</v>
      </c>
      <c r="I24" s="23">
        <v>300000</v>
      </c>
      <c r="J24" s="40" t="s">
        <v>22</v>
      </c>
      <c r="K24" s="44" t="s">
        <v>39</v>
      </c>
      <c r="L24" s="77" t="s">
        <v>51</v>
      </c>
      <c r="M24" s="77"/>
      <c r="N24" s="77"/>
      <c r="O24" s="78"/>
      <c r="P24" s="79"/>
      <c r="Q24" s="98"/>
      <c r="R24" s="98"/>
    </row>
    <row r="25" s="1" customFormat="1" ht="18" customHeight="1" spans="1:18">
      <c r="A25" s="42">
        <v>43800</v>
      </c>
      <c r="B25" s="25">
        <f t="shared" si="3"/>
        <v>159292.04</v>
      </c>
      <c r="C25" s="43"/>
      <c r="D25" s="44" t="s">
        <v>38</v>
      </c>
      <c r="E25" s="47">
        <v>0.13</v>
      </c>
      <c r="F25" s="46">
        <f t="shared" si="4"/>
        <v>20707.96</v>
      </c>
      <c r="G25" s="34">
        <v>180000</v>
      </c>
      <c r="H25" s="30">
        <v>43798</v>
      </c>
      <c r="I25" s="23">
        <v>180000</v>
      </c>
      <c r="J25" s="40" t="s">
        <v>22</v>
      </c>
      <c r="K25" s="44" t="s">
        <v>42</v>
      </c>
      <c r="L25" s="77" t="s">
        <v>52</v>
      </c>
      <c r="M25" s="77" t="s">
        <v>41</v>
      </c>
      <c r="N25" s="77"/>
      <c r="O25" s="78">
        <v>321.43</v>
      </c>
      <c r="P25" s="79"/>
      <c r="Q25" s="98"/>
      <c r="R25" s="98"/>
    </row>
    <row r="26" s="1" customFormat="1" ht="18" customHeight="1" spans="1:18">
      <c r="A26" s="42">
        <v>43800</v>
      </c>
      <c r="B26" s="25">
        <f t="shared" si="3"/>
        <v>0</v>
      </c>
      <c r="C26" s="43"/>
      <c r="D26" s="44"/>
      <c r="E26" s="45"/>
      <c r="F26" s="46">
        <f t="shared" si="4"/>
        <v>0</v>
      </c>
      <c r="G26" s="34"/>
      <c r="H26" s="30">
        <v>43816</v>
      </c>
      <c r="I26" s="23">
        <v>510000</v>
      </c>
      <c r="J26" s="40" t="s">
        <v>22</v>
      </c>
      <c r="K26" s="44" t="s">
        <v>39</v>
      </c>
      <c r="L26" s="77" t="s">
        <v>51</v>
      </c>
      <c r="M26" s="77"/>
      <c r="N26" s="77"/>
      <c r="O26" s="77"/>
      <c r="P26" s="80"/>
      <c r="Q26" s="98"/>
      <c r="R26" s="98"/>
    </row>
    <row r="27" s="1" customFormat="1" ht="18" customHeight="1" spans="1:18">
      <c r="A27" s="42"/>
      <c r="B27" s="25">
        <f t="shared" si="3"/>
        <v>0</v>
      </c>
      <c r="C27" s="43"/>
      <c r="D27" s="44"/>
      <c r="E27" s="45"/>
      <c r="F27" s="46">
        <f t="shared" si="4"/>
        <v>0</v>
      </c>
      <c r="G27" s="34"/>
      <c r="H27" s="30">
        <v>43816</v>
      </c>
      <c r="I27" s="23">
        <v>500000</v>
      </c>
      <c r="J27" s="40" t="s">
        <v>22</v>
      </c>
      <c r="K27" s="44" t="s">
        <v>42</v>
      </c>
      <c r="L27" s="77" t="s">
        <v>53</v>
      </c>
      <c r="M27" s="77"/>
      <c r="N27" s="77"/>
      <c r="O27" s="77"/>
      <c r="P27" s="80"/>
      <c r="Q27" s="98"/>
      <c r="R27" s="98"/>
    </row>
    <row r="28" s="1" customFormat="1" ht="18" customHeight="1" spans="1:18">
      <c r="A28" s="42">
        <v>43800</v>
      </c>
      <c r="B28" s="25">
        <f t="shared" si="3"/>
        <v>26161.81</v>
      </c>
      <c r="C28" s="43"/>
      <c r="D28" s="44" t="s">
        <v>38</v>
      </c>
      <c r="E28" s="47">
        <v>0.13</v>
      </c>
      <c r="F28" s="46">
        <f t="shared" si="4"/>
        <v>3401.04</v>
      </c>
      <c r="G28" s="34">
        <f>289+712.88+1692.98+5848.99+20479+540</f>
        <v>29562.85</v>
      </c>
      <c r="H28" s="30"/>
      <c r="I28" s="23"/>
      <c r="J28" s="40"/>
      <c r="K28" s="44" t="s">
        <v>54</v>
      </c>
      <c r="L28" s="77"/>
      <c r="M28" s="77"/>
      <c r="N28" s="77"/>
      <c r="O28" s="77"/>
      <c r="P28" s="80"/>
      <c r="Q28" s="98"/>
      <c r="R28" s="98"/>
    </row>
    <row r="29" s="1" customFormat="1" ht="18" customHeight="1" spans="1:18">
      <c r="A29" s="42">
        <v>43800</v>
      </c>
      <c r="B29" s="25">
        <f t="shared" si="3"/>
        <v>3590</v>
      </c>
      <c r="C29" s="43"/>
      <c r="D29" s="44" t="s">
        <v>44</v>
      </c>
      <c r="E29" s="45"/>
      <c r="F29" s="46">
        <f t="shared" si="4"/>
        <v>0</v>
      </c>
      <c r="G29" s="34">
        <v>3590</v>
      </c>
      <c r="H29" s="30"/>
      <c r="I29" s="23"/>
      <c r="J29" s="40"/>
      <c r="K29" s="44" t="s">
        <v>55</v>
      </c>
      <c r="L29" s="77" t="s">
        <v>56</v>
      </c>
      <c r="M29" s="77"/>
      <c r="N29" s="77"/>
      <c r="O29" s="77"/>
      <c r="P29" s="80"/>
      <c r="Q29" s="98"/>
      <c r="R29" s="98"/>
    </row>
    <row r="30" s="1" customFormat="1" ht="18" customHeight="1" spans="1:18">
      <c r="A30" s="42">
        <v>43800</v>
      </c>
      <c r="B30" s="25">
        <f t="shared" si="3"/>
        <v>11518.87</v>
      </c>
      <c r="C30" s="43"/>
      <c r="D30" s="44" t="s">
        <v>38</v>
      </c>
      <c r="E30" s="47">
        <v>0.06</v>
      </c>
      <c r="F30" s="46">
        <f t="shared" si="4"/>
        <v>691.13</v>
      </c>
      <c r="G30" s="34">
        <f>1207+1069+372+1480+1468+1278+1095+955+1360+742+1184</f>
        <v>12210</v>
      </c>
      <c r="H30" s="30"/>
      <c r="I30" s="23"/>
      <c r="J30" s="40"/>
      <c r="K30" s="44" t="s">
        <v>57</v>
      </c>
      <c r="L30" s="77" t="s">
        <v>58</v>
      </c>
      <c r="M30" s="77"/>
      <c r="N30" s="77"/>
      <c r="O30" s="77"/>
      <c r="P30" s="80"/>
      <c r="Q30" s="98"/>
      <c r="R30" s="98"/>
    </row>
    <row r="31" s="1" customFormat="1" ht="18" customHeight="1" spans="1:18">
      <c r="A31" s="42">
        <v>43800</v>
      </c>
      <c r="B31" s="25">
        <f t="shared" si="3"/>
        <v>1855</v>
      </c>
      <c r="C31" s="43"/>
      <c r="D31" s="44" t="s">
        <v>59</v>
      </c>
      <c r="E31" s="47"/>
      <c r="F31" s="46">
        <f t="shared" si="4"/>
        <v>0</v>
      </c>
      <c r="G31" s="34">
        <v>1855</v>
      </c>
      <c r="H31" s="30"/>
      <c r="I31" s="23"/>
      <c r="J31" s="40"/>
      <c r="K31" s="44" t="s">
        <v>57</v>
      </c>
      <c r="L31" s="77" t="s">
        <v>58</v>
      </c>
      <c r="M31" s="77"/>
      <c r="N31" s="77"/>
      <c r="O31" s="77"/>
      <c r="P31" s="80"/>
      <c r="Q31" s="98"/>
      <c r="R31" s="98"/>
    </row>
    <row r="32" s="1" customFormat="1" ht="18" customHeight="1" spans="1:18">
      <c r="A32" s="42"/>
      <c r="B32" s="25">
        <f t="shared" si="3"/>
        <v>0</v>
      </c>
      <c r="C32" s="43"/>
      <c r="D32" s="44"/>
      <c r="E32" s="48"/>
      <c r="F32" s="46">
        <f t="shared" si="4"/>
        <v>0</v>
      </c>
      <c r="G32" s="49"/>
      <c r="H32" s="30">
        <v>43819</v>
      </c>
      <c r="I32" s="23">
        <v>1000000</v>
      </c>
      <c r="J32" s="40" t="s">
        <v>45</v>
      </c>
      <c r="K32" s="44" t="s">
        <v>60</v>
      </c>
      <c r="L32" s="77" t="s">
        <v>61</v>
      </c>
      <c r="M32" s="77"/>
      <c r="N32" s="77"/>
      <c r="O32" s="77"/>
      <c r="P32" s="80"/>
      <c r="Q32" s="98"/>
      <c r="R32" s="98"/>
    </row>
    <row r="33" s="2" customFormat="1" ht="18" customHeight="1" spans="1:18">
      <c r="A33" s="50"/>
      <c r="B33" s="51">
        <f t="shared" si="3"/>
        <v>0</v>
      </c>
      <c r="C33" s="52"/>
      <c r="D33" s="53"/>
      <c r="E33" s="48"/>
      <c r="F33" s="54">
        <f t="shared" si="4"/>
        <v>0</v>
      </c>
      <c r="G33" s="49"/>
      <c r="H33" s="55">
        <v>43819</v>
      </c>
      <c r="I33" s="81">
        <v>-1000000</v>
      </c>
      <c r="J33" s="82" t="s">
        <v>45</v>
      </c>
      <c r="K33" s="83" t="s">
        <v>62</v>
      </c>
      <c r="L33" s="84" t="s">
        <v>63</v>
      </c>
      <c r="M33" s="78"/>
      <c r="N33" s="78"/>
      <c r="O33" s="78"/>
      <c r="P33" s="79"/>
      <c r="Q33" s="101"/>
      <c r="R33" s="101"/>
    </row>
    <row r="34" s="2" customFormat="1" ht="18" customHeight="1" spans="1:18">
      <c r="A34" s="50">
        <v>43800</v>
      </c>
      <c r="B34" s="51">
        <f t="shared" si="3"/>
        <v>442477.88</v>
      </c>
      <c r="C34" s="52"/>
      <c r="D34" s="53" t="s">
        <v>38</v>
      </c>
      <c r="E34" s="56">
        <v>0.13</v>
      </c>
      <c r="F34" s="54">
        <f t="shared" si="4"/>
        <v>57522.12</v>
      </c>
      <c r="G34" s="34">
        <v>500000</v>
      </c>
      <c r="H34" s="57">
        <v>43830</v>
      </c>
      <c r="I34" s="85">
        <v>300000</v>
      </c>
      <c r="J34" s="86" t="s">
        <v>22</v>
      </c>
      <c r="K34" s="53" t="s">
        <v>42</v>
      </c>
      <c r="L34" s="78" t="s">
        <v>64</v>
      </c>
      <c r="M34" s="78" t="s">
        <v>41</v>
      </c>
      <c r="N34" s="78" t="s">
        <v>65</v>
      </c>
      <c r="O34" s="78">
        <v>729.95</v>
      </c>
      <c r="P34" s="79"/>
      <c r="Q34" s="101"/>
      <c r="R34" s="101"/>
    </row>
    <row r="35" s="2" customFormat="1" ht="18" customHeight="1" spans="1:18">
      <c r="A35" s="50">
        <v>43800</v>
      </c>
      <c r="B35" s="51">
        <f t="shared" si="3"/>
        <v>485436.89</v>
      </c>
      <c r="C35" s="52"/>
      <c r="D35" s="53" t="s">
        <v>38</v>
      </c>
      <c r="E35" s="56">
        <v>0.03</v>
      </c>
      <c r="F35" s="54">
        <f t="shared" si="4"/>
        <v>14563.11</v>
      </c>
      <c r="G35" s="34">
        <v>500000</v>
      </c>
      <c r="H35" s="57">
        <v>43846</v>
      </c>
      <c r="I35" s="85">
        <v>390000</v>
      </c>
      <c r="J35" s="86" t="s">
        <v>22</v>
      </c>
      <c r="K35" s="53" t="s">
        <v>39</v>
      </c>
      <c r="L35" s="78" t="s">
        <v>51</v>
      </c>
      <c r="M35" s="78"/>
      <c r="N35" s="78"/>
      <c r="O35" s="78"/>
      <c r="P35" s="79"/>
      <c r="Q35" s="101"/>
      <c r="R35" s="101"/>
    </row>
    <row r="36" s="2" customFormat="1" ht="18" customHeight="1" spans="1:18">
      <c r="A36" s="50">
        <v>43800</v>
      </c>
      <c r="B36" s="51">
        <f t="shared" si="3"/>
        <v>1200000</v>
      </c>
      <c r="C36" s="52"/>
      <c r="D36" s="53" t="s">
        <v>66</v>
      </c>
      <c r="E36" s="56"/>
      <c r="F36" s="54">
        <f t="shared" si="4"/>
        <v>0</v>
      </c>
      <c r="G36" s="34">
        <v>1200000</v>
      </c>
      <c r="H36" s="57"/>
      <c r="I36" s="85"/>
      <c r="J36" s="86"/>
      <c r="K36" s="53" t="s">
        <v>67</v>
      </c>
      <c r="L36" s="78"/>
      <c r="M36" s="78"/>
      <c r="N36" s="78"/>
      <c r="O36" s="78"/>
      <c r="P36" s="79"/>
      <c r="Q36" s="101"/>
      <c r="R36" s="101"/>
    </row>
    <row r="37" s="2" customFormat="1" ht="18" customHeight="1" spans="1:18">
      <c r="A37" s="50">
        <v>43831</v>
      </c>
      <c r="B37" s="51">
        <f t="shared" si="3"/>
        <v>265486.73</v>
      </c>
      <c r="C37" s="52"/>
      <c r="D37" s="53" t="s">
        <v>38</v>
      </c>
      <c r="E37" s="56">
        <v>0.13</v>
      </c>
      <c r="F37" s="54">
        <f t="shared" si="4"/>
        <v>34513.27</v>
      </c>
      <c r="G37" s="34">
        <f>3*100000</f>
        <v>300000</v>
      </c>
      <c r="H37" s="57">
        <v>43846</v>
      </c>
      <c r="I37" s="85">
        <v>300000</v>
      </c>
      <c r="J37" s="86" t="s">
        <v>22</v>
      </c>
      <c r="K37" s="53" t="s">
        <v>42</v>
      </c>
      <c r="L37" s="78" t="s">
        <v>68</v>
      </c>
      <c r="M37" s="78" t="s">
        <v>41</v>
      </c>
      <c r="N37" s="78" t="s">
        <v>69</v>
      </c>
      <c r="O37" s="78">
        <v>426</v>
      </c>
      <c r="P37" s="79"/>
      <c r="Q37" s="101"/>
      <c r="R37" s="101"/>
    </row>
    <row r="38" s="2" customFormat="1" ht="18" customHeight="1" spans="1:18">
      <c r="A38" s="50">
        <v>43831</v>
      </c>
      <c r="B38" s="51">
        <f t="shared" si="3"/>
        <v>600000</v>
      </c>
      <c r="C38" s="52"/>
      <c r="D38" s="53" t="s">
        <v>66</v>
      </c>
      <c r="E38" s="56"/>
      <c r="F38" s="54">
        <f t="shared" si="4"/>
        <v>0</v>
      </c>
      <c r="G38" s="34">
        <v>600000</v>
      </c>
      <c r="H38" s="57"/>
      <c r="I38" s="85"/>
      <c r="J38" s="86"/>
      <c r="K38" s="87" t="s">
        <v>70</v>
      </c>
      <c r="L38" s="78" t="s">
        <v>71</v>
      </c>
      <c r="M38" s="78"/>
      <c r="N38" s="78"/>
      <c r="O38" s="78"/>
      <c r="P38" s="79"/>
      <c r="Q38" s="101"/>
      <c r="R38" s="101"/>
    </row>
    <row r="39" s="2" customFormat="1" ht="18" customHeight="1" spans="1:18">
      <c r="A39" s="50">
        <v>43831</v>
      </c>
      <c r="B39" s="51">
        <f t="shared" si="3"/>
        <v>600000</v>
      </c>
      <c r="C39" s="52"/>
      <c r="D39" s="53" t="s">
        <v>66</v>
      </c>
      <c r="E39" s="56"/>
      <c r="F39" s="54">
        <f t="shared" si="4"/>
        <v>0</v>
      </c>
      <c r="G39" s="34">
        <v>600000</v>
      </c>
      <c r="H39" s="57">
        <v>43852</v>
      </c>
      <c r="I39" s="85">
        <v>400000</v>
      </c>
      <c r="J39" s="86" t="s">
        <v>45</v>
      </c>
      <c r="K39" s="87" t="s">
        <v>72</v>
      </c>
      <c r="L39" s="78" t="s">
        <v>71</v>
      </c>
      <c r="M39" s="78"/>
      <c r="N39" s="78"/>
      <c r="O39" s="78"/>
      <c r="P39" s="79"/>
      <c r="Q39" s="101"/>
      <c r="R39" s="101"/>
    </row>
    <row r="40" s="2" customFormat="1" ht="18" customHeight="1" spans="1:18">
      <c r="A40" s="50">
        <v>43831</v>
      </c>
      <c r="B40" s="51">
        <f t="shared" si="3"/>
        <v>733944.95</v>
      </c>
      <c r="C40" s="52"/>
      <c r="D40" s="53" t="s">
        <v>38</v>
      </c>
      <c r="E40" s="56">
        <v>0.09</v>
      </c>
      <c r="F40" s="54">
        <f t="shared" si="4"/>
        <v>66055.05</v>
      </c>
      <c r="G40" s="34">
        <v>800000</v>
      </c>
      <c r="H40" s="57"/>
      <c r="I40" s="85"/>
      <c r="J40" s="86"/>
      <c r="K40" s="87" t="s">
        <v>73</v>
      </c>
      <c r="L40" s="78" t="s">
        <v>74</v>
      </c>
      <c r="M40" s="78" t="s">
        <v>41</v>
      </c>
      <c r="N40" s="78" t="s">
        <v>41</v>
      </c>
      <c r="O40" s="78"/>
      <c r="P40" s="79"/>
      <c r="Q40" s="101"/>
      <c r="R40" s="101"/>
    </row>
    <row r="41" s="2" customFormat="1" ht="18" customHeight="1" spans="1:18">
      <c r="A41" s="50"/>
      <c r="B41" s="51">
        <f t="shared" si="3"/>
        <v>0</v>
      </c>
      <c r="C41" s="52"/>
      <c r="D41" s="53"/>
      <c r="E41" s="56"/>
      <c r="F41" s="54">
        <f t="shared" si="4"/>
        <v>0</v>
      </c>
      <c r="G41" s="34"/>
      <c r="H41" s="57">
        <v>43850</v>
      </c>
      <c r="I41" s="85">
        <v>200000</v>
      </c>
      <c r="J41" s="86" t="s">
        <v>45</v>
      </c>
      <c r="K41" s="53" t="s">
        <v>60</v>
      </c>
      <c r="L41" s="78"/>
      <c r="M41" s="78"/>
      <c r="N41" s="78"/>
      <c r="O41" s="78"/>
      <c r="P41" s="79"/>
      <c r="Q41" s="101"/>
      <c r="R41" s="101"/>
    </row>
    <row r="42" s="2" customFormat="1" ht="18" customHeight="1" spans="1:18">
      <c r="A42" s="50"/>
      <c r="B42" s="51">
        <f t="shared" si="3"/>
        <v>0</v>
      </c>
      <c r="C42" s="52"/>
      <c r="D42" s="53"/>
      <c r="E42" s="56"/>
      <c r="F42" s="54">
        <f t="shared" si="4"/>
        <v>0</v>
      </c>
      <c r="G42" s="34"/>
      <c r="H42" s="57">
        <v>43853</v>
      </c>
      <c r="I42" s="85">
        <v>500000</v>
      </c>
      <c r="J42" s="86" t="s">
        <v>22</v>
      </c>
      <c r="K42" s="53" t="s">
        <v>73</v>
      </c>
      <c r="L42" s="78" t="s">
        <v>75</v>
      </c>
      <c r="M42" s="78"/>
      <c r="N42" s="78"/>
      <c r="O42" s="78"/>
      <c r="P42" s="79"/>
      <c r="Q42" s="101"/>
      <c r="R42" s="101"/>
    </row>
    <row r="43" s="2" customFormat="1" ht="18" customHeight="1" spans="1:18">
      <c r="A43" s="50"/>
      <c r="B43" s="51">
        <f t="shared" si="3"/>
        <v>0</v>
      </c>
      <c r="C43" s="52"/>
      <c r="D43" s="53"/>
      <c r="E43" s="56"/>
      <c r="F43" s="54">
        <f t="shared" si="4"/>
        <v>0</v>
      </c>
      <c r="G43" s="34"/>
      <c r="H43" s="57">
        <v>43853</v>
      </c>
      <c r="I43" s="85">
        <v>600000</v>
      </c>
      <c r="J43" s="86" t="s">
        <v>45</v>
      </c>
      <c r="K43" s="53" t="s">
        <v>70</v>
      </c>
      <c r="L43" s="78" t="s">
        <v>71</v>
      </c>
      <c r="M43" s="78"/>
      <c r="N43" s="78"/>
      <c r="O43" s="78"/>
      <c r="P43" s="79"/>
      <c r="Q43" s="101"/>
      <c r="R43" s="101"/>
    </row>
    <row r="44" s="2" customFormat="1" ht="18" customHeight="1" spans="1:18">
      <c r="A44" s="50"/>
      <c r="B44" s="51">
        <f t="shared" si="3"/>
        <v>0</v>
      </c>
      <c r="C44" s="52"/>
      <c r="D44" s="53"/>
      <c r="E44" s="56"/>
      <c r="F44" s="54">
        <f t="shared" si="4"/>
        <v>0</v>
      </c>
      <c r="G44" s="34"/>
      <c r="H44" s="57">
        <v>43853</v>
      </c>
      <c r="I44" s="85">
        <v>200000</v>
      </c>
      <c r="J44" s="86" t="s">
        <v>45</v>
      </c>
      <c r="K44" s="53" t="s">
        <v>72</v>
      </c>
      <c r="L44" s="78" t="s">
        <v>71</v>
      </c>
      <c r="M44" s="78"/>
      <c r="N44" s="78"/>
      <c r="O44" s="78"/>
      <c r="P44" s="79"/>
      <c r="Q44" s="101"/>
      <c r="R44" s="101"/>
    </row>
    <row r="45" s="2" customFormat="1" ht="18" customHeight="1" spans="1:18">
      <c r="A45" s="50">
        <v>43891</v>
      </c>
      <c r="B45" s="51">
        <f t="shared" si="3"/>
        <v>485436.89</v>
      </c>
      <c r="C45" s="52"/>
      <c r="D45" s="53" t="s">
        <v>38</v>
      </c>
      <c r="E45" s="56">
        <v>0.03</v>
      </c>
      <c r="F45" s="54">
        <f t="shared" si="4"/>
        <v>14563.11</v>
      </c>
      <c r="G45" s="34">
        <v>500000</v>
      </c>
      <c r="H45" s="57">
        <v>43923</v>
      </c>
      <c r="I45" s="85">
        <v>320000</v>
      </c>
      <c r="J45" s="86" t="s">
        <v>22</v>
      </c>
      <c r="K45" s="53" t="s">
        <v>39</v>
      </c>
      <c r="L45" s="78" t="s">
        <v>40</v>
      </c>
      <c r="M45" s="78"/>
      <c r="N45" s="78"/>
      <c r="O45" s="78"/>
      <c r="P45" s="79"/>
      <c r="Q45" s="101"/>
      <c r="R45" s="101"/>
    </row>
    <row r="46" s="2" customFormat="1" ht="18" customHeight="1" spans="1:18">
      <c r="A46" s="50">
        <v>43922</v>
      </c>
      <c r="B46" s="51">
        <f t="shared" si="3"/>
        <v>265486.73</v>
      </c>
      <c r="C46" s="52"/>
      <c r="D46" s="53" t="s">
        <v>38</v>
      </c>
      <c r="E46" s="56">
        <v>0.13</v>
      </c>
      <c r="F46" s="54">
        <f t="shared" si="4"/>
        <v>34513.27</v>
      </c>
      <c r="G46" s="34">
        <v>300000</v>
      </c>
      <c r="H46" s="58"/>
      <c r="I46" s="88"/>
      <c r="J46" s="89"/>
      <c r="K46" s="90" t="s">
        <v>42</v>
      </c>
      <c r="L46" s="91" t="s">
        <v>68</v>
      </c>
      <c r="M46" s="78"/>
      <c r="N46" s="78"/>
      <c r="O46" s="78"/>
      <c r="P46" s="79"/>
      <c r="Q46" s="101"/>
      <c r="R46" s="101"/>
    </row>
    <row r="47" s="1" customFormat="1" ht="18" customHeight="1" spans="1:18">
      <c r="A47" s="42">
        <v>43983</v>
      </c>
      <c r="B47" s="51">
        <f t="shared" si="3"/>
        <v>150500</v>
      </c>
      <c r="C47" s="43"/>
      <c r="D47" s="44" t="s">
        <v>66</v>
      </c>
      <c r="E47" s="56"/>
      <c r="F47" s="54">
        <f t="shared" si="4"/>
        <v>0</v>
      </c>
      <c r="G47" s="59">
        <v>150500</v>
      </c>
      <c r="H47" s="58">
        <v>43986</v>
      </c>
      <c r="I47" s="88">
        <v>150500</v>
      </c>
      <c r="J47" s="89" t="s">
        <v>152</v>
      </c>
      <c r="K47" s="90" t="s">
        <v>153</v>
      </c>
      <c r="L47" s="91" t="s">
        <v>154</v>
      </c>
      <c r="M47" s="77" t="s">
        <v>41</v>
      </c>
      <c r="N47" s="77" t="s">
        <v>41</v>
      </c>
      <c r="O47" s="77"/>
      <c r="P47" s="80"/>
      <c r="Q47" s="98"/>
      <c r="R47" s="98"/>
    </row>
    <row r="48" s="1" customFormat="1" ht="18" customHeight="1" spans="1:18">
      <c r="A48" s="42">
        <v>43983</v>
      </c>
      <c r="B48" s="51">
        <f t="shared" si="3"/>
        <v>154000</v>
      </c>
      <c r="C48" s="43"/>
      <c r="D48" s="44" t="s">
        <v>66</v>
      </c>
      <c r="E48" s="56"/>
      <c r="F48" s="54">
        <f t="shared" si="4"/>
        <v>0</v>
      </c>
      <c r="G48" s="59">
        <v>154000</v>
      </c>
      <c r="H48" s="58">
        <v>43986</v>
      </c>
      <c r="I48" s="88">
        <v>150000</v>
      </c>
      <c r="J48" s="89" t="s">
        <v>22</v>
      </c>
      <c r="K48" s="90" t="s">
        <v>156</v>
      </c>
      <c r="L48" s="91" t="s">
        <v>157</v>
      </c>
      <c r="M48" s="77" t="s">
        <v>41</v>
      </c>
      <c r="N48" s="77" t="s">
        <v>41</v>
      </c>
      <c r="O48" s="77"/>
      <c r="P48" s="80"/>
      <c r="Q48" s="98"/>
      <c r="R48" s="98"/>
    </row>
    <row r="49" s="1" customFormat="1" ht="18" customHeight="1" spans="1:18">
      <c r="A49" s="42"/>
      <c r="B49" s="51">
        <f t="shared" si="3"/>
        <v>0</v>
      </c>
      <c r="C49" s="43"/>
      <c r="D49" s="44"/>
      <c r="E49" s="47"/>
      <c r="F49" s="54">
        <f t="shared" si="4"/>
        <v>0</v>
      </c>
      <c r="G49" s="59"/>
      <c r="H49" s="58">
        <v>44067</v>
      </c>
      <c r="I49" s="88">
        <v>150000</v>
      </c>
      <c r="J49" s="89" t="s">
        <v>22</v>
      </c>
      <c r="K49" s="90" t="s">
        <v>39</v>
      </c>
      <c r="L49" s="91" t="s">
        <v>40</v>
      </c>
      <c r="M49" s="77"/>
      <c r="N49" s="77"/>
      <c r="O49" s="77"/>
      <c r="P49" s="80"/>
      <c r="Q49" s="98"/>
      <c r="R49" s="98"/>
    </row>
    <row r="50" s="1" customFormat="1" ht="18" customHeight="1" spans="1:18">
      <c r="A50" s="42">
        <v>44075</v>
      </c>
      <c r="B50" s="51">
        <f t="shared" si="3"/>
        <v>240000</v>
      </c>
      <c r="C50" s="43"/>
      <c r="D50" s="44" t="s">
        <v>66</v>
      </c>
      <c r="E50" s="47"/>
      <c r="F50" s="54">
        <f t="shared" si="4"/>
        <v>0</v>
      </c>
      <c r="G50" s="59">
        <f>90000+90000+60000</f>
        <v>240000</v>
      </c>
      <c r="H50" s="58">
        <v>44067</v>
      </c>
      <c r="I50" s="88">
        <v>240000</v>
      </c>
      <c r="J50" s="89" t="s">
        <v>22</v>
      </c>
      <c r="K50" s="90" t="s">
        <v>161</v>
      </c>
      <c r="L50" s="91" t="s">
        <v>162</v>
      </c>
      <c r="M50" s="77" t="s">
        <v>41</v>
      </c>
      <c r="N50" s="77" t="s">
        <v>41</v>
      </c>
      <c r="O50" s="77"/>
      <c r="P50" s="80"/>
      <c r="Q50" s="98"/>
      <c r="R50" s="98"/>
    </row>
    <row r="51" s="3" customFormat="1" ht="18" customHeight="1" spans="1:18">
      <c r="A51" s="50"/>
      <c r="B51" s="51">
        <f t="shared" si="3"/>
        <v>0</v>
      </c>
      <c r="C51" s="52"/>
      <c r="D51" s="53"/>
      <c r="E51" s="47"/>
      <c r="F51" s="54">
        <f t="shared" si="4"/>
        <v>0</v>
      </c>
      <c r="G51" s="59"/>
      <c r="H51" s="60">
        <v>44081</v>
      </c>
      <c r="I51" s="92">
        <v>-1000000</v>
      </c>
      <c r="J51" s="93" t="s">
        <v>170</v>
      </c>
      <c r="K51" s="94" t="s">
        <v>63</v>
      </c>
      <c r="L51" s="95" t="s">
        <v>63</v>
      </c>
      <c r="M51" s="96"/>
      <c r="N51" s="96"/>
      <c r="O51" s="96"/>
      <c r="P51" s="97"/>
      <c r="Q51" s="102"/>
      <c r="R51" s="102"/>
    </row>
    <row r="52" s="1" customFormat="1" ht="18" customHeight="1" spans="1:18">
      <c r="A52" s="42"/>
      <c r="B52" s="51">
        <f t="shared" si="3"/>
        <v>0</v>
      </c>
      <c r="C52" s="43"/>
      <c r="D52" s="44"/>
      <c r="E52" s="47"/>
      <c r="F52" s="54">
        <f t="shared" si="4"/>
        <v>0</v>
      </c>
      <c r="G52" s="59"/>
      <c r="H52" s="58">
        <v>44081</v>
      </c>
      <c r="I52" s="88">
        <v>100000</v>
      </c>
      <c r="J52" s="89" t="s">
        <v>22</v>
      </c>
      <c r="K52" s="90" t="s">
        <v>171</v>
      </c>
      <c r="L52" s="90" t="s">
        <v>63</v>
      </c>
      <c r="M52" s="77">
        <v>100000</v>
      </c>
      <c r="N52" s="77"/>
      <c r="O52" s="77"/>
      <c r="P52" s="80"/>
      <c r="Q52" s="98"/>
      <c r="R52" s="98"/>
    </row>
    <row r="53" s="1" customFormat="1" ht="18" customHeight="1" spans="1:18">
      <c r="A53" s="42"/>
      <c r="B53" s="51">
        <f t="shared" si="3"/>
        <v>0</v>
      </c>
      <c r="C53" s="43"/>
      <c r="D53" s="44"/>
      <c r="E53" s="47"/>
      <c r="F53" s="54">
        <f t="shared" si="4"/>
        <v>0</v>
      </c>
      <c r="G53" s="59"/>
      <c r="H53" s="57">
        <v>44084</v>
      </c>
      <c r="I53" s="85">
        <v>200000</v>
      </c>
      <c r="J53" s="86" t="s">
        <v>22</v>
      </c>
      <c r="K53" s="53" t="s">
        <v>161</v>
      </c>
      <c r="L53" s="90" t="s">
        <v>63</v>
      </c>
      <c r="M53" s="77">
        <v>200000</v>
      </c>
      <c r="N53" s="77"/>
      <c r="O53" s="77"/>
      <c r="P53" s="80"/>
      <c r="Q53" s="98"/>
      <c r="R53" s="98"/>
    </row>
    <row r="54" s="1" customFormat="1" ht="18" customHeight="1" spans="1:18">
      <c r="A54" s="61">
        <v>44075</v>
      </c>
      <c r="B54" s="62">
        <f t="shared" si="3"/>
        <v>283.02</v>
      </c>
      <c r="C54" s="63"/>
      <c r="D54" s="64" t="s">
        <v>38</v>
      </c>
      <c r="E54" s="65">
        <v>0.06</v>
      </c>
      <c r="F54" s="66">
        <f t="shared" si="4"/>
        <v>16.98</v>
      </c>
      <c r="G54" s="67">
        <v>300</v>
      </c>
      <c r="H54" s="58"/>
      <c r="I54" s="88"/>
      <c r="J54" s="89"/>
      <c r="K54" s="90" t="s">
        <v>172</v>
      </c>
      <c r="L54" s="90" t="s">
        <v>173</v>
      </c>
      <c r="M54" s="98"/>
      <c r="N54" s="77"/>
      <c r="O54" s="77"/>
      <c r="P54" s="80"/>
      <c r="Q54" s="98"/>
      <c r="R54" s="98"/>
    </row>
    <row r="55" s="1" customFormat="1" ht="18" customHeight="1" spans="1:18">
      <c r="A55" s="42"/>
      <c r="B55" s="51">
        <f t="shared" si="3"/>
        <v>0</v>
      </c>
      <c r="C55" s="43"/>
      <c r="D55" s="44"/>
      <c r="E55" s="47"/>
      <c r="F55" s="54">
        <f t="shared" si="4"/>
        <v>0</v>
      </c>
      <c r="G55" s="59"/>
      <c r="H55" s="57">
        <v>44091</v>
      </c>
      <c r="I55" s="85">
        <v>80000</v>
      </c>
      <c r="J55" s="86" t="s">
        <v>22</v>
      </c>
      <c r="K55" s="53" t="s">
        <v>176</v>
      </c>
      <c r="L55" s="90" t="s">
        <v>63</v>
      </c>
      <c r="M55" s="77">
        <v>80000</v>
      </c>
      <c r="N55" s="77"/>
      <c r="O55" s="77"/>
      <c r="P55" s="80"/>
      <c r="Q55" s="98"/>
      <c r="R55" s="98"/>
    </row>
    <row r="56" s="1" customFormat="1" ht="18" customHeight="1" spans="1:18">
      <c r="A56" s="42"/>
      <c r="B56" s="51">
        <f t="shared" si="3"/>
        <v>0</v>
      </c>
      <c r="C56" s="43"/>
      <c r="D56" s="44"/>
      <c r="E56" s="47"/>
      <c r="F56" s="54">
        <f t="shared" si="4"/>
        <v>0</v>
      </c>
      <c r="G56" s="59"/>
      <c r="H56" s="57">
        <v>44095</v>
      </c>
      <c r="I56" s="85">
        <v>100000</v>
      </c>
      <c r="J56" s="86" t="s">
        <v>22</v>
      </c>
      <c r="K56" s="53" t="s">
        <v>171</v>
      </c>
      <c r="L56" s="53" t="s">
        <v>63</v>
      </c>
      <c r="M56" s="77">
        <v>100000</v>
      </c>
      <c r="N56" s="77"/>
      <c r="O56" s="77"/>
      <c r="P56" s="80"/>
      <c r="Q56" s="98"/>
      <c r="R56" s="98"/>
    </row>
    <row r="57" s="1" customFormat="1" ht="18" customHeight="1" spans="1:18">
      <c r="A57" s="42"/>
      <c r="B57" s="51">
        <f t="shared" si="3"/>
        <v>0</v>
      </c>
      <c r="C57" s="43"/>
      <c r="D57" s="44"/>
      <c r="E57" s="47"/>
      <c r="F57" s="54">
        <f t="shared" si="4"/>
        <v>0</v>
      </c>
      <c r="G57" s="59"/>
      <c r="H57" s="57">
        <v>44096</v>
      </c>
      <c r="I57" s="85">
        <v>200000</v>
      </c>
      <c r="J57" s="86" t="s">
        <v>22</v>
      </c>
      <c r="K57" s="53" t="s">
        <v>161</v>
      </c>
      <c r="L57" s="53" t="s">
        <v>63</v>
      </c>
      <c r="M57" s="77">
        <v>200000</v>
      </c>
      <c r="N57" s="77"/>
      <c r="O57" s="77"/>
      <c r="P57" s="80"/>
      <c r="Q57" s="98"/>
      <c r="R57" s="98"/>
    </row>
    <row r="58" s="1" customFormat="1" ht="18" customHeight="1" spans="1:18">
      <c r="A58" s="42"/>
      <c r="B58" s="51">
        <f t="shared" si="3"/>
        <v>0</v>
      </c>
      <c r="C58" s="43"/>
      <c r="D58" s="44"/>
      <c r="E58" s="47"/>
      <c r="F58" s="54">
        <f t="shared" si="4"/>
        <v>0</v>
      </c>
      <c r="G58" s="59"/>
      <c r="H58" s="57">
        <v>44098</v>
      </c>
      <c r="I58" s="85">
        <v>100000</v>
      </c>
      <c r="J58" s="86" t="s">
        <v>22</v>
      </c>
      <c r="K58" s="53" t="s">
        <v>171</v>
      </c>
      <c r="L58" s="53" t="s">
        <v>63</v>
      </c>
      <c r="M58" s="77">
        <v>100000</v>
      </c>
      <c r="N58" s="77"/>
      <c r="O58" s="77"/>
      <c r="P58" s="80"/>
      <c r="Q58" s="98"/>
      <c r="R58" s="98"/>
    </row>
    <row r="59" s="1" customFormat="1" ht="18" customHeight="1" spans="1:18">
      <c r="A59" s="42">
        <v>44101</v>
      </c>
      <c r="B59" s="51">
        <f t="shared" si="3"/>
        <v>269289.82</v>
      </c>
      <c r="C59" s="43">
        <v>3</v>
      </c>
      <c r="D59" s="44" t="s">
        <v>38</v>
      </c>
      <c r="E59" s="47">
        <v>0.13</v>
      </c>
      <c r="F59" s="54">
        <f t="shared" si="4"/>
        <v>35007.68</v>
      </c>
      <c r="G59" s="59">
        <v>304297.5</v>
      </c>
      <c r="H59" s="57">
        <v>44101</v>
      </c>
      <c r="I59" s="85">
        <v>120000</v>
      </c>
      <c r="J59" s="86" t="s">
        <v>22</v>
      </c>
      <c r="K59" s="53" t="s">
        <v>171</v>
      </c>
      <c r="L59" s="53" t="s">
        <v>63</v>
      </c>
      <c r="M59" s="77">
        <v>120000</v>
      </c>
      <c r="N59" s="77"/>
      <c r="O59" s="77"/>
      <c r="P59" s="80"/>
      <c r="Q59" s="98"/>
      <c r="R59" s="98"/>
    </row>
    <row r="60" s="1" customFormat="1" ht="18" customHeight="1" spans="1:18">
      <c r="A60" s="42">
        <v>44101</v>
      </c>
      <c r="B60" s="51">
        <f t="shared" si="3"/>
        <v>310050</v>
      </c>
      <c r="C60" s="43">
        <v>4</v>
      </c>
      <c r="D60" s="44"/>
      <c r="E60" s="47"/>
      <c r="F60" s="54">
        <f t="shared" si="4"/>
        <v>0</v>
      </c>
      <c r="G60" s="59">
        <v>310050</v>
      </c>
      <c r="H60" s="57">
        <v>44103</v>
      </c>
      <c r="I60" s="85">
        <v>100000</v>
      </c>
      <c r="J60" s="86" t="s">
        <v>22</v>
      </c>
      <c r="K60" s="53" t="s">
        <v>161</v>
      </c>
      <c r="L60" s="53" t="s">
        <v>179</v>
      </c>
      <c r="M60" s="77">
        <v>100000</v>
      </c>
      <c r="N60" s="77"/>
      <c r="O60" s="77"/>
      <c r="P60" s="80"/>
      <c r="Q60" s="98"/>
      <c r="R60" s="98"/>
    </row>
    <row r="61" s="1" customFormat="1" ht="18" customHeight="1" spans="1:18">
      <c r="A61" s="42">
        <v>44101</v>
      </c>
      <c r="B61" s="51">
        <f t="shared" si="3"/>
        <v>290020.85</v>
      </c>
      <c r="C61" s="43">
        <v>4</v>
      </c>
      <c r="D61" s="44"/>
      <c r="E61" s="47"/>
      <c r="F61" s="54">
        <f t="shared" si="4"/>
        <v>0</v>
      </c>
      <c r="G61" s="59">
        <v>290020.85</v>
      </c>
      <c r="H61" s="57"/>
      <c r="I61" s="85"/>
      <c r="J61" s="86"/>
      <c r="K61" s="53" t="s">
        <v>161</v>
      </c>
      <c r="L61" s="53" t="s">
        <v>180</v>
      </c>
      <c r="M61" s="77"/>
      <c r="N61" s="77"/>
      <c r="O61" s="77"/>
      <c r="P61" s="80"/>
      <c r="Q61" s="98"/>
      <c r="R61" s="98"/>
    </row>
    <row r="62" s="1" customFormat="1" ht="18" customHeight="1" spans="1:18">
      <c r="A62" s="42">
        <v>44075</v>
      </c>
      <c r="B62" s="51">
        <f t="shared" si="3"/>
        <v>110511.5</v>
      </c>
      <c r="C62" s="43">
        <v>2</v>
      </c>
      <c r="D62" s="44" t="s">
        <v>38</v>
      </c>
      <c r="E62" s="47">
        <v>0.13</v>
      </c>
      <c r="F62" s="54">
        <f t="shared" si="4"/>
        <v>14366.5</v>
      </c>
      <c r="G62" s="59">
        <f>46878+78000</f>
        <v>124878</v>
      </c>
      <c r="H62" s="57"/>
      <c r="I62" s="85"/>
      <c r="J62" s="86"/>
      <c r="K62" s="53" t="s">
        <v>171</v>
      </c>
      <c r="L62" s="53" t="s">
        <v>53</v>
      </c>
      <c r="M62" s="77"/>
      <c r="N62" s="77" t="s">
        <v>41</v>
      </c>
      <c r="O62" s="77"/>
      <c r="P62" s="80"/>
      <c r="Q62" s="98"/>
      <c r="R62" s="98"/>
    </row>
    <row r="63" s="1" customFormat="1" ht="18" customHeight="1" spans="1:18">
      <c r="A63" s="42"/>
      <c r="B63" s="51"/>
      <c r="C63" s="43"/>
      <c r="D63" s="44"/>
      <c r="E63" s="47"/>
      <c r="F63" s="54" t="s">
        <v>189</v>
      </c>
      <c r="G63" s="49"/>
      <c r="H63" s="57">
        <v>44104</v>
      </c>
      <c r="I63" s="85">
        <v>200000</v>
      </c>
      <c r="J63" s="86" t="s">
        <v>22</v>
      </c>
      <c r="K63" s="53" t="s">
        <v>176</v>
      </c>
      <c r="L63" s="53" t="s">
        <v>53</v>
      </c>
      <c r="M63" s="77"/>
      <c r="N63" s="77"/>
      <c r="O63" s="77"/>
      <c r="P63" s="80"/>
      <c r="Q63" s="98"/>
      <c r="R63" s="98"/>
    </row>
    <row r="64" s="2" customFormat="1" ht="18" customHeight="1" spans="1:18">
      <c r="A64" s="50">
        <v>44105</v>
      </c>
      <c r="B64" s="51">
        <f t="shared" si="3"/>
        <v>129048.23</v>
      </c>
      <c r="C64" s="52">
        <v>2</v>
      </c>
      <c r="D64" s="44" t="s">
        <v>38</v>
      </c>
      <c r="E64" s="47">
        <v>0.13</v>
      </c>
      <c r="F64" s="54">
        <f t="shared" si="4"/>
        <v>16776.27</v>
      </c>
      <c r="G64" s="34">
        <v>145824.5</v>
      </c>
      <c r="H64" s="68">
        <v>44116</v>
      </c>
      <c r="I64" s="99">
        <v>100000</v>
      </c>
      <c r="J64" s="78" t="s">
        <v>22</v>
      </c>
      <c r="K64" s="100" t="s">
        <v>171</v>
      </c>
      <c r="L64" s="53" t="s">
        <v>53</v>
      </c>
      <c r="M64" s="78"/>
      <c r="N64" s="78"/>
      <c r="O64" s="78"/>
      <c r="P64" s="79"/>
      <c r="Q64" s="101"/>
      <c r="R64" s="101"/>
    </row>
    <row r="65" s="2" customFormat="1" ht="18" customHeight="1" spans="1:18">
      <c r="A65" s="50">
        <v>44105</v>
      </c>
      <c r="B65" s="51">
        <f t="shared" si="3"/>
        <v>99009.9</v>
      </c>
      <c r="C65" s="52">
        <v>1</v>
      </c>
      <c r="D65" s="44" t="s">
        <v>38</v>
      </c>
      <c r="E65" s="56">
        <v>0.01</v>
      </c>
      <c r="F65" s="54">
        <f t="shared" si="4"/>
        <v>990.1</v>
      </c>
      <c r="G65" s="34">
        <v>100000</v>
      </c>
      <c r="H65" s="68">
        <v>44116</v>
      </c>
      <c r="I65" s="99">
        <v>145000</v>
      </c>
      <c r="J65" s="78" t="s">
        <v>22</v>
      </c>
      <c r="K65" s="100" t="s">
        <v>161</v>
      </c>
      <c r="L65" s="53" t="s">
        <v>180</v>
      </c>
      <c r="M65" s="78"/>
      <c r="N65" s="78"/>
      <c r="O65" s="78"/>
      <c r="P65" s="79"/>
      <c r="Q65" s="101"/>
      <c r="R65" s="101"/>
    </row>
    <row r="66" s="3" customFormat="1" ht="18" customHeight="1" spans="1:18">
      <c r="A66" s="50"/>
      <c r="B66" s="51">
        <f t="shared" si="3"/>
        <v>0</v>
      </c>
      <c r="C66" s="52"/>
      <c r="D66" s="53"/>
      <c r="E66" s="56"/>
      <c r="F66" s="54">
        <f t="shared" si="4"/>
        <v>0</v>
      </c>
      <c r="G66" s="34"/>
      <c r="H66" s="103">
        <v>44116</v>
      </c>
      <c r="I66" s="105">
        <v>-200000</v>
      </c>
      <c r="J66" s="93" t="s">
        <v>170</v>
      </c>
      <c r="K66" s="106" t="s">
        <v>184</v>
      </c>
      <c r="L66" s="107" t="s">
        <v>63</v>
      </c>
      <c r="M66" s="96"/>
      <c r="N66" s="96"/>
      <c r="O66" s="96"/>
      <c r="P66" s="97"/>
      <c r="Q66" s="102"/>
      <c r="R66" s="102"/>
    </row>
    <row r="67" s="2" customFormat="1" ht="18" customHeight="1" spans="1:18">
      <c r="A67" s="50">
        <v>44105</v>
      </c>
      <c r="B67" s="51">
        <f t="shared" si="3"/>
        <v>194174.76</v>
      </c>
      <c r="C67" s="52">
        <v>1</v>
      </c>
      <c r="D67" s="44" t="s">
        <v>38</v>
      </c>
      <c r="E67" s="56">
        <v>0.03</v>
      </c>
      <c r="F67" s="54">
        <f t="shared" si="4"/>
        <v>5825.24</v>
      </c>
      <c r="G67" s="34">
        <v>200000</v>
      </c>
      <c r="H67" s="68">
        <v>44117</v>
      </c>
      <c r="I67" s="99">
        <v>200000</v>
      </c>
      <c r="J67" s="78" t="s">
        <v>22</v>
      </c>
      <c r="K67" s="100" t="s">
        <v>185</v>
      </c>
      <c r="L67" s="108" t="s">
        <v>51</v>
      </c>
      <c r="M67" s="78"/>
      <c r="N67" s="78"/>
      <c r="O67" s="78"/>
      <c r="P67" s="79"/>
      <c r="Q67" s="101"/>
      <c r="R67" s="101"/>
    </row>
    <row r="68" s="2" customFormat="1" ht="18" customHeight="1" spans="1:18">
      <c r="A68" s="50">
        <v>44136</v>
      </c>
      <c r="B68" s="51">
        <f t="shared" si="3"/>
        <v>582524.27</v>
      </c>
      <c r="C68" s="52">
        <v>1</v>
      </c>
      <c r="D68" s="44" t="s">
        <v>38</v>
      </c>
      <c r="E68" s="56">
        <v>0.03</v>
      </c>
      <c r="F68" s="54">
        <f t="shared" si="4"/>
        <v>17475.73</v>
      </c>
      <c r="G68" s="34">
        <v>600000</v>
      </c>
      <c r="H68" s="68"/>
      <c r="I68" s="99"/>
      <c r="J68" s="78"/>
      <c r="K68" s="100" t="s">
        <v>185</v>
      </c>
      <c r="L68" s="108" t="s">
        <v>51</v>
      </c>
      <c r="M68" s="78"/>
      <c r="N68" s="78"/>
      <c r="O68" s="78"/>
      <c r="P68" s="79"/>
      <c r="Q68" s="101"/>
      <c r="R68" s="101"/>
    </row>
    <row r="69" s="2" customFormat="1" ht="18" customHeight="1" spans="1:18">
      <c r="A69" s="50"/>
      <c r="B69" s="51">
        <f t="shared" si="3"/>
        <v>0</v>
      </c>
      <c r="C69" s="52"/>
      <c r="D69" s="44"/>
      <c r="E69" s="56"/>
      <c r="F69" s="54">
        <f t="shared" si="4"/>
        <v>0</v>
      </c>
      <c r="G69" s="34"/>
      <c r="H69" s="68">
        <v>44158</v>
      </c>
      <c r="I69" s="99">
        <v>55000</v>
      </c>
      <c r="J69" s="78" t="s">
        <v>22</v>
      </c>
      <c r="K69" s="100" t="s">
        <v>171</v>
      </c>
      <c r="L69" s="108"/>
      <c r="M69" s="78"/>
      <c r="N69" s="78"/>
      <c r="O69" s="78"/>
      <c r="P69" s="79"/>
      <c r="Q69" s="101"/>
      <c r="R69" s="101"/>
    </row>
    <row r="70" s="2" customFormat="1" ht="18" customHeight="1" spans="1:18">
      <c r="A70" s="50"/>
      <c r="B70" s="51">
        <f t="shared" si="3"/>
        <v>0</v>
      </c>
      <c r="C70" s="52"/>
      <c r="D70" s="44"/>
      <c r="E70" s="56"/>
      <c r="F70" s="54">
        <f t="shared" si="4"/>
        <v>0</v>
      </c>
      <c r="G70" s="34"/>
      <c r="H70" s="68">
        <v>44158</v>
      </c>
      <c r="I70" s="99">
        <v>55070.85</v>
      </c>
      <c r="J70" s="78" t="s">
        <v>22</v>
      </c>
      <c r="K70" s="100" t="s">
        <v>190</v>
      </c>
      <c r="L70" s="108"/>
      <c r="M70" s="78"/>
      <c r="N70" s="78"/>
      <c r="O70" s="78"/>
      <c r="P70" s="79"/>
      <c r="Q70" s="101"/>
      <c r="R70" s="101"/>
    </row>
    <row r="71" s="2" customFormat="1" ht="18" customHeight="1" spans="1:18">
      <c r="A71" s="50"/>
      <c r="B71" s="51">
        <f t="shared" si="3"/>
        <v>0</v>
      </c>
      <c r="C71" s="52"/>
      <c r="D71" s="44"/>
      <c r="E71" s="56"/>
      <c r="F71" s="54">
        <f t="shared" si="4"/>
        <v>0</v>
      </c>
      <c r="G71" s="34"/>
      <c r="H71" s="68">
        <v>44158</v>
      </c>
      <c r="I71" s="99">
        <v>596000</v>
      </c>
      <c r="J71" s="78" t="s">
        <v>22</v>
      </c>
      <c r="K71" s="100" t="s">
        <v>185</v>
      </c>
      <c r="L71" s="108"/>
      <c r="M71" s="78"/>
      <c r="N71" s="78"/>
      <c r="O71" s="78"/>
      <c r="P71" s="79"/>
      <c r="Q71" s="101"/>
      <c r="R71" s="101"/>
    </row>
    <row r="72" s="2" customFormat="1" ht="18" customHeight="1" spans="1:18">
      <c r="A72" s="50">
        <v>44287</v>
      </c>
      <c r="B72" s="51">
        <f t="shared" si="3"/>
        <v>21943.4</v>
      </c>
      <c r="C72" s="52">
        <v>2</v>
      </c>
      <c r="D72" s="44" t="s">
        <v>38</v>
      </c>
      <c r="E72" s="56">
        <v>0.06</v>
      </c>
      <c r="F72" s="54">
        <f t="shared" si="4"/>
        <v>1316.6</v>
      </c>
      <c r="G72" s="34">
        <f>4995+18265</f>
        <v>23260</v>
      </c>
      <c r="H72" s="68"/>
      <c r="I72" s="99"/>
      <c r="J72" s="78"/>
      <c r="K72" s="100" t="s">
        <v>191</v>
      </c>
      <c r="L72" s="108" t="s">
        <v>192</v>
      </c>
      <c r="M72" s="78"/>
      <c r="N72" s="78"/>
      <c r="O72" s="78"/>
      <c r="P72" s="79"/>
      <c r="Q72" s="101"/>
      <c r="R72" s="101"/>
    </row>
    <row r="73" s="2" customFormat="1" ht="18" customHeight="1" spans="1:18">
      <c r="A73" s="50"/>
      <c r="B73" s="51">
        <f t="shared" ref="B73:B89" si="5">ROUND(G73/(1+E73),2)</f>
        <v>0</v>
      </c>
      <c r="C73" s="52"/>
      <c r="D73" s="44"/>
      <c r="E73" s="56"/>
      <c r="F73" s="54"/>
      <c r="G73" s="34"/>
      <c r="H73" s="68"/>
      <c r="I73" s="99"/>
      <c r="J73" s="78"/>
      <c r="K73" s="100"/>
      <c r="L73" s="108"/>
      <c r="M73" s="78"/>
      <c r="N73" s="78"/>
      <c r="O73" s="78"/>
      <c r="P73" s="79"/>
      <c r="Q73" s="101"/>
      <c r="R73" s="101"/>
    </row>
    <row r="74" s="2" customFormat="1" ht="18" customHeight="1" spans="1:18">
      <c r="A74" s="50"/>
      <c r="B74" s="51">
        <f t="shared" si="5"/>
        <v>0</v>
      </c>
      <c r="C74" s="52"/>
      <c r="D74" s="44"/>
      <c r="E74" s="56"/>
      <c r="F74" s="54"/>
      <c r="G74" s="34"/>
      <c r="H74" s="68"/>
      <c r="I74" s="99"/>
      <c r="J74" s="78"/>
      <c r="K74" s="100"/>
      <c r="L74" s="108"/>
      <c r="M74" s="78"/>
      <c r="N74" s="78"/>
      <c r="O74" s="78"/>
      <c r="P74" s="79"/>
      <c r="Q74" s="101"/>
      <c r="R74" s="101"/>
    </row>
    <row r="75" s="2" customFormat="1" ht="18" customHeight="1" spans="1:18">
      <c r="A75" s="50"/>
      <c r="B75" s="51">
        <f t="shared" si="5"/>
        <v>0</v>
      </c>
      <c r="C75" s="52"/>
      <c r="D75" s="44"/>
      <c r="E75" s="56"/>
      <c r="F75" s="54"/>
      <c r="G75" s="34"/>
      <c r="H75" s="68"/>
      <c r="I75" s="99"/>
      <c r="J75" s="78"/>
      <c r="K75" s="100"/>
      <c r="L75" s="108"/>
      <c r="M75" s="78"/>
      <c r="N75" s="78"/>
      <c r="O75" s="78"/>
      <c r="P75" s="79"/>
      <c r="Q75" s="101"/>
      <c r="R75" s="101"/>
    </row>
    <row r="76" s="2" customFormat="1" ht="18" customHeight="1" spans="1:18">
      <c r="A76" s="50"/>
      <c r="B76" s="51">
        <f t="shared" si="5"/>
        <v>0</v>
      </c>
      <c r="C76" s="52"/>
      <c r="D76" s="44"/>
      <c r="E76" s="56"/>
      <c r="F76" s="54"/>
      <c r="G76" s="34"/>
      <c r="H76" s="68"/>
      <c r="I76" s="99"/>
      <c r="J76" s="78"/>
      <c r="K76" s="100"/>
      <c r="L76" s="108"/>
      <c r="M76" s="78"/>
      <c r="N76" s="78"/>
      <c r="O76" s="78"/>
      <c r="P76" s="79"/>
      <c r="Q76" s="101"/>
      <c r="R76" s="101"/>
    </row>
    <row r="77" s="2" customFormat="1" ht="18" customHeight="1" spans="1:18">
      <c r="A77" s="50"/>
      <c r="B77" s="51">
        <f t="shared" si="5"/>
        <v>0</v>
      </c>
      <c r="C77" s="52"/>
      <c r="D77" s="44"/>
      <c r="E77" s="56"/>
      <c r="F77" s="54"/>
      <c r="G77" s="34"/>
      <c r="H77" s="68"/>
      <c r="I77" s="99"/>
      <c r="J77" s="78"/>
      <c r="K77" s="100"/>
      <c r="L77" s="108"/>
      <c r="M77" s="78"/>
      <c r="N77" s="78"/>
      <c r="O77" s="78"/>
      <c r="P77" s="79"/>
      <c r="Q77" s="101"/>
      <c r="R77" s="101"/>
    </row>
    <row r="78" s="2" customFormat="1" ht="18" customHeight="1" spans="1:18">
      <c r="A78" s="50"/>
      <c r="B78" s="51">
        <f t="shared" si="5"/>
        <v>0</v>
      </c>
      <c r="C78" s="52"/>
      <c r="D78" s="44"/>
      <c r="E78" s="56"/>
      <c r="F78" s="54"/>
      <c r="G78" s="34"/>
      <c r="H78" s="68"/>
      <c r="I78" s="99"/>
      <c r="J78" s="78"/>
      <c r="K78" s="100"/>
      <c r="L78" s="108"/>
      <c r="M78" s="78"/>
      <c r="N78" s="78"/>
      <c r="O78" s="78"/>
      <c r="P78" s="79"/>
      <c r="Q78" s="101"/>
      <c r="R78" s="101"/>
    </row>
    <row r="79" s="2" customFormat="1" ht="18" customHeight="1" spans="1:18">
      <c r="A79" s="50"/>
      <c r="B79" s="51">
        <f t="shared" si="5"/>
        <v>0</v>
      </c>
      <c r="C79" s="52"/>
      <c r="D79" s="44"/>
      <c r="E79" s="56"/>
      <c r="F79" s="54"/>
      <c r="G79" s="34"/>
      <c r="H79" s="68">
        <v>44158</v>
      </c>
      <c r="I79" s="99">
        <v>19</v>
      </c>
      <c r="J79" s="78" t="s">
        <v>77</v>
      </c>
      <c r="K79" s="100" t="s">
        <v>193</v>
      </c>
      <c r="L79" s="108"/>
      <c r="M79" s="78"/>
      <c r="N79" s="78"/>
      <c r="O79" s="78"/>
      <c r="P79" s="79"/>
      <c r="Q79" s="101"/>
      <c r="R79" s="101"/>
    </row>
    <row r="80" s="2" customFormat="1" ht="18" customHeight="1" spans="1:18">
      <c r="A80" s="50"/>
      <c r="B80" s="51">
        <f t="shared" si="5"/>
        <v>0</v>
      </c>
      <c r="C80" s="52"/>
      <c r="D80" s="44"/>
      <c r="E80" s="56"/>
      <c r="F80" s="54"/>
      <c r="G80" s="34"/>
      <c r="H80" s="68">
        <v>44158</v>
      </c>
      <c r="I80" s="99">
        <v>3500</v>
      </c>
      <c r="J80" s="78" t="s">
        <v>77</v>
      </c>
      <c r="K80" s="78" t="s">
        <v>194</v>
      </c>
      <c r="L80" s="108"/>
      <c r="M80" s="78"/>
      <c r="N80" s="78"/>
      <c r="O80" s="78"/>
      <c r="P80" s="79"/>
      <c r="Q80" s="101"/>
      <c r="R80" s="101"/>
    </row>
    <row r="81" s="1" customFormat="1" ht="18" customHeight="1" spans="1:18">
      <c r="A81" s="42"/>
      <c r="B81" s="51">
        <f t="shared" si="5"/>
        <v>0</v>
      </c>
      <c r="C81" s="43"/>
      <c r="D81" s="44"/>
      <c r="E81" s="47"/>
      <c r="F81" s="54"/>
      <c r="G81" s="59"/>
      <c r="H81" s="68">
        <v>44158</v>
      </c>
      <c r="I81" s="85">
        <v>300</v>
      </c>
      <c r="J81" s="86" t="s">
        <v>77</v>
      </c>
      <c r="K81" s="53" t="s">
        <v>78</v>
      </c>
      <c r="L81" s="109"/>
      <c r="M81" s="110"/>
      <c r="N81" s="77"/>
      <c r="O81" s="77"/>
      <c r="P81" s="80"/>
      <c r="Q81" s="98"/>
      <c r="R81" s="98"/>
    </row>
    <row r="82" s="1" customFormat="1" ht="18" customHeight="1" spans="1:18">
      <c r="A82" s="42"/>
      <c r="B82" s="51">
        <f t="shared" si="5"/>
        <v>0</v>
      </c>
      <c r="C82" s="43"/>
      <c r="D82" s="44"/>
      <c r="E82" s="47"/>
      <c r="F82" s="54"/>
      <c r="G82" s="59"/>
      <c r="H82" s="57">
        <v>44117</v>
      </c>
      <c r="I82" s="85">
        <v>100</v>
      </c>
      <c r="J82" s="86" t="s">
        <v>77</v>
      </c>
      <c r="K82" s="53" t="s">
        <v>78</v>
      </c>
      <c r="L82" s="53"/>
      <c r="M82" s="110"/>
      <c r="N82" s="77"/>
      <c r="O82" s="77"/>
      <c r="P82" s="80"/>
      <c r="Q82" s="98"/>
      <c r="R82" s="98"/>
    </row>
    <row r="83" s="1" customFormat="1" ht="18" customHeight="1" spans="1:18">
      <c r="A83" s="42"/>
      <c r="B83" s="51">
        <f t="shared" si="5"/>
        <v>0</v>
      </c>
      <c r="C83" s="43"/>
      <c r="D83" s="44"/>
      <c r="E83" s="47"/>
      <c r="F83" s="54"/>
      <c r="G83" s="59"/>
      <c r="H83" s="57">
        <v>44116</v>
      </c>
      <c r="I83" s="85">
        <v>200</v>
      </c>
      <c r="J83" s="86" t="s">
        <v>77</v>
      </c>
      <c r="K83" s="53" t="s">
        <v>78</v>
      </c>
      <c r="L83" s="111"/>
      <c r="M83" s="110"/>
      <c r="N83" s="77"/>
      <c r="O83" s="77"/>
      <c r="P83" s="80"/>
      <c r="Q83" s="98"/>
      <c r="R83" s="98"/>
    </row>
    <row r="84" s="1" customFormat="1" ht="18" customHeight="1" spans="1:18">
      <c r="A84" s="42"/>
      <c r="B84" s="51">
        <f t="shared" si="5"/>
        <v>0</v>
      </c>
      <c r="C84" s="43"/>
      <c r="D84" s="44"/>
      <c r="E84" s="47"/>
      <c r="F84" s="54"/>
      <c r="G84" s="59"/>
      <c r="H84" s="57">
        <v>44104</v>
      </c>
      <c r="I84" s="85">
        <v>40970</v>
      </c>
      <c r="J84" s="86" t="s">
        <v>77</v>
      </c>
      <c r="K84" s="53" t="s">
        <v>195</v>
      </c>
      <c r="L84" s="53"/>
      <c r="M84" s="78"/>
      <c r="N84" s="77"/>
      <c r="O84" s="77"/>
      <c r="P84" s="80"/>
      <c r="Q84" s="98"/>
      <c r="R84" s="98"/>
    </row>
    <row r="85" s="1" customFormat="1" ht="18" customHeight="1" spans="1:18">
      <c r="A85" s="42"/>
      <c r="B85" s="51">
        <f t="shared" si="5"/>
        <v>2500</v>
      </c>
      <c r="C85" s="43"/>
      <c r="D85" s="44"/>
      <c r="E85" s="47"/>
      <c r="F85" s="54"/>
      <c r="G85" s="59">
        <v>2500</v>
      </c>
      <c r="H85" s="57">
        <v>44104</v>
      </c>
      <c r="I85" s="85">
        <v>2500</v>
      </c>
      <c r="J85" s="86" t="s">
        <v>77</v>
      </c>
      <c r="K85" s="53" t="s">
        <v>105</v>
      </c>
      <c r="L85" s="53"/>
      <c r="M85" s="77"/>
      <c r="N85" s="77"/>
      <c r="O85" s="77"/>
      <c r="P85" s="80"/>
      <c r="Q85" s="98"/>
      <c r="R85" s="98"/>
    </row>
    <row r="86" s="2" customFormat="1" ht="18" customHeight="1" spans="1:18">
      <c r="A86" s="50"/>
      <c r="B86" s="51">
        <f t="shared" si="5"/>
        <v>0</v>
      </c>
      <c r="C86" s="52"/>
      <c r="D86" s="53"/>
      <c r="E86" s="47"/>
      <c r="F86" s="54"/>
      <c r="G86" s="59"/>
      <c r="H86" s="57">
        <v>44104</v>
      </c>
      <c r="I86" s="112">
        <v>100</v>
      </c>
      <c r="J86" s="86" t="s">
        <v>77</v>
      </c>
      <c r="K86" s="53" t="s">
        <v>78</v>
      </c>
      <c r="L86" s="53"/>
      <c r="M86" s="78"/>
      <c r="N86" s="78"/>
      <c r="O86" s="78"/>
      <c r="P86" s="79"/>
      <c r="Q86" s="101"/>
      <c r="R86" s="101"/>
    </row>
    <row r="87" s="2" customFormat="1" ht="18" customHeight="1" spans="1:18">
      <c r="A87" s="50"/>
      <c r="B87" s="51">
        <f t="shared" si="5"/>
        <v>0</v>
      </c>
      <c r="C87" s="52"/>
      <c r="D87" s="53"/>
      <c r="E87" s="47"/>
      <c r="F87" s="54"/>
      <c r="G87" s="59"/>
      <c r="H87" s="57">
        <v>44103</v>
      </c>
      <c r="I87" s="112">
        <v>100</v>
      </c>
      <c r="J87" s="86" t="s">
        <v>77</v>
      </c>
      <c r="K87" s="53" t="s">
        <v>78</v>
      </c>
      <c r="L87" s="53"/>
      <c r="M87" s="78"/>
      <c r="N87" s="78"/>
      <c r="O87" s="78"/>
      <c r="P87" s="79"/>
      <c r="Q87" s="101"/>
      <c r="R87" s="101"/>
    </row>
    <row r="88" s="2" customFormat="1" ht="18" customHeight="1" spans="1:18">
      <c r="A88" s="50"/>
      <c r="B88" s="51">
        <f t="shared" si="5"/>
        <v>0</v>
      </c>
      <c r="C88" s="52"/>
      <c r="D88" s="53"/>
      <c r="E88" s="47"/>
      <c r="F88" s="54"/>
      <c r="G88" s="59"/>
      <c r="H88" s="57">
        <v>44101</v>
      </c>
      <c r="I88" s="112">
        <v>100</v>
      </c>
      <c r="J88" s="86" t="s">
        <v>77</v>
      </c>
      <c r="K88" s="53" t="s">
        <v>78</v>
      </c>
      <c r="L88" s="53"/>
      <c r="M88" s="78"/>
      <c r="N88" s="78"/>
      <c r="O88" s="78"/>
      <c r="P88" s="79"/>
      <c r="Q88" s="101"/>
      <c r="R88" s="101"/>
    </row>
    <row r="89" s="1" customFormat="1" ht="18" customHeight="1" spans="1:18">
      <c r="A89" s="42"/>
      <c r="B89" s="51">
        <f t="shared" si="5"/>
        <v>0</v>
      </c>
      <c r="C89" s="43"/>
      <c r="D89" s="44"/>
      <c r="E89" s="47"/>
      <c r="F89" s="54"/>
      <c r="G89" s="59"/>
      <c r="H89" s="57">
        <v>44098</v>
      </c>
      <c r="I89" s="112">
        <v>100</v>
      </c>
      <c r="J89" s="86" t="s">
        <v>77</v>
      </c>
      <c r="K89" s="53" t="s">
        <v>78</v>
      </c>
      <c r="L89" s="53"/>
      <c r="M89" s="77"/>
      <c r="N89" s="77"/>
      <c r="O89" s="77"/>
      <c r="P89" s="80"/>
      <c r="Q89" s="98"/>
      <c r="R89" s="98"/>
    </row>
    <row r="90" s="1" customFormat="1" ht="18" customHeight="1" spans="1:18">
      <c r="A90" s="42"/>
      <c r="B90" s="51">
        <f t="shared" ref="B90:B106" si="6">ROUND(G90/(1+E90),2)</f>
        <v>0</v>
      </c>
      <c r="C90" s="43"/>
      <c r="D90" s="44"/>
      <c r="E90" s="47"/>
      <c r="F90" s="54">
        <f t="shared" ref="F90:F106" si="7">ROUND(G90/(1+E90)*E90,2)</f>
        <v>0</v>
      </c>
      <c r="G90" s="59"/>
      <c r="H90" s="57" t="s">
        <v>178</v>
      </c>
      <c r="I90" s="112">
        <v>100</v>
      </c>
      <c r="J90" s="86" t="s">
        <v>77</v>
      </c>
      <c r="K90" s="53" t="s">
        <v>78</v>
      </c>
      <c r="L90" s="53"/>
      <c r="M90" s="77"/>
      <c r="N90" s="77"/>
      <c r="O90" s="77"/>
      <c r="P90" s="80"/>
      <c r="Q90" s="98"/>
      <c r="R90" s="98"/>
    </row>
    <row r="91" s="1" customFormat="1" ht="18" customHeight="1" spans="1:18">
      <c r="A91" s="42"/>
      <c r="B91" s="51">
        <f t="shared" si="6"/>
        <v>0</v>
      </c>
      <c r="C91" s="43"/>
      <c r="D91" s="44"/>
      <c r="E91" s="47"/>
      <c r="F91" s="54">
        <f t="shared" si="7"/>
        <v>0</v>
      </c>
      <c r="G91" s="59"/>
      <c r="H91" s="57">
        <v>44095</v>
      </c>
      <c r="I91" s="85">
        <v>100</v>
      </c>
      <c r="J91" s="86" t="s">
        <v>77</v>
      </c>
      <c r="K91" s="53" t="s">
        <v>78</v>
      </c>
      <c r="L91" s="91"/>
      <c r="M91" s="77"/>
      <c r="N91" s="77"/>
      <c r="O91" s="77"/>
      <c r="P91" s="80"/>
      <c r="Q91" s="98"/>
      <c r="R91" s="98"/>
    </row>
    <row r="92" s="1" customFormat="1" ht="18" customHeight="1" spans="1:18">
      <c r="A92" s="42"/>
      <c r="B92" s="51">
        <f t="shared" si="6"/>
        <v>0</v>
      </c>
      <c r="C92" s="43"/>
      <c r="D92" s="44"/>
      <c r="E92" s="47"/>
      <c r="F92" s="54">
        <f t="shared" si="7"/>
        <v>0</v>
      </c>
      <c r="G92" s="59"/>
      <c r="H92" s="57" t="s">
        <v>177</v>
      </c>
      <c r="I92" s="85">
        <v>50</v>
      </c>
      <c r="J92" s="86" t="s">
        <v>77</v>
      </c>
      <c r="K92" s="53" t="s">
        <v>78</v>
      </c>
      <c r="L92" s="77"/>
      <c r="M92" s="77" t="s">
        <v>163</v>
      </c>
      <c r="N92" s="77"/>
      <c r="O92" s="77"/>
      <c r="P92" s="80"/>
      <c r="Q92" s="98"/>
      <c r="R92" s="98"/>
    </row>
    <row r="93" s="1" customFormat="1" ht="18" customHeight="1" spans="1:18">
      <c r="A93" s="42"/>
      <c r="B93" s="51">
        <f t="shared" si="6"/>
        <v>0</v>
      </c>
      <c r="C93" s="43"/>
      <c r="D93" s="44"/>
      <c r="E93" s="47"/>
      <c r="F93" s="54">
        <f t="shared" si="7"/>
        <v>0</v>
      </c>
      <c r="G93" s="59"/>
      <c r="H93" s="57" t="s">
        <v>174</v>
      </c>
      <c r="I93" s="85">
        <v>100</v>
      </c>
      <c r="J93" s="86" t="s">
        <v>77</v>
      </c>
      <c r="K93" s="53" t="s">
        <v>78</v>
      </c>
      <c r="L93" s="77"/>
      <c r="M93" s="77"/>
      <c r="N93" s="77"/>
      <c r="O93" s="77"/>
      <c r="P93" s="80"/>
      <c r="Q93" s="98"/>
      <c r="R93" s="98"/>
    </row>
    <row r="94" s="1" customFormat="1" ht="18" customHeight="1" spans="1:18">
      <c r="A94" s="42"/>
      <c r="B94" s="51">
        <f t="shared" si="6"/>
        <v>0</v>
      </c>
      <c r="C94" s="43"/>
      <c r="D94" s="44"/>
      <c r="E94" s="47"/>
      <c r="F94" s="54">
        <f t="shared" si="7"/>
        <v>0</v>
      </c>
      <c r="G94" s="59"/>
      <c r="H94" s="57" t="s">
        <v>175</v>
      </c>
      <c r="I94" s="85">
        <v>100</v>
      </c>
      <c r="J94" s="86" t="s">
        <v>77</v>
      </c>
      <c r="K94" s="53" t="s">
        <v>78</v>
      </c>
      <c r="L94" s="77"/>
      <c r="M94" s="77"/>
      <c r="N94" s="77"/>
      <c r="O94" s="77"/>
      <c r="P94" s="80"/>
      <c r="Q94" s="98"/>
      <c r="R94" s="98"/>
    </row>
    <row r="95" s="1" customFormat="1" ht="18" customHeight="1" spans="1:18">
      <c r="A95" s="42"/>
      <c r="B95" s="51">
        <f t="shared" si="6"/>
        <v>0</v>
      </c>
      <c r="C95" s="43"/>
      <c r="D95" s="44"/>
      <c r="E95" s="47"/>
      <c r="F95" s="54">
        <f t="shared" si="7"/>
        <v>0</v>
      </c>
      <c r="G95" s="59"/>
      <c r="H95" s="58" t="s">
        <v>164</v>
      </c>
      <c r="I95" s="88">
        <v>1192.9</v>
      </c>
      <c r="J95" s="89" t="s">
        <v>77</v>
      </c>
      <c r="K95" s="90" t="s">
        <v>165</v>
      </c>
      <c r="L95" s="77"/>
      <c r="M95" s="77"/>
      <c r="N95" s="77"/>
      <c r="O95" s="77"/>
      <c r="P95" s="80"/>
      <c r="Q95" s="98"/>
      <c r="R95" s="98"/>
    </row>
    <row r="96" s="1" customFormat="1" ht="18" customHeight="1" spans="1:18">
      <c r="A96" s="42"/>
      <c r="B96" s="51">
        <f t="shared" si="6"/>
        <v>0</v>
      </c>
      <c r="C96" s="43"/>
      <c r="D96" s="44"/>
      <c r="E96" s="47"/>
      <c r="F96" s="54">
        <f t="shared" si="7"/>
        <v>0</v>
      </c>
      <c r="G96" s="59"/>
      <c r="H96" s="58" t="s">
        <v>164</v>
      </c>
      <c r="I96" s="88">
        <v>200</v>
      </c>
      <c r="J96" s="89" t="s">
        <v>77</v>
      </c>
      <c r="K96" s="90" t="s">
        <v>78</v>
      </c>
      <c r="L96" s="77"/>
      <c r="M96" s="77"/>
      <c r="N96" s="77"/>
      <c r="O96" s="77"/>
      <c r="P96" s="80"/>
      <c r="Q96" s="98"/>
      <c r="R96" s="98"/>
    </row>
    <row r="97" s="1" customFormat="1" ht="18" customHeight="1" spans="1:18">
      <c r="A97" s="42"/>
      <c r="B97" s="51">
        <f t="shared" si="6"/>
        <v>2000</v>
      </c>
      <c r="C97" s="43"/>
      <c r="D97" s="44"/>
      <c r="E97" s="47"/>
      <c r="F97" s="54">
        <f t="shared" si="7"/>
        <v>0</v>
      </c>
      <c r="G97" s="59">
        <f>I97</f>
        <v>2000</v>
      </c>
      <c r="H97" s="58" t="s">
        <v>164</v>
      </c>
      <c r="I97" s="88">
        <v>2000</v>
      </c>
      <c r="J97" s="89" t="s">
        <v>77</v>
      </c>
      <c r="K97" s="90" t="s">
        <v>105</v>
      </c>
      <c r="L97" s="77"/>
      <c r="M97" s="77"/>
      <c r="N97" s="77"/>
      <c r="O97" s="77"/>
      <c r="P97" s="80"/>
      <c r="Q97" s="98"/>
      <c r="R97" s="98"/>
    </row>
    <row r="98" s="1" customFormat="1" ht="18" customHeight="1" spans="1:18">
      <c r="A98" s="42"/>
      <c r="B98" s="51">
        <f t="shared" si="6"/>
        <v>0</v>
      </c>
      <c r="C98" s="43"/>
      <c r="D98" s="44"/>
      <c r="E98" s="47"/>
      <c r="F98" s="54">
        <f t="shared" si="7"/>
        <v>0</v>
      </c>
      <c r="G98" s="59"/>
      <c r="H98" s="58" t="s">
        <v>164</v>
      </c>
      <c r="I98" s="88">
        <v>6400</v>
      </c>
      <c r="J98" s="89" t="s">
        <v>77</v>
      </c>
      <c r="K98" s="90" t="s">
        <v>186</v>
      </c>
      <c r="L98" s="77"/>
      <c r="M98" s="77"/>
      <c r="N98" s="77"/>
      <c r="O98" s="77"/>
      <c r="P98" s="80"/>
      <c r="Q98" s="98"/>
      <c r="R98" s="98"/>
    </row>
    <row r="99" s="1" customFormat="1" ht="18" customHeight="1" spans="1:18">
      <c r="A99" s="42"/>
      <c r="B99" s="51">
        <f t="shared" si="6"/>
        <v>0</v>
      </c>
      <c r="C99" s="43"/>
      <c r="D99" s="44"/>
      <c r="E99" s="47"/>
      <c r="F99" s="54">
        <f t="shared" si="7"/>
        <v>0</v>
      </c>
      <c r="G99" s="59"/>
      <c r="H99" s="58" t="s">
        <v>164</v>
      </c>
      <c r="I99" s="88">
        <v>221</v>
      </c>
      <c r="J99" s="89" t="s">
        <v>77</v>
      </c>
      <c r="K99" s="90" t="s">
        <v>187</v>
      </c>
      <c r="L99" s="77"/>
      <c r="M99" s="77"/>
      <c r="N99" s="77"/>
      <c r="O99" s="77"/>
      <c r="P99" s="80"/>
      <c r="Q99" s="98"/>
      <c r="R99" s="98"/>
    </row>
    <row r="100" s="1" customFormat="1" ht="18" customHeight="1" spans="1:18">
      <c r="A100" s="42"/>
      <c r="B100" s="51">
        <f t="shared" si="6"/>
        <v>0</v>
      </c>
      <c r="C100" s="43"/>
      <c r="D100" s="44"/>
      <c r="E100" s="47"/>
      <c r="F100" s="54">
        <f t="shared" si="7"/>
        <v>0</v>
      </c>
      <c r="G100" s="59"/>
      <c r="H100" s="58" t="s">
        <v>158</v>
      </c>
      <c r="I100" s="88">
        <v>100</v>
      </c>
      <c r="J100" s="89" t="s">
        <v>77</v>
      </c>
      <c r="K100" s="90" t="s">
        <v>78</v>
      </c>
      <c r="L100" s="77"/>
      <c r="M100" s="77"/>
      <c r="N100" s="77"/>
      <c r="O100" s="77"/>
      <c r="P100" s="80"/>
      <c r="Q100" s="98"/>
      <c r="R100" s="98"/>
    </row>
    <row r="101" s="1" customFormat="1" ht="18" customHeight="1" spans="1:18">
      <c r="A101" s="42"/>
      <c r="B101" s="51">
        <f t="shared" si="6"/>
        <v>0</v>
      </c>
      <c r="C101" s="43"/>
      <c r="D101" s="44"/>
      <c r="E101" s="47"/>
      <c r="F101" s="54">
        <f t="shared" si="7"/>
        <v>0</v>
      </c>
      <c r="G101" s="59"/>
      <c r="H101" s="58" t="s">
        <v>158</v>
      </c>
      <c r="I101" s="88">
        <v>100</v>
      </c>
      <c r="J101" s="89" t="s">
        <v>77</v>
      </c>
      <c r="K101" s="90" t="s">
        <v>78</v>
      </c>
      <c r="L101" s="77"/>
      <c r="M101" s="77"/>
      <c r="N101" s="77"/>
      <c r="O101" s="77"/>
      <c r="P101" s="80"/>
      <c r="Q101" s="98"/>
      <c r="R101" s="98"/>
    </row>
    <row r="102" s="1" customFormat="1" ht="18" customHeight="1" spans="1:18">
      <c r="A102" s="42"/>
      <c r="B102" s="51">
        <f t="shared" si="6"/>
        <v>0</v>
      </c>
      <c r="C102" s="43"/>
      <c r="D102" s="44"/>
      <c r="E102" s="47"/>
      <c r="F102" s="54">
        <f t="shared" si="7"/>
        <v>0</v>
      </c>
      <c r="G102" s="59"/>
      <c r="H102" s="57">
        <v>43923</v>
      </c>
      <c r="I102" s="85">
        <v>100</v>
      </c>
      <c r="J102" s="86" t="s">
        <v>77</v>
      </c>
      <c r="K102" s="53" t="s">
        <v>78</v>
      </c>
      <c r="L102" s="77"/>
      <c r="M102" s="77"/>
      <c r="N102" s="77"/>
      <c r="O102" s="77"/>
      <c r="P102" s="80"/>
      <c r="Q102" s="98"/>
      <c r="R102" s="98"/>
    </row>
    <row r="103" s="1" customFormat="1" ht="18" customHeight="1" spans="1:18">
      <c r="A103" s="42"/>
      <c r="B103" s="51">
        <f t="shared" si="6"/>
        <v>0</v>
      </c>
      <c r="C103" s="43"/>
      <c r="D103" s="44"/>
      <c r="E103" s="47"/>
      <c r="F103" s="54">
        <f t="shared" si="7"/>
        <v>0</v>
      </c>
      <c r="G103" s="59"/>
      <c r="H103" s="30" t="s">
        <v>79</v>
      </c>
      <c r="I103" s="23">
        <v>200</v>
      </c>
      <c r="J103" s="86" t="s">
        <v>77</v>
      </c>
      <c r="K103" s="53" t="s">
        <v>78</v>
      </c>
      <c r="L103" s="77"/>
      <c r="M103" s="77"/>
      <c r="N103" s="77"/>
      <c r="O103" s="77"/>
      <c r="P103" s="80"/>
      <c r="Q103" s="98"/>
      <c r="R103" s="98"/>
    </row>
    <row r="104" s="1" customFormat="1" ht="18" customHeight="1" spans="1:18">
      <c r="A104" s="42"/>
      <c r="B104" s="51">
        <f t="shared" si="6"/>
        <v>0</v>
      </c>
      <c r="C104" s="43"/>
      <c r="D104" s="44"/>
      <c r="E104" s="47"/>
      <c r="F104" s="46">
        <f t="shared" si="7"/>
        <v>0</v>
      </c>
      <c r="G104" s="59"/>
      <c r="H104" s="30" t="s">
        <v>79</v>
      </c>
      <c r="I104" s="85">
        <v>-88680</v>
      </c>
      <c r="J104" s="86" t="s">
        <v>80</v>
      </c>
      <c r="K104" s="44" t="s">
        <v>81</v>
      </c>
      <c r="L104" s="77"/>
      <c r="M104" s="77"/>
      <c r="N104" s="77"/>
      <c r="O104" s="77"/>
      <c r="P104" s="80"/>
      <c r="Q104" s="98"/>
      <c r="R104" s="98"/>
    </row>
    <row r="105" s="1" customFormat="1" ht="18" customHeight="1" spans="1:18">
      <c r="A105" s="42"/>
      <c r="B105" s="25">
        <f t="shared" si="6"/>
        <v>0</v>
      </c>
      <c r="C105" s="43"/>
      <c r="D105" s="44"/>
      <c r="E105" s="47"/>
      <c r="F105" s="46">
        <f t="shared" si="7"/>
        <v>0</v>
      </c>
      <c r="G105" s="59"/>
      <c r="H105" s="57" t="s">
        <v>82</v>
      </c>
      <c r="I105" s="85">
        <v>188304</v>
      </c>
      <c r="J105" s="86" t="s">
        <v>77</v>
      </c>
      <c r="K105" s="87" t="s">
        <v>83</v>
      </c>
      <c r="L105" s="78"/>
      <c r="M105" s="77"/>
      <c r="N105" s="77"/>
      <c r="O105" s="77"/>
      <c r="P105" s="80"/>
      <c r="Q105" s="98"/>
      <c r="R105" s="98"/>
    </row>
    <row r="106" s="1" customFormat="1" ht="18" customHeight="1" spans="1:19">
      <c r="A106" s="42"/>
      <c r="B106" s="25">
        <f t="shared" si="6"/>
        <v>0</v>
      </c>
      <c r="C106" s="43"/>
      <c r="D106" s="44"/>
      <c r="E106" s="47"/>
      <c r="F106" s="46">
        <f t="shared" si="7"/>
        <v>0</v>
      </c>
      <c r="G106" s="59"/>
      <c r="H106" s="104" t="s">
        <v>82</v>
      </c>
      <c r="I106" s="113">
        <v>-300000</v>
      </c>
      <c r="J106" s="114" t="s">
        <v>84</v>
      </c>
      <c r="K106" s="87" t="s">
        <v>85</v>
      </c>
      <c r="L106" s="78"/>
      <c r="M106" s="77"/>
      <c r="N106" s="115"/>
      <c r="O106" s="115" t="s">
        <v>86</v>
      </c>
      <c r="P106" s="116"/>
      <c r="Q106" s="119"/>
      <c r="R106" s="119"/>
      <c r="S106" s="120"/>
    </row>
    <row r="107" s="1" customFormat="1" ht="18" customHeight="1" spans="1:19">
      <c r="A107" s="42"/>
      <c r="B107" s="25"/>
      <c r="C107" s="43"/>
      <c r="D107" s="44"/>
      <c r="E107" s="47"/>
      <c r="F107" s="46"/>
      <c r="G107" s="59"/>
      <c r="H107" s="57" t="s">
        <v>82</v>
      </c>
      <c r="I107" s="88">
        <v>21333.33</v>
      </c>
      <c r="J107" s="86" t="s">
        <v>77</v>
      </c>
      <c r="K107" s="117" t="s">
        <v>87</v>
      </c>
      <c r="L107" s="91"/>
      <c r="M107" s="91"/>
      <c r="N107" s="91"/>
      <c r="O107" s="91"/>
      <c r="P107" s="118"/>
      <c r="Q107" s="121"/>
      <c r="R107" s="121"/>
      <c r="S107" s="122"/>
    </row>
    <row r="108" s="1" customFormat="1" ht="18" customHeight="1" spans="1:18">
      <c r="A108" s="42"/>
      <c r="B108" s="25">
        <f t="shared" ref="B108:B143" si="8">ROUND(G108/(1+E108),2)</f>
        <v>0</v>
      </c>
      <c r="C108" s="43"/>
      <c r="D108" s="44"/>
      <c r="E108" s="47"/>
      <c r="F108" s="46">
        <f t="shared" ref="F108:F143" si="9">ROUND(G108/(1+E108)*E108,2)</f>
        <v>0</v>
      </c>
      <c r="G108" s="59"/>
      <c r="H108" s="57" t="s">
        <v>82</v>
      </c>
      <c r="I108" s="85">
        <v>300</v>
      </c>
      <c r="J108" s="86" t="s">
        <v>77</v>
      </c>
      <c r="K108" s="53" t="s">
        <v>78</v>
      </c>
      <c r="L108" s="78"/>
      <c r="M108" s="77"/>
      <c r="N108" s="77"/>
      <c r="O108" s="77"/>
      <c r="P108" s="80"/>
      <c r="Q108" s="98"/>
      <c r="R108" s="98"/>
    </row>
    <row r="109" s="1" customFormat="1" ht="18" customHeight="1" spans="1:18">
      <c r="A109" s="42"/>
      <c r="B109" s="25">
        <f t="shared" si="8"/>
        <v>10000</v>
      </c>
      <c r="C109" s="43"/>
      <c r="D109" s="44"/>
      <c r="E109" s="47"/>
      <c r="F109" s="46">
        <f t="shared" si="9"/>
        <v>0</v>
      </c>
      <c r="G109" s="59">
        <f>10000</f>
        <v>10000</v>
      </c>
      <c r="H109" s="57" t="s">
        <v>82</v>
      </c>
      <c r="I109" s="85">
        <f>G109</f>
        <v>10000</v>
      </c>
      <c r="J109" s="86" t="s">
        <v>77</v>
      </c>
      <c r="K109" s="53" t="s">
        <v>88</v>
      </c>
      <c r="L109" s="78"/>
      <c r="M109" s="77"/>
      <c r="N109" s="77"/>
      <c r="O109" s="77"/>
      <c r="P109" s="80"/>
      <c r="Q109" s="98"/>
      <c r="R109" s="98"/>
    </row>
    <row r="110" s="1" customFormat="1" ht="18" customHeight="1" spans="1:18">
      <c r="A110" s="42"/>
      <c r="B110" s="25">
        <f t="shared" si="8"/>
        <v>0</v>
      </c>
      <c r="C110" s="43"/>
      <c r="D110" s="44"/>
      <c r="E110" s="47"/>
      <c r="F110" s="46">
        <f t="shared" si="9"/>
        <v>0</v>
      </c>
      <c r="G110" s="59"/>
      <c r="H110" s="57" t="s">
        <v>89</v>
      </c>
      <c r="I110" s="85">
        <v>-300000</v>
      </c>
      <c r="J110" s="86" t="s">
        <v>90</v>
      </c>
      <c r="K110" s="53" t="s">
        <v>91</v>
      </c>
      <c r="L110" s="78"/>
      <c r="M110" s="77"/>
      <c r="N110" s="77"/>
      <c r="O110" s="77"/>
      <c r="P110" s="80"/>
      <c r="Q110" s="98"/>
      <c r="R110" s="98"/>
    </row>
    <row r="111" s="1" customFormat="1" ht="18" customHeight="1" spans="1:18">
      <c r="A111" s="42"/>
      <c r="B111" s="25">
        <f t="shared" si="8"/>
        <v>0</v>
      </c>
      <c r="C111" s="43"/>
      <c r="D111" s="44"/>
      <c r="E111" s="47"/>
      <c r="F111" s="46">
        <f t="shared" si="9"/>
        <v>0</v>
      </c>
      <c r="G111" s="59"/>
      <c r="H111" s="57" t="s">
        <v>89</v>
      </c>
      <c r="I111" s="54">
        <v>100</v>
      </c>
      <c r="J111" s="86" t="s">
        <v>77</v>
      </c>
      <c r="K111" s="53" t="s">
        <v>78</v>
      </c>
      <c r="L111" s="78"/>
      <c r="M111" s="77"/>
      <c r="N111" s="77"/>
      <c r="O111" s="77"/>
      <c r="P111" s="80"/>
      <c r="Q111" s="98"/>
      <c r="R111" s="98"/>
    </row>
    <row r="112" s="1" customFormat="1" ht="18" customHeight="1" spans="1:18">
      <c r="A112" s="42"/>
      <c r="B112" s="25">
        <f t="shared" si="8"/>
        <v>0</v>
      </c>
      <c r="C112" s="43"/>
      <c r="D112" s="44"/>
      <c r="E112" s="47"/>
      <c r="F112" s="46">
        <f t="shared" si="9"/>
        <v>0</v>
      </c>
      <c r="G112" s="59"/>
      <c r="H112" s="57" t="s">
        <v>92</v>
      </c>
      <c r="I112" s="54">
        <v>100</v>
      </c>
      <c r="J112" s="86" t="s">
        <v>77</v>
      </c>
      <c r="K112" s="53" t="s">
        <v>78</v>
      </c>
      <c r="L112" s="78"/>
      <c r="M112" s="77"/>
      <c r="N112" s="77"/>
      <c r="O112" s="77"/>
      <c r="P112" s="80"/>
      <c r="Q112" s="98"/>
      <c r="R112" s="98"/>
    </row>
    <row r="113" s="1" customFormat="1" ht="18" customHeight="1" spans="1:18">
      <c r="A113" s="42"/>
      <c r="B113" s="25">
        <f t="shared" si="8"/>
        <v>0</v>
      </c>
      <c r="C113" s="43"/>
      <c r="D113" s="44"/>
      <c r="E113" s="47"/>
      <c r="F113" s="46">
        <f t="shared" si="9"/>
        <v>0</v>
      </c>
      <c r="G113" s="59"/>
      <c r="H113" s="57"/>
      <c r="I113" s="54"/>
      <c r="J113" s="86"/>
      <c r="K113" s="53"/>
      <c r="L113" s="78"/>
      <c r="M113" s="77"/>
      <c r="N113" s="77"/>
      <c r="O113" s="77"/>
      <c r="P113" s="80"/>
      <c r="Q113" s="98"/>
      <c r="R113" s="98"/>
    </row>
    <row r="114" s="1" customFormat="1" ht="18" customHeight="1" spans="1:18">
      <c r="A114" s="42"/>
      <c r="B114" s="25">
        <f t="shared" si="8"/>
        <v>0</v>
      </c>
      <c r="C114" s="43"/>
      <c r="D114" s="44"/>
      <c r="E114" s="47"/>
      <c r="F114" s="46">
        <f t="shared" si="9"/>
        <v>0</v>
      </c>
      <c r="G114" s="59"/>
      <c r="H114" s="57" t="s">
        <v>93</v>
      </c>
      <c r="I114" s="54">
        <v>184767</v>
      </c>
      <c r="J114" s="78" t="s">
        <v>94</v>
      </c>
      <c r="K114" s="53" t="s">
        <v>95</v>
      </c>
      <c r="L114" s="78"/>
      <c r="M114" s="77"/>
      <c r="N114" s="77"/>
      <c r="O114" s="77"/>
      <c r="P114" s="80"/>
      <c r="Q114" s="98"/>
      <c r="R114" s="98"/>
    </row>
    <row r="115" s="1" customFormat="1" ht="18" customHeight="1" spans="1:18">
      <c r="A115" s="42"/>
      <c r="B115" s="25">
        <f t="shared" si="8"/>
        <v>0</v>
      </c>
      <c r="C115" s="43"/>
      <c r="D115" s="44"/>
      <c r="E115" s="47"/>
      <c r="F115" s="46">
        <f t="shared" si="9"/>
        <v>0</v>
      </c>
      <c r="G115" s="59"/>
      <c r="H115" s="57" t="s">
        <v>93</v>
      </c>
      <c r="I115" s="54">
        <v>48000</v>
      </c>
      <c r="J115" s="78" t="s">
        <v>77</v>
      </c>
      <c r="K115" s="53" t="s">
        <v>96</v>
      </c>
      <c r="L115" s="78"/>
      <c r="M115" s="77"/>
      <c r="N115" s="77"/>
      <c r="O115" s="77"/>
      <c r="P115" s="80"/>
      <c r="Q115" s="98"/>
      <c r="R115" s="98"/>
    </row>
    <row r="116" s="1" customFormat="1" ht="18" customHeight="1" spans="1:18">
      <c r="A116" s="42"/>
      <c r="B116" s="25">
        <f t="shared" si="8"/>
        <v>0</v>
      </c>
      <c r="C116" s="43"/>
      <c r="D116" s="44"/>
      <c r="E116" s="47"/>
      <c r="F116" s="46">
        <f t="shared" si="9"/>
        <v>0</v>
      </c>
      <c r="G116" s="59"/>
      <c r="H116" s="57" t="s">
        <v>93</v>
      </c>
      <c r="I116" s="54">
        <v>1652</v>
      </c>
      <c r="J116" s="78" t="s">
        <v>77</v>
      </c>
      <c r="K116" s="53" t="s">
        <v>97</v>
      </c>
      <c r="L116" s="78"/>
      <c r="M116" s="77"/>
      <c r="N116" s="77"/>
      <c r="O116" s="77"/>
      <c r="P116" s="80"/>
      <c r="Q116" s="98"/>
      <c r="R116" s="98"/>
    </row>
    <row r="117" s="1" customFormat="1" ht="18" customHeight="1" spans="1:18">
      <c r="A117" s="42"/>
      <c r="B117" s="25">
        <f t="shared" si="8"/>
        <v>0</v>
      </c>
      <c r="C117" s="43"/>
      <c r="D117" s="44"/>
      <c r="E117" s="47"/>
      <c r="F117" s="46">
        <f t="shared" si="9"/>
        <v>0</v>
      </c>
      <c r="G117" s="59"/>
      <c r="H117" s="57" t="s">
        <v>93</v>
      </c>
      <c r="I117" s="54">
        <v>67389</v>
      </c>
      <c r="J117" s="78" t="s">
        <v>77</v>
      </c>
      <c r="K117" s="53" t="s">
        <v>98</v>
      </c>
      <c r="L117" s="78"/>
      <c r="M117" s="77"/>
      <c r="N117" s="77"/>
      <c r="O117" s="77"/>
      <c r="P117" s="80"/>
      <c r="Q117" s="98"/>
      <c r="R117" s="98"/>
    </row>
    <row r="118" s="1" customFormat="1" ht="18" customHeight="1" spans="1:18">
      <c r="A118" s="42"/>
      <c r="B118" s="25">
        <f t="shared" si="8"/>
        <v>0</v>
      </c>
      <c r="C118" s="43"/>
      <c r="D118" s="44"/>
      <c r="E118" s="45"/>
      <c r="F118" s="46">
        <f t="shared" si="9"/>
        <v>0</v>
      </c>
      <c r="G118" s="59"/>
      <c r="H118" s="57" t="s">
        <v>93</v>
      </c>
      <c r="I118" s="54">
        <v>100</v>
      </c>
      <c r="J118" s="78" t="s">
        <v>77</v>
      </c>
      <c r="K118" s="53" t="s">
        <v>78</v>
      </c>
      <c r="L118" s="78"/>
      <c r="M118" s="77"/>
      <c r="N118" s="77"/>
      <c r="O118" s="77"/>
      <c r="P118" s="80"/>
      <c r="Q118" s="98"/>
      <c r="R118" s="98"/>
    </row>
    <row r="119" s="1" customFormat="1" ht="18" customHeight="1" spans="1:18">
      <c r="A119" s="42"/>
      <c r="B119" s="25">
        <f t="shared" si="8"/>
        <v>5000</v>
      </c>
      <c r="C119" s="43"/>
      <c r="D119" s="44"/>
      <c r="E119" s="45"/>
      <c r="F119" s="46">
        <f t="shared" si="9"/>
        <v>0</v>
      </c>
      <c r="G119" s="59">
        <f>5000</f>
        <v>5000</v>
      </c>
      <c r="H119" s="57" t="s">
        <v>93</v>
      </c>
      <c r="I119" s="54">
        <f>G119</f>
        <v>5000</v>
      </c>
      <c r="J119" s="78" t="s">
        <v>77</v>
      </c>
      <c r="K119" s="53" t="s">
        <v>88</v>
      </c>
      <c r="L119" s="78"/>
      <c r="M119" s="77"/>
      <c r="N119" s="77"/>
      <c r="O119" s="77"/>
      <c r="P119" s="80"/>
      <c r="Q119" s="98"/>
      <c r="R119" s="98"/>
    </row>
    <row r="120" s="1" customFormat="1" ht="18" customHeight="1" spans="1:18">
      <c r="A120" s="42"/>
      <c r="B120" s="25">
        <f t="shared" si="8"/>
        <v>0</v>
      </c>
      <c r="C120" s="43"/>
      <c r="D120" s="44"/>
      <c r="E120" s="45"/>
      <c r="F120" s="46">
        <f t="shared" si="9"/>
        <v>0</v>
      </c>
      <c r="G120" s="59"/>
      <c r="H120" s="57" t="s">
        <v>99</v>
      </c>
      <c r="I120" s="54">
        <v>-157908</v>
      </c>
      <c r="J120" s="78" t="s">
        <v>90</v>
      </c>
      <c r="K120" s="53" t="s">
        <v>91</v>
      </c>
      <c r="L120" s="78"/>
      <c r="M120" s="77"/>
      <c r="N120" s="77"/>
      <c r="O120" s="77"/>
      <c r="P120" s="80"/>
      <c r="Q120" s="98"/>
      <c r="R120" s="98"/>
    </row>
    <row r="121" s="1" customFormat="1" ht="18" customHeight="1" spans="1:18">
      <c r="A121" s="42"/>
      <c r="B121" s="25">
        <f t="shared" si="8"/>
        <v>0</v>
      </c>
      <c r="C121" s="43"/>
      <c r="D121" s="44"/>
      <c r="E121" s="45"/>
      <c r="F121" s="46">
        <f t="shared" si="9"/>
        <v>0</v>
      </c>
      <c r="G121" s="59"/>
      <c r="H121" s="57" t="s">
        <v>99</v>
      </c>
      <c r="I121" s="54">
        <v>100</v>
      </c>
      <c r="J121" s="78" t="s">
        <v>77</v>
      </c>
      <c r="K121" s="53" t="s">
        <v>78</v>
      </c>
      <c r="L121" s="78"/>
      <c r="M121" s="77"/>
      <c r="N121" s="77"/>
      <c r="O121" s="77"/>
      <c r="P121" s="80"/>
      <c r="Q121" s="98"/>
      <c r="R121" s="98"/>
    </row>
    <row r="122" s="1" customFormat="1" ht="18" customHeight="1" spans="1:18">
      <c r="A122" s="42"/>
      <c r="B122" s="25">
        <f t="shared" si="8"/>
        <v>0</v>
      </c>
      <c r="C122" s="43"/>
      <c r="D122" s="44"/>
      <c r="E122" s="45"/>
      <c r="F122" s="46">
        <f t="shared" si="9"/>
        <v>0</v>
      </c>
      <c r="G122" s="59"/>
      <c r="H122" s="57" t="s">
        <v>100</v>
      </c>
      <c r="I122" s="54">
        <v>200</v>
      </c>
      <c r="J122" s="78" t="s">
        <v>77</v>
      </c>
      <c r="K122" s="53" t="s">
        <v>78</v>
      </c>
      <c r="L122" s="78"/>
      <c r="M122" s="77"/>
      <c r="N122" s="77"/>
      <c r="O122" s="77"/>
      <c r="P122" s="80"/>
      <c r="Q122" s="98"/>
      <c r="R122" s="98"/>
    </row>
    <row r="123" s="1" customFormat="1" ht="18" customHeight="1" spans="1:18">
      <c r="A123" s="42"/>
      <c r="B123" s="25">
        <f t="shared" si="8"/>
        <v>0</v>
      </c>
      <c r="C123" s="43"/>
      <c r="D123" s="44"/>
      <c r="E123" s="45"/>
      <c r="F123" s="46">
        <f t="shared" si="9"/>
        <v>0</v>
      </c>
      <c r="G123" s="59"/>
      <c r="H123" s="57" t="s">
        <v>101</v>
      </c>
      <c r="I123" s="54">
        <v>200</v>
      </c>
      <c r="J123" s="78" t="s">
        <v>77</v>
      </c>
      <c r="K123" s="53" t="s">
        <v>78</v>
      </c>
      <c r="L123" s="78"/>
      <c r="M123" s="77"/>
      <c r="N123" s="77"/>
      <c r="O123" s="77"/>
      <c r="P123" s="80"/>
      <c r="Q123" s="98"/>
      <c r="R123" s="98"/>
    </row>
    <row r="124" s="1" customFormat="1" ht="18" customHeight="1" spans="1:18">
      <c r="A124" s="42"/>
      <c r="B124" s="25">
        <f t="shared" si="8"/>
        <v>0</v>
      </c>
      <c r="C124" s="43"/>
      <c r="D124" s="44"/>
      <c r="E124" s="45"/>
      <c r="F124" s="46">
        <f t="shared" si="9"/>
        <v>0</v>
      </c>
      <c r="G124" s="59"/>
      <c r="H124" s="57" t="s">
        <v>101</v>
      </c>
      <c r="I124" s="54">
        <v>381546</v>
      </c>
      <c r="J124" s="78" t="s">
        <v>94</v>
      </c>
      <c r="K124" s="53" t="s">
        <v>95</v>
      </c>
      <c r="L124" s="78"/>
      <c r="M124" s="77"/>
      <c r="N124" s="98"/>
      <c r="O124" s="77"/>
      <c r="P124" s="80"/>
      <c r="Q124" s="98"/>
      <c r="R124" s="98"/>
    </row>
    <row r="125" s="1" customFormat="1" ht="18" customHeight="1" spans="1:18">
      <c r="A125" s="42"/>
      <c r="B125" s="25">
        <f t="shared" si="8"/>
        <v>0</v>
      </c>
      <c r="C125" s="43"/>
      <c r="D125" s="44"/>
      <c r="E125" s="45"/>
      <c r="F125" s="46">
        <f t="shared" si="9"/>
        <v>0</v>
      </c>
      <c r="G125" s="59"/>
      <c r="H125" s="57" t="s">
        <v>101</v>
      </c>
      <c r="I125" s="54">
        <v>24955</v>
      </c>
      <c r="J125" s="78" t="s">
        <v>77</v>
      </c>
      <c r="K125" s="53" t="s">
        <v>102</v>
      </c>
      <c r="L125" s="78"/>
      <c r="M125" s="77"/>
      <c r="N125" s="77"/>
      <c r="O125" s="77"/>
      <c r="P125" s="80"/>
      <c r="Q125" s="98"/>
      <c r="R125" s="98"/>
    </row>
    <row r="126" s="1" customFormat="1" ht="18" customHeight="1" spans="1:18">
      <c r="A126" s="42"/>
      <c r="B126" s="25">
        <f t="shared" si="8"/>
        <v>0</v>
      </c>
      <c r="C126" s="43"/>
      <c r="D126" s="44"/>
      <c r="E126" s="45"/>
      <c r="F126" s="46">
        <f t="shared" si="9"/>
        <v>0</v>
      </c>
      <c r="G126" s="59"/>
      <c r="H126" s="57" t="s">
        <v>101</v>
      </c>
      <c r="I126" s="54">
        <v>936</v>
      </c>
      <c r="J126" s="78" t="s">
        <v>77</v>
      </c>
      <c r="K126" s="53" t="s">
        <v>103</v>
      </c>
      <c r="L126" s="78"/>
      <c r="M126" s="77"/>
      <c r="N126" s="77"/>
      <c r="O126" s="77"/>
      <c r="P126" s="80"/>
      <c r="Q126" s="98"/>
      <c r="R126" s="98"/>
    </row>
    <row r="127" s="1" customFormat="1" ht="18" customHeight="1" spans="1:18">
      <c r="A127" s="42"/>
      <c r="B127" s="25">
        <f t="shared" si="8"/>
        <v>0</v>
      </c>
      <c r="C127" s="43"/>
      <c r="D127" s="44"/>
      <c r="E127" s="45"/>
      <c r="F127" s="46">
        <f t="shared" si="9"/>
        <v>0</v>
      </c>
      <c r="G127" s="59"/>
      <c r="H127" s="57" t="s">
        <v>101</v>
      </c>
      <c r="I127" s="54">
        <v>120092</v>
      </c>
      <c r="J127" s="78" t="s">
        <v>77</v>
      </c>
      <c r="K127" s="53" t="s">
        <v>104</v>
      </c>
      <c r="L127" s="78"/>
      <c r="M127" s="77"/>
      <c r="N127" s="77"/>
      <c r="O127" s="77"/>
      <c r="P127" s="80"/>
      <c r="Q127" s="98"/>
      <c r="R127" s="98"/>
    </row>
    <row r="128" s="1" customFormat="1" ht="18" customHeight="1" spans="1:18">
      <c r="A128" s="42"/>
      <c r="B128" s="25">
        <f t="shared" si="8"/>
        <v>8500</v>
      </c>
      <c r="C128" s="43"/>
      <c r="D128" s="44"/>
      <c r="E128" s="45"/>
      <c r="F128" s="46">
        <f t="shared" si="9"/>
        <v>0</v>
      </c>
      <c r="G128" s="59">
        <v>8500</v>
      </c>
      <c r="H128" s="57" t="s">
        <v>101</v>
      </c>
      <c r="I128" s="54">
        <f>G128</f>
        <v>8500</v>
      </c>
      <c r="J128" s="78" t="s">
        <v>77</v>
      </c>
      <c r="K128" s="53" t="s">
        <v>105</v>
      </c>
      <c r="L128" s="78"/>
      <c r="M128" s="77"/>
      <c r="N128" s="77"/>
      <c r="O128" s="77"/>
      <c r="P128" s="80"/>
      <c r="Q128" s="98"/>
      <c r="R128" s="98"/>
    </row>
    <row r="129" s="1" customFormat="1" ht="18" customHeight="1" spans="1:18">
      <c r="A129" s="42"/>
      <c r="B129" s="25">
        <f t="shared" si="8"/>
        <v>0</v>
      </c>
      <c r="C129" s="43"/>
      <c r="D129" s="44"/>
      <c r="E129" s="45"/>
      <c r="F129" s="46">
        <f t="shared" si="9"/>
        <v>0</v>
      </c>
      <c r="G129" s="59"/>
      <c r="H129" s="57" t="s">
        <v>106</v>
      </c>
      <c r="I129" s="54">
        <v>9000</v>
      </c>
      <c r="J129" s="78" t="s">
        <v>77</v>
      </c>
      <c r="K129" s="53" t="s">
        <v>107</v>
      </c>
      <c r="L129" s="78"/>
      <c r="M129" s="77"/>
      <c r="N129" s="77"/>
      <c r="O129" s="77"/>
      <c r="P129" s="80"/>
      <c r="Q129" s="98"/>
      <c r="R129" s="98"/>
    </row>
    <row r="130" s="1" customFormat="1" ht="18" customHeight="1" spans="1:18">
      <c r="A130" s="42"/>
      <c r="B130" s="25">
        <f t="shared" si="8"/>
        <v>0</v>
      </c>
      <c r="C130" s="43"/>
      <c r="D130" s="44"/>
      <c r="E130" s="45"/>
      <c r="F130" s="46">
        <f t="shared" si="9"/>
        <v>0</v>
      </c>
      <c r="G130" s="59"/>
      <c r="H130" s="57" t="s">
        <v>106</v>
      </c>
      <c r="I130" s="54">
        <v>-66373</v>
      </c>
      <c r="J130" s="78" t="s">
        <v>90</v>
      </c>
      <c r="K130" s="53" t="s">
        <v>91</v>
      </c>
      <c r="L130" s="78"/>
      <c r="M130" s="77"/>
      <c r="N130" s="77"/>
      <c r="O130" s="77"/>
      <c r="P130" s="80"/>
      <c r="Q130" s="98"/>
      <c r="R130" s="98"/>
    </row>
    <row r="131" s="1" customFormat="1" ht="18" customHeight="1" spans="1:18">
      <c r="A131" s="42"/>
      <c r="B131" s="25">
        <f t="shared" si="8"/>
        <v>0</v>
      </c>
      <c r="C131" s="43"/>
      <c r="D131" s="44"/>
      <c r="E131" s="45"/>
      <c r="F131" s="46">
        <f t="shared" si="9"/>
        <v>0</v>
      </c>
      <c r="G131" s="59"/>
      <c r="H131" s="57" t="s">
        <v>106</v>
      </c>
      <c r="I131" s="54">
        <v>-37965</v>
      </c>
      <c r="J131" s="78" t="s">
        <v>90</v>
      </c>
      <c r="K131" s="53" t="s">
        <v>108</v>
      </c>
      <c r="L131" s="85"/>
      <c r="M131" s="151"/>
      <c r="N131" s="77"/>
      <c r="O131" s="77"/>
      <c r="P131" s="80"/>
      <c r="Q131" s="98"/>
      <c r="R131" s="98"/>
    </row>
    <row r="132" s="1" customFormat="1" ht="18" customHeight="1" spans="1:18">
      <c r="A132" s="42"/>
      <c r="B132" s="25">
        <f t="shared" si="8"/>
        <v>0</v>
      </c>
      <c r="C132" s="43"/>
      <c r="D132" s="44"/>
      <c r="E132" s="45"/>
      <c r="F132" s="46">
        <f t="shared" si="9"/>
        <v>0</v>
      </c>
      <c r="G132" s="59"/>
      <c r="H132" s="57" t="s">
        <v>109</v>
      </c>
      <c r="I132" s="54">
        <v>8496</v>
      </c>
      <c r="J132" s="78" t="s">
        <v>77</v>
      </c>
      <c r="K132" s="53" t="s">
        <v>110</v>
      </c>
      <c r="L132" s="78"/>
      <c r="M132" s="77"/>
      <c r="N132" s="77"/>
      <c r="O132" s="77"/>
      <c r="P132" s="80"/>
      <c r="Q132" s="98"/>
      <c r="R132" s="98"/>
    </row>
    <row r="133" s="1" customFormat="1" ht="18" customHeight="1" spans="1:20">
      <c r="A133" s="42"/>
      <c r="B133" s="25">
        <f t="shared" si="8"/>
        <v>0</v>
      </c>
      <c r="C133" s="43"/>
      <c r="D133" s="44"/>
      <c r="E133" s="45"/>
      <c r="F133" s="46">
        <f t="shared" si="9"/>
        <v>0</v>
      </c>
      <c r="G133" s="59"/>
      <c r="H133" s="57" t="s">
        <v>109</v>
      </c>
      <c r="I133" s="54">
        <v>212400</v>
      </c>
      <c r="J133" s="78" t="s">
        <v>111</v>
      </c>
      <c r="K133" s="53" t="s">
        <v>112</v>
      </c>
      <c r="L133" s="78"/>
      <c r="M133" s="77"/>
      <c r="N133" s="77"/>
      <c r="O133" s="77"/>
      <c r="P133" s="80"/>
      <c r="Q133" s="98"/>
      <c r="R133" s="98"/>
      <c r="T133" s="1">
        <f>I134+I130+I124+I120+I114+I110+I106+I105</f>
        <v>0</v>
      </c>
    </row>
    <row r="134" s="1" customFormat="1" ht="18" customHeight="1" spans="1:18">
      <c r="A134" s="42"/>
      <c r="B134" s="25">
        <f t="shared" si="8"/>
        <v>0</v>
      </c>
      <c r="C134" s="43"/>
      <c r="D134" s="44"/>
      <c r="E134" s="45"/>
      <c r="F134" s="46">
        <f t="shared" si="9"/>
        <v>0</v>
      </c>
      <c r="G134" s="59"/>
      <c r="H134" s="57" t="s">
        <v>109</v>
      </c>
      <c r="I134" s="54">
        <v>69664</v>
      </c>
      <c r="J134" s="78" t="s">
        <v>94</v>
      </c>
      <c r="K134" s="53" t="s">
        <v>95</v>
      </c>
      <c r="L134" s="78"/>
      <c r="M134" s="77"/>
      <c r="N134" s="77"/>
      <c r="O134" s="77"/>
      <c r="P134" s="80"/>
      <c r="Q134" s="98"/>
      <c r="R134" s="98"/>
    </row>
    <row r="135" s="1" customFormat="1" ht="18" customHeight="1" spans="1:18">
      <c r="A135" s="42"/>
      <c r="B135" s="25">
        <f t="shared" si="8"/>
        <v>0</v>
      </c>
      <c r="C135" s="43"/>
      <c r="D135" s="44"/>
      <c r="E135" s="45"/>
      <c r="F135" s="46">
        <f t="shared" si="9"/>
        <v>0</v>
      </c>
      <c r="G135" s="59"/>
      <c r="H135" s="57" t="s">
        <v>109</v>
      </c>
      <c r="I135" s="54">
        <v>14679</v>
      </c>
      <c r="J135" s="78" t="s">
        <v>77</v>
      </c>
      <c r="K135" s="53" t="s">
        <v>113</v>
      </c>
      <c r="L135" s="78"/>
      <c r="M135" s="77"/>
      <c r="N135" s="77"/>
      <c r="O135" s="77"/>
      <c r="P135" s="80"/>
      <c r="Q135" s="98"/>
      <c r="R135" s="98"/>
    </row>
    <row r="136" s="1" customFormat="1" ht="18" customHeight="1" spans="1:18">
      <c r="A136" s="42"/>
      <c r="B136" s="25">
        <f t="shared" si="8"/>
        <v>0</v>
      </c>
      <c r="C136" s="43"/>
      <c r="D136" s="44"/>
      <c r="E136" s="45"/>
      <c r="F136" s="46">
        <f t="shared" si="9"/>
        <v>0</v>
      </c>
      <c r="G136" s="59"/>
      <c r="H136" s="57" t="s">
        <v>109</v>
      </c>
      <c r="I136" s="54">
        <v>551</v>
      </c>
      <c r="J136" s="78" t="s">
        <v>77</v>
      </c>
      <c r="K136" s="53" t="s">
        <v>114</v>
      </c>
      <c r="L136" s="78"/>
      <c r="M136" s="77"/>
      <c r="N136" s="77"/>
      <c r="O136" s="77"/>
      <c r="P136" s="80"/>
      <c r="Q136" s="98"/>
      <c r="R136" s="98"/>
    </row>
    <row r="137" s="1" customFormat="1" ht="18" customHeight="1" spans="1:18">
      <c r="A137" s="42"/>
      <c r="B137" s="25">
        <f t="shared" si="8"/>
        <v>0</v>
      </c>
      <c r="C137" s="43"/>
      <c r="D137" s="44"/>
      <c r="E137" s="45"/>
      <c r="F137" s="46">
        <f t="shared" si="9"/>
        <v>0</v>
      </c>
      <c r="G137" s="59"/>
      <c r="H137" s="57" t="s">
        <v>109</v>
      </c>
      <c r="I137" s="54">
        <v>45972</v>
      </c>
      <c r="J137" s="78" t="s">
        <v>77</v>
      </c>
      <c r="K137" s="53" t="s">
        <v>115</v>
      </c>
      <c r="L137" s="78"/>
      <c r="M137" s="77"/>
      <c r="N137" s="77"/>
      <c r="O137" s="77"/>
      <c r="P137" s="80"/>
      <c r="Q137" s="98"/>
      <c r="R137" s="98"/>
    </row>
    <row r="138" s="1" customFormat="1" ht="18" customHeight="1" spans="1:18">
      <c r="A138" s="42"/>
      <c r="B138" s="25">
        <f t="shared" si="8"/>
        <v>5000</v>
      </c>
      <c r="C138" s="43"/>
      <c r="D138" s="44"/>
      <c r="E138" s="45"/>
      <c r="F138" s="46">
        <f t="shared" si="9"/>
        <v>0</v>
      </c>
      <c r="G138" s="59">
        <v>5000</v>
      </c>
      <c r="H138" s="57" t="s">
        <v>109</v>
      </c>
      <c r="I138" s="54">
        <f>G138</f>
        <v>5000</v>
      </c>
      <c r="J138" s="78" t="s">
        <v>77</v>
      </c>
      <c r="K138" s="53" t="s">
        <v>105</v>
      </c>
      <c r="L138" s="78"/>
      <c r="M138" s="77"/>
      <c r="N138" s="77"/>
      <c r="O138" s="77"/>
      <c r="P138" s="80"/>
      <c r="Q138" s="98"/>
      <c r="R138" s="98"/>
    </row>
    <row r="139" s="1" customFormat="1" ht="18" customHeight="1" spans="1:18">
      <c r="A139" s="42"/>
      <c r="B139" s="25">
        <f t="shared" si="8"/>
        <v>0</v>
      </c>
      <c r="C139" s="43"/>
      <c r="D139" s="44"/>
      <c r="E139" s="45"/>
      <c r="F139" s="46">
        <f t="shared" si="9"/>
        <v>0</v>
      </c>
      <c r="G139" s="59"/>
      <c r="H139" s="57" t="s">
        <v>116</v>
      </c>
      <c r="I139" s="54">
        <v>500</v>
      </c>
      <c r="J139" s="78" t="s">
        <v>77</v>
      </c>
      <c r="K139" s="53" t="s">
        <v>117</v>
      </c>
      <c r="L139" s="78"/>
      <c r="M139" s="77"/>
      <c r="N139" s="77"/>
      <c r="O139" s="77"/>
      <c r="P139" s="80"/>
      <c r="Q139" s="98"/>
      <c r="R139" s="98"/>
    </row>
    <row r="140" s="1" customFormat="1" ht="18" customHeight="1" spans="1:18">
      <c r="A140" s="42"/>
      <c r="B140" s="25">
        <f t="shared" si="8"/>
        <v>5000</v>
      </c>
      <c r="C140" s="43"/>
      <c r="D140" s="44"/>
      <c r="E140" s="45"/>
      <c r="F140" s="46">
        <f t="shared" si="9"/>
        <v>0</v>
      </c>
      <c r="G140" s="59">
        <f>5000</f>
        <v>5000</v>
      </c>
      <c r="H140" s="57" t="s">
        <v>116</v>
      </c>
      <c r="I140" s="54">
        <f>G140</f>
        <v>5000</v>
      </c>
      <c r="J140" s="78" t="s">
        <v>77</v>
      </c>
      <c r="K140" s="53" t="s">
        <v>105</v>
      </c>
      <c r="L140" s="78"/>
      <c r="M140" s="77"/>
      <c r="N140" s="77"/>
      <c r="O140" s="77"/>
      <c r="P140" s="80"/>
      <c r="Q140" s="98"/>
      <c r="R140" s="98"/>
    </row>
    <row r="141" s="1" customFormat="1" ht="18" customHeight="1" spans="1:18">
      <c r="A141" s="42"/>
      <c r="B141" s="25">
        <f t="shared" si="8"/>
        <v>0</v>
      </c>
      <c r="C141" s="43"/>
      <c r="D141" s="44"/>
      <c r="E141" s="45"/>
      <c r="F141" s="46">
        <f t="shared" si="9"/>
        <v>0</v>
      </c>
      <c r="G141" s="59"/>
      <c r="H141" s="57" t="s">
        <v>116</v>
      </c>
      <c r="I141" s="54">
        <v>14679</v>
      </c>
      <c r="J141" s="78" t="s">
        <v>77</v>
      </c>
      <c r="K141" s="53" t="s">
        <v>118</v>
      </c>
      <c r="L141" s="78"/>
      <c r="M141" s="77"/>
      <c r="N141" s="77"/>
      <c r="O141" s="77"/>
      <c r="P141" s="80"/>
      <c r="Q141" s="98"/>
      <c r="R141" s="98"/>
    </row>
    <row r="142" s="1" customFormat="1" ht="18" customHeight="1" spans="1:18">
      <c r="A142" s="42"/>
      <c r="B142" s="25">
        <f t="shared" si="8"/>
        <v>0</v>
      </c>
      <c r="C142" s="43"/>
      <c r="D142" s="44"/>
      <c r="E142" s="45"/>
      <c r="F142" s="46">
        <f t="shared" si="9"/>
        <v>0</v>
      </c>
      <c r="G142" s="59"/>
      <c r="H142" s="57" t="s">
        <v>116</v>
      </c>
      <c r="I142" s="54">
        <v>551</v>
      </c>
      <c r="J142" s="78" t="s">
        <v>77</v>
      </c>
      <c r="K142" s="53" t="s">
        <v>119</v>
      </c>
      <c r="L142" s="78"/>
      <c r="M142" s="77"/>
      <c r="N142" s="77"/>
      <c r="O142" s="77"/>
      <c r="P142" s="80"/>
      <c r="Q142" s="98"/>
      <c r="R142" s="98"/>
    </row>
    <row r="143" s="1" customFormat="1" ht="18" customHeight="1" spans="1:18">
      <c r="A143" s="42"/>
      <c r="B143" s="25">
        <f t="shared" si="8"/>
        <v>0</v>
      </c>
      <c r="C143" s="43"/>
      <c r="D143" s="44"/>
      <c r="E143" s="45"/>
      <c r="F143" s="46">
        <f t="shared" si="9"/>
        <v>0</v>
      </c>
      <c r="G143" s="59"/>
      <c r="H143" s="57"/>
      <c r="I143" s="85"/>
      <c r="J143" s="86"/>
      <c r="K143" s="53"/>
      <c r="L143" s="78"/>
      <c r="M143" s="77"/>
      <c r="N143" s="77"/>
      <c r="O143" s="77"/>
      <c r="P143" s="80"/>
      <c r="Q143" s="98"/>
      <c r="R143" s="98"/>
    </row>
    <row r="144" ht="18" customHeight="1" spans="1:16">
      <c r="A144" s="38" t="s">
        <v>23</v>
      </c>
      <c r="B144" s="123">
        <f>SUM(B19:B143)</f>
        <v>9652381.94</v>
      </c>
      <c r="C144" s="38"/>
      <c r="D144" s="124"/>
      <c r="E144" s="124"/>
      <c r="F144" s="39">
        <f>SUM(F19:F143)</f>
        <v>459466.76</v>
      </c>
      <c r="G144" s="125">
        <f>SUM(G19:G143)</f>
        <v>10111848.7</v>
      </c>
      <c r="H144" s="29"/>
      <c r="I144" s="28">
        <f>SUM(I19:I143)</f>
        <v>8299164.08</v>
      </c>
      <c r="J144" s="40"/>
      <c r="K144" s="152"/>
      <c r="L144" s="40"/>
      <c r="M144" s="40"/>
      <c r="N144" s="40"/>
      <c r="O144" s="40"/>
      <c r="P144" s="153"/>
    </row>
    <row r="145" ht="18" customHeight="1" spans="1:11">
      <c r="A145" s="126" t="s">
        <v>120</v>
      </c>
      <c r="B145" s="127">
        <f>B16*0.936</f>
        <v>7127339.44954129</v>
      </c>
      <c r="C145" s="126"/>
      <c r="D145" s="128"/>
      <c r="E145" s="128"/>
      <c r="F145" s="129"/>
      <c r="G145" s="129">
        <f>G16-G144</f>
        <v>-1811848.7</v>
      </c>
      <c r="H145" s="29" t="s">
        <v>121</v>
      </c>
      <c r="I145" s="28">
        <f>I16-I144</f>
        <v>835.919999999925</v>
      </c>
      <c r="J145" s="13"/>
      <c r="K145" s="154"/>
    </row>
    <row r="146" ht="18" customHeight="1" spans="1:11">
      <c r="A146" s="126" t="s">
        <v>122</v>
      </c>
      <c r="B146" s="127">
        <f>B145-B144</f>
        <v>-2525042.49045871</v>
      </c>
      <c r="C146" s="126"/>
      <c r="D146" s="128"/>
      <c r="E146" s="128"/>
      <c r="F146" s="129"/>
      <c r="G146" s="129"/>
      <c r="H146" s="130"/>
      <c r="I146" s="129"/>
      <c r="J146" s="13"/>
      <c r="K146" s="154"/>
    </row>
    <row r="147" ht="18" customHeight="1" spans="1:3">
      <c r="A147" s="7" t="s">
        <v>124</v>
      </c>
      <c r="C147" s="7"/>
    </row>
    <row r="148" s="4" customFormat="1" ht="33" customHeight="1" spans="1:17">
      <c r="A148" s="131" t="s">
        <v>125</v>
      </c>
      <c r="B148" s="132" t="s">
        <v>126</v>
      </c>
      <c r="C148" s="133"/>
      <c r="D148" s="131" t="s">
        <v>125</v>
      </c>
      <c r="E148" s="134" t="s">
        <v>17</v>
      </c>
      <c r="F148" s="132" t="s">
        <v>126</v>
      </c>
      <c r="G148" s="132" t="s">
        <v>196</v>
      </c>
      <c r="H148" s="132" t="s">
        <v>197</v>
      </c>
      <c r="I148" s="155" t="s">
        <v>130</v>
      </c>
      <c r="J148" s="132" t="s">
        <v>131</v>
      </c>
      <c r="K148" s="132" t="s">
        <v>132</v>
      </c>
      <c r="L148" s="156" t="s">
        <v>133</v>
      </c>
      <c r="M148" s="131" t="s">
        <v>198</v>
      </c>
      <c r="N148" s="131" t="s">
        <v>199</v>
      </c>
      <c r="O148" s="131"/>
      <c r="P148" s="157" t="s">
        <v>200</v>
      </c>
      <c r="Q148" s="171" t="s">
        <v>201</v>
      </c>
    </row>
    <row r="149" s="5" customFormat="1" ht="18" customHeight="1" spans="1:17">
      <c r="A149" s="135" t="s">
        <v>134</v>
      </c>
      <c r="B149" s="51">
        <f>(B145-B144)*0.25</f>
        <v>-631260.622614677</v>
      </c>
      <c r="C149" s="135"/>
      <c r="D149" s="136" t="s">
        <v>135</v>
      </c>
      <c r="E149" s="86" t="s">
        <v>136</v>
      </c>
      <c r="F149" s="85">
        <f>F16-F144</f>
        <v>73560.76293578</v>
      </c>
      <c r="G149" s="85">
        <f>F7-F19-F20</f>
        <v>-22428.1465137615</v>
      </c>
      <c r="H149" s="85">
        <f>F8+G149</f>
        <v>41792.036972477</v>
      </c>
      <c r="I149" s="85">
        <f>-F23</f>
        <v>-34513.27</v>
      </c>
      <c r="J149" s="85">
        <f>F9</f>
        <v>109174.311926606</v>
      </c>
      <c r="K149" s="85">
        <f>F10+F11-SUM(F23:F35)</f>
        <v>61261.9204587155</v>
      </c>
      <c r="L149" s="158">
        <f>-F40-F45</f>
        <v>-80618.16</v>
      </c>
      <c r="M149" s="85"/>
      <c r="N149" s="85">
        <f>F12+F13-F46-F59-F62</f>
        <v>18864.8435779816</v>
      </c>
      <c r="O149" s="85"/>
      <c r="P149" s="159">
        <f>H149+I149+J149+K149+L149+N149</f>
        <v>115961.68293578</v>
      </c>
      <c r="Q149" s="172">
        <f>-(F54+F64+F65+F67+F68+F72)</f>
        <v>-42400.92</v>
      </c>
    </row>
    <row r="150" s="5" customFormat="1" ht="18" customHeight="1" spans="1:17">
      <c r="A150" s="135" t="s">
        <v>137</v>
      </c>
      <c r="B150" s="137" t="s">
        <v>138</v>
      </c>
      <c r="C150" s="135"/>
      <c r="D150" s="138" t="s">
        <v>139</v>
      </c>
      <c r="E150" s="139">
        <v>0.05</v>
      </c>
      <c r="F150" s="85">
        <f>F149*E150</f>
        <v>3678.038146789</v>
      </c>
      <c r="G150" s="85">
        <v>0</v>
      </c>
      <c r="H150" s="85">
        <f>H149*E150</f>
        <v>2089.60184862385</v>
      </c>
      <c r="I150" s="85">
        <f>I149*E150</f>
        <v>-1725.6635</v>
      </c>
      <c r="J150" s="85">
        <f>J149*E150</f>
        <v>5458.7155963303</v>
      </c>
      <c r="K150" s="85">
        <f>K149*E150</f>
        <v>3063.09602293578</v>
      </c>
      <c r="L150" s="158">
        <f>L149*E150</f>
        <v>-4030.908</v>
      </c>
      <c r="M150" s="85"/>
      <c r="N150" s="85">
        <f>N149*0.07</f>
        <v>1320.53905045871</v>
      </c>
      <c r="O150" s="158"/>
      <c r="P150" s="160" t="s">
        <v>202</v>
      </c>
      <c r="Q150" s="173" t="s">
        <v>203</v>
      </c>
    </row>
    <row r="151" s="5" customFormat="1" ht="18" customHeight="1" spans="1:17">
      <c r="A151" s="135" t="s">
        <v>140</v>
      </c>
      <c r="B151" s="137"/>
      <c r="C151" s="135"/>
      <c r="D151" s="138" t="s">
        <v>141</v>
      </c>
      <c r="E151" s="139">
        <v>0.03</v>
      </c>
      <c r="F151" s="85">
        <f>F149*E151</f>
        <v>2206.8228880734</v>
      </c>
      <c r="G151" s="85">
        <v>0</v>
      </c>
      <c r="H151" s="85">
        <f>H149*E151</f>
        <v>1253.76110917431</v>
      </c>
      <c r="I151" s="85">
        <f>I149*E151</f>
        <v>-1035.3981</v>
      </c>
      <c r="J151" s="85">
        <f>J149*E151</f>
        <v>3275.22935779818</v>
      </c>
      <c r="K151" s="85">
        <f>K149*E151</f>
        <v>1837.85761376146</v>
      </c>
      <c r="L151" s="158">
        <f>L149*E151</f>
        <v>-2418.5448</v>
      </c>
      <c r="M151" s="85"/>
      <c r="N151" s="85">
        <f>N149*E151</f>
        <v>565.945307339448</v>
      </c>
      <c r="O151" s="158"/>
      <c r="P151" s="160"/>
      <c r="Q151" s="174"/>
    </row>
    <row r="152" s="5" customFormat="1" ht="18" customHeight="1" spans="1:17">
      <c r="A152" s="135"/>
      <c r="B152" s="33"/>
      <c r="C152" s="135"/>
      <c r="D152" s="138" t="s">
        <v>142</v>
      </c>
      <c r="E152" s="139">
        <v>0.02</v>
      </c>
      <c r="F152" s="85">
        <f>F149*E152</f>
        <v>1471.2152587156</v>
      </c>
      <c r="G152" s="85">
        <v>0</v>
      </c>
      <c r="H152" s="85">
        <f>H149*E152</f>
        <v>835.84073944954</v>
      </c>
      <c r="I152" s="85">
        <f>I149*E152</f>
        <v>-690.2654</v>
      </c>
      <c r="J152" s="85">
        <f>J149*E152</f>
        <v>2183.48623853212</v>
      </c>
      <c r="K152" s="85">
        <f>K149*E152</f>
        <v>1225.23840917431</v>
      </c>
      <c r="L152" s="158">
        <f>L149*E152</f>
        <v>-1612.3632</v>
      </c>
      <c r="M152" s="85"/>
      <c r="N152" s="85">
        <f>N149*E152</f>
        <v>377.296871559632</v>
      </c>
      <c r="O152" s="158"/>
      <c r="P152" s="160"/>
      <c r="Q152" s="174"/>
    </row>
    <row r="153" s="6" customFormat="1" ht="18" customHeight="1" spans="1:17">
      <c r="A153" s="140" t="s">
        <v>143</v>
      </c>
      <c r="B153" s="141">
        <f>SUM(B149:B152)</f>
        <v>-631260.622614677</v>
      </c>
      <c r="C153" s="142"/>
      <c r="D153" s="143" t="s">
        <v>143</v>
      </c>
      <c r="E153" s="144"/>
      <c r="F153" s="39">
        <f>SUM(F149:F152)</f>
        <v>80916.839229358</v>
      </c>
      <c r="G153" s="39">
        <v>0</v>
      </c>
      <c r="H153" s="39">
        <f>SUM(H148:H152)</f>
        <v>45971.2406697247</v>
      </c>
      <c r="I153" s="39">
        <f>SUM(I149:I152)</f>
        <v>-37964.597</v>
      </c>
      <c r="J153" s="39">
        <f>SUM(J149:J152)</f>
        <v>120091.743119267</v>
      </c>
      <c r="K153" s="39">
        <f>SUM(K149:K152)</f>
        <v>67388.112504587</v>
      </c>
      <c r="L153" s="161">
        <f>SUM(L149:L152)</f>
        <v>-88679.976</v>
      </c>
      <c r="M153" s="39"/>
      <c r="N153" s="162"/>
      <c r="O153" s="163"/>
      <c r="P153" s="160"/>
      <c r="Q153" s="174"/>
    </row>
    <row r="154" s="6" customFormat="1" ht="18" customHeight="1" spans="1:17">
      <c r="A154" s="145"/>
      <c r="B154" s="146"/>
      <c r="C154" s="145"/>
      <c r="D154" s="147" t="s">
        <v>140</v>
      </c>
      <c r="E154" s="148">
        <v>0.0006</v>
      </c>
      <c r="F154" s="39">
        <f>B16*E154</f>
        <v>4568.80733944954</v>
      </c>
      <c r="G154" s="39">
        <f>B7*E154</f>
        <v>550.45871559633</v>
      </c>
      <c r="H154" s="39">
        <f>B8*E154</f>
        <v>550.45871559633</v>
      </c>
      <c r="I154" s="164"/>
      <c r="J154" s="39">
        <f>B9*E154</f>
        <v>935.779816513764</v>
      </c>
      <c r="K154" s="39">
        <f>(B10+B11)*E154</f>
        <v>1651.37614678899</v>
      </c>
      <c r="L154" s="165"/>
      <c r="M154" s="39">
        <v>220.183486238532</v>
      </c>
      <c r="N154" s="162">
        <f>E154*B13</f>
        <v>660.550458715596</v>
      </c>
      <c r="O154" s="163"/>
      <c r="P154" s="160"/>
      <c r="Q154" s="174"/>
    </row>
    <row r="155" s="6" customFormat="1" ht="18" customHeight="1" spans="1:17">
      <c r="A155" s="145"/>
      <c r="B155" s="146"/>
      <c r="C155" s="145"/>
      <c r="D155" s="147" t="s">
        <v>134</v>
      </c>
      <c r="E155" s="148">
        <v>0.016</v>
      </c>
      <c r="F155" s="39">
        <f>B16*E155</f>
        <v>121834.862385321</v>
      </c>
      <c r="G155" s="39">
        <f>B7*E155</f>
        <v>14678.8990825688</v>
      </c>
      <c r="H155" s="39">
        <f>B8*E155</f>
        <v>14678.8990825688</v>
      </c>
      <c r="I155" s="164"/>
      <c r="J155" s="39">
        <f>B9*E155</f>
        <v>24954.128440367</v>
      </c>
      <c r="K155" s="39">
        <f>G10*E155+G11*E155</f>
        <v>48000</v>
      </c>
      <c r="L155" s="165"/>
      <c r="M155" s="39">
        <v>6400</v>
      </c>
      <c r="N155" s="162">
        <f>E155*G13</f>
        <v>19200</v>
      </c>
      <c r="O155" s="163"/>
      <c r="P155" s="160"/>
      <c r="Q155" s="174"/>
    </row>
    <row r="156" ht="18" customHeight="1" spans="3:18">
      <c r="C156" s="7"/>
      <c r="M156" s="10"/>
      <c r="N156" s="23" t="s">
        <v>182</v>
      </c>
      <c r="O156" s="166">
        <f>N149+N150+N151+N152+N154+N155</f>
        <v>40989.175266055</v>
      </c>
      <c r="P156" s="160"/>
      <c r="Q156" s="175"/>
      <c r="R156" s="14"/>
    </row>
    <row r="157" ht="18" customHeight="1" spans="3:17">
      <c r="C157" s="7"/>
      <c r="K157" s="11"/>
      <c r="M157" s="10"/>
      <c r="N157" s="67" t="s">
        <v>204</v>
      </c>
      <c r="O157" s="67">
        <v>40970</v>
      </c>
      <c r="P157" s="167"/>
      <c r="Q157" s="40"/>
    </row>
    <row r="158" ht="18" customHeight="1" spans="3:17">
      <c r="C158" s="7"/>
      <c r="H158" s="149"/>
      <c r="M158" s="10"/>
      <c r="N158" s="67" t="s">
        <v>205</v>
      </c>
      <c r="O158" s="67">
        <f>O156-O157</f>
        <v>19.1752660549828</v>
      </c>
      <c r="P158" s="167"/>
      <c r="Q158" s="40"/>
    </row>
    <row r="159" spans="3:7">
      <c r="C159" s="7"/>
      <c r="G159" s="23" t="s">
        <v>127</v>
      </c>
    </row>
    <row r="160" spans="3:7">
      <c r="C160" s="7"/>
      <c r="G160" s="23">
        <v>64220.1834862385</v>
      </c>
    </row>
    <row r="161" spans="3:7">
      <c r="C161" s="7"/>
      <c r="G161" s="23">
        <v>3211.00917431193</v>
      </c>
    </row>
    <row r="162" spans="3:16">
      <c r="C162" s="7"/>
      <c r="G162" s="23">
        <v>1926.60550458716</v>
      </c>
      <c r="M162" s="75" t="s">
        <v>206</v>
      </c>
      <c r="N162" s="168"/>
      <c r="O162" s="168"/>
      <c r="P162" s="168"/>
    </row>
    <row r="163" spans="3:16">
      <c r="C163" s="7"/>
      <c r="G163" s="23">
        <v>1284.40366972477</v>
      </c>
      <c r="M163" s="75">
        <f>F12</f>
        <v>25688.0733944954</v>
      </c>
      <c r="N163" s="168"/>
      <c r="O163" s="168"/>
      <c r="P163" s="168"/>
    </row>
    <row r="164" spans="3:16">
      <c r="C164" s="7"/>
      <c r="G164" s="23">
        <v>70642.2018348624</v>
      </c>
      <c r="M164" s="86"/>
      <c r="N164" s="168"/>
      <c r="O164" s="168"/>
      <c r="P164" s="168"/>
    </row>
    <row r="165" spans="3:16">
      <c r="C165" s="7"/>
      <c r="G165" s="23"/>
      <c r="M165" s="86"/>
      <c r="N165" s="168"/>
      <c r="O165" s="168"/>
      <c r="P165" s="168"/>
    </row>
    <row r="166" spans="3:16">
      <c r="C166" s="7"/>
      <c r="G166" s="23"/>
      <c r="M166" s="86"/>
      <c r="N166" s="168"/>
      <c r="O166" s="168"/>
      <c r="P166" s="168"/>
    </row>
    <row r="167" spans="3:16">
      <c r="C167" s="7"/>
      <c r="G167" s="23"/>
      <c r="M167" s="75">
        <f>M163*1.12</f>
        <v>28770.6422018349</v>
      </c>
      <c r="N167" s="73"/>
      <c r="O167" s="73"/>
      <c r="P167" s="73"/>
    </row>
    <row r="168" spans="3:16">
      <c r="C168" s="7"/>
      <c r="G168" s="150" t="s">
        <v>144</v>
      </c>
      <c r="M168" s="86"/>
      <c r="N168" s="168"/>
      <c r="O168" s="168"/>
      <c r="P168" s="168"/>
    </row>
    <row r="169" spans="3:14">
      <c r="C169" s="7"/>
      <c r="G169" s="23" t="s">
        <v>145</v>
      </c>
      <c r="M169" s="169" t="s">
        <v>188</v>
      </c>
      <c r="N169" s="14"/>
    </row>
    <row r="170" spans="3:14">
      <c r="C170" s="7"/>
      <c r="M170" s="170" t="s">
        <v>207</v>
      </c>
      <c r="N170" s="170"/>
    </row>
    <row r="171" spans="3:14">
      <c r="C171" s="7"/>
      <c r="M171" s="130"/>
      <c r="N171" s="168"/>
    </row>
    <row r="172" spans="3:3">
      <c r="C172" s="7"/>
    </row>
    <row r="173" spans="3:3">
      <c r="C173" s="7"/>
    </row>
    <row r="174" spans="3:3">
      <c r="C174" s="7"/>
    </row>
  </sheetData>
  <mergeCells count="26">
    <mergeCell ref="A1:J1"/>
    <mergeCell ref="H2:J2"/>
    <mergeCell ref="C5:D5"/>
    <mergeCell ref="E5:F5"/>
    <mergeCell ref="H5:J5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N162:O162"/>
    <mergeCell ref="N163:O163"/>
    <mergeCell ref="N164:O164"/>
    <mergeCell ref="N165:O165"/>
    <mergeCell ref="N166:O166"/>
    <mergeCell ref="N167:O167"/>
    <mergeCell ref="N168:O168"/>
    <mergeCell ref="M170:N170"/>
    <mergeCell ref="A5:A6"/>
    <mergeCell ref="B5:B6"/>
    <mergeCell ref="G5:G6"/>
    <mergeCell ref="P150:P156"/>
    <mergeCell ref="Q150:Q15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3"/>
  <sheetViews>
    <sheetView topLeftCell="A33" workbookViewId="0">
      <selection activeCell="K70" sqref="K70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4" customWidth="1"/>
    <col min="13" max="13" width="16" style="14" customWidth="1"/>
    <col min="14" max="14" width="5.625" style="14" customWidth="1"/>
    <col min="15" max="15" width="9" style="14"/>
    <col min="16" max="16" width="9.625" style="14"/>
    <col min="17" max="17" width="10.375" style="14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1" si="0">G7/(1+C7+E7)</f>
        <v>917431.19266055</v>
      </c>
      <c r="C7" s="32">
        <v>0.02</v>
      </c>
      <c r="D7" s="33">
        <f t="shared" ref="D7:D11" si="1">G7/(1+E7+C7)*C7</f>
        <v>18348.623853211</v>
      </c>
      <c r="E7" s="32">
        <v>0.07</v>
      </c>
      <c r="F7" s="31">
        <f t="shared" ref="F7:F11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6" t="s">
        <v>23</v>
      </c>
      <c r="B12" s="37">
        <f t="shared" ref="B12:G12" si="3">SUM(B7:B11)</f>
        <v>6146788.99082569</v>
      </c>
      <c r="C12" s="38"/>
      <c r="D12" s="37">
        <f t="shared" si="3"/>
        <v>122935.779816514</v>
      </c>
      <c r="E12" s="38"/>
      <c r="F12" s="179">
        <f t="shared" si="3"/>
        <v>430275.229357798</v>
      </c>
      <c r="G12" s="37">
        <f t="shared" si="3"/>
        <v>6700000</v>
      </c>
      <c r="H12" s="180"/>
      <c r="I12" s="37">
        <f>SUM(I7:I11)</f>
        <v>6700000</v>
      </c>
      <c r="J12" s="180"/>
    </row>
    <row r="13" ht="18" customHeight="1" spans="1:15">
      <c r="A13" s="7" t="s">
        <v>24</v>
      </c>
      <c r="J13" s="9"/>
      <c r="K13" s="26" t="s">
        <v>25</v>
      </c>
      <c r="L13" s="176"/>
      <c r="O13" s="189">
        <f>O16+O19+O21+O30+O33</f>
        <v>2519.89</v>
      </c>
    </row>
    <row r="14" ht="18" customHeight="1" spans="1:15">
      <c r="A14" s="41" t="s">
        <v>26</v>
      </c>
      <c r="B14" s="28" t="s">
        <v>27</v>
      </c>
      <c r="C14" s="27" t="s">
        <v>28</v>
      </c>
      <c r="D14" s="27" t="s">
        <v>29</v>
      </c>
      <c r="E14" s="27" t="s">
        <v>17</v>
      </c>
      <c r="F14" s="28" t="s">
        <v>30</v>
      </c>
      <c r="G14" s="28" t="s">
        <v>15</v>
      </c>
      <c r="H14" s="27" t="s">
        <v>31</v>
      </c>
      <c r="I14" s="28" t="s">
        <v>32</v>
      </c>
      <c r="J14" s="27" t="s">
        <v>21</v>
      </c>
      <c r="K14" s="74" t="s">
        <v>33</v>
      </c>
      <c r="L14" s="29" t="s">
        <v>34</v>
      </c>
      <c r="M14" s="29" t="s">
        <v>35</v>
      </c>
      <c r="N14" s="29" t="s">
        <v>36</v>
      </c>
      <c r="O14" s="29" t="s">
        <v>37</v>
      </c>
    </row>
    <row r="15" s="1" customFormat="1" ht="18" customHeight="1" spans="1:15">
      <c r="A15" s="42">
        <v>43617</v>
      </c>
      <c r="B15" s="25">
        <f t="shared" ref="B15:B46" si="4">ROUND(G15/(1+E15),2)</f>
        <v>970873.79</v>
      </c>
      <c r="C15" s="43"/>
      <c r="D15" s="44" t="s">
        <v>38</v>
      </c>
      <c r="E15" s="45">
        <v>0.03</v>
      </c>
      <c r="F15" s="25">
        <f t="shared" ref="F15:F46" si="5">ROUND(G15/(1+E15)*E15,2)</f>
        <v>29126.21</v>
      </c>
      <c r="G15" s="178">
        <v>1000000</v>
      </c>
      <c r="H15" s="30">
        <v>43640</v>
      </c>
      <c r="I15" s="31">
        <v>300000</v>
      </c>
      <c r="J15" s="40" t="s">
        <v>22</v>
      </c>
      <c r="K15" s="190" t="s">
        <v>39</v>
      </c>
      <c r="L15" s="191" t="s">
        <v>40</v>
      </c>
      <c r="M15" s="77" t="s">
        <v>41</v>
      </c>
      <c r="N15" s="77"/>
      <c r="O15" s="191"/>
    </row>
    <row r="16" s="1" customFormat="1" ht="18" customHeight="1" spans="1:15">
      <c r="A16" s="42">
        <v>43617</v>
      </c>
      <c r="B16" s="25">
        <f t="shared" si="4"/>
        <v>442477.88</v>
      </c>
      <c r="C16" s="43"/>
      <c r="D16" s="44" t="s">
        <v>38</v>
      </c>
      <c r="E16" s="45">
        <v>0.13</v>
      </c>
      <c r="F16" s="25">
        <f t="shared" si="5"/>
        <v>57522.12</v>
      </c>
      <c r="G16" s="178">
        <f>100000*5</f>
        <v>500000</v>
      </c>
      <c r="H16" s="30">
        <v>43640</v>
      </c>
      <c r="I16" s="31">
        <v>500000</v>
      </c>
      <c r="J16" s="40" t="s">
        <v>22</v>
      </c>
      <c r="K16" s="190" t="s">
        <v>42</v>
      </c>
      <c r="L16" s="191" t="s">
        <v>43</v>
      </c>
      <c r="M16" s="77" t="s">
        <v>41</v>
      </c>
      <c r="N16" s="77" t="s">
        <v>41</v>
      </c>
      <c r="O16" s="192">
        <v>119.5</v>
      </c>
    </row>
    <row r="17" s="1" customFormat="1" ht="18" customHeight="1" spans="1:15">
      <c r="A17" s="42">
        <v>43678</v>
      </c>
      <c r="B17" s="25">
        <f t="shared" si="4"/>
        <v>99500</v>
      </c>
      <c r="C17" s="43"/>
      <c r="D17" s="44" t="s">
        <v>44</v>
      </c>
      <c r="E17" s="45"/>
      <c r="F17" s="25">
        <f t="shared" si="5"/>
        <v>0</v>
      </c>
      <c r="G17" s="178">
        <v>99500</v>
      </c>
      <c r="H17" s="30">
        <v>43682</v>
      </c>
      <c r="I17" s="31">
        <v>99500</v>
      </c>
      <c r="J17" s="40" t="s">
        <v>45</v>
      </c>
      <c r="K17" s="190" t="s">
        <v>46</v>
      </c>
      <c r="L17" s="191" t="s">
        <v>47</v>
      </c>
      <c r="M17" s="77"/>
      <c r="N17" s="77"/>
      <c r="O17" s="191"/>
    </row>
    <row r="18" s="1" customFormat="1" ht="18" customHeight="1" spans="1:15">
      <c r="A18" s="42">
        <v>43739</v>
      </c>
      <c r="B18" s="25">
        <f t="shared" si="4"/>
        <v>4000</v>
      </c>
      <c r="C18" s="43"/>
      <c r="D18" s="44" t="s">
        <v>44</v>
      </c>
      <c r="E18" s="45"/>
      <c r="F18" s="25">
        <f t="shared" si="5"/>
        <v>0</v>
      </c>
      <c r="G18" s="178">
        <v>4000</v>
      </c>
      <c r="H18" s="30"/>
      <c r="I18" s="31"/>
      <c r="J18" s="40"/>
      <c r="K18" s="190" t="s">
        <v>48</v>
      </c>
      <c r="L18" s="191" t="s">
        <v>49</v>
      </c>
      <c r="M18" s="77"/>
      <c r="N18" s="77"/>
      <c r="O18" s="191"/>
    </row>
    <row r="19" s="1" customFormat="1" ht="18" customHeight="1" spans="1:15">
      <c r="A19" s="42">
        <v>43770</v>
      </c>
      <c r="B19" s="25">
        <f t="shared" si="4"/>
        <v>265486.73</v>
      </c>
      <c r="C19" s="43"/>
      <c r="D19" s="44" t="s">
        <v>38</v>
      </c>
      <c r="E19" s="47">
        <v>0.13</v>
      </c>
      <c r="F19" s="25">
        <f t="shared" si="5"/>
        <v>34513.27</v>
      </c>
      <c r="G19" s="178">
        <f>100000*3</f>
        <v>300000</v>
      </c>
      <c r="H19" s="30">
        <v>43784</v>
      </c>
      <c r="I19" s="31">
        <v>300000</v>
      </c>
      <c r="J19" s="40" t="s">
        <v>22</v>
      </c>
      <c r="K19" s="190" t="s">
        <v>42</v>
      </c>
      <c r="L19" s="191" t="s">
        <v>50</v>
      </c>
      <c r="M19" s="77" t="s">
        <v>41</v>
      </c>
      <c r="N19" s="77" t="s">
        <v>41</v>
      </c>
      <c r="O19" s="192">
        <v>923.01</v>
      </c>
    </row>
    <row r="20" s="1" customFormat="1" ht="18" customHeight="1" spans="1:15">
      <c r="A20" s="42"/>
      <c r="B20" s="25">
        <f t="shared" si="4"/>
        <v>0</v>
      </c>
      <c r="C20" s="43"/>
      <c r="D20" s="44"/>
      <c r="E20" s="45"/>
      <c r="F20" s="25">
        <f t="shared" si="5"/>
        <v>0</v>
      </c>
      <c r="G20" s="178"/>
      <c r="H20" s="30">
        <v>43784</v>
      </c>
      <c r="I20" s="31">
        <v>300000</v>
      </c>
      <c r="J20" s="40" t="s">
        <v>22</v>
      </c>
      <c r="K20" s="190" t="s">
        <v>39</v>
      </c>
      <c r="L20" s="191" t="s">
        <v>51</v>
      </c>
      <c r="M20" s="77"/>
      <c r="N20" s="77"/>
      <c r="O20" s="191"/>
    </row>
    <row r="21" s="1" customFormat="1" ht="18" customHeight="1" spans="1:15">
      <c r="A21" s="42">
        <v>43800</v>
      </c>
      <c r="B21" s="25">
        <f t="shared" si="4"/>
        <v>159292.04</v>
      </c>
      <c r="C21" s="43"/>
      <c r="D21" s="44" t="s">
        <v>38</v>
      </c>
      <c r="E21" s="47">
        <v>0.13</v>
      </c>
      <c r="F21" s="25">
        <f t="shared" si="5"/>
        <v>20707.96</v>
      </c>
      <c r="G21" s="178">
        <v>180000</v>
      </c>
      <c r="H21" s="30">
        <v>43798</v>
      </c>
      <c r="I21" s="31">
        <v>180000</v>
      </c>
      <c r="J21" s="40" t="s">
        <v>22</v>
      </c>
      <c r="K21" s="190" t="s">
        <v>42</v>
      </c>
      <c r="L21" s="191" t="s">
        <v>52</v>
      </c>
      <c r="M21" s="77" t="s">
        <v>41</v>
      </c>
      <c r="N21" s="77"/>
      <c r="O21" s="192">
        <v>321.43</v>
      </c>
    </row>
    <row r="22" s="1" customFormat="1" ht="18" customHeight="1" spans="1:15">
      <c r="A22" s="42">
        <v>43800</v>
      </c>
      <c r="B22" s="25">
        <f t="shared" si="4"/>
        <v>0</v>
      </c>
      <c r="C22" s="43"/>
      <c r="D22" s="44"/>
      <c r="E22" s="45"/>
      <c r="F22" s="25">
        <f t="shared" si="5"/>
        <v>0</v>
      </c>
      <c r="G22" s="178"/>
      <c r="H22" s="30">
        <v>43816</v>
      </c>
      <c r="I22" s="31">
        <v>510000</v>
      </c>
      <c r="J22" s="40" t="s">
        <v>22</v>
      </c>
      <c r="K22" s="190" t="s">
        <v>39</v>
      </c>
      <c r="L22" s="191" t="s">
        <v>51</v>
      </c>
      <c r="M22" s="77"/>
      <c r="N22" s="77"/>
      <c r="O22" s="191"/>
    </row>
    <row r="23" s="1" customFormat="1" ht="18" customHeight="1" spans="1:15">
      <c r="A23" s="42"/>
      <c r="B23" s="25">
        <f t="shared" si="4"/>
        <v>0</v>
      </c>
      <c r="C23" s="43"/>
      <c r="D23" s="44"/>
      <c r="E23" s="45"/>
      <c r="F23" s="25">
        <f t="shared" si="5"/>
        <v>0</v>
      </c>
      <c r="G23" s="178"/>
      <c r="H23" s="30">
        <v>43816</v>
      </c>
      <c r="I23" s="31">
        <v>500000</v>
      </c>
      <c r="J23" s="40" t="s">
        <v>22</v>
      </c>
      <c r="K23" s="190" t="s">
        <v>42</v>
      </c>
      <c r="L23" s="191" t="s">
        <v>53</v>
      </c>
      <c r="M23" s="77"/>
      <c r="N23" s="77"/>
      <c r="O23" s="191"/>
    </row>
    <row r="24" s="1" customFormat="1" ht="18" customHeight="1" spans="1:15">
      <c r="A24" s="42">
        <v>43800</v>
      </c>
      <c r="B24" s="25">
        <f t="shared" si="4"/>
        <v>26161.81</v>
      </c>
      <c r="C24" s="43"/>
      <c r="D24" s="44" t="s">
        <v>38</v>
      </c>
      <c r="E24" s="47">
        <v>0.13</v>
      </c>
      <c r="F24" s="25">
        <f t="shared" si="5"/>
        <v>3401.04</v>
      </c>
      <c r="G24" s="178">
        <f>289+712.88+1692.98+5848.99+20479+540</f>
        <v>29562.85</v>
      </c>
      <c r="H24" s="30"/>
      <c r="I24" s="31"/>
      <c r="J24" s="40"/>
      <c r="K24" s="190" t="s">
        <v>54</v>
      </c>
      <c r="L24" s="191"/>
      <c r="M24" s="77"/>
      <c r="N24" s="77"/>
      <c r="O24" s="191"/>
    </row>
    <row r="25" s="1" customFormat="1" ht="18" customHeight="1" spans="1:15">
      <c r="A25" s="42">
        <v>43800</v>
      </c>
      <c r="B25" s="25">
        <f t="shared" si="4"/>
        <v>3590</v>
      </c>
      <c r="C25" s="43"/>
      <c r="D25" s="44" t="s">
        <v>44</v>
      </c>
      <c r="E25" s="45"/>
      <c r="F25" s="25">
        <f t="shared" si="5"/>
        <v>0</v>
      </c>
      <c r="G25" s="178">
        <v>3590</v>
      </c>
      <c r="H25" s="30"/>
      <c r="I25" s="31"/>
      <c r="J25" s="40"/>
      <c r="K25" s="190" t="s">
        <v>55</v>
      </c>
      <c r="L25" s="191" t="s">
        <v>56</v>
      </c>
      <c r="M25" s="77"/>
      <c r="N25" s="77"/>
      <c r="O25" s="191"/>
    </row>
    <row r="26" s="1" customFormat="1" ht="18" customHeight="1" spans="1:15">
      <c r="A26" s="42">
        <v>43800</v>
      </c>
      <c r="B26" s="25">
        <f t="shared" si="4"/>
        <v>11518.87</v>
      </c>
      <c r="C26" s="43"/>
      <c r="D26" s="44" t="s">
        <v>38</v>
      </c>
      <c r="E26" s="47">
        <v>0.06</v>
      </c>
      <c r="F26" s="25">
        <f t="shared" si="5"/>
        <v>691.13</v>
      </c>
      <c r="G26" s="178">
        <f>1207+1069+372+1480+1468+1278+1095+955+1360+742+1184</f>
        <v>12210</v>
      </c>
      <c r="H26" s="30"/>
      <c r="I26" s="31"/>
      <c r="J26" s="40"/>
      <c r="K26" s="190" t="s">
        <v>57</v>
      </c>
      <c r="L26" s="191" t="s">
        <v>58</v>
      </c>
      <c r="M26" s="77"/>
      <c r="N26" s="77"/>
      <c r="O26" s="191"/>
    </row>
    <row r="27" s="1" customFormat="1" ht="18" customHeight="1" spans="1:15">
      <c r="A27" s="42">
        <v>43800</v>
      </c>
      <c r="B27" s="25">
        <f t="shared" si="4"/>
        <v>1855</v>
      </c>
      <c r="C27" s="43"/>
      <c r="D27" s="44" t="s">
        <v>59</v>
      </c>
      <c r="E27" s="47"/>
      <c r="F27" s="25">
        <f t="shared" si="5"/>
        <v>0</v>
      </c>
      <c r="G27" s="178">
        <v>1855</v>
      </c>
      <c r="H27" s="30"/>
      <c r="I27" s="31"/>
      <c r="J27" s="40"/>
      <c r="K27" s="190" t="s">
        <v>57</v>
      </c>
      <c r="L27" s="191" t="s">
        <v>58</v>
      </c>
      <c r="M27" s="77"/>
      <c r="N27" s="77"/>
      <c r="O27" s="191"/>
    </row>
    <row r="28" s="1" customFormat="1" ht="18" customHeight="1" spans="1:15">
      <c r="A28" s="42"/>
      <c r="B28" s="25">
        <f t="shared" si="4"/>
        <v>0</v>
      </c>
      <c r="C28" s="43"/>
      <c r="D28" s="44"/>
      <c r="E28" s="45"/>
      <c r="F28" s="25">
        <f t="shared" si="5"/>
        <v>0</v>
      </c>
      <c r="G28" s="178"/>
      <c r="H28" s="30">
        <v>43819</v>
      </c>
      <c r="I28" s="31">
        <v>1000000</v>
      </c>
      <c r="J28" s="40" t="s">
        <v>45</v>
      </c>
      <c r="K28" s="190" t="s">
        <v>60</v>
      </c>
      <c r="L28" s="191" t="s">
        <v>61</v>
      </c>
      <c r="M28" s="77"/>
      <c r="N28" s="77"/>
      <c r="O28" s="191"/>
    </row>
    <row r="29" s="1" customFormat="1" ht="18" customHeight="1" spans="1:15">
      <c r="A29" s="42"/>
      <c r="B29" s="25">
        <f t="shared" si="4"/>
        <v>0</v>
      </c>
      <c r="C29" s="43"/>
      <c r="D29" s="44"/>
      <c r="E29" s="45"/>
      <c r="F29" s="25">
        <f t="shared" si="5"/>
        <v>0</v>
      </c>
      <c r="G29" s="178"/>
      <c r="H29" s="206">
        <v>43819</v>
      </c>
      <c r="I29" s="210">
        <v>-1000000</v>
      </c>
      <c r="J29" s="211" t="s">
        <v>45</v>
      </c>
      <c r="K29" s="212" t="s">
        <v>62</v>
      </c>
      <c r="L29" s="192" t="s">
        <v>63</v>
      </c>
      <c r="M29" s="77"/>
      <c r="N29" s="77"/>
      <c r="O29" s="191"/>
    </row>
    <row r="30" s="1" customFormat="1" ht="18" customHeight="1" spans="1:15">
      <c r="A30" s="42">
        <v>43800</v>
      </c>
      <c r="B30" s="25">
        <f t="shared" si="4"/>
        <v>442477.88</v>
      </c>
      <c r="C30" s="43"/>
      <c r="D30" s="44" t="s">
        <v>38</v>
      </c>
      <c r="E30" s="47">
        <v>0.13</v>
      </c>
      <c r="F30" s="25">
        <f t="shared" si="5"/>
        <v>57522.12</v>
      </c>
      <c r="G30" s="178">
        <v>500000</v>
      </c>
      <c r="H30" s="30">
        <v>43830</v>
      </c>
      <c r="I30" s="31">
        <v>300000</v>
      </c>
      <c r="J30" s="40" t="s">
        <v>22</v>
      </c>
      <c r="K30" s="190" t="s">
        <v>42</v>
      </c>
      <c r="L30" s="191" t="s">
        <v>64</v>
      </c>
      <c r="M30" s="77" t="s">
        <v>41</v>
      </c>
      <c r="N30" s="77" t="s">
        <v>65</v>
      </c>
      <c r="O30" s="192">
        <v>729.95</v>
      </c>
    </row>
    <row r="31" s="1" customFormat="1" ht="18" customHeight="1" spans="1:15">
      <c r="A31" s="42">
        <v>43800</v>
      </c>
      <c r="B31" s="25">
        <f t="shared" si="4"/>
        <v>485436.89</v>
      </c>
      <c r="C31" s="43"/>
      <c r="D31" s="44" t="s">
        <v>38</v>
      </c>
      <c r="E31" s="47">
        <v>0.03</v>
      </c>
      <c r="F31" s="25">
        <f t="shared" si="5"/>
        <v>14563.11</v>
      </c>
      <c r="G31" s="178">
        <v>500000</v>
      </c>
      <c r="H31" s="30">
        <v>43846</v>
      </c>
      <c r="I31" s="31">
        <v>390000</v>
      </c>
      <c r="J31" s="40" t="s">
        <v>22</v>
      </c>
      <c r="K31" s="190" t="s">
        <v>39</v>
      </c>
      <c r="L31" s="191" t="s">
        <v>51</v>
      </c>
      <c r="M31" s="77"/>
      <c r="N31" s="77"/>
      <c r="O31" s="191"/>
    </row>
    <row r="32" s="1" customFormat="1" ht="18" customHeight="1" spans="1:15">
      <c r="A32" s="42">
        <v>43800</v>
      </c>
      <c r="B32" s="25">
        <f t="shared" si="4"/>
        <v>1200000</v>
      </c>
      <c r="C32" s="43"/>
      <c r="D32" s="44" t="s">
        <v>66</v>
      </c>
      <c r="E32" s="47"/>
      <c r="F32" s="25">
        <f t="shared" si="5"/>
        <v>0</v>
      </c>
      <c r="G32" s="178">
        <v>1200000</v>
      </c>
      <c r="H32" s="30"/>
      <c r="I32" s="31"/>
      <c r="J32" s="40"/>
      <c r="K32" s="190" t="s">
        <v>67</v>
      </c>
      <c r="L32" s="191"/>
      <c r="M32" s="77"/>
      <c r="N32" s="77"/>
      <c r="O32" s="191"/>
    </row>
    <row r="33" s="1" customFormat="1" ht="18" customHeight="1" spans="1:15">
      <c r="A33" s="42">
        <v>43831</v>
      </c>
      <c r="B33" s="25">
        <f t="shared" si="4"/>
        <v>265486.73</v>
      </c>
      <c r="C33" s="43"/>
      <c r="D33" s="44" t="s">
        <v>38</v>
      </c>
      <c r="E33" s="47">
        <v>0.13</v>
      </c>
      <c r="F33" s="25">
        <f t="shared" si="5"/>
        <v>34513.27</v>
      </c>
      <c r="G33" s="178">
        <f>3*100000</f>
        <v>300000</v>
      </c>
      <c r="H33" s="30">
        <v>43846</v>
      </c>
      <c r="I33" s="31">
        <v>300000</v>
      </c>
      <c r="J33" s="40" t="s">
        <v>22</v>
      </c>
      <c r="K33" s="190" t="s">
        <v>42</v>
      </c>
      <c r="L33" s="191" t="s">
        <v>68</v>
      </c>
      <c r="M33" s="77" t="s">
        <v>41</v>
      </c>
      <c r="N33" s="77" t="s">
        <v>69</v>
      </c>
      <c r="O33" s="191">
        <v>426</v>
      </c>
    </row>
    <row r="34" s="1" customFormat="1" ht="18" customHeight="1" spans="1:15">
      <c r="A34" s="42">
        <v>43831</v>
      </c>
      <c r="B34" s="25">
        <f t="shared" si="4"/>
        <v>600000</v>
      </c>
      <c r="C34" s="43"/>
      <c r="D34" s="44" t="s">
        <v>66</v>
      </c>
      <c r="E34" s="47"/>
      <c r="F34" s="25">
        <f t="shared" si="5"/>
        <v>0</v>
      </c>
      <c r="G34" s="184">
        <v>600000</v>
      </c>
      <c r="H34" s="30"/>
      <c r="I34" s="31"/>
      <c r="J34" s="40"/>
      <c r="K34" s="224" t="s">
        <v>70</v>
      </c>
      <c r="L34" s="191" t="s">
        <v>71</v>
      </c>
      <c r="M34" s="77"/>
      <c r="N34" s="77"/>
      <c r="O34" s="191"/>
    </row>
    <row r="35" s="1" customFormat="1" ht="18" customHeight="1" spans="1:15">
      <c r="A35" s="42">
        <v>43831</v>
      </c>
      <c r="B35" s="25">
        <f t="shared" si="4"/>
        <v>600000</v>
      </c>
      <c r="C35" s="43"/>
      <c r="D35" s="44" t="s">
        <v>66</v>
      </c>
      <c r="E35" s="47"/>
      <c r="F35" s="25">
        <f t="shared" si="5"/>
        <v>0</v>
      </c>
      <c r="G35" s="184">
        <v>600000</v>
      </c>
      <c r="H35" s="30">
        <v>43852</v>
      </c>
      <c r="I35" s="31">
        <v>400000</v>
      </c>
      <c r="J35" s="40" t="s">
        <v>45</v>
      </c>
      <c r="K35" s="224" t="s">
        <v>72</v>
      </c>
      <c r="L35" s="191" t="s">
        <v>71</v>
      </c>
      <c r="M35" s="77"/>
      <c r="N35" s="77"/>
      <c r="O35" s="191"/>
    </row>
    <row r="36" s="1" customFormat="1" ht="18" customHeight="1" spans="1:15">
      <c r="A36" s="42">
        <v>43831</v>
      </c>
      <c r="B36" s="25">
        <f t="shared" si="4"/>
        <v>733944.95</v>
      </c>
      <c r="C36" s="43"/>
      <c r="D36" s="44" t="s">
        <v>38</v>
      </c>
      <c r="E36" s="47">
        <v>0.09</v>
      </c>
      <c r="F36" s="25">
        <f t="shared" si="5"/>
        <v>66055.05</v>
      </c>
      <c r="G36" s="184">
        <v>800000</v>
      </c>
      <c r="H36" s="30"/>
      <c r="I36" s="31"/>
      <c r="J36" s="40"/>
      <c r="K36" s="224" t="s">
        <v>73</v>
      </c>
      <c r="L36" s="191" t="s">
        <v>74</v>
      </c>
      <c r="M36" s="77" t="s">
        <v>41</v>
      </c>
      <c r="N36" s="77" t="s">
        <v>41</v>
      </c>
      <c r="O36" s="191"/>
    </row>
    <row r="37" s="1" customFormat="1" ht="18" customHeight="1" spans="1:15">
      <c r="A37" s="42"/>
      <c r="B37" s="25">
        <f t="shared" si="4"/>
        <v>0</v>
      </c>
      <c r="C37" s="43"/>
      <c r="D37" s="44"/>
      <c r="E37" s="47"/>
      <c r="F37" s="25">
        <f t="shared" si="5"/>
        <v>0</v>
      </c>
      <c r="G37" s="184"/>
      <c r="H37" s="30">
        <v>43850</v>
      </c>
      <c r="I37" s="31">
        <v>200000</v>
      </c>
      <c r="J37" s="40" t="s">
        <v>45</v>
      </c>
      <c r="K37" s="190" t="s">
        <v>60</v>
      </c>
      <c r="L37" s="191"/>
      <c r="M37" s="77"/>
      <c r="N37" s="77"/>
      <c r="O37" s="191"/>
    </row>
    <row r="38" s="1" customFormat="1" ht="18" customHeight="1" spans="1:15">
      <c r="A38" s="42"/>
      <c r="B38" s="25">
        <f t="shared" si="4"/>
        <v>0</v>
      </c>
      <c r="C38" s="43"/>
      <c r="D38" s="44"/>
      <c r="E38" s="47"/>
      <c r="F38" s="25">
        <f t="shared" si="5"/>
        <v>0</v>
      </c>
      <c r="G38" s="184"/>
      <c r="H38" s="30">
        <v>43853</v>
      </c>
      <c r="I38" s="31">
        <v>500000</v>
      </c>
      <c r="J38" s="40" t="s">
        <v>22</v>
      </c>
      <c r="K38" s="190" t="s">
        <v>73</v>
      </c>
      <c r="L38" s="191" t="s">
        <v>75</v>
      </c>
      <c r="M38" s="77"/>
      <c r="N38" s="77"/>
      <c r="O38" s="191"/>
    </row>
    <row r="39" s="1" customFormat="1" ht="18" customHeight="1" spans="1:15">
      <c r="A39" s="42"/>
      <c r="B39" s="25">
        <f t="shared" si="4"/>
        <v>0</v>
      </c>
      <c r="C39" s="43"/>
      <c r="D39" s="44"/>
      <c r="E39" s="47"/>
      <c r="F39" s="25">
        <f t="shared" si="5"/>
        <v>0</v>
      </c>
      <c r="G39" s="184"/>
      <c r="H39" s="30">
        <v>43853</v>
      </c>
      <c r="I39" s="31">
        <v>600000</v>
      </c>
      <c r="J39" s="40" t="s">
        <v>45</v>
      </c>
      <c r="K39" s="190" t="s">
        <v>70</v>
      </c>
      <c r="L39" s="191" t="s">
        <v>71</v>
      </c>
      <c r="M39" s="77"/>
      <c r="N39" s="77"/>
      <c r="O39" s="191"/>
    </row>
    <row r="40" s="1" customFormat="1" ht="18" customHeight="1" spans="1:15">
      <c r="A40" s="42"/>
      <c r="B40" s="25">
        <f t="shared" si="4"/>
        <v>0</v>
      </c>
      <c r="C40" s="43"/>
      <c r="D40" s="44"/>
      <c r="E40" s="47"/>
      <c r="F40" s="25">
        <f t="shared" si="5"/>
        <v>0</v>
      </c>
      <c r="G40" s="184"/>
      <c r="H40" s="30">
        <v>43853</v>
      </c>
      <c r="I40" s="31">
        <v>200000</v>
      </c>
      <c r="J40" s="40" t="s">
        <v>45</v>
      </c>
      <c r="K40" s="190" t="s">
        <v>72</v>
      </c>
      <c r="L40" s="191" t="s">
        <v>71</v>
      </c>
      <c r="M40" s="77"/>
      <c r="N40" s="77"/>
      <c r="O40" s="191"/>
    </row>
    <row r="41" s="1" customFormat="1" ht="18" customHeight="1" spans="1:15">
      <c r="A41" s="42">
        <v>43891</v>
      </c>
      <c r="B41" s="25">
        <f t="shared" si="4"/>
        <v>485436.89</v>
      </c>
      <c r="C41" s="43"/>
      <c r="D41" s="44" t="s">
        <v>38</v>
      </c>
      <c r="E41" s="47">
        <v>0.03</v>
      </c>
      <c r="F41" s="25">
        <f t="shared" si="5"/>
        <v>14563.11</v>
      </c>
      <c r="G41" s="184">
        <v>500000</v>
      </c>
      <c r="H41" s="206">
        <v>43923</v>
      </c>
      <c r="I41" s="210">
        <v>320000</v>
      </c>
      <c r="J41" s="40" t="s">
        <v>22</v>
      </c>
      <c r="K41" s="190" t="s">
        <v>39</v>
      </c>
      <c r="L41" s="191" t="s">
        <v>40</v>
      </c>
      <c r="M41" s="77"/>
      <c r="N41" s="77"/>
      <c r="O41" s="191"/>
    </row>
    <row r="42" s="1" customFormat="1" ht="18" customHeight="1" spans="1:15">
      <c r="A42" s="42"/>
      <c r="B42" s="25"/>
      <c r="C42" s="43"/>
      <c r="D42" s="44"/>
      <c r="E42" s="47"/>
      <c r="F42" s="25"/>
      <c r="G42" s="184"/>
      <c r="H42" s="30"/>
      <c r="I42" s="31"/>
      <c r="J42" s="40"/>
      <c r="K42" s="190"/>
      <c r="L42" s="191"/>
      <c r="M42" s="77"/>
      <c r="N42" s="77"/>
      <c r="O42" s="191"/>
    </row>
    <row r="43" s="1" customFormat="1" ht="18" customHeight="1" spans="1:15">
      <c r="A43" s="42"/>
      <c r="B43" s="25"/>
      <c r="C43" s="43"/>
      <c r="D43" s="44"/>
      <c r="E43" s="47"/>
      <c r="F43" s="25"/>
      <c r="G43" s="184"/>
      <c r="H43" s="30"/>
      <c r="I43" s="31"/>
      <c r="J43" s="40"/>
      <c r="K43" s="190"/>
      <c r="L43" s="191"/>
      <c r="M43" s="77"/>
      <c r="N43" s="77"/>
      <c r="O43" s="191"/>
    </row>
    <row r="44" s="1" customFormat="1" ht="18" customHeight="1" spans="1:15">
      <c r="A44" s="42"/>
      <c r="B44" s="25"/>
      <c r="C44" s="43"/>
      <c r="D44" s="44"/>
      <c r="E44" s="47"/>
      <c r="F44" s="25"/>
      <c r="G44" s="184"/>
      <c r="H44" s="30"/>
      <c r="I44" s="31"/>
      <c r="J44" s="40"/>
      <c r="K44" s="190"/>
      <c r="L44" s="191"/>
      <c r="M44" s="77"/>
      <c r="N44" s="77"/>
      <c r="O44" s="191"/>
    </row>
    <row r="45" s="1" customFormat="1" ht="18" customHeight="1" spans="1:15">
      <c r="A45" s="42"/>
      <c r="B45" s="25"/>
      <c r="C45" s="43"/>
      <c r="D45" s="44"/>
      <c r="E45" s="47"/>
      <c r="F45" s="25"/>
      <c r="G45" s="184"/>
      <c r="H45" s="30"/>
      <c r="I45" s="31"/>
      <c r="J45" s="40"/>
      <c r="K45" s="190"/>
      <c r="L45" s="191"/>
      <c r="M45" s="77"/>
      <c r="N45" s="77"/>
      <c r="O45" s="191"/>
    </row>
    <row r="46" s="1" customFormat="1" ht="18" customHeight="1" spans="1:15">
      <c r="A46" s="42"/>
      <c r="B46" s="25"/>
      <c r="C46" s="43"/>
      <c r="D46" s="44"/>
      <c r="E46" s="47"/>
      <c r="F46" s="25"/>
      <c r="G46" s="184"/>
      <c r="H46" s="30"/>
      <c r="I46" s="31"/>
      <c r="J46" s="40"/>
      <c r="K46" s="190"/>
      <c r="L46" s="191"/>
      <c r="M46" s="77"/>
      <c r="N46" s="77"/>
      <c r="O46" s="191"/>
    </row>
    <row r="47" s="1" customFormat="1" ht="18" customHeight="1" spans="1:15">
      <c r="A47" s="42"/>
      <c r="B47" s="25"/>
      <c r="C47" s="43"/>
      <c r="D47" s="44"/>
      <c r="E47" s="47"/>
      <c r="F47" s="25"/>
      <c r="G47" s="184"/>
      <c r="H47" s="30"/>
      <c r="I47" s="31"/>
      <c r="J47" s="40"/>
      <c r="K47" s="190"/>
      <c r="L47" s="191"/>
      <c r="M47" s="77"/>
      <c r="N47" s="77"/>
      <c r="O47" s="191"/>
    </row>
    <row r="48" s="1" customFormat="1" ht="18" customHeight="1" spans="1:15">
      <c r="A48" s="42"/>
      <c r="B48" s="25"/>
      <c r="C48" s="43"/>
      <c r="D48" s="44"/>
      <c r="E48" s="47"/>
      <c r="F48" s="25"/>
      <c r="G48" s="184"/>
      <c r="H48" s="30"/>
      <c r="I48" s="31"/>
      <c r="J48" s="40"/>
      <c r="K48" s="190"/>
      <c r="L48" s="191"/>
      <c r="M48" s="77"/>
      <c r="N48" s="77"/>
      <c r="O48" s="191"/>
    </row>
    <row r="49" s="1" customFormat="1" ht="18" customHeight="1" spans="1:15">
      <c r="A49" s="42"/>
      <c r="B49" s="25">
        <f>ROUND(G49/(1+E49),2)</f>
        <v>0</v>
      </c>
      <c r="C49" s="43"/>
      <c r="D49" s="44"/>
      <c r="E49" s="47"/>
      <c r="F49" s="25">
        <f>ROUND(G49/(1+E49)*E49,2)</f>
        <v>0</v>
      </c>
      <c r="G49" s="184"/>
      <c r="H49" s="206">
        <v>43923</v>
      </c>
      <c r="I49" s="210">
        <v>100</v>
      </c>
      <c r="J49" s="211" t="s">
        <v>77</v>
      </c>
      <c r="K49" s="212" t="s">
        <v>78</v>
      </c>
      <c r="L49" s="191"/>
      <c r="M49" s="77"/>
      <c r="N49" s="77"/>
      <c r="O49" s="191"/>
    </row>
    <row r="50" s="1" customFormat="1" ht="18" customHeight="1" spans="1:15">
      <c r="A50" s="42"/>
      <c r="B50" s="25">
        <f>ROUND(G50/(1+E50),2)</f>
        <v>0</v>
      </c>
      <c r="C50" s="43"/>
      <c r="D50" s="44"/>
      <c r="E50" s="47"/>
      <c r="F50" s="25">
        <f>ROUND(G50/(1+E50)*E50,2)</f>
        <v>0</v>
      </c>
      <c r="G50" s="184"/>
      <c r="H50" s="30" t="s">
        <v>79</v>
      </c>
      <c r="I50" s="31">
        <v>200</v>
      </c>
      <c r="J50" s="86" t="s">
        <v>77</v>
      </c>
      <c r="K50" s="195" t="s">
        <v>78</v>
      </c>
      <c r="L50" s="191"/>
      <c r="M50" s="77"/>
      <c r="N50" s="77"/>
      <c r="O50" s="191"/>
    </row>
    <row r="51" s="1" customFormat="1" ht="18" customHeight="1" spans="1:15">
      <c r="A51" s="42"/>
      <c r="B51" s="25">
        <f>ROUND(G51/(1+E51),2)</f>
        <v>0</v>
      </c>
      <c r="C51" s="43"/>
      <c r="D51" s="44"/>
      <c r="E51" s="47"/>
      <c r="F51" s="25">
        <f>ROUND(G51/(1+E51)*E51,2)</f>
        <v>0</v>
      </c>
      <c r="G51" s="184"/>
      <c r="H51" s="30" t="s">
        <v>79</v>
      </c>
      <c r="I51" s="31">
        <v>-88680</v>
      </c>
      <c r="J51" s="40" t="s">
        <v>80</v>
      </c>
      <c r="K51" s="190" t="s">
        <v>133</v>
      </c>
      <c r="L51" s="191"/>
      <c r="M51" s="77"/>
      <c r="N51" s="77"/>
      <c r="O51" s="191"/>
    </row>
    <row r="52" s="1" customFormat="1" ht="18" customHeight="1" spans="1:15">
      <c r="A52" s="42"/>
      <c r="B52" s="25">
        <f>ROUND(G52/(1+E52),2)</f>
        <v>0</v>
      </c>
      <c r="C52" s="43"/>
      <c r="D52" s="44"/>
      <c r="E52" s="47"/>
      <c r="F52" s="25">
        <f>ROUND(G52/(1+E52)*E52,2)</f>
        <v>0</v>
      </c>
      <c r="G52" s="184"/>
      <c r="H52" s="57" t="s">
        <v>82</v>
      </c>
      <c r="I52" s="33">
        <v>188304</v>
      </c>
      <c r="J52" s="86" t="s">
        <v>77</v>
      </c>
      <c r="K52" s="196" t="s">
        <v>83</v>
      </c>
      <c r="L52" s="194"/>
      <c r="M52" s="77"/>
      <c r="N52" s="77"/>
      <c r="O52" s="191"/>
    </row>
    <row r="53" s="1" customFormat="1" ht="18" customHeight="1" spans="1:16">
      <c r="A53" s="42"/>
      <c r="B53" s="25">
        <f>ROUND(G53/(1+E53),2)</f>
        <v>0</v>
      </c>
      <c r="C53" s="43"/>
      <c r="D53" s="44"/>
      <c r="E53" s="47"/>
      <c r="F53" s="25">
        <f>ROUND(G53/(1+E53)*E53,2)</f>
        <v>0</v>
      </c>
      <c r="G53" s="184"/>
      <c r="H53" s="104" t="s">
        <v>82</v>
      </c>
      <c r="I53" s="215">
        <v>-300000</v>
      </c>
      <c r="J53" s="114" t="s">
        <v>84</v>
      </c>
      <c r="K53" s="234" t="s">
        <v>85</v>
      </c>
      <c r="L53" s="194"/>
      <c r="M53" s="77"/>
      <c r="N53" s="115"/>
      <c r="O53" s="216" t="s">
        <v>86</v>
      </c>
      <c r="P53" s="120"/>
    </row>
    <row r="54" s="1" customFormat="1" ht="18" customHeight="1" spans="1:16">
      <c r="A54" s="42"/>
      <c r="B54" s="25"/>
      <c r="C54" s="43"/>
      <c r="D54" s="44"/>
      <c r="E54" s="47"/>
      <c r="F54" s="25"/>
      <c r="G54" s="184"/>
      <c r="H54" s="57" t="s">
        <v>82</v>
      </c>
      <c r="I54" s="197">
        <v>21333.33</v>
      </c>
      <c r="J54" s="86" t="s">
        <v>77</v>
      </c>
      <c r="K54" s="217" t="s">
        <v>87</v>
      </c>
      <c r="L54" s="218"/>
      <c r="M54" s="91"/>
      <c r="N54" s="91"/>
      <c r="O54" s="218"/>
      <c r="P54" s="122"/>
    </row>
    <row r="55" s="1" customFormat="1" ht="18" customHeight="1" spans="1:15">
      <c r="A55" s="42"/>
      <c r="B55" s="25">
        <f t="shared" ref="B55:B90" si="6">ROUND(G55/(1+E55),2)</f>
        <v>0</v>
      </c>
      <c r="C55" s="43"/>
      <c r="D55" s="44"/>
      <c r="E55" s="47"/>
      <c r="F55" s="25">
        <f t="shared" ref="F55:F90" si="7">ROUND(G55/(1+E55)*E55,2)</f>
        <v>0</v>
      </c>
      <c r="G55" s="184"/>
      <c r="H55" s="57" t="s">
        <v>82</v>
      </c>
      <c r="I55" s="33">
        <v>300</v>
      </c>
      <c r="J55" s="86" t="s">
        <v>77</v>
      </c>
      <c r="K55" s="195" t="s">
        <v>78</v>
      </c>
      <c r="L55" s="194"/>
      <c r="M55" s="77"/>
      <c r="N55" s="77"/>
      <c r="O55" s="191"/>
    </row>
    <row r="56" s="1" customFormat="1" ht="18" customHeight="1" spans="1:15">
      <c r="A56" s="42"/>
      <c r="B56" s="25">
        <f t="shared" si="6"/>
        <v>10000</v>
      </c>
      <c r="C56" s="43"/>
      <c r="D56" s="44"/>
      <c r="E56" s="47"/>
      <c r="F56" s="25">
        <f t="shared" si="7"/>
        <v>0</v>
      </c>
      <c r="G56" s="184">
        <f>10000</f>
        <v>10000</v>
      </c>
      <c r="H56" s="57" t="s">
        <v>82</v>
      </c>
      <c r="I56" s="33">
        <f>G56</f>
        <v>10000</v>
      </c>
      <c r="J56" s="86" t="s">
        <v>77</v>
      </c>
      <c r="K56" s="195" t="s">
        <v>105</v>
      </c>
      <c r="L56" s="194"/>
      <c r="M56" s="77"/>
      <c r="N56" s="77"/>
      <c r="O56" s="191"/>
    </row>
    <row r="57" s="1" customFormat="1" ht="18" customHeight="1" spans="1:15">
      <c r="A57" s="42"/>
      <c r="B57" s="25">
        <f t="shared" si="6"/>
        <v>0</v>
      </c>
      <c r="C57" s="43"/>
      <c r="D57" s="44"/>
      <c r="E57" s="47"/>
      <c r="F57" s="25">
        <f t="shared" si="7"/>
        <v>0</v>
      </c>
      <c r="G57" s="184"/>
      <c r="H57" s="57" t="s">
        <v>89</v>
      </c>
      <c r="I57" s="33">
        <v>-300000</v>
      </c>
      <c r="J57" s="86" t="s">
        <v>90</v>
      </c>
      <c r="K57" s="195" t="s">
        <v>91</v>
      </c>
      <c r="L57" s="194"/>
      <c r="M57" s="77"/>
      <c r="N57" s="77"/>
      <c r="O57" s="191"/>
    </row>
    <row r="58" s="1" customFormat="1" ht="18" customHeight="1" spans="1:15">
      <c r="A58" s="42"/>
      <c r="B58" s="25">
        <f t="shared" si="6"/>
        <v>0</v>
      </c>
      <c r="C58" s="43"/>
      <c r="D58" s="44"/>
      <c r="E58" s="47"/>
      <c r="F58" s="25">
        <f t="shared" si="7"/>
        <v>0</v>
      </c>
      <c r="G58" s="184"/>
      <c r="H58" s="57" t="s">
        <v>89</v>
      </c>
      <c r="I58" s="51">
        <v>100</v>
      </c>
      <c r="J58" s="86" t="s">
        <v>77</v>
      </c>
      <c r="K58" s="195" t="s">
        <v>78</v>
      </c>
      <c r="L58" s="194"/>
      <c r="M58" s="77"/>
      <c r="N58" s="77"/>
      <c r="O58" s="191"/>
    </row>
    <row r="59" s="1" customFormat="1" ht="18" customHeight="1" spans="1:15">
      <c r="A59" s="42"/>
      <c r="B59" s="25">
        <f t="shared" si="6"/>
        <v>0</v>
      </c>
      <c r="C59" s="43"/>
      <c r="D59" s="44"/>
      <c r="E59" s="47"/>
      <c r="F59" s="25">
        <f t="shared" si="7"/>
        <v>0</v>
      </c>
      <c r="G59" s="184"/>
      <c r="H59" s="57" t="s">
        <v>92</v>
      </c>
      <c r="I59" s="51">
        <v>100</v>
      </c>
      <c r="J59" s="86" t="s">
        <v>77</v>
      </c>
      <c r="K59" s="195" t="s">
        <v>78</v>
      </c>
      <c r="L59" s="194"/>
      <c r="M59" s="77"/>
      <c r="N59" s="77"/>
      <c r="O59" s="191"/>
    </row>
    <row r="60" s="1" customFormat="1" ht="18" customHeight="1" spans="1:15">
      <c r="A60" s="42"/>
      <c r="B60" s="25">
        <f t="shared" si="6"/>
        <v>0</v>
      </c>
      <c r="C60" s="43"/>
      <c r="D60" s="44"/>
      <c r="E60" s="47"/>
      <c r="F60" s="25">
        <f t="shared" si="7"/>
        <v>0</v>
      </c>
      <c r="G60" s="184"/>
      <c r="H60" s="57"/>
      <c r="I60" s="51"/>
      <c r="J60" s="86"/>
      <c r="K60" s="195"/>
      <c r="L60" s="194"/>
      <c r="M60" s="77"/>
      <c r="N60" s="77"/>
      <c r="O60" s="191"/>
    </row>
    <row r="61" s="1" customFormat="1" ht="18" customHeight="1" spans="1:15">
      <c r="A61" s="42"/>
      <c r="B61" s="25">
        <f t="shared" si="6"/>
        <v>0</v>
      </c>
      <c r="C61" s="43"/>
      <c r="D61" s="44"/>
      <c r="E61" s="47"/>
      <c r="F61" s="25">
        <f t="shared" si="7"/>
        <v>0</v>
      </c>
      <c r="G61" s="184"/>
      <c r="H61" s="57" t="s">
        <v>93</v>
      </c>
      <c r="I61" s="235">
        <v>184767</v>
      </c>
      <c r="J61" s="86" t="s">
        <v>94</v>
      </c>
      <c r="K61" s="195" t="s">
        <v>95</v>
      </c>
      <c r="L61" s="194"/>
      <c r="M61" s="77"/>
      <c r="N61" s="77"/>
      <c r="O61" s="191"/>
    </row>
    <row r="62" s="1" customFormat="1" ht="18" customHeight="1" spans="1:15">
      <c r="A62" s="42"/>
      <c r="B62" s="25">
        <f t="shared" si="6"/>
        <v>0</v>
      </c>
      <c r="C62" s="43"/>
      <c r="D62" s="44"/>
      <c r="E62" s="47"/>
      <c r="F62" s="25">
        <f t="shared" si="7"/>
        <v>0</v>
      </c>
      <c r="G62" s="184"/>
      <c r="H62" s="57" t="s">
        <v>93</v>
      </c>
      <c r="I62" s="235">
        <v>48000</v>
      </c>
      <c r="J62" s="86" t="s">
        <v>77</v>
      </c>
      <c r="K62" s="195" t="s">
        <v>146</v>
      </c>
      <c r="L62" s="194"/>
      <c r="M62" s="77"/>
      <c r="N62" s="77"/>
      <c r="O62" s="191"/>
    </row>
    <row r="63" s="1" customFormat="1" ht="18" customHeight="1" spans="1:15">
      <c r="A63" s="42"/>
      <c r="B63" s="25">
        <f t="shared" si="6"/>
        <v>0</v>
      </c>
      <c r="C63" s="43"/>
      <c r="D63" s="44"/>
      <c r="E63" s="47"/>
      <c r="F63" s="25">
        <f t="shared" si="7"/>
        <v>0</v>
      </c>
      <c r="G63" s="184"/>
      <c r="H63" s="57" t="s">
        <v>93</v>
      </c>
      <c r="I63" s="235">
        <v>1652</v>
      </c>
      <c r="J63" s="86" t="s">
        <v>77</v>
      </c>
      <c r="K63" s="195" t="s">
        <v>140</v>
      </c>
      <c r="L63" s="194"/>
      <c r="M63" s="77"/>
      <c r="N63" s="77"/>
      <c r="O63" s="191"/>
    </row>
    <row r="64" s="1" customFormat="1" ht="18" customHeight="1" spans="1:15">
      <c r="A64" s="42"/>
      <c r="B64" s="25">
        <f t="shared" si="6"/>
        <v>0</v>
      </c>
      <c r="C64" s="43"/>
      <c r="D64" s="44"/>
      <c r="E64" s="47"/>
      <c r="F64" s="25">
        <f t="shared" si="7"/>
        <v>0</v>
      </c>
      <c r="G64" s="184"/>
      <c r="H64" s="57" t="s">
        <v>93</v>
      </c>
      <c r="I64" s="235">
        <v>67389</v>
      </c>
      <c r="J64" s="86" t="s">
        <v>77</v>
      </c>
      <c r="K64" s="195" t="s">
        <v>147</v>
      </c>
      <c r="L64" s="194"/>
      <c r="M64" s="77"/>
      <c r="N64" s="77"/>
      <c r="O64" s="191"/>
    </row>
    <row r="65" s="1" customFormat="1" ht="18" customHeight="1" spans="1:15">
      <c r="A65" s="42"/>
      <c r="B65" s="25">
        <f t="shared" si="6"/>
        <v>0</v>
      </c>
      <c r="C65" s="43"/>
      <c r="D65" s="44"/>
      <c r="E65" s="45"/>
      <c r="F65" s="25">
        <f t="shared" si="7"/>
        <v>0</v>
      </c>
      <c r="G65" s="184"/>
      <c r="H65" s="57" t="s">
        <v>93</v>
      </c>
      <c r="I65" s="235">
        <v>100</v>
      </c>
      <c r="J65" s="86" t="s">
        <v>77</v>
      </c>
      <c r="K65" s="195" t="s">
        <v>78</v>
      </c>
      <c r="L65" s="194"/>
      <c r="M65" s="77"/>
      <c r="N65" s="77"/>
      <c r="O65" s="191"/>
    </row>
    <row r="66" s="1" customFormat="1" ht="18" customHeight="1" spans="1:15">
      <c r="A66" s="42"/>
      <c r="B66" s="25">
        <f t="shared" si="6"/>
        <v>5000</v>
      </c>
      <c r="C66" s="43"/>
      <c r="D66" s="44"/>
      <c r="E66" s="45"/>
      <c r="F66" s="25">
        <f t="shared" si="7"/>
        <v>0</v>
      </c>
      <c r="G66" s="184">
        <f>5000</f>
        <v>5000</v>
      </c>
      <c r="H66" s="57" t="s">
        <v>93</v>
      </c>
      <c r="I66" s="235">
        <f>G66</f>
        <v>5000</v>
      </c>
      <c r="J66" s="86" t="s">
        <v>77</v>
      </c>
      <c r="K66" s="195" t="s">
        <v>105</v>
      </c>
      <c r="L66" s="194"/>
      <c r="M66" s="77"/>
      <c r="N66" s="77"/>
      <c r="O66" s="191"/>
    </row>
    <row r="67" s="1" customFormat="1" ht="18" customHeight="1" spans="1:15">
      <c r="A67" s="42"/>
      <c r="B67" s="25">
        <f t="shared" si="6"/>
        <v>0</v>
      </c>
      <c r="C67" s="43"/>
      <c r="D67" s="44"/>
      <c r="E67" s="45"/>
      <c r="F67" s="25">
        <f t="shared" si="7"/>
        <v>0</v>
      </c>
      <c r="G67" s="184"/>
      <c r="H67" s="57" t="s">
        <v>99</v>
      </c>
      <c r="I67" s="235">
        <v>-157908</v>
      </c>
      <c r="J67" s="86" t="s">
        <v>90</v>
      </c>
      <c r="K67" s="195" t="s">
        <v>91</v>
      </c>
      <c r="L67" s="194"/>
      <c r="M67" s="77"/>
      <c r="N67" s="77"/>
      <c r="O67" s="191"/>
    </row>
    <row r="68" s="1" customFormat="1" ht="18" customHeight="1" spans="1:15">
      <c r="A68" s="42"/>
      <c r="B68" s="25">
        <f t="shared" si="6"/>
        <v>0</v>
      </c>
      <c r="C68" s="43"/>
      <c r="D68" s="44"/>
      <c r="E68" s="45"/>
      <c r="F68" s="25">
        <f t="shared" si="7"/>
        <v>0</v>
      </c>
      <c r="G68" s="184"/>
      <c r="H68" s="57" t="s">
        <v>99</v>
      </c>
      <c r="I68" s="235">
        <v>100</v>
      </c>
      <c r="J68" s="86" t="s">
        <v>77</v>
      </c>
      <c r="K68" s="195" t="s">
        <v>78</v>
      </c>
      <c r="L68" s="194"/>
      <c r="M68" s="77"/>
      <c r="N68" s="77"/>
      <c r="O68" s="191"/>
    </row>
    <row r="69" s="1" customFormat="1" ht="18" customHeight="1" spans="1:15">
      <c r="A69" s="42"/>
      <c r="B69" s="25">
        <f t="shared" si="6"/>
        <v>0</v>
      </c>
      <c r="C69" s="43"/>
      <c r="D69" s="44"/>
      <c r="E69" s="45"/>
      <c r="F69" s="25">
        <f t="shared" si="7"/>
        <v>0</v>
      </c>
      <c r="G69" s="184"/>
      <c r="H69" s="57" t="s">
        <v>100</v>
      </c>
      <c r="I69" s="235">
        <v>200</v>
      </c>
      <c r="J69" s="86" t="s">
        <v>77</v>
      </c>
      <c r="K69" s="195" t="s">
        <v>78</v>
      </c>
      <c r="L69" s="194"/>
      <c r="M69" s="77"/>
      <c r="N69" s="77"/>
      <c r="O69" s="191"/>
    </row>
    <row r="70" s="1" customFormat="1" ht="18" customHeight="1" spans="1:15">
      <c r="A70" s="42"/>
      <c r="B70" s="25">
        <f t="shared" si="6"/>
        <v>0</v>
      </c>
      <c r="C70" s="43"/>
      <c r="D70" s="44"/>
      <c r="E70" s="45"/>
      <c r="F70" s="25">
        <f t="shared" si="7"/>
        <v>0</v>
      </c>
      <c r="G70" s="184"/>
      <c r="H70" s="57" t="s">
        <v>101</v>
      </c>
      <c r="I70" s="235">
        <v>200</v>
      </c>
      <c r="J70" s="86" t="s">
        <v>77</v>
      </c>
      <c r="K70" s="195" t="s">
        <v>78</v>
      </c>
      <c r="L70" s="194"/>
      <c r="M70" s="77"/>
      <c r="N70" s="77"/>
      <c r="O70" s="191"/>
    </row>
    <row r="71" s="1" customFormat="1" ht="18" customHeight="1" spans="1:15">
      <c r="A71" s="42"/>
      <c r="B71" s="25">
        <f t="shared" si="6"/>
        <v>0</v>
      </c>
      <c r="C71" s="43"/>
      <c r="D71" s="44"/>
      <c r="E71" s="45"/>
      <c r="F71" s="25">
        <f t="shared" si="7"/>
        <v>0</v>
      </c>
      <c r="G71" s="184"/>
      <c r="H71" s="57" t="s">
        <v>101</v>
      </c>
      <c r="I71" s="235">
        <v>381546</v>
      </c>
      <c r="J71" s="86" t="s">
        <v>94</v>
      </c>
      <c r="K71" s="195" t="s">
        <v>95</v>
      </c>
      <c r="L71" s="194"/>
      <c r="M71" s="77"/>
      <c r="O71" s="191"/>
    </row>
    <row r="72" s="1" customFormat="1" ht="18" customHeight="1" spans="1:15">
      <c r="A72" s="42"/>
      <c r="B72" s="25">
        <f t="shared" si="6"/>
        <v>0</v>
      </c>
      <c r="C72" s="43"/>
      <c r="D72" s="44"/>
      <c r="E72" s="45"/>
      <c r="F72" s="25">
        <f t="shared" si="7"/>
        <v>0</v>
      </c>
      <c r="G72" s="184"/>
      <c r="H72" s="57" t="s">
        <v>101</v>
      </c>
      <c r="I72" s="235">
        <v>24955</v>
      </c>
      <c r="J72" s="86" t="s">
        <v>77</v>
      </c>
      <c r="K72" s="195" t="s">
        <v>146</v>
      </c>
      <c r="L72" s="194"/>
      <c r="M72" s="77"/>
      <c r="N72" s="77"/>
      <c r="O72" s="191"/>
    </row>
    <row r="73" s="1" customFormat="1" ht="18" customHeight="1" spans="1:15">
      <c r="A73" s="42"/>
      <c r="B73" s="25">
        <f t="shared" si="6"/>
        <v>0</v>
      </c>
      <c r="C73" s="43"/>
      <c r="D73" s="44"/>
      <c r="E73" s="45"/>
      <c r="F73" s="25">
        <f t="shared" si="7"/>
        <v>0</v>
      </c>
      <c r="G73" s="184"/>
      <c r="H73" s="57" t="s">
        <v>101</v>
      </c>
      <c r="I73" s="235">
        <v>936</v>
      </c>
      <c r="J73" s="86" t="s">
        <v>77</v>
      </c>
      <c r="K73" s="195" t="s">
        <v>140</v>
      </c>
      <c r="L73" s="194"/>
      <c r="M73" s="77"/>
      <c r="N73" s="77"/>
      <c r="O73" s="191"/>
    </row>
    <row r="74" s="1" customFormat="1" ht="18" customHeight="1" spans="1:15">
      <c r="A74" s="42"/>
      <c r="B74" s="25">
        <f t="shared" si="6"/>
        <v>0</v>
      </c>
      <c r="C74" s="43"/>
      <c r="D74" s="44"/>
      <c r="E74" s="45"/>
      <c r="F74" s="25">
        <f t="shared" si="7"/>
        <v>0</v>
      </c>
      <c r="G74" s="184"/>
      <c r="H74" s="57" t="s">
        <v>101</v>
      </c>
      <c r="I74" s="235">
        <v>120092</v>
      </c>
      <c r="J74" s="86" t="s">
        <v>77</v>
      </c>
      <c r="K74" s="195" t="s">
        <v>148</v>
      </c>
      <c r="L74" s="194"/>
      <c r="M74" s="77"/>
      <c r="N74" s="77"/>
      <c r="O74" s="191"/>
    </row>
    <row r="75" s="1" customFormat="1" ht="18" customHeight="1" spans="1:15">
      <c r="A75" s="42"/>
      <c r="B75" s="25">
        <f t="shared" si="6"/>
        <v>8500</v>
      </c>
      <c r="C75" s="43"/>
      <c r="D75" s="44"/>
      <c r="E75" s="45"/>
      <c r="F75" s="25">
        <f t="shared" si="7"/>
        <v>0</v>
      </c>
      <c r="G75" s="184">
        <v>8500</v>
      </c>
      <c r="H75" s="57" t="s">
        <v>101</v>
      </c>
      <c r="I75" s="235">
        <f>G75</f>
        <v>8500</v>
      </c>
      <c r="J75" s="86" t="s">
        <v>77</v>
      </c>
      <c r="K75" s="195" t="s">
        <v>105</v>
      </c>
      <c r="L75" s="194"/>
      <c r="M75" s="77"/>
      <c r="N75" s="77"/>
      <c r="O75" s="191"/>
    </row>
    <row r="76" s="1" customFormat="1" ht="18" customHeight="1" spans="1:15">
      <c r="A76" s="42"/>
      <c r="B76" s="25">
        <f t="shared" si="6"/>
        <v>0</v>
      </c>
      <c r="C76" s="43"/>
      <c r="D76" s="44"/>
      <c r="E76" s="45"/>
      <c r="F76" s="25">
        <f t="shared" si="7"/>
        <v>0</v>
      </c>
      <c r="G76" s="184"/>
      <c r="H76" s="57" t="s">
        <v>106</v>
      </c>
      <c r="I76" s="235">
        <v>9000</v>
      </c>
      <c r="J76" s="86" t="s">
        <v>77</v>
      </c>
      <c r="K76" s="195" t="s">
        <v>107</v>
      </c>
      <c r="L76" s="194"/>
      <c r="M76" s="77"/>
      <c r="N76" s="77"/>
      <c r="O76" s="191"/>
    </row>
    <row r="77" s="1" customFormat="1" ht="18" customHeight="1" spans="1:15">
      <c r="A77" s="42"/>
      <c r="B77" s="25">
        <f t="shared" si="6"/>
        <v>0</v>
      </c>
      <c r="C77" s="43"/>
      <c r="D77" s="44"/>
      <c r="E77" s="45"/>
      <c r="F77" s="25">
        <f t="shared" si="7"/>
        <v>0</v>
      </c>
      <c r="G77" s="184"/>
      <c r="H77" s="57" t="s">
        <v>106</v>
      </c>
      <c r="I77" s="235">
        <v>-66373</v>
      </c>
      <c r="J77" s="86" t="s">
        <v>90</v>
      </c>
      <c r="K77" s="195" t="s">
        <v>91</v>
      </c>
      <c r="L77" s="194"/>
      <c r="M77" s="77"/>
      <c r="N77" s="77"/>
      <c r="O77" s="191"/>
    </row>
    <row r="78" s="1" customFormat="1" ht="18" customHeight="1" spans="1:15">
      <c r="A78" s="42"/>
      <c r="B78" s="25">
        <f t="shared" si="6"/>
        <v>0</v>
      </c>
      <c r="C78" s="43"/>
      <c r="D78" s="44"/>
      <c r="E78" s="45"/>
      <c r="F78" s="25">
        <f t="shared" si="7"/>
        <v>0</v>
      </c>
      <c r="G78" s="184"/>
      <c r="H78" s="57" t="s">
        <v>106</v>
      </c>
      <c r="I78" s="33">
        <v>-37965</v>
      </c>
      <c r="J78" s="86" t="s">
        <v>90</v>
      </c>
      <c r="K78" s="195" t="s">
        <v>149</v>
      </c>
      <c r="L78" s="33">
        <v>-37965</v>
      </c>
      <c r="M78" s="151" t="s">
        <v>150</v>
      </c>
      <c r="N78" s="77"/>
      <c r="O78" s="191"/>
    </row>
    <row r="79" s="1" customFormat="1" ht="18" customHeight="1" spans="1:15">
      <c r="A79" s="42"/>
      <c r="B79" s="25">
        <f t="shared" si="6"/>
        <v>0</v>
      </c>
      <c r="C79" s="43"/>
      <c r="D79" s="44"/>
      <c r="E79" s="45"/>
      <c r="F79" s="25">
        <f t="shared" si="7"/>
        <v>0</v>
      </c>
      <c r="G79" s="184"/>
      <c r="H79" s="57" t="s">
        <v>109</v>
      </c>
      <c r="I79" s="235">
        <v>8496</v>
      </c>
      <c r="J79" s="86" t="s">
        <v>77</v>
      </c>
      <c r="K79" s="195" t="s">
        <v>110</v>
      </c>
      <c r="L79" s="194"/>
      <c r="M79" s="77"/>
      <c r="N79" s="77"/>
      <c r="O79" s="191"/>
    </row>
    <row r="80" s="1" customFormat="1" ht="18" customHeight="1" spans="1:17">
      <c r="A80" s="42"/>
      <c r="B80" s="25">
        <f t="shared" si="6"/>
        <v>0</v>
      </c>
      <c r="C80" s="43"/>
      <c r="D80" s="44"/>
      <c r="E80" s="45"/>
      <c r="F80" s="25">
        <f t="shared" si="7"/>
        <v>0</v>
      </c>
      <c r="G80" s="184"/>
      <c r="H80" s="57" t="s">
        <v>109</v>
      </c>
      <c r="I80" s="235">
        <v>212400</v>
      </c>
      <c r="J80" s="86" t="s">
        <v>111</v>
      </c>
      <c r="K80" s="195" t="s">
        <v>112</v>
      </c>
      <c r="L80" s="194"/>
      <c r="M80" s="77"/>
      <c r="N80" s="77"/>
      <c r="O80" s="191"/>
      <c r="Q80" s="1">
        <f>I81+I77+I71+I67+I61+I57+I53+I52</f>
        <v>0</v>
      </c>
    </row>
    <row r="81" s="1" customFormat="1" ht="18" customHeight="1" spans="1:15">
      <c r="A81" s="42"/>
      <c r="B81" s="25">
        <f t="shared" si="6"/>
        <v>0</v>
      </c>
      <c r="C81" s="43"/>
      <c r="D81" s="44"/>
      <c r="E81" s="45"/>
      <c r="F81" s="25">
        <f t="shared" si="7"/>
        <v>0</v>
      </c>
      <c r="G81" s="184"/>
      <c r="H81" s="57" t="s">
        <v>109</v>
      </c>
      <c r="I81" s="235">
        <v>69664</v>
      </c>
      <c r="J81" s="86" t="s">
        <v>94</v>
      </c>
      <c r="K81" s="195" t="s">
        <v>95</v>
      </c>
      <c r="L81" s="194"/>
      <c r="M81" s="77"/>
      <c r="N81" s="77"/>
      <c r="O81" s="191"/>
    </row>
    <row r="82" s="1" customFormat="1" ht="18" customHeight="1" spans="1:15">
      <c r="A82" s="42"/>
      <c r="B82" s="25">
        <f t="shared" si="6"/>
        <v>0</v>
      </c>
      <c r="C82" s="43"/>
      <c r="D82" s="44"/>
      <c r="E82" s="45"/>
      <c r="F82" s="25">
        <f t="shared" si="7"/>
        <v>0</v>
      </c>
      <c r="G82" s="184"/>
      <c r="H82" s="57" t="s">
        <v>109</v>
      </c>
      <c r="I82" s="235">
        <v>14679</v>
      </c>
      <c r="J82" s="86" t="s">
        <v>77</v>
      </c>
      <c r="K82" s="195" t="s">
        <v>146</v>
      </c>
      <c r="L82" s="194"/>
      <c r="M82" s="77"/>
      <c r="N82" s="77"/>
      <c r="O82" s="191"/>
    </row>
    <row r="83" s="1" customFormat="1" ht="18" customHeight="1" spans="1:15">
      <c r="A83" s="42"/>
      <c r="B83" s="25">
        <f t="shared" si="6"/>
        <v>0</v>
      </c>
      <c r="C83" s="43"/>
      <c r="D83" s="44"/>
      <c r="E83" s="45"/>
      <c r="F83" s="25">
        <f t="shared" si="7"/>
        <v>0</v>
      </c>
      <c r="G83" s="184"/>
      <c r="H83" s="57" t="s">
        <v>109</v>
      </c>
      <c r="I83" s="235">
        <v>551</v>
      </c>
      <c r="J83" s="86" t="s">
        <v>77</v>
      </c>
      <c r="K83" s="195" t="s">
        <v>140</v>
      </c>
      <c r="L83" s="194"/>
      <c r="M83" s="77"/>
      <c r="N83" s="77"/>
      <c r="O83" s="191"/>
    </row>
    <row r="84" s="1" customFormat="1" ht="18" customHeight="1" spans="1:15">
      <c r="A84" s="42"/>
      <c r="B84" s="25">
        <f t="shared" si="6"/>
        <v>0</v>
      </c>
      <c r="C84" s="43"/>
      <c r="D84" s="44"/>
      <c r="E84" s="45"/>
      <c r="F84" s="25">
        <f t="shared" si="7"/>
        <v>0</v>
      </c>
      <c r="G84" s="184"/>
      <c r="H84" s="57" t="s">
        <v>109</v>
      </c>
      <c r="I84" s="235">
        <v>45972</v>
      </c>
      <c r="J84" s="86" t="s">
        <v>77</v>
      </c>
      <c r="K84" s="195" t="s">
        <v>148</v>
      </c>
      <c r="L84" s="194"/>
      <c r="M84" s="77"/>
      <c r="N84" s="77"/>
      <c r="O84" s="191"/>
    </row>
    <row r="85" s="1" customFormat="1" ht="18" customHeight="1" spans="1:15">
      <c r="A85" s="42"/>
      <c r="B85" s="25">
        <f t="shared" si="6"/>
        <v>5000</v>
      </c>
      <c r="C85" s="43"/>
      <c r="D85" s="44"/>
      <c r="E85" s="45"/>
      <c r="F85" s="25">
        <f t="shared" si="7"/>
        <v>0</v>
      </c>
      <c r="G85" s="184">
        <v>5000</v>
      </c>
      <c r="H85" s="57" t="s">
        <v>109</v>
      </c>
      <c r="I85" s="235">
        <f>G85</f>
        <v>5000</v>
      </c>
      <c r="J85" s="86" t="s">
        <v>77</v>
      </c>
      <c r="K85" s="195" t="s">
        <v>105</v>
      </c>
      <c r="L85" s="194"/>
      <c r="M85" s="77"/>
      <c r="N85" s="77"/>
      <c r="O85" s="191"/>
    </row>
    <row r="86" s="1" customFormat="1" ht="18" customHeight="1" spans="1:15">
      <c r="A86" s="42"/>
      <c r="B86" s="25">
        <f t="shared" si="6"/>
        <v>0</v>
      </c>
      <c r="C86" s="43"/>
      <c r="D86" s="44"/>
      <c r="E86" s="45"/>
      <c r="F86" s="25">
        <f t="shared" si="7"/>
        <v>0</v>
      </c>
      <c r="G86" s="184"/>
      <c r="H86" s="57" t="s">
        <v>116</v>
      </c>
      <c r="I86" s="235">
        <v>500</v>
      </c>
      <c r="J86" s="86" t="s">
        <v>77</v>
      </c>
      <c r="K86" s="195" t="s">
        <v>117</v>
      </c>
      <c r="L86" s="194"/>
      <c r="M86" s="77"/>
      <c r="N86" s="77"/>
      <c r="O86" s="191"/>
    </row>
    <row r="87" s="1" customFormat="1" ht="18" customHeight="1" spans="1:15">
      <c r="A87" s="42"/>
      <c r="B87" s="25">
        <f t="shared" si="6"/>
        <v>5000</v>
      </c>
      <c r="C87" s="43"/>
      <c r="D87" s="44"/>
      <c r="E87" s="45"/>
      <c r="F87" s="25">
        <f t="shared" si="7"/>
        <v>0</v>
      </c>
      <c r="G87" s="184">
        <f>5000</f>
        <v>5000</v>
      </c>
      <c r="H87" s="57" t="s">
        <v>116</v>
      </c>
      <c r="I87" s="235">
        <f>G87</f>
        <v>5000</v>
      </c>
      <c r="J87" s="86" t="s">
        <v>77</v>
      </c>
      <c r="K87" s="195" t="s">
        <v>105</v>
      </c>
      <c r="L87" s="194"/>
      <c r="M87" s="77"/>
      <c r="N87" s="77"/>
      <c r="O87" s="191"/>
    </row>
    <row r="88" s="1" customFormat="1" ht="18" customHeight="1" spans="1:15">
      <c r="A88" s="42"/>
      <c r="B88" s="25">
        <f t="shared" si="6"/>
        <v>0</v>
      </c>
      <c r="C88" s="43"/>
      <c r="D88" s="44"/>
      <c r="E88" s="45"/>
      <c r="F88" s="25">
        <f t="shared" si="7"/>
        <v>0</v>
      </c>
      <c r="G88" s="184"/>
      <c r="H88" s="57" t="s">
        <v>116</v>
      </c>
      <c r="I88" s="235">
        <v>14679</v>
      </c>
      <c r="J88" s="86" t="s">
        <v>77</v>
      </c>
      <c r="K88" s="195" t="s">
        <v>146</v>
      </c>
      <c r="L88" s="194"/>
      <c r="M88" s="77"/>
      <c r="N88" s="77"/>
      <c r="O88" s="191"/>
    </row>
    <row r="89" s="1" customFormat="1" ht="18" customHeight="1" spans="1:15">
      <c r="A89" s="42"/>
      <c r="B89" s="25">
        <f t="shared" si="6"/>
        <v>0</v>
      </c>
      <c r="C89" s="43"/>
      <c r="D89" s="44"/>
      <c r="E89" s="45"/>
      <c r="F89" s="25">
        <f t="shared" si="7"/>
        <v>0</v>
      </c>
      <c r="G89" s="184"/>
      <c r="H89" s="57" t="s">
        <v>116</v>
      </c>
      <c r="I89" s="235">
        <v>551</v>
      </c>
      <c r="J89" s="86" t="s">
        <v>77</v>
      </c>
      <c r="K89" s="195" t="s">
        <v>140</v>
      </c>
      <c r="L89" s="194"/>
      <c r="M89" s="77"/>
      <c r="N89" s="77"/>
      <c r="O89" s="191"/>
    </row>
    <row r="90" s="1" customFormat="1" ht="18" customHeight="1" spans="1:15">
      <c r="A90" s="42"/>
      <c r="B90" s="25">
        <f t="shared" si="6"/>
        <v>0</v>
      </c>
      <c r="C90" s="43"/>
      <c r="D90" s="44"/>
      <c r="E90" s="45"/>
      <c r="F90" s="25">
        <f t="shared" si="7"/>
        <v>0</v>
      </c>
      <c r="G90" s="184"/>
      <c r="H90" s="57"/>
      <c r="I90" s="33"/>
      <c r="J90" s="86"/>
      <c r="K90" s="195"/>
      <c r="L90" s="194"/>
      <c r="M90" s="77"/>
      <c r="N90" s="77"/>
      <c r="O90" s="191"/>
    </row>
    <row r="91" ht="18" customHeight="1" spans="1:15">
      <c r="A91" s="38" t="s">
        <v>23</v>
      </c>
      <c r="B91" s="123">
        <f>SUM(B15:B90)</f>
        <v>6831039.46</v>
      </c>
      <c r="C91" s="38"/>
      <c r="D91" s="124"/>
      <c r="E91" s="124"/>
      <c r="F91" s="179">
        <f>SUM(F15:F90)</f>
        <v>333178.39</v>
      </c>
      <c r="G91" s="220">
        <f>SUM(G15:G90)</f>
        <v>7164217.85</v>
      </c>
      <c r="H91" s="221"/>
      <c r="I91" s="37">
        <f>SUM(I15:I90)</f>
        <v>6398940.33</v>
      </c>
      <c r="J91" s="226"/>
      <c r="K91" s="124"/>
      <c r="L91" s="180"/>
      <c r="M91" s="40"/>
      <c r="N91" s="40"/>
      <c r="O91" s="180"/>
    </row>
    <row r="92" ht="18" customHeight="1" spans="1:14">
      <c r="A92" s="126" t="s">
        <v>120</v>
      </c>
      <c r="B92" s="127">
        <f>B12*0.984</f>
        <v>6048440.36697248</v>
      </c>
      <c r="C92" s="126"/>
      <c r="D92" s="128"/>
      <c r="E92" s="128"/>
      <c r="F92" s="127"/>
      <c r="G92" s="127">
        <f>G12-G91</f>
        <v>-464217.85</v>
      </c>
      <c r="H92" s="29" t="s">
        <v>121</v>
      </c>
      <c r="I92" s="37">
        <f>I12-I91</f>
        <v>301059.67</v>
      </c>
      <c r="J92" s="14"/>
      <c r="K92" s="227"/>
      <c r="M92" s="13"/>
      <c r="N92" s="13"/>
    </row>
    <row r="93" ht="18" customHeight="1" spans="1:14">
      <c r="A93" s="126" t="s">
        <v>122</v>
      </c>
      <c r="B93" s="127">
        <f>B92-B91</f>
        <v>-782599.093027523</v>
      </c>
      <c r="C93" s="126"/>
      <c r="D93" s="128"/>
      <c r="E93" s="128"/>
      <c r="F93" s="127"/>
      <c r="G93" s="127"/>
      <c r="H93" s="130"/>
      <c r="I93" s="127"/>
      <c r="J93" s="14"/>
      <c r="K93" s="227"/>
      <c r="M93" s="13"/>
      <c r="N93" s="13"/>
    </row>
    <row r="94" ht="18" customHeight="1" spans="1:3">
      <c r="A94" s="7" t="s">
        <v>124</v>
      </c>
      <c r="C94" s="7"/>
    </row>
    <row r="95" ht="18" customHeight="1" spans="1:13">
      <c r="A95" s="29" t="s">
        <v>125</v>
      </c>
      <c r="B95" s="28" t="s">
        <v>126</v>
      </c>
      <c r="C95" s="180"/>
      <c r="D95" s="29" t="s">
        <v>125</v>
      </c>
      <c r="E95" s="27" t="s">
        <v>17</v>
      </c>
      <c r="F95" s="28" t="s">
        <v>126</v>
      </c>
      <c r="G95" s="8" t="s">
        <v>127</v>
      </c>
      <c r="H95" s="28" t="s">
        <v>128</v>
      </c>
      <c r="I95" s="28" t="s">
        <v>129</v>
      </c>
      <c r="J95" s="176" t="s">
        <v>130</v>
      </c>
      <c r="K95" s="28" t="s">
        <v>131</v>
      </c>
      <c r="L95" s="28" t="s">
        <v>132</v>
      </c>
      <c r="M95" s="28" t="s">
        <v>133</v>
      </c>
    </row>
    <row r="96" ht="18" customHeight="1" spans="1:13">
      <c r="A96" s="180" t="s">
        <v>134</v>
      </c>
      <c r="B96" s="25">
        <f>(B92-B91)*0.25</f>
        <v>-195649.773256881</v>
      </c>
      <c r="C96" s="180"/>
      <c r="D96" s="36" t="s">
        <v>135</v>
      </c>
      <c r="E96" s="29" t="s">
        <v>136</v>
      </c>
      <c r="F96" s="179">
        <f>F12-F91</f>
        <v>97096.8393577982</v>
      </c>
      <c r="G96" s="8">
        <v>64220.1834862385</v>
      </c>
      <c r="H96" s="179">
        <v>0</v>
      </c>
      <c r="I96" s="179">
        <f>F7+F8-F15-F16</f>
        <v>41792.0369724771</v>
      </c>
      <c r="J96" s="179">
        <f>-F19</f>
        <v>-34513.27</v>
      </c>
      <c r="K96" s="141">
        <f>F9</f>
        <v>109174.311926606</v>
      </c>
      <c r="L96" s="179">
        <f>F10+F11-F21-F24-F26-F30-F31-F33</f>
        <v>61261.9204587155</v>
      </c>
      <c r="M96" s="141">
        <f>-F36-F41</f>
        <v>-80618.16</v>
      </c>
    </row>
    <row r="97" ht="18" customHeight="1" spans="1:13">
      <c r="A97" s="180" t="s">
        <v>137</v>
      </c>
      <c r="B97" s="222" t="s">
        <v>138</v>
      </c>
      <c r="C97" s="180"/>
      <c r="D97" s="223" t="s">
        <v>139</v>
      </c>
      <c r="E97" s="21">
        <v>0.05</v>
      </c>
      <c r="F97" s="31">
        <f>F96*E97</f>
        <v>4854.84196788991</v>
      </c>
      <c r="G97" s="8">
        <v>3211.00917431193</v>
      </c>
      <c r="H97" s="31">
        <v>0</v>
      </c>
      <c r="I97" s="31">
        <f>I96*E97</f>
        <v>2089.60184862385</v>
      </c>
      <c r="J97" s="31">
        <f>J96*E97</f>
        <v>-1725.6635</v>
      </c>
      <c r="K97" s="33">
        <f>K96*E97</f>
        <v>5458.71559633028</v>
      </c>
      <c r="L97" s="31">
        <f>L96*E97</f>
        <v>3063.09602293578</v>
      </c>
      <c r="M97" s="33">
        <f>M96*E97</f>
        <v>-4030.908</v>
      </c>
    </row>
    <row r="98" ht="18" customHeight="1" spans="1:13">
      <c r="A98" s="180" t="s">
        <v>140</v>
      </c>
      <c r="B98" s="222"/>
      <c r="C98" s="180"/>
      <c r="D98" s="223" t="s">
        <v>141</v>
      </c>
      <c r="E98" s="21">
        <v>0.03</v>
      </c>
      <c r="F98" s="31">
        <f>F96*E98</f>
        <v>2912.90518073394</v>
      </c>
      <c r="G98" s="8">
        <v>1926.60550458716</v>
      </c>
      <c r="H98" s="31">
        <v>0</v>
      </c>
      <c r="I98" s="31">
        <f>I96*E98</f>
        <v>1253.76110917431</v>
      </c>
      <c r="J98" s="31">
        <f>J96*E98</f>
        <v>-1035.3981</v>
      </c>
      <c r="K98" s="33">
        <f>K96*E98</f>
        <v>3275.22935779817</v>
      </c>
      <c r="L98" s="31">
        <f>L96*E98</f>
        <v>1837.85761376147</v>
      </c>
      <c r="M98" s="33">
        <f>M96*E98</f>
        <v>-2418.5448</v>
      </c>
    </row>
    <row r="99" ht="18" customHeight="1" spans="1:13">
      <c r="A99" s="180"/>
      <c r="B99" s="31"/>
      <c r="C99" s="180"/>
      <c r="D99" s="223" t="s">
        <v>142</v>
      </c>
      <c r="E99" s="21">
        <v>0.02</v>
      </c>
      <c r="F99" s="31">
        <f>F96*E99</f>
        <v>1941.93678715596</v>
      </c>
      <c r="G99" s="8">
        <v>1284.40366972477</v>
      </c>
      <c r="H99" s="31">
        <v>0</v>
      </c>
      <c r="I99" s="31">
        <f>I96*E99</f>
        <v>835.840739449541</v>
      </c>
      <c r="J99" s="31">
        <f>J96*E99</f>
        <v>-690.2654</v>
      </c>
      <c r="K99" s="33">
        <f>K96*E99</f>
        <v>2183.48623853211</v>
      </c>
      <c r="L99" s="31">
        <f>L96*E99</f>
        <v>1225.23840917431</v>
      </c>
      <c r="M99" s="33">
        <f>M96*E99</f>
        <v>-1612.3632</v>
      </c>
    </row>
    <row r="100" ht="18" customHeight="1" spans="1:13">
      <c r="A100" s="36" t="s">
        <v>143</v>
      </c>
      <c r="B100" s="123">
        <f>SUM(B96:B99)</f>
        <v>-195649.773256881</v>
      </c>
      <c r="C100" s="180"/>
      <c r="D100" s="41" t="s">
        <v>143</v>
      </c>
      <c r="E100" s="36"/>
      <c r="F100" s="179">
        <f t="shared" ref="F100:M100" si="8">SUM(F96:F99)</f>
        <v>106806.523293578</v>
      </c>
      <c r="G100" s="8">
        <v>70642.2018348624</v>
      </c>
      <c r="H100" s="179">
        <v>0</v>
      </c>
      <c r="I100" s="179">
        <f>SUM(I95:I99)</f>
        <v>45971.2406697248</v>
      </c>
      <c r="J100" s="179">
        <f t="shared" si="8"/>
        <v>-37964.597</v>
      </c>
      <c r="K100" s="141">
        <f t="shared" si="8"/>
        <v>120091.743119267</v>
      </c>
      <c r="L100" s="179">
        <f t="shared" si="8"/>
        <v>67388.1125045871</v>
      </c>
      <c r="M100" s="141">
        <f t="shared" si="8"/>
        <v>-88679.976</v>
      </c>
    </row>
    <row r="101" ht="18" customHeight="1" spans="3:12">
      <c r="C101" s="7"/>
      <c r="D101" s="19" t="s">
        <v>140</v>
      </c>
      <c r="E101" s="224">
        <v>0.0006</v>
      </c>
      <c r="F101" s="31">
        <f>B12*E101</f>
        <v>3688.07339449541</v>
      </c>
      <c r="H101" s="31">
        <f>B7*E101</f>
        <v>550.45871559633</v>
      </c>
      <c r="I101" s="31">
        <f>B8*E101</f>
        <v>550.45871559633</v>
      </c>
      <c r="K101" s="31">
        <f>B9*E101</f>
        <v>935.779816513761</v>
      </c>
      <c r="L101" s="31">
        <f>(B10+B11)*E101</f>
        <v>1651.37614678899</v>
      </c>
    </row>
    <row r="102" ht="18" customHeight="1" spans="3:9">
      <c r="C102" s="7"/>
      <c r="D102" s="27" t="s">
        <v>143</v>
      </c>
      <c r="E102" s="124"/>
      <c r="F102" s="37">
        <f t="shared" ref="F102:I102" si="9">F101</f>
        <v>3688.07339449541</v>
      </c>
      <c r="H102" s="37">
        <f t="shared" si="9"/>
        <v>550.45871559633</v>
      </c>
      <c r="I102" s="37">
        <f t="shared" si="9"/>
        <v>550.45871559633</v>
      </c>
    </row>
    <row r="103" ht="18" customHeight="1" spans="3:9">
      <c r="C103" s="7"/>
      <c r="D103" s="27" t="s">
        <v>23</v>
      </c>
      <c r="E103" s="38"/>
      <c r="F103" s="37">
        <f t="shared" ref="F103:I103" si="10">F100+F102</f>
        <v>110494.596688073</v>
      </c>
      <c r="H103" s="37">
        <f t="shared" si="10"/>
        <v>550.45871559633</v>
      </c>
      <c r="I103" s="37">
        <f t="shared" si="10"/>
        <v>46521.6993853211</v>
      </c>
    </row>
    <row r="104" ht="18" customHeight="1" spans="3:12">
      <c r="C104" s="7"/>
      <c r="D104" s="38" t="s">
        <v>134</v>
      </c>
      <c r="E104" s="124">
        <v>0.016</v>
      </c>
      <c r="F104" s="37">
        <f>B12*E104</f>
        <v>98348.623853211</v>
      </c>
      <c r="G104" s="225" t="s">
        <v>144</v>
      </c>
      <c r="H104" s="37">
        <f>B7*E104</f>
        <v>14678.8990825688</v>
      </c>
      <c r="I104" s="37">
        <f>B8*E104</f>
        <v>14678.8990825688</v>
      </c>
      <c r="K104" s="37">
        <f>B9*E104</f>
        <v>24954.128440367</v>
      </c>
      <c r="L104" s="37">
        <f>SUM(G10:G11)*E104</f>
        <v>48000</v>
      </c>
    </row>
    <row r="105" ht="18" customHeight="1" spans="3:9">
      <c r="C105" s="7"/>
      <c r="G105" s="8" t="s">
        <v>145</v>
      </c>
      <c r="I105" s="8">
        <f>B93*0.25</f>
        <v>-195649.773256881</v>
      </c>
    </row>
    <row r="106" ht="18" customHeight="1" spans="3:9">
      <c r="C106" s="7"/>
      <c r="I106" s="8">
        <f>B93*0.25</f>
        <v>-195649.773256881</v>
      </c>
    </row>
    <row r="107" ht="18" customHeight="1" spans="3:13">
      <c r="C107" s="7"/>
      <c r="L107" s="14" t="s">
        <v>151</v>
      </c>
      <c r="M107" s="14">
        <f>K96+L96+M96</f>
        <v>89818.0723853215</v>
      </c>
    </row>
    <row r="108" spans="3:3">
      <c r="C108" s="7"/>
    </row>
    <row r="109" spans="3:3">
      <c r="C109" s="7"/>
    </row>
    <row r="110" ht="13.5" spans="3:8">
      <c r="C110" s="7"/>
      <c r="H110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</sheetData>
  <autoFilter ref="A14:Q11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0"/>
  <sheetViews>
    <sheetView topLeftCell="A37" workbookViewId="0">
      <selection activeCell="L103" sqref="L103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4" customWidth="1"/>
    <col min="13" max="13" width="13.5" style="14" customWidth="1"/>
    <col min="14" max="14" width="5.625" style="14" customWidth="1"/>
    <col min="15" max="15" width="9" style="14"/>
    <col min="16" max="16" width="9.625" style="14"/>
    <col min="17" max="17" width="10.375" style="14"/>
    <col min="18" max="16384" width="9" style="14"/>
  </cols>
  <sheetData>
    <row r="1" ht="21.95" customHeight="1" spans="1:12">
      <c r="A1" s="15">
        <v>154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1" si="0">G7/(1+C7+E7)</f>
        <v>917431.19266055</v>
      </c>
      <c r="C7" s="32">
        <v>0.02</v>
      </c>
      <c r="D7" s="33">
        <f t="shared" ref="D7:D11" si="1">G7/(1+E7+C7)*C7</f>
        <v>18348.623853211</v>
      </c>
      <c r="E7" s="32">
        <v>0.07</v>
      </c>
      <c r="F7" s="31">
        <f t="shared" ref="F7:F11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/>
      <c r="B12" s="31"/>
      <c r="C12" s="35"/>
      <c r="D12" s="33"/>
      <c r="E12" s="35"/>
      <c r="F12" s="31"/>
      <c r="G12" s="178"/>
      <c r="H12" s="30"/>
      <c r="I12" s="31"/>
      <c r="J12" s="40"/>
    </row>
    <row r="13" ht="18" customHeight="1" spans="1:10">
      <c r="A13" s="36" t="s">
        <v>23</v>
      </c>
      <c r="B13" s="37">
        <f>SUM(B7:B12)</f>
        <v>6146788.99082569</v>
      </c>
      <c r="C13" s="38"/>
      <c r="D13" s="37">
        <f>SUM(D7:D12)</f>
        <v>122935.779816514</v>
      </c>
      <c r="E13" s="38"/>
      <c r="F13" s="179">
        <f>SUM(F7:F12)</f>
        <v>430275.229357798</v>
      </c>
      <c r="G13" s="37">
        <f>SUM(G7:G12)</f>
        <v>6700000</v>
      </c>
      <c r="H13" s="180"/>
      <c r="I13" s="37">
        <f>SUM(I7:I12)</f>
        <v>6700000</v>
      </c>
      <c r="J13" s="180"/>
    </row>
    <row r="14" ht="18" customHeight="1" spans="1:15">
      <c r="A14" s="7" t="s">
        <v>24</v>
      </c>
      <c r="J14" s="9"/>
      <c r="K14" s="26" t="s">
        <v>25</v>
      </c>
      <c r="L14" s="176"/>
      <c r="O14" s="189">
        <f>O17+O20+O22+O31+O34</f>
        <v>2519.89</v>
      </c>
    </row>
    <row r="15" ht="18" customHeight="1" spans="1:15">
      <c r="A15" s="41" t="s">
        <v>26</v>
      </c>
      <c r="B15" s="28" t="s">
        <v>27</v>
      </c>
      <c r="C15" s="27" t="s">
        <v>28</v>
      </c>
      <c r="D15" s="27" t="s">
        <v>29</v>
      </c>
      <c r="E15" s="27" t="s">
        <v>17</v>
      </c>
      <c r="F15" s="28" t="s">
        <v>30</v>
      </c>
      <c r="G15" s="28" t="s">
        <v>15</v>
      </c>
      <c r="H15" s="27" t="s">
        <v>31</v>
      </c>
      <c r="I15" s="28" t="s">
        <v>32</v>
      </c>
      <c r="J15" s="27" t="s">
        <v>21</v>
      </c>
      <c r="K15" s="74" t="s">
        <v>33</v>
      </c>
      <c r="L15" s="29" t="s">
        <v>34</v>
      </c>
      <c r="M15" s="29" t="s">
        <v>35</v>
      </c>
      <c r="N15" s="29" t="s">
        <v>36</v>
      </c>
      <c r="O15" s="29" t="s">
        <v>37</v>
      </c>
    </row>
    <row r="16" s="1" customFormat="1" ht="18" customHeight="1" spans="1:15">
      <c r="A16" s="42">
        <v>43617</v>
      </c>
      <c r="B16" s="25">
        <f t="shared" ref="B16:B42" si="3">ROUND(G16/(1+E16),2)</f>
        <v>970873.79</v>
      </c>
      <c r="C16" s="43"/>
      <c r="D16" s="44" t="s">
        <v>38</v>
      </c>
      <c r="E16" s="45">
        <v>0.03</v>
      </c>
      <c r="F16" s="25">
        <f t="shared" ref="F16:F45" si="4">ROUND(G16/(1+E16)*E16,2)</f>
        <v>29126.21</v>
      </c>
      <c r="G16" s="178">
        <v>1000000</v>
      </c>
      <c r="H16" s="30">
        <v>43640</v>
      </c>
      <c r="I16" s="31">
        <v>300000</v>
      </c>
      <c r="J16" s="40" t="s">
        <v>22</v>
      </c>
      <c r="K16" s="190" t="s">
        <v>39</v>
      </c>
      <c r="L16" s="191" t="s">
        <v>40</v>
      </c>
      <c r="M16" s="77" t="s">
        <v>41</v>
      </c>
      <c r="N16" s="77"/>
      <c r="O16" s="191"/>
    </row>
    <row r="17" s="1" customFormat="1" ht="18" customHeight="1" spans="1:15">
      <c r="A17" s="42">
        <v>43617</v>
      </c>
      <c r="B17" s="25">
        <f t="shared" si="3"/>
        <v>442477.88</v>
      </c>
      <c r="C17" s="43"/>
      <c r="D17" s="44" t="s">
        <v>38</v>
      </c>
      <c r="E17" s="45">
        <v>0.13</v>
      </c>
      <c r="F17" s="25">
        <f t="shared" si="4"/>
        <v>57522.12</v>
      </c>
      <c r="G17" s="178">
        <f>100000*5</f>
        <v>500000</v>
      </c>
      <c r="H17" s="30">
        <v>43640</v>
      </c>
      <c r="I17" s="31">
        <v>500000</v>
      </c>
      <c r="J17" s="40" t="s">
        <v>22</v>
      </c>
      <c r="K17" s="190" t="s">
        <v>42</v>
      </c>
      <c r="L17" s="191" t="s">
        <v>43</v>
      </c>
      <c r="M17" s="77" t="s">
        <v>41</v>
      </c>
      <c r="N17" s="77" t="s">
        <v>41</v>
      </c>
      <c r="O17" s="192">
        <v>119.5</v>
      </c>
    </row>
    <row r="18" s="1" customFormat="1" ht="18" customHeight="1" spans="1:15">
      <c r="A18" s="42">
        <v>43678</v>
      </c>
      <c r="B18" s="25">
        <f t="shared" si="3"/>
        <v>99500</v>
      </c>
      <c r="C18" s="43"/>
      <c r="D18" s="44" t="s">
        <v>44</v>
      </c>
      <c r="E18" s="45"/>
      <c r="F18" s="25">
        <f t="shared" si="4"/>
        <v>0</v>
      </c>
      <c r="G18" s="178">
        <v>99500</v>
      </c>
      <c r="H18" s="30">
        <v>43682</v>
      </c>
      <c r="I18" s="31">
        <v>99500</v>
      </c>
      <c r="J18" s="40" t="s">
        <v>45</v>
      </c>
      <c r="K18" s="190" t="s">
        <v>46</v>
      </c>
      <c r="L18" s="191" t="s">
        <v>47</v>
      </c>
      <c r="M18" s="77"/>
      <c r="N18" s="77"/>
      <c r="O18" s="191"/>
    </row>
    <row r="19" s="1" customFormat="1" ht="18" customHeight="1" spans="1:15">
      <c r="A19" s="42">
        <v>43739</v>
      </c>
      <c r="B19" s="25">
        <f t="shared" si="3"/>
        <v>4000</v>
      </c>
      <c r="C19" s="43"/>
      <c r="D19" s="44" t="s">
        <v>44</v>
      </c>
      <c r="E19" s="45"/>
      <c r="F19" s="25">
        <f t="shared" si="4"/>
        <v>0</v>
      </c>
      <c r="G19" s="178">
        <v>4000</v>
      </c>
      <c r="H19" s="30"/>
      <c r="I19" s="31"/>
      <c r="J19" s="40"/>
      <c r="K19" s="190" t="s">
        <v>48</v>
      </c>
      <c r="L19" s="191" t="s">
        <v>49</v>
      </c>
      <c r="M19" s="77"/>
      <c r="N19" s="77"/>
      <c r="O19" s="191"/>
    </row>
    <row r="20" s="1" customFormat="1" ht="18" customHeight="1" spans="1:15">
      <c r="A20" s="42">
        <v>43770</v>
      </c>
      <c r="B20" s="25">
        <f t="shared" si="3"/>
        <v>265486.73</v>
      </c>
      <c r="C20" s="43"/>
      <c r="D20" s="44" t="s">
        <v>38</v>
      </c>
      <c r="E20" s="47">
        <v>0.13</v>
      </c>
      <c r="F20" s="25">
        <f t="shared" si="4"/>
        <v>34513.27</v>
      </c>
      <c r="G20" s="178">
        <f>100000*3</f>
        <v>300000</v>
      </c>
      <c r="H20" s="30">
        <v>43784</v>
      </c>
      <c r="I20" s="31">
        <v>300000</v>
      </c>
      <c r="J20" s="40" t="s">
        <v>22</v>
      </c>
      <c r="K20" s="190" t="s">
        <v>42</v>
      </c>
      <c r="L20" s="191" t="s">
        <v>50</v>
      </c>
      <c r="M20" s="77" t="s">
        <v>41</v>
      </c>
      <c r="N20" s="77" t="s">
        <v>41</v>
      </c>
      <c r="O20" s="192">
        <v>923.01</v>
      </c>
    </row>
    <row r="21" s="1" customFormat="1" ht="18" customHeight="1" spans="1:15">
      <c r="A21" s="42"/>
      <c r="B21" s="25">
        <f t="shared" si="3"/>
        <v>0</v>
      </c>
      <c r="C21" s="43"/>
      <c r="D21" s="44"/>
      <c r="E21" s="45"/>
      <c r="F21" s="25">
        <f t="shared" si="4"/>
        <v>0</v>
      </c>
      <c r="G21" s="178"/>
      <c r="H21" s="30">
        <v>43784</v>
      </c>
      <c r="I21" s="31">
        <v>300000</v>
      </c>
      <c r="J21" s="40" t="s">
        <v>22</v>
      </c>
      <c r="K21" s="190" t="s">
        <v>39</v>
      </c>
      <c r="L21" s="191" t="s">
        <v>51</v>
      </c>
      <c r="M21" s="77"/>
      <c r="N21" s="77"/>
      <c r="O21" s="191"/>
    </row>
    <row r="22" s="1" customFormat="1" ht="18" customHeight="1" spans="1:15">
      <c r="A22" s="42">
        <v>43800</v>
      </c>
      <c r="B22" s="25">
        <f t="shared" si="3"/>
        <v>159292.04</v>
      </c>
      <c r="C22" s="43"/>
      <c r="D22" s="44" t="s">
        <v>38</v>
      </c>
      <c r="E22" s="47">
        <v>0.13</v>
      </c>
      <c r="F22" s="25">
        <f t="shared" si="4"/>
        <v>20707.96</v>
      </c>
      <c r="G22" s="178">
        <v>180000</v>
      </c>
      <c r="H22" s="30">
        <v>43798</v>
      </c>
      <c r="I22" s="31">
        <v>180000</v>
      </c>
      <c r="J22" s="40" t="s">
        <v>22</v>
      </c>
      <c r="K22" s="190" t="s">
        <v>42</v>
      </c>
      <c r="L22" s="191" t="s">
        <v>52</v>
      </c>
      <c r="M22" s="77" t="s">
        <v>41</v>
      </c>
      <c r="N22" s="77"/>
      <c r="O22" s="192">
        <v>321.43</v>
      </c>
    </row>
    <row r="23" s="1" customFormat="1" ht="18" customHeight="1" spans="1:15">
      <c r="A23" s="42">
        <v>43800</v>
      </c>
      <c r="B23" s="25">
        <f t="shared" si="3"/>
        <v>0</v>
      </c>
      <c r="C23" s="43"/>
      <c r="D23" s="44"/>
      <c r="E23" s="45"/>
      <c r="F23" s="25">
        <f t="shared" si="4"/>
        <v>0</v>
      </c>
      <c r="G23" s="178"/>
      <c r="H23" s="30">
        <v>43816</v>
      </c>
      <c r="I23" s="31">
        <v>510000</v>
      </c>
      <c r="J23" s="40" t="s">
        <v>22</v>
      </c>
      <c r="K23" s="190" t="s">
        <v>39</v>
      </c>
      <c r="L23" s="191" t="s">
        <v>51</v>
      </c>
      <c r="M23" s="77"/>
      <c r="N23" s="77"/>
      <c r="O23" s="191"/>
    </row>
    <row r="24" s="1" customFormat="1" ht="18" customHeight="1" spans="1:15">
      <c r="A24" s="42"/>
      <c r="B24" s="25">
        <f t="shared" si="3"/>
        <v>0</v>
      </c>
      <c r="C24" s="43"/>
      <c r="D24" s="44"/>
      <c r="E24" s="45"/>
      <c r="F24" s="25">
        <f t="shared" si="4"/>
        <v>0</v>
      </c>
      <c r="G24" s="178"/>
      <c r="H24" s="30">
        <v>43816</v>
      </c>
      <c r="I24" s="31">
        <v>500000</v>
      </c>
      <c r="J24" s="40" t="s">
        <v>22</v>
      </c>
      <c r="K24" s="190" t="s">
        <v>42</v>
      </c>
      <c r="L24" s="191" t="s">
        <v>53</v>
      </c>
      <c r="M24" s="77"/>
      <c r="N24" s="77"/>
      <c r="O24" s="191"/>
    </row>
    <row r="25" s="1" customFormat="1" ht="18" customHeight="1" spans="1:15">
      <c r="A25" s="42">
        <v>43800</v>
      </c>
      <c r="B25" s="25">
        <f t="shared" si="3"/>
        <v>26161.81</v>
      </c>
      <c r="C25" s="43"/>
      <c r="D25" s="44" t="s">
        <v>38</v>
      </c>
      <c r="E25" s="47">
        <v>0.13</v>
      </c>
      <c r="F25" s="25">
        <f t="shared" si="4"/>
        <v>3401.04</v>
      </c>
      <c r="G25" s="178">
        <f>289+712.88+1692.98+5848.99+20479+540</f>
        <v>29562.85</v>
      </c>
      <c r="H25" s="30"/>
      <c r="I25" s="31"/>
      <c r="J25" s="40"/>
      <c r="K25" s="190" t="s">
        <v>54</v>
      </c>
      <c r="L25" s="191"/>
      <c r="M25" s="77"/>
      <c r="N25" s="77"/>
      <c r="O25" s="191"/>
    </row>
    <row r="26" s="1" customFormat="1" ht="18" customHeight="1" spans="1:15">
      <c r="A26" s="42">
        <v>43800</v>
      </c>
      <c r="B26" s="25">
        <f t="shared" si="3"/>
        <v>3590</v>
      </c>
      <c r="C26" s="43"/>
      <c r="D26" s="44" t="s">
        <v>44</v>
      </c>
      <c r="E26" s="45"/>
      <c r="F26" s="25">
        <f t="shared" si="4"/>
        <v>0</v>
      </c>
      <c r="G26" s="178">
        <v>3590</v>
      </c>
      <c r="H26" s="30"/>
      <c r="I26" s="31"/>
      <c r="J26" s="40"/>
      <c r="K26" s="190" t="s">
        <v>55</v>
      </c>
      <c r="L26" s="191" t="s">
        <v>56</v>
      </c>
      <c r="M26" s="77"/>
      <c r="N26" s="77"/>
      <c r="O26" s="191"/>
    </row>
    <row r="27" s="1" customFormat="1" ht="18" customHeight="1" spans="1:15">
      <c r="A27" s="42">
        <v>43800</v>
      </c>
      <c r="B27" s="25">
        <f t="shared" si="3"/>
        <v>11518.87</v>
      </c>
      <c r="C27" s="43"/>
      <c r="D27" s="44" t="s">
        <v>38</v>
      </c>
      <c r="E27" s="47">
        <v>0.06</v>
      </c>
      <c r="F27" s="25">
        <f t="shared" si="4"/>
        <v>691.13</v>
      </c>
      <c r="G27" s="178">
        <f>1207+1069+372+1480+1468+1278+1095+955+1360+742+1184</f>
        <v>12210</v>
      </c>
      <c r="H27" s="30"/>
      <c r="I27" s="31"/>
      <c r="J27" s="40"/>
      <c r="K27" s="190" t="s">
        <v>57</v>
      </c>
      <c r="L27" s="191" t="s">
        <v>58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3"/>
        <v>1855</v>
      </c>
      <c r="C28" s="43"/>
      <c r="D28" s="44" t="s">
        <v>59</v>
      </c>
      <c r="E28" s="47"/>
      <c r="F28" s="25">
        <f t="shared" si="4"/>
        <v>0</v>
      </c>
      <c r="G28" s="178">
        <v>1855</v>
      </c>
      <c r="H28" s="30"/>
      <c r="I28" s="31"/>
      <c r="J28" s="40"/>
      <c r="K28" s="190" t="s">
        <v>57</v>
      </c>
      <c r="L28" s="191" t="s">
        <v>58</v>
      </c>
      <c r="M28" s="77"/>
      <c r="N28" s="77"/>
      <c r="O28" s="191"/>
    </row>
    <row r="29" s="1" customFormat="1" ht="18" customHeight="1" spans="1:15">
      <c r="A29" s="42"/>
      <c r="B29" s="25">
        <f t="shared" si="3"/>
        <v>0</v>
      </c>
      <c r="C29" s="43"/>
      <c r="D29" s="44"/>
      <c r="E29" s="45"/>
      <c r="F29" s="25">
        <f t="shared" si="4"/>
        <v>0</v>
      </c>
      <c r="G29" s="178"/>
      <c r="H29" s="30">
        <v>43819</v>
      </c>
      <c r="I29" s="31">
        <v>1000000</v>
      </c>
      <c r="J29" s="40" t="s">
        <v>45</v>
      </c>
      <c r="K29" s="190" t="s">
        <v>60</v>
      </c>
      <c r="L29" s="191" t="s">
        <v>61</v>
      </c>
      <c r="M29" s="77"/>
      <c r="N29" s="77"/>
      <c r="O29" s="191"/>
    </row>
    <row r="30" s="2" customFormat="1" ht="18" customHeight="1" spans="1:15">
      <c r="A30" s="50"/>
      <c r="B30" s="51">
        <f t="shared" si="3"/>
        <v>0</v>
      </c>
      <c r="C30" s="52"/>
      <c r="D30" s="53"/>
      <c r="E30" s="181"/>
      <c r="F30" s="51">
        <f t="shared" si="4"/>
        <v>0</v>
      </c>
      <c r="G30" s="51"/>
      <c r="H30" s="182">
        <v>43819</v>
      </c>
      <c r="I30" s="141">
        <v>-1000000</v>
      </c>
      <c r="J30" s="75" t="s">
        <v>45</v>
      </c>
      <c r="K30" s="193" t="s">
        <v>62</v>
      </c>
      <c r="L30" s="237" t="s">
        <v>63</v>
      </c>
      <c r="M30" s="78"/>
      <c r="N30" s="78"/>
      <c r="O30" s="194"/>
    </row>
    <row r="31" s="2" customFormat="1" ht="18" customHeight="1" spans="1:15">
      <c r="A31" s="50">
        <v>43800</v>
      </c>
      <c r="B31" s="51">
        <f t="shared" si="3"/>
        <v>442477.88</v>
      </c>
      <c r="C31" s="52"/>
      <c r="D31" s="53" t="s">
        <v>38</v>
      </c>
      <c r="E31" s="183">
        <v>0.13</v>
      </c>
      <c r="F31" s="51">
        <f t="shared" si="4"/>
        <v>57522.12</v>
      </c>
      <c r="G31" s="51">
        <v>500000</v>
      </c>
      <c r="H31" s="57">
        <v>43830</v>
      </c>
      <c r="I31" s="33">
        <v>300000</v>
      </c>
      <c r="J31" s="86" t="s">
        <v>22</v>
      </c>
      <c r="K31" s="195" t="s">
        <v>42</v>
      </c>
      <c r="L31" s="194" t="s">
        <v>64</v>
      </c>
      <c r="M31" s="78" t="s">
        <v>41</v>
      </c>
      <c r="N31" s="78" t="s">
        <v>65</v>
      </c>
      <c r="O31" s="194">
        <v>729.95</v>
      </c>
    </row>
    <row r="32" s="2" customFormat="1" ht="18" customHeight="1" spans="1:15">
      <c r="A32" s="50">
        <v>43800</v>
      </c>
      <c r="B32" s="51">
        <f t="shared" si="3"/>
        <v>485436.89</v>
      </c>
      <c r="C32" s="52"/>
      <c r="D32" s="53" t="s">
        <v>38</v>
      </c>
      <c r="E32" s="183">
        <v>0.03</v>
      </c>
      <c r="F32" s="51">
        <f t="shared" si="4"/>
        <v>14563.11</v>
      </c>
      <c r="G32" s="51">
        <v>500000</v>
      </c>
      <c r="H32" s="57">
        <v>43846</v>
      </c>
      <c r="I32" s="33">
        <v>390000</v>
      </c>
      <c r="J32" s="86" t="s">
        <v>22</v>
      </c>
      <c r="K32" s="195" t="s">
        <v>39</v>
      </c>
      <c r="L32" s="194" t="s">
        <v>51</v>
      </c>
      <c r="M32" s="78"/>
      <c r="N32" s="78"/>
      <c r="O32" s="194"/>
    </row>
    <row r="33" s="2" customFormat="1" ht="18" customHeight="1" spans="1:15">
      <c r="A33" s="50">
        <v>43800</v>
      </c>
      <c r="B33" s="51">
        <f t="shared" si="3"/>
        <v>1200000</v>
      </c>
      <c r="C33" s="52"/>
      <c r="D33" s="53" t="s">
        <v>66</v>
      </c>
      <c r="E33" s="183"/>
      <c r="F33" s="51">
        <f t="shared" si="4"/>
        <v>0</v>
      </c>
      <c r="G33" s="51">
        <v>1200000</v>
      </c>
      <c r="H33" s="57"/>
      <c r="I33" s="33"/>
      <c r="J33" s="86"/>
      <c r="K33" s="195" t="s">
        <v>67</v>
      </c>
      <c r="L33" s="194"/>
      <c r="M33" s="78"/>
      <c r="N33" s="78"/>
      <c r="O33" s="194"/>
    </row>
    <row r="34" s="2" customFormat="1" ht="18" customHeight="1" spans="1:15">
      <c r="A34" s="50">
        <v>43831</v>
      </c>
      <c r="B34" s="51">
        <f t="shared" si="3"/>
        <v>265486.73</v>
      </c>
      <c r="C34" s="52"/>
      <c r="D34" s="53" t="s">
        <v>38</v>
      </c>
      <c r="E34" s="183">
        <v>0.13</v>
      </c>
      <c r="F34" s="51">
        <f t="shared" si="4"/>
        <v>34513.27</v>
      </c>
      <c r="G34" s="51">
        <f>3*100000</f>
        <v>300000</v>
      </c>
      <c r="H34" s="57">
        <v>43846</v>
      </c>
      <c r="I34" s="33">
        <v>300000</v>
      </c>
      <c r="J34" s="86" t="s">
        <v>22</v>
      </c>
      <c r="K34" s="195" t="s">
        <v>42</v>
      </c>
      <c r="L34" s="194" t="s">
        <v>68</v>
      </c>
      <c r="M34" s="78" t="s">
        <v>41</v>
      </c>
      <c r="N34" s="78" t="s">
        <v>69</v>
      </c>
      <c r="O34" s="194">
        <v>426</v>
      </c>
    </row>
    <row r="35" s="2" customFormat="1" ht="18" customHeight="1" spans="1:15">
      <c r="A35" s="50">
        <v>43831</v>
      </c>
      <c r="B35" s="51">
        <f t="shared" si="3"/>
        <v>600000</v>
      </c>
      <c r="C35" s="52"/>
      <c r="D35" s="53" t="s">
        <v>66</v>
      </c>
      <c r="E35" s="183"/>
      <c r="F35" s="51">
        <f t="shared" si="4"/>
        <v>0</v>
      </c>
      <c r="G35" s="33">
        <v>600000</v>
      </c>
      <c r="H35" s="57"/>
      <c r="I35" s="33"/>
      <c r="J35" s="86"/>
      <c r="K35" s="196" t="s">
        <v>70</v>
      </c>
      <c r="L35" s="194" t="s">
        <v>71</v>
      </c>
      <c r="M35" s="78"/>
      <c r="N35" s="78"/>
      <c r="O35" s="194"/>
    </row>
    <row r="36" s="2" customFormat="1" ht="18" customHeight="1" spans="1:15">
      <c r="A36" s="50">
        <v>43831</v>
      </c>
      <c r="B36" s="51">
        <f t="shared" si="3"/>
        <v>600000</v>
      </c>
      <c r="C36" s="52"/>
      <c r="D36" s="53" t="s">
        <v>66</v>
      </c>
      <c r="E36" s="183"/>
      <c r="F36" s="51">
        <f t="shared" si="4"/>
        <v>0</v>
      </c>
      <c r="G36" s="33">
        <v>600000</v>
      </c>
      <c r="H36" s="57">
        <v>43852</v>
      </c>
      <c r="I36" s="33">
        <v>400000</v>
      </c>
      <c r="J36" s="86" t="s">
        <v>45</v>
      </c>
      <c r="K36" s="196" t="s">
        <v>72</v>
      </c>
      <c r="L36" s="194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3"/>
        <v>733944.95</v>
      </c>
      <c r="C37" s="52"/>
      <c r="D37" s="53" t="s">
        <v>38</v>
      </c>
      <c r="E37" s="183">
        <v>0.09</v>
      </c>
      <c r="F37" s="51">
        <f t="shared" si="4"/>
        <v>66055.05</v>
      </c>
      <c r="G37" s="33">
        <v>800000</v>
      </c>
      <c r="H37" s="57"/>
      <c r="I37" s="33"/>
      <c r="J37" s="86"/>
      <c r="K37" s="196" t="s">
        <v>73</v>
      </c>
      <c r="L37" s="194" t="s">
        <v>74</v>
      </c>
      <c r="M37" s="78" t="s">
        <v>41</v>
      </c>
      <c r="N37" s="78" t="s">
        <v>41</v>
      </c>
      <c r="O37" s="194"/>
    </row>
    <row r="38" s="2" customFormat="1" ht="18" customHeight="1" spans="1:15">
      <c r="A38" s="50"/>
      <c r="B38" s="51">
        <f t="shared" si="3"/>
        <v>0</v>
      </c>
      <c r="C38" s="52"/>
      <c r="D38" s="53"/>
      <c r="E38" s="183"/>
      <c r="F38" s="51">
        <f t="shared" si="4"/>
        <v>0</v>
      </c>
      <c r="G38" s="33"/>
      <c r="H38" s="57">
        <v>43850</v>
      </c>
      <c r="I38" s="33">
        <v>200000</v>
      </c>
      <c r="J38" s="86" t="s">
        <v>45</v>
      </c>
      <c r="K38" s="195" t="s">
        <v>60</v>
      </c>
      <c r="L38" s="194"/>
      <c r="M38" s="78"/>
      <c r="N38" s="78"/>
      <c r="O38" s="194"/>
    </row>
    <row r="39" s="2" customFormat="1" ht="18" customHeight="1" spans="1:15">
      <c r="A39" s="50"/>
      <c r="B39" s="51">
        <f t="shared" si="3"/>
        <v>0</v>
      </c>
      <c r="C39" s="52"/>
      <c r="D39" s="53"/>
      <c r="E39" s="183"/>
      <c r="F39" s="51">
        <f t="shared" si="4"/>
        <v>0</v>
      </c>
      <c r="G39" s="33"/>
      <c r="H39" s="57">
        <v>43853</v>
      </c>
      <c r="I39" s="33">
        <v>500000</v>
      </c>
      <c r="J39" s="86" t="s">
        <v>22</v>
      </c>
      <c r="K39" s="195" t="s">
        <v>73</v>
      </c>
      <c r="L39" s="194" t="s">
        <v>75</v>
      </c>
      <c r="M39" s="78"/>
      <c r="N39" s="78"/>
      <c r="O39" s="194"/>
    </row>
    <row r="40" s="2" customFormat="1" ht="18" customHeight="1" spans="1:15">
      <c r="A40" s="50"/>
      <c r="B40" s="51">
        <f t="shared" si="3"/>
        <v>0</v>
      </c>
      <c r="C40" s="52"/>
      <c r="D40" s="53"/>
      <c r="E40" s="183"/>
      <c r="F40" s="51">
        <f t="shared" si="4"/>
        <v>0</v>
      </c>
      <c r="G40" s="33"/>
      <c r="H40" s="57">
        <v>43853</v>
      </c>
      <c r="I40" s="33">
        <v>600000</v>
      </c>
      <c r="J40" s="86" t="s">
        <v>45</v>
      </c>
      <c r="K40" s="195" t="s">
        <v>70</v>
      </c>
      <c r="L40" s="194" t="s">
        <v>71</v>
      </c>
      <c r="M40" s="78"/>
      <c r="N40" s="78"/>
      <c r="O40" s="194"/>
    </row>
    <row r="41" s="2" customFormat="1" ht="18" customHeight="1" spans="1:15">
      <c r="A41" s="50"/>
      <c r="B41" s="51">
        <f t="shared" si="3"/>
        <v>0</v>
      </c>
      <c r="C41" s="52"/>
      <c r="D41" s="53"/>
      <c r="E41" s="183"/>
      <c r="F41" s="51">
        <f t="shared" si="4"/>
        <v>0</v>
      </c>
      <c r="G41" s="33"/>
      <c r="H41" s="57">
        <v>43853</v>
      </c>
      <c r="I41" s="33">
        <v>200000</v>
      </c>
      <c r="J41" s="86" t="s">
        <v>45</v>
      </c>
      <c r="K41" s="195" t="s">
        <v>72</v>
      </c>
      <c r="L41" s="194" t="s">
        <v>71</v>
      </c>
      <c r="M41" s="78"/>
      <c r="N41" s="78"/>
      <c r="O41" s="194"/>
    </row>
    <row r="42" s="2" customFormat="1" ht="18" customHeight="1" spans="1:15">
      <c r="A42" s="50">
        <v>43891</v>
      </c>
      <c r="B42" s="51">
        <f t="shared" ref="B42:B58" si="5">ROUND(G42/(1+E42),2)</f>
        <v>485436.89</v>
      </c>
      <c r="C42" s="52"/>
      <c r="D42" s="53" t="s">
        <v>38</v>
      </c>
      <c r="E42" s="183">
        <v>0.03</v>
      </c>
      <c r="F42" s="51">
        <f t="shared" si="4"/>
        <v>14563.11</v>
      </c>
      <c r="G42" s="33">
        <v>500000</v>
      </c>
      <c r="H42" s="57">
        <v>43923</v>
      </c>
      <c r="I42" s="33">
        <v>320000</v>
      </c>
      <c r="J42" s="86" t="s">
        <v>22</v>
      </c>
      <c r="K42" s="195" t="s">
        <v>39</v>
      </c>
      <c r="L42" s="194" t="s">
        <v>40</v>
      </c>
      <c r="M42" s="78"/>
      <c r="N42" s="78"/>
      <c r="O42" s="194"/>
    </row>
    <row r="43" s="1" customFormat="1" ht="18" customHeight="1" spans="1:15">
      <c r="A43" s="42">
        <v>43983</v>
      </c>
      <c r="B43" s="51">
        <f t="shared" si="5"/>
        <v>150500</v>
      </c>
      <c r="C43" s="43"/>
      <c r="D43" s="44" t="s">
        <v>66</v>
      </c>
      <c r="E43" s="47"/>
      <c r="F43" s="51">
        <f t="shared" si="4"/>
        <v>0</v>
      </c>
      <c r="G43" s="184">
        <v>150500</v>
      </c>
      <c r="H43" s="206">
        <v>43986</v>
      </c>
      <c r="I43" s="210">
        <v>150500</v>
      </c>
      <c r="J43" s="211" t="s">
        <v>152</v>
      </c>
      <c r="K43" s="212" t="s">
        <v>153</v>
      </c>
      <c r="L43" s="191" t="s">
        <v>154</v>
      </c>
      <c r="M43" s="77" t="s">
        <v>41</v>
      </c>
      <c r="N43" s="77" t="s">
        <v>155</v>
      </c>
      <c r="O43" s="191"/>
    </row>
    <row r="44" s="1" customFormat="1" ht="18" customHeight="1" spans="1:15">
      <c r="A44" s="42">
        <v>43983</v>
      </c>
      <c r="B44" s="51">
        <f t="shared" si="5"/>
        <v>154000</v>
      </c>
      <c r="C44" s="43"/>
      <c r="D44" s="44" t="s">
        <v>66</v>
      </c>
      <c r="E44" s="47"/>
      <c r="F44" s="51">
        <f t="shared" si="4"/>
        <v>0</v>
      </c>
      <c r="G44" s="184">
        <v>154000</v>
      </c>
      <c r="H44" s="206">
        <v>43986</v>
      </c>
      <c r="I44" s="210">
        <v>150000</v>
      </c>
      <c r="J44" s="211" t="s">
        <v>22</v>
      </c>
      <c r="K44" s="212" t="s">
        <v>156</v>
      </c>
      <c r="L44" s="191" t="s">
        <v>157</v>
      </c>
      <c r="M44" s="77" t="s">
        <v>41</v>
      </c>
      <c r="N44" s="77" t="s">
        <v>155</v>
      </c>
      <c r="O44" s="191"/>
    </row>
    <row r="45" s="1" customFormat="1" ht="18" customHeight="1" spans="1:15">
      <c r="A45" s="42"/>
      <c r="B45" s="51">
        <f t="shared" si="5"/>
        <v>0</v>
      </c>
      <c r="C45" s="43"/>
      <c r="D45" s="44"/>
      <c r="E45" s="47"/>
      <c r="F45" s="51">
        <f t="shared" si="4"/>
        <v>0</v>
      </c>
      <c r="G45" s="184"/>
      <c r="H45" s="30"/>
      <c r="I45" s="31"/>
      <c r="J45" s="40"/>
      <c r="K45" s="190"/>
      <c r="L45" s="191"/>
      <c r="M45" s="77"/>
      <c r="N45" s="77"/>
      <c r="O45" s="191"/>
    </row>
    <row r="46" s="1" customFormat="1" ht="18" customHeight="1" spans="1:15">
      <c r="A46" s="42"/>
      <c r="B46" s="51">
        <f t="shared" si="5"/>
        <v>0</v>
      </c>
      <c r="C46" s="43"/>
      <c r="D46" s="44"/>
      <c r="E46" s="47"/>
      <c r="F46" s="51">
        <f t="shared" ref="F46:F57" si="6">ROUND(G46/(1+E46)*E46,2)</f>
        <v>0</v>
      </c>
      <c r="G46" s="184"/>
      <c r="H46" s="30"/>
      <c r="I46" s="31"/>
      <c r="J46" s="40"/>
      <c r="K46" s="190"/>
      <c r="L46" s="191"/>
      <c r="M46" s="77"/>
      <c r="N46" s="77"/>
      <c r="O46" s="191"/>
    </row>
    <row r="47" s="1" customFormat="1" ht="18" customHeight="1" spans="1:15">
      <c r="A47" s="42"/>
      <c r="B47" s="51">
        <f t="shared" si="5"/>
        <v>0</v>
      </c>
      <c r="C47" s="43"/>
      <c r="D47" s="44"/>
      <c r="E47" s="47"/>
      <c r="F47" s="51">
        <f t="shared" si="6"/>
        <v>0</v>
      </c>
      <c r="G47" s="184"/>
      <c r="H47" s="30"/>
      <c r="I47" s="31"/>
      <c r="J47" s="40"/>
      <c r="K47" s="190"/>
      <c r="L47" s="191"/>
      <c r="M47" s="77"/>
      <c r="N47" s="77"/>
      <c r="O47" s="191"/>
    </row>
    <row r="48" s="1" customFormat="1" ht="18" customHeight="1" spans="1:15">
      <c r="A48" s="42"/>
      <c r="B48" s="51">
        <f t="shared" si="5"/>
        <v>0</v>
      </c>
      <c r="C48" s="43"/>
      <c r="D48" s="44"/>
      <c r="E48" s="47"/>
      <c r="F48" s="51">
        <f t="shared" si="6"/>
        <v>0</v>
      </c>
      <c r="G48" s="184"/>
      <c r="H48" s="30"/>
      <c r="I48" s="31"/>
      <c r="J48" s="40"/>
      <c r="K48" s="190"/>
      <c r="L48" s="191"/>
      <c r="M48" s="77"/>
      <c r="N48" s="77"/>
      <c r="O48" s="191"/>
    </row>
    <row r="49" s="1" customFormat="1" ht="18" customHeight="1" spans="1:15">
      <c r="A49" s="42"/>
      <c r="B49" s="51">
        <f t="shared" si="5"/>
        <v>0</v>
      </c>
      <c r="C49" s="43"/>
      <c r="D49" s="44"/>
      <c r="E49" s="47"/>
      <c r="F49" s="51">
        <f t="shared" si="6"/>
        <v>0</v>
      </c>
      <c r="G49" s="184"/>
      <c r="H49" s="30"/>
      <c r="I49" s="31"/>
      <c r="J49" s="40"/>
      <c r="K49" s="190"/>
      <c r="L49" s="191"/>
      <c r="M49" s="77"/>
      <c r="N49" s="77"/>
      <c r="O49" s="191"/>
    </row>
    <row r="50" s="1" customFormat="1" ht="18" customHeight="1" spans="1:15">
      <c r="A50" s="42"/>
      <c r="B50" s="51">
        <f t="shared" si="5"/>
        <v>0</v>
      </c>
      <c r="C50" s="43"/>
      <c r="D50" s="44"/>
      <c r="E50" s="47"/>
      <c r="F50" s="51">
        <f t="shared" si="6"/>
        <v>0</v>
      </c>
      <c r="G50" s="184"/>
      <c r="H50" s="30"/>
      <c r="I50" s="31"/>
      <c r="J50" s="40"/>
      <c r="K50" s="190"/>
      <c r="L50" s="191"/>
      <c r="M50" s="77"/>
      <c r="N50" s="77"/>
      <c r="O50" s="191"/>
    </row>
    <row r="51" s="1" customFormat="1" ht="18" customHeight="1" spans="1:15">
      <c r="A51" s="42"/>
      <c r="B51" s="51">
        <f t="shared" si="5"/>
        <v>0</v>
      </c>
      <c r="C51" s="43"/>
      <c r="D51" s="44"/>
      <c r="E51" s="47"/>
      <c r="F51" s="51">
        <f t="shared" si="6"/>
        <v>0</v>
      </c>
      <c r="G51" s="184"/>
      <c r="H51" s="30"/>
      <c r="I51" s="31"/>
      <c r="J51" s="40"/>
      <c r="K51" s="190"/>
      <c r="L51" s="191"/>
      <c r="M51" s="77"/>
      <c r="N51" s="77"/>
      <c r="O51" s="191"/>
    </row>
    <row r="52" s="1" customFormat="1" ht="18" customHeight="1" spans="1:15">
      <c r="A52" s="42"/>
      <c r="B52" s="51">
        <f t="shared" si="5"/>
        <v>0</v>
      </c>
      <c r="C52" s="43"/>
      <c r="D52" s="44"/>
      <c r="E52" s="47"/>
      <c r="F52" s="51">
        <f t="shared" si="6"/>
        <v>0</v>
      </c>
      <c r="G52" s="184"/>
      <c r="H52" s="30"/>
      <c r="I52" s="31"/>
      <c r="J52" s="40"/>
      <c r="K52" s="190"/>
      <c r="L52" s="191"/>
      <c r="M52" s="77"/>
      <c r="N52" s="77"/>
      <c r="O52" s="191"/>
    </row>
    <row r="53" s="1" customFormat="1" ht="18" customHeight="1" spans="1:15">
      <c r="A53" s="42"/>
      <c r="B53" s="51">
        <f t="shared" si="5"/>
        <v>0</v>
      </c>
      <c r="C53" s="43"/>
      <c r="D53" s="44"/>
      <c r="E53" s="47"/>
      <c r="F53" s="51">
        <f t="shared" si="6"/>
        <v>0</v>
      </c>
      <c r="G53" s="184"/>
      <c r="H53" s="30"/>
      <c r="I53" s="31"/>
      <c r="J53" s="40"/>
      <c r="K53" s="190"/>
      <c r="L53" s="191"/>
      <c r="M53" s="77"/>
      <c r="N53" s="77"/>
      <c r="O53" s="191"/>
    </row>
    <row r="54" s="1" customFormat="1" ht="18" customHeight="1" spans="1:15">
      <c r="A54" s="42"/>
      <c r="B54" s="51">
        <f t="shared" si="5"/>
        <v>0</v>
      </c>
      <c r="C54" s="43"/>
      <c r="D54" s="44"/>
      <c r="E54" s="47"/>
      <c r="F54" s="51">
        <f t="shared" si="6"/>
        <v>0</v>
      </c>
      <c r="G54" s="184"/>
      <c r="H54" s="30" t="s">
        <v>158</v>
      </c>
      <c r="I54" s="210">
        <v>100</v>
      </c>
      <c r="J54" s="211" t="s">
        <v>77</v>
      </c>
      <c r="K54" s="212" t="s">
        <v>78</v>
      </c>
      <c r="L54" s="191" t="s">
        <v>159</v>
      </c>
      <c r="M54" s="77"/>
      <c r="N54" s="77"/>
      <c r="O54" s="191"/>
    </row>
    <row r="55" s="1" customFormat="1" ht="18" customHeight="1" spans="1:15">
      <c r="A55" s="42"/>
      <c r="B55" s="51">
        <f t="shared" si="5"/>
        <v>0</v>
      </c>
      <c r="C55" s="43"/>
      <c r="D55" s="44"/>
      <c r="E55" s="47"/>
      <c r="F55" s="51">
        <f t="shared" si="6"/>
        <v>0</v>
      </c>
      <c r="G55" s="184"/>
      <c r="H55" s="30" t="s">
        <v>158</v>
      </c>
      <c r="I55" s="210">
        <v>100</v>
      </c>
      <c r="J55" s="211" t="s">
        <v>77</v>
      </c>
      <c r="K55" s="212" t="s">
        <v>78</v>
      </c>
      <c r="L55" s="191" t="s">
        <v>159</v>
      </c>
      <c r="M55" s="77"/>
      <c r="N55" s="77"/>
      <c r="O55" s="191"/>
    </row>
    <row r="56" s="1" customFormat="1" ht="18" customHeight="1" spans="1:15">
      <c r="A56" s="42"/>
      <c r="B56" s="51">
        <f t="shared" si="5"/>
        <v>0</v>
      </c>
      <c r="C56" s="43"/>
      <c r="D56" s="44"/>
      <c r="E56" s="47"/>
      <c r="F56" s="51">
        <f t="shared" si="6"/>
        <v>0</v>
      </c>
      <c r="G56" s="184"/>
      <c r="H56" s="57">
        <v>43923</v>
      </c>
      <c r="I56" s="33">
        <v>100</v>
      </c>
      <c r="J56" s="86" t="s">
        <v>77</v>
      </c>
      <c r="K56" s="195" t="s">
        <v>78</v>
      </c>
      <c r="L56" s="191"/>
      <c r="M56" s="77"/>
      <c r="N56" s="77"/>
      <c r="O56" s="191"/>
    </row>
    <row r="57" s="1" customFormat="1" ht="18" customHeight="1" spans="1:15">
      <c r="A57" s="42"/>
      <c r="B57" s="51">
        <f t="shared" si="5"/>
        <v>0</v>
      </c>
      <c r="C57" s="43"/>
      <c r="D57" s="44"/>
      <c r="E57" s="47"/>
      <c r="F57" s="51">
        <f t="shared" si="6"/>
        <v>0</v>
      </c>
      <c r="G57" s="184"/>
      <c r="H57" s="30" t="s">
        <v>79</v>
      </c>
      <c r="I57" s="31">
        <v>200</v>
      </c>
      <c r="J57" s="86" t="s">
        <v>77</v>
      </c>
      <c r="K57" s="195" t="s">
        <v>78</v>
      </c>
      <c r="L57" s="191"/>
      <c r="M57" s="77"/>
      <c r="N57" s="77"/>
      <c r="O57" s="191"/>
    </row>
    <row r="58" s="1" customFormat="1" ht="18" customHeight="1" spans="1:15">
      <c r="A58" s="42"/>
      <c r="B58" s="51">
        <f t="shared" si="5"/>
        <v>0</v>
      </c>
      <c r="C58" s="43"/>
      <c r="D58" s="44"/>
      <c r="E58" s="47"/>
      <c r="F58" s="25">
        <f t="shared" ref="F56:F60" si="7">ROUND(G58/(1+E58)*E58,2)</f>
        <v>0</v>
      </c>
      <c r="G58" s="184"/>
      <c r="H58" s="30" t="s">
        <v>79</v>
      </c>
      <c r="I58" s="31">
        <v>-88680</v>
      </c>
      <c r="J58" s="40" t="s">
        <v>80</v>
      </c>
      <c r="K58" s="190" t="s">
        <v>133</v>
      </c>
      <c r="L58" s="191"/>
      <c r="M58" s="77"/>
      <c r="N58" s="77"/>
      <c r="O58" s="191"/>
    </row>
    <row r="59" s="1" customFormat="1" ht="18" customHeight="1" spans="1:15">
      <c r="A59" s="42"/>
      <c r="B59" s="25">
        <f t="shared" ref="B56:B60" si="8">ROUND(G59/(1+E59),2)</f>
        <v>0</v>
      </c>
      <c r="C59" s="43"/>
      <c r="D59" s="44"/>
      <c r="E59" s="47"/>
      <c r="F59" s="25">
        <f t="shared" si="7"/>
        <v>0</v>
      </c>
      <c r="G59" s="184"/>
      <c r="H59" s="57" t="s">
        <v>82</v>
      </c>
      <c r="I59" s="33">
        <v>188304</v>
      </c>
      <c r="J59" s="86" t="s">
        <v>77</v>
      </c>
      <c r="K59" s="196" t="s">
        <v>83</v>
      </c>
      <c r="L59" s="194"/>
      <c r="M59" s="77"/>
      <c r="N59" s="77"/>
      <c r="O59" s="191"/>
    </row>
    <row r="60" s="1" customFormat="1" ht="18" customHeight="1" spans="1:16">
      <c r="A60" s="42"/>
      <c r="B60" s="25">
        <f t="shared" si="8"/>
        <v>0</v>
      </c>
      <c r="C60" s="43"/>
      <c r="D60" s="44"/>
      <c r="E60" s="47"/>
      <c r="F60" s="25">
        <f t="shared" si="7"/>
        <v>0</v>
      </c>
      <c r="G60" s="184"/>
      <c r="H60" s="104" t="s">
        <v>82</v>
      </c>
      <c r="I60" s="215">
        <v>-300000</v>
      </c>
      <c r="J60" s="114" t="s">
        <v>84</v>
      </c>
      <c r="K60" s="234" t="s">
        <v>85</v>
      </c>
      <c r="L60" s="194"/>
      <c r="M60" s="77"/>
      <c r="N60" s="115"/>
      <c r="O60" s="216" t="s">
        <v>86</v>
      </c>
      <c r="P60" s="120"/>
    </row>
    <row r="61" s="1" customFormat="1" ht="18" customHeight="1" spans="1:16">
      <c r="A61" s="42"/>
      <c r="B61" s="25"/>
      <c r="C61" s="43"/>
      <c r="D61" s="44"/>
      <c r="E61" s="47"/>
      <c r="F61" s="25"/>
      <c r="G61" s="184"/>
      <c r="H61" s="57" t="s">
        <v>82</v>
      </c>
      <c r="I61" s="197">
        <v>21333.33</v>
      </c>
      <c r="J61" s="86" t="s">
        <v>77</v>
      </c>
      <c r="K61" s="217" t="s">
        <v>87</v>
      </c>
      <c r="L61" s="218"/>
      <c r="M61" s="91"/>
      <c r="N61" s="91"/>
      <c r="O61" s="218"/>
      <c r="P61" s="122"/>
    </row>
    <row r="62" s="1" customFormat="1" ht="18" customHeight="1" spans="1:15">
      <c r="A62" s="42"/>
      <c r="B62" s="25">
        <f t="shared" ref="B62:B97" si="9">ROUND(G62/(1+E62),2)</f>
        <v>0</v>
      </c>
      <c r="C62" s="43"/>
      <c r="D62" s="44"/>
      <c r="E62" s="47"/>
      <c r="F62" s="25">
        <f t="shared" ref="F62:F97" si="10">ROUND(G62/(1+E62)*E62,2)</f>
        <v>0</v>
      </c>
      <c r="G62" s="184"/>
      <c r="H62" s="57" t="s">
        <v>82</v>
      </c>
      <c r="I62" s="33">
        <v>300</v>
      </c>
      <c r="J62" s="86" t="s">
        <v>77</v>
      </c>
      <c r="K62" s="195" t="s">
        <v>78</v>
      </c>
      <c r="L62" s="194"/>
      <c r="M62" s="77"/>
      <c r="N62" s="77"/>
      <c r="O62" s="191"/>
    </row>
    <row r="63" s="1" customFormat="1" ht="18" customHeight="1" spans="1:15">
      <c r="A63" s="42"/>
      <c r="B63" s="25">
        <f t="shared" si="9"/>
        <v>10000</v>
      </c>
      <c r="C63" s="43"/>
      <c r="D63" s="44"/>
      <c r="E63" s="47"/>
      <c r="F63" s="25">
        <f t="shared" si="10"/>
        <v>0</v>
      </c>
      <c r="G63" s="184">
        <f>10000</f>
        <v>10000</v>
      </c>
      <c r="H63" s="57" t="s">
        <v>82</v>
      </c>
      <c r="I63" s="33">
        <f>G63</f>
        <v>10000</v>
      </c>
      <c r="J63" s="86" t="s">
        <v>77</v>
      </c>
      <c r="K63" s="195" t="s">
        <v>105</v>
      </c>
      <c r="L63" s="194"/>
      <c r="M63" s="77"/>
      <c r="N63" s="77"/>
      <c r="O63" s="191"/>
    </row>
    <row r="64" s="1" customFormat="1" ht="18" customHeight="1" spans="1:15">
      <c r="A64" s="42"/>
      <c r="B64" s="25">
        <f t="shared" si="9"/>
        <v>0</v>
      </c>
      <c r="C64" s="43"/>
      <c r="D64" s="44"/>
      <c r="E64" s="47"/>
      <c r="F64" s="25">
        <f t="shared" si="10"/>
        <v>0</v>
      </c>
      <c r="G64" s="184"/>
      <c r="H64" s="57" t="s">
        <v>89</v>
      </c>
      <c r="I64" s="33">
        <v>-300000</v>
      </c>
      <c r="J64" s="86" t="s">
        <v>90</v>
      </c>
      <c r="K64" s="195" t="s">
        <v>91</v>
      </c>
      <c r="L64" s="194"/>
      <c r="M64" s="77"/>
      <c r="N64" s="77"/>
      <c r="O64" s="191"/>
    </row>
    <row r="65" s="1" customFormat="1" ht="18" customHeight="1" spans="1:15">
      <c r="A65" s="42"/>
      <c r="B65" s="25">
        <f t="shared" si="9"/>
        <v>0</v>
      </c>
      <c r="C65" s="43"/>
      <c r="D65" s="44"/>
      <c r="E65" s="47"/>
      <c r="F65" s="25">
        <f t="shared" si="10"/>
        <v>0</v>
      </c>
      <c r="G65" s="184"/>
      <c r="H65" s="57" t="s">
        <v>89</v>
      </c>
      <c r="I65" s="51">
        <v>100</v>
      </c>
      <c r="J65" s="86" t="s">
        <v>77</v>
      </c>
      <c r="K65" s="195" t="s">
        <v>78</v>
      </c>
      <c r="L65" s="194"/>
      <c r="M65" s="77"/>
      <c r="N65" s="77"/>
      <c r="O65" s="191"/>
    </row>
    <row r="66" s="1" customFormat="1" ht="18" customHeight="1" spans="1:15">
      <c r="A66" s="42"/>
      <c r="B66" s="25">
        <f t="shared" si="9"/>
        <v>0</v>
      </c>
      <c r="C66" s="43"/>
      <c r="D66" s="44"/>
      <c r="E66" s="47"/>
      <c r="F66" s="25">
        <f t="shared" si="10"/>
        <v>0</v>
      </c>
      <c r="G66" s="184"/>
      <c r="H66" s="57" t="s">
        <v>92</v>
      </c>
      <c r="I66" s="51">
        <v>100</v>
      </c>
      <c r="J66" s="86" t="s">
        <v>77</v>
      </c>
      <c r="K66" s="195" t="s">
        <v>78</v>
      </c>
      <c r="L66" s="194"/>
      <c r="M66" s="77"/>
      <c r="N66" s="77"/>
      <c r="O66" s="191"/>
    </row>
    <row r="67" s="1" customFormat="1" ht="18" customHeight="1" spans="1:15">
      <c r="A67" s="42"/>
      <c r="B67" s="25">
        <f t="shared" si="9"/>
        <v>0</v>
      </c>
      <c r="C67" s="43"/>
      <c r="D67" s="44"/>
      <c r="E67" s="47"/>
      <c r="F67" s="25">
        <f t="shared" si="10"/>
        <v>0</v>
      </c>
      <c r="G67" s="184"/>
      <c r="H67" s="57"/>
      <c r="I67" s="51"/>
      <c r="J67" s="86"/>
      <c r="K67" s="195"/>
      <c r="L67" s="194"/>
      <c r="M67" s="77"/>
      <c r="N67" s="77"/>
      <c r="O67" s="191"/>
    </row>
    <row r="68" s="1" customFormat="1" ht="18" customHeight="1" spans="1:15">
      <c r="A68" s="42"/>
      <c r="B68" s="25">
        <f t="shared" si="9"/>
        <v>0</v>
      </c>
      <c r="C68" s="43"/>
      <c r="D68" s="44"/>
      <c r="E68" s="47"/>
      <c r="F68" s="25">
        <f t="shared" si="10"/>
        <v>0</v>
      </c>
      <c r="G68" s="184"/>
      <c r="H68" s="57" t="s">
        <v>93</v>
      </c>
      <c r="I68" s="235">
        <v>184767</v>
      </c>
      <c r="J68" s="86" t="s">
        <v>94</v>
      </c>
      <c r="K68" s="195" t="s">
        <v>95</v>
      </c>
      <c r="L68" s="194"/>
      <c r="M68" s="77"/>
      <c r="N68" s="77"/>
      <c r="O68" s="191"/>
    </row>
    <row r="69" s="1" customFormat="1" ht="18" customHeight="1" spans="1:15">
      <c r="A69" s="42"/>
      <c r="B69" s="25">
        <f t="shared" si="9"/>
        <v>0</v>
      </c>
      <c r="C69" s="43"/>
      <c r="D69" s="44"/>
      <c r="E69" s="47"/>
      <c r="F69" s="25">
        <f t="shared" si="10"/>
        <v>0</v>
      </c>
      <c r="G69" s="184"/>
      <c r="H69" s="57" t="s">
        <v>93</v>
      </c>
      <c r="I69" s="235">
        <v>48000</v>
      </c>
      <c r="J69" s="86" t="s">
        <v>77</v>
      </c>
      <c r="K69" s="195" t="s">
        <v>146</v>
      </c>
      <c r="L69" s="194"/>
      <c r="M69" s="77"/>
      <c r="N69" s="77"/>
      <c r="O69" s="191"/>
    </row>
    <row r="70" s="1" customFormat="1" ht="18" customHeight="1" spans="1:15">
      <c r="A70" s="42"/>
      <c r="B70" s="25">
        <f t="shared" si="9"/>
        <v>0</v>
      </c>
      <c r="C70" s="43"/>
      <c r="D70" s="44"/>
      <c r="E70" s="47"/>
      <c r="F70" s="25">
        <f t="shared" si="10"/>
        <v>0</v>
      </c>
      <c r="G70" s="184"/>
      <c r="H70" s="57" t="s">
        <v>93</v>
      </c>
      <c r="I70" s="235">
        <v>1652</v>
      </c>
      <c r="J70" s="86" t="s">
        <v>77</v>
      </c>
      <c r="K70" s="195" t="s">
        <v>140</v>
      </c>
      <c r="L70" s="194"/>
      <c r="M70" s="77"/>
      <c r="N70" s="77"/>
      <c r="O70" s="191"/>
    </row>
    <row r="71" s="1" customFormat="1" ht="18" customHeight="1" spans="1:15">
      <c r="A71" s="42"/>
      <c r="B71" s="25">
        <f t="shared" si="9"/>
        <v>0</v>
      </c>
      <c r="C71" s="43"/>
      <c r="D71" s="44"/>
      <c r="E71" s="47"/>
      <c r="F71" s="25">
        <f t="shared" si="10"/>
        <v>0</v>
      </c>
      <c r="G71" s="184"/>
      <c r="H71" s="57" t="s">
        <v>93</v>
      </c>
      <c r="I71" s="235">
        <v>67389</v>
      </c>
      <c r="J71" s="86" t="s">
        <v>77</v>
      </c>
      <c r="K71" s="195" t="s">
        <v>147</v>
      </c>
      <c r="L71" s="194"/>
      <c r="M71" s="77"/>
      <c r="N71" s="77"/>
      <c r="O71" s="191"/>
    </row>
    <row r="72" s="1" customFormat="1" ht="18" customHeight="1" spans="1:15">
      <c r="A72" s="42"/>
      <c r="B72" s="25">
        <f t="shared" si="9"/>
        <v>0</v>
      </c>
      <c r="C72" s="43"/>
      <c r="D72" s="44"/>
      <c r="E72" s="45"/>
      <c r="F72" s="25">
        <f t="shared" si="10"/>
        <v>0</v>
      </c>
      <c r="G72" s="184"/>
      <c r="H72" s="57" t="s">
        <v>93</v>
      </c>
      <c r="I72" s="235">
        <v>100</v>
      </c>
      <c r="J72" s="86" t="s">
        <v>77</v>
      </c>
      <c r="K72" s="195" t="s">
        <v>78</v>
      </c>
      <c r="L72" s="194"/>
      <c r="M72" s="77"/>
      <c r="N72" s="77"/>
      <c r="O72" s="191"/>
    </row>
    <row r="73" s="1" customFormat="1" ht="18" customHeight="1" spans="1:15">
      <c r="A73" s="42"/>
      <c r="B73" s="25">
        <f t="shared" si="9"/>
        <v>5000</v>
      </c>
      <c r="C73" s="43"/>
      <c r="D73" s="44"/>
      <c r="E73" s="45"/>
      <c r="F73" s="25">
        <f t="shared" si="10"/>
        <v>0</v>
      </c>
      <c r="G73" s="184">
        <f>5000</f>
        <v>5000</v>
      </c>
      <c r="H73" s="57" t="s">
        <v>93</v>
      </c>
      <c r="I73" s="235">
        <f>G73</f>
        <v>5000</v>
      </c>
      <c r="J73" s="86" t="s">
        <v>77</v>
      </c>
      <c r="K73" s="195" t="s">
        <v>105</v>
      </c>
      <c r="L73" s="194"/>
      <c r="M73" s="77"/>
      <c r="N73" s="77"/>
      <c r="O73" s="191"/>
    </row>
    <row r="74" s="1" customFormat="1" ht="18" customHeight="1" spans="1:15">
      <c r="A74" s="42"/>
      <c r="B74" s="25">
        <f t="shared" si="9"/>
        <v>0</v>
      </c>
      <c r="C74" s="43"/>
      <c r="D74" s="44"/>
      <c r="E74" s="45"/>
      <c r="F74" s="25">
        <f t="shared" si="10"/>
        <v>0</v>
      </c>
      <c r="G74" s="184"/>
      <c r="H74" s="57" t="s">
        <v>99</v>
      </c>
      <c r="I74" s="235">
        <v>-157908</v>
      </c>
      <c r="J74" s="86" t="s">
        <v>90</v>
      </c>
      <c r="K74" s="195" t="s">
        <v>91</v>
      </c>
      <c r="L74" s="194"/>
      <c r="M74" s="77"/>
      <c r="N74" s="77"/>
      <c r="O74" s="191"/>
    </row>
    <row r="75" s="1" customFormat="1" ht="18" customHeight="1" spans="1:15">
      <c r="A75" s="42"/>
      <c r="B75" s="25">
        <f t="shared" si="9"/>
        <v>0</v>
      </c>
      <c r="C75" s="43"/>
      <c r="D75" s="44"/>
      <c r="E75" s="45"/>
      <c r="F75" s="25">
        <f t="shared" si="10"/>
        <v>0</v>
      </c>
      <c r="G75" s="184"/>
      <c r="H75" s="57" t="s">
        <v>99</v>
      </c>
      <c r="I75" s="235">
        <v>100</v>
      </c>
      <c r="J75" s="86" t="s">
        <v>77</v>
      </c>
      <c r="K75" s="195" t="s">
        <v>78</v>
      </c>
      <c r="L75" s="194"/>
      <c r="M75" s="77"/>
      <c r="N75" s="77"/>
      <c r="O75" s="191"/>
    </row>
    <row r="76" s="1" customFormat="1" ht="18" customHeight="1" spans="1:15">
      <c r="A76" s="42"/>
      <c r="B76" s="25">
        <f t="shared" si="9"/>
        <v>0</v>
      </c>
      <c r="C76" s="43"/>
      <c r="D76" s="44"/>
      <c r="E76" s="45"/>
      <c r="F76" s="25">
        <f t="shared" si="10"/>
        <v>0</v>
      </c>
      <c r="G76" s="184"/>
      <c r="H76" s="57" t="s">
        <v>100</v>
      </c>
      <c r="I76" s="235">
        <v>200</v>
      </c>
      <c r="J76" s="86" t="s">
        <v>77</v>
      </c>
      <c r="K76" s="195" t="s">
        <v>78</v>
      </c>
      <c r="L76" s="194"/>
      <c r="M76" s="77"/>
      <c r="N76" s="77"/>
      <c r="O76" s="191"/>
    </row>
    <row r="77" s="1" customFormat="1" ht="18" customHeight="1" spans="1:15">
      <c r="A77" s="42"/>
      <c r="B77" s="25">
        <f t="shared" si="9"/>
        <v>0</v>
      </c>
      <c r="C77" s="43"/>
      <c r="D77" s="44"/>
      <c r="E77" s="45"/>
      <c r="F77" s="25">
        <f t="shared" si="10"/>
        <v>0</v>
      </c>
      <c r="G77" s="184"/>
      <c r="H77" s="57" t="s">
        <v>101</v>
      </c>
      <c r="I77" s="235">
        <v>200</v>
      </c>
      <c r="J77" s="86" t="s">
        <v>77</v>
      </c>
      <c r="K77" s="195" t="s">
        <v>78</v>
      </c>
      <c r="L77" s="194"/>
      <c r="M77" s="77"/>
      <c r="N77" s="77"/>
      <c r="O77" s="191"/>
    </row>
    <row r="78" s="1" customFormat="1" ht="18" customHeight="1" spans="1:15">
      <c r="A78" s="42"/>
      <c r="B78" s="25">
        <f t="shared" si="9"/>
        <v>0</v>
      </c>
      <c r="C78" s="43"/>
      <c r="D78" s="44"/>
      <c r="E78" s="45"/>
      <c r="F78" s="25">
        <f t="shared" si="10"/>
        <v>0</v>
      </c>
      <c r="G78" s="184"/>
      <c r="H78" s="57" t="s">
        <v>101</v>
      </c>
      <c r="I78" s="235">
        <v>381546</v>
      </c>
      <c r="J78" s="86" t="s">
        <v>94</v>
      </c>
      <c r="K78" s="195" t="s">
        <v>95</v>
      </c>
      <c r="L78" s="194"/>
      <c r="M78" s="77"/>
      <c r="O78" s="191"/>
    </row>
    <row r="79" s="1" customFormat="1" ht="18" customHeight="1" spans="1:15">
      <c r="A79" s="42"/>
      <c r="B79" s="25">
        <f t="shared" si="9"/>
        <v>0</v>
      </c>
      <c r="C79" s="43"/>
      <c r="D79" s="44"/>
      <c r="E79" s="45"/>
      <c r="F79" s="25">
        <f t="shared" si="10"/>
        <v>0</v>
      </c>
      <c r="G79" s="184"/>
      <c r="H79" s="57" t="s">
        <v>101</v>
      </c>
      <c r="I79" s="235">
        <v>24955</v>
      </c>
      <c r="J79" s="86" t="s">
        <v>77</v>
      </c>
      <c r="K79" s="195" t="s">
        <v>146</v>
      </c>
      <c r="L79" s="194"/>
      <c r="M79" s="77"/>
      <c r="N79" s="77"/>
      <c r="O79" s="191"/>
    </row>
    <row r="80" s="1" customFormat="1" ht="18" customHeight="1" spans="1:15">
      <c r="A80" s="42"/>
      <c r="B80" s="25">
        <f t="shared" si="9"/>
        <v>0</v>
      </c>
      <c r="C80" s="43"/>
      <c r="D80" s="44"/>
      <c r="E80" s="45"/>
      <c r="F80" s="25">
        <f t="shared" si="10"/>
        <v>0</v>
      </c>
      <c r="G80" s="184"/>
      <c r="H80" s="57" t="s">
        <v>101</v>
      </c>
      <c r="I80" s="235">
        <v>936</v>
      </c>
      <c r="J80" s="86" t="s">
        <v>77</v>
      </c>
      <c r="K80" s="195" t="s">
        <v>140</v>
      </c>
      <c r="L80" s="194"/>
      <c r="M80" s="77"/>
      <c r="N80" s="77"/>
      <c r="O80" s="191"/>
    </row>
    <row r="81" s="1" customFormat="1" ht="18" customHeight="1" spans="1:15">
      <c r="A81" s="42"/>
      <c r="B81" s="25">
        <f t="shared" si="9"/>
        <v>0</v>
      </c>
      <c r="C81" s="43"/>
      <c r="D81" s="44"/>
      <c r="E81" s="45"/>
      <c r="F81" s="25">
        <f t="shared" si="10"/>
        <v>0</v>
      </c>
      <c r="G81" s="184"/>
      <c r="H81" s="57" t="s">
        <v>101</v>
      </c>
      <c r="I81" s="235">
        <v>120092</v>
      </c>
      <c r="J81" s="86" t="s">
        <v>77</v>
      </c>
      <c r="K81" s="195" t="s">
        <v>148</v>
      </c>
      <c r="L81" s="194"/>
      <c r="M81" s="77"/>
      <c r="N81" s="77"/>
      <c r="O81" s="191"/>
    </row>
    <row r="82" s="1" customFormat="1" ht="18" customHeight="1" spans="1:15">
      <c r="A82" s="42"/>
      <c r="B82" s="25">
        <f t="shared" si="9"/>
        <v>8500</v>
      </c>
      <c r="C82" s="43"/>
      <c r="D82" s="44"/>
      <c r="E82" s="45"/>
      <c r="F82" s="25">
        <f t="shared" si="10"/>
        <v>0</v>
      </c>
      <c r="G82" s="184">
        <v>8500</v>
      </c>
      <c r="H82" s="57" t="s">
        <v>101</v>
      </c>
      <c r="I82" s="235">
        <f>G82</f>
        <v>8500</v>
      </c>
      <c r="J82" s="86" t="s">
        <v>77</v>
      </c>
      <c r="K82" s="195" t="s">
        <v>105</v>
      </c>
      <c r="L82" s="194"/>
      <c r="M82" s="77"/>
      <c r="N82" s="77"/>
      <c r="O82" s="191"/>
    </row>
    <row r="83" s="1" customFormat="1" ht="18" customHeight="1" spans="1:15">
      <c r="A83" s="42"/>
      <c r="B83" s="25">
        <f t="shared" si="9"/>
        <v>0</v>
      </c>
      <c r="C83" s="43"/>
      <c r="D83" s="44"/>
      <c r="E83" s="45"/>
      <c r="F83" s="25">
        <f t="shared" si="10"/>
        <v>0</v>
      </c>
      <c r="G83" s="184"/>
      <c r="H83" s="57" t="s">
        <v>106</v>
      </c>
      <c r="I83" s="235">
        <v>9000</v>
      </c>
      <c r="J83" s="86" t="s">
        <v>77</v>
      </c>
      <c r="K83" s="195" t="s">
        <v>107</v>
      </c>
      <c r="L83" s="194"/>
      <c r="M83" s="77"/>
      <c r="N83" s="77"/>
      <c r="O83" s="191"/>
    </row>
    <row r="84" s="1" customFormat="1" ht="18" customHeight="1" spans="1:15">
      <c r="A84" s="42"/>
      <c r="B84" s="25">
        <f t="shared" si="9"/>
        <v>0</v>
      </c>
      <c r="C84" s="43"/>
      <c r="D84" s="44"/>
      <c r="E84" s="45"/>
      <c r="F84" s="25">
        <f t="shared" si="10"/>
        <v>0</v>
      </c>
      <c r="G84" s="184"/>
      <c r="H84" s="57" t="s">
        <v>106</v>
      </c>
      <c r="I84" s="235">
        <v>-66373</v>
      </c>
      <c r="J84" s="86" t="s">
        <v>90</v>
      </c>
      <c r="K84" s="195" t="s">
        <v>91</v>
      </c>
      <c r="L84" s="194"/>
      <c r="M84" s="77"/>
      <c r="N84" s="77"/>
      <c r="O84" s="191"/>
    </row>
    <row r="85" s="1" customFormat="1" ht="18" customHeight="1" spans="1:15">
      <c r="A85" s="42"/>
      <c r="B85" s="25">
        <f t="shared" si="9"/>
        <v>0</v>
      </c>
      <c r="C85" s="43"/>
      <c r="D85" s="44"/>
      <c r="E85" s="45"/>
      <c r="F85" s="25">
        <f t="shared" si="10"/>
        <v>0</v>
      </c>
      <c r="G85" s="184"/>
      <c r="H85" s="57" t="s">
        <v>106</v>
      </c>
      <c r="I85" s="33">
        <v>-37965</v>
      </c>
      <c r="J85" s="86" t="s">
        <v>90</v>
      </c>
      <c r="K85" s="195" t="s">
        <v>149</v>
      </c>
      <c r="L85" s="33">
        <v>-37965</v>
      </c>
      <c r="M85" s="151" t="s">
        <v>150</v>
      </c>
      <c r="N85" s="77"/>
      <c r="O85" s="191"/>
    </row>
    <row r="86" s="1" customFormat="1" ht="18" customHeight="1" spans="1:15">
      <c r="A86" s="42"/>
      <c r="B86" s="25">
        <f t="shared" si="9"/>
        <v>0</v>
      </c>
      <c r="C86" s="43"/>
      <c r="D86" s="44"/>
      <c r="E86" s="45"/>
      <c r="F86" s="25">
        <f t="shared" si="10"/>
        <v>0</v>
      </c>
      <c r="G86" s="184"/>
      <c r="H86" s="57" t="s">
        <v>109</v>
      </c>
      <c r="I86" s="235">
        <v>8496</v>
      </c>
      <c r="J86" s="86" t="s">
        <v>77</v>
      </c>
      <c r="K86" s="195" t="s">
        <v>110</v>
      </c>
      <c r="L86" s="194"/>
      <c r="M86" s="77"/>
      <c r="N86" s="77"/>
      <c r="O86" s="191"/>
    </row>
    <row r="87" s="1" customFormat="1" ht="18" customHeight="1" spans="1:17">
      <c r="A87" s="42"/>
      <c r="B87" s="25">
        <f t="shared" si="9"/>
        <v>0</v>
      </c>
      <c r="C87" s="43"/>
      <c r="D87" s="44"/>
      <c r="E87" s="45"/>
      <c r="F87" s="25">
        <f t="shared" si="10"/>
        <v>0</v>
      </c>
      <c r="G87" s="184"/>
      <c r="H87" s="57" t="s">
        <v>109</v>
      </c>
      <c r="I87" s="235">
        <v>212400</v>
      </c>
      <c r="J87" s="86" t="s">
        <v>111</v>
      </c>
      <c r="K87" s="195" t="s">
        <v>112</v>
      </c>
      <c r="L87" s="194"/>
      <c r="M87" s="77"/>
      <c r="N87" s="77"/>
      <c r="O87" s="191"/>
      <c r="Q87" s="1">
        <f>I88+I84+I78+I74+I68+I64+I60+I59</f>
        <v>0</v>
      </c>
    </row>
    <row r="88" s="1" customFormat="1" ht="18" customHeight="1" spans="1:15">
      <c r="A88" s="42"/>
      <c r="B88" s="25">
        <f t="shared" si="9"/>
        <v>0</v>
      </c>
      <c r="C88" s="43"/>
      <c r="D88" s="44"/>
      <c r="E88" s="45"/>
      <c r="F88" s="25">
        <f t="shared" si="10"/>
        <v>0</v>
      </c>
      <c r="G88" s="184"/>
      <c r="H88" s="57" t="s">
        <v>109</v>
      </c>
      <c r="I88" s="235">
        <v>69664</v>
      </c>
      <c r="J88" s="86" t="s">
        <v>94</v>
      </c>
      <c r="K88" s="195" t="s">
        <v>95</v>
      </c>
      <c r="L88" s="194"/>
      <c r="M88" s="77"/>
      <c r="N88" s="77"/>
      <c r="O88" s="191"/>
    </row>
    <row r="89" s="1" customFormat="1" ht="18" customHeight="1" spans="1:15">
      <c r="A89" s="42"/>
      <c r="B89" s="25">
        <f t="shared" si="9"/>
        <v>0</v>
      </c>
      <c r="C89" s="43"/>
      <c r="D89" s="44"/>
      <c r="E89" s="45"/>
      <c r="F89" s="25">
        <f t="shared" si="10"/>
        <v>0</v>
      </c>
      <c r="G89" s="184"/>
      <c r="H89" s="57" t="s">
        <v>109</v>
      </c>
      <c r="I89" s="235">
        <v>14679</v>
      </c>
      <c r="J89" s="86" t="s">
        <v>77</v>
      </c>
      <c r="K89" s="195" t="s">
        <v>146</v>
      </c>
      <c r="L89" s="194"/>
      <c r="M89" s="77"/>
      <c r="N89" s="77"/>
      <c r="O89" s="191"/>
    </row>
    <row r="90" s="1" customFormat="1" ht="18" customHeight="1" spans="1:15">
      <c r="A90" s="42"/>
      <c r="B90" s="25">
        <f t="shared" si="9"/>
        <v>0</v>
      </c>
      <c r="C90" s="43"/>
      <c r="D90" s="44"/>
      <c r="E90" s="45"/>
      <c r="F90" s="25">
        <f t="shared" si="10"/>
        <v>0</v>
      </c>
      <c r="G90" s="184"/>
      <c r="H90" s="57" t="s">
        <v>109</v>
      </c>
      <c r="I90" s="235">
        <v>551</v>
      </c>
      <c r="J90" s="86" t="s">
        <v>77</v>
      </c>
      <c r="K90" s="195" t="s">
        <v>140</v>
      </c>
      <c r="L90" s="194"/>
      <c r="M90" s="77"/>
      <c r="N90" s="77"/>
      <c r="O90" s="191"/>
    </row>
    <row r="91" s="1" customFormat="1" ht="18" customHeight="1" spans="1:15">
      <c r="A91" s="42"/>
      <c r="B91" s="25">
        <f t="shared" si="9"/>
        <v>0</v>
      </c>
      <c r="C91" s="43"/>
      <c r="D91" s="44"/>
      <c r="E91" s="45"/>
      <c r="F91" s="25">
        <f t="shared" si="10"/>
        <v>0</v>
      </c>
      <c r="G91" s="184"/>
      <c r="H91" s="57" t="s">
        <v>109</v>
      </c>
      <c r="I91" s="235">
        <v>45972</v>
      </c>
      <c r="J91" s="86" t="s">
        <v>77</v>
      </c>
      <c r="K91" s="195" t="s">
        <v>148</v>
      </c>
      <c r="L91" s="194"/>
      <c r="M91" s="77"/>
      <c r="N91" s="77"/>
      <c r="O91" s="191"/>
    </row>
    <row r="92" s="1" customFormat="1" ht="18" customHeight="1" spans="1:15">
      <c r="A92" s="42"/>
      <c r="B92" s="25">
        <f t="shared" si="9"/>
        <v>5000</v>
      </c>
      <c r="C92" s="43"/>
      <c r="D92" s="44"/>
      <c r="E92" s="45"/>
      <c r="F92" s="25">
        <f t="shared" si="10"/>
        <v>0</v>
      </c>
      <c r="G92" s="184">
        <v>5000</v>
      </c>
      <c r="H92" s="57" t="s">
        <v>109</v>
      </c>
      <c r="I92" s="235">
        <f>G92</f>
        <v>5000</v>
      </c>
      <c r="J92" s="86" t="s">
        <v>77</v>
      </c>
      <c r="K92" s="195" t="s">
        <v>105</v>
      </c>
      <c r="L92" s="194"/>
      <c r="M92" s="77"/>
      <c r="N92" s="77"/>
      <c r="O92" s="191"/>
    </row>
    <row r="93" s="1" customFormat="1" ht="18" customHeight="1" spans="1:15">
      <c r="A93" s="42"/>
      <c r="B93" s="25">
        <f t="shared" si="9"/>
        <v>0</v>
      </c>
      <c r="C93" s="43"/>
      <c r="D93" s="44"/>
      <c r="E93" s="45"/>
      <c r="F93" s="25">
        <f t="shared" si="10"/>
        <v>0</v>
      </c>
      <c r="G93" s="184"/>
      <c r="H93" s="57" t="s">
        <v>116</v>
      </c>
      <c r="I93" s="235">
        <v>500</v>
      </c>
      <c r="J93" s="86" t="s">
        <v>77</v>
      </c>
      <c r="K93" s="195" t="s">
        <v>117</v>
      </c>
      <c r="L93" s="194"/>
      <c r="M93" s="77"/>
      <c r="N93" s="77"/>
      <c r="O93" s="191"/>
    </row>
    <row r="94" s="1" customFormat="1" ht="18" customHeight="1" spans="1:15">
      <c r="A94" s="42"/>
      <c r="B94" s="25">
        <f t="shared" si="9"/>
        <v>5000</v>
      </c>
      <c r="C94" s="43"/>
      <c r="D94" s="44"/>
      <c r="E94" s="45"/>
      <c r="F94" s="25">
        <f t="shared" si="10"/>
        <v>0</v>
      </c>
      <c r="G94" s="184">
        <f>5000</f>
        <v>5000</v>
      </c>
      <c r="H94" s="57" t="s">
        <v>116</v>
      </c>
      <c r="I94" s="235">
        <f>G94</f>
        <v>5000</v>
      </c>
      <c r="J94" s="86" t="s">
        <v>77</v>
      </c>
      <c r="K94" s="195" t="s">
        <v>105</v>
      </c>
      <c r="L94" s="194"/>
      <c r="M94" s="77"/>
      <c r="N94" s="77"/>
      <c r="O94" s="191"/>
    </row>
    <row r="95" s="1" customFormat="1" ht="18" customHeight="1" spans="1:15">
      <c r="A95" s="42"/>
      <c r="B95" s="25">
        <f t="shared" si="9"/>
        <v>0</v>
      </c>
      <c r="C95" s="43"/>
      <c r="D95" s="44"/>
      <c r="E95" s="45"/>
      <c r="F95" s="25">
        <f t="shared" si="10"/>
        <v>0</v>
      </c>
      <c r="G95" s="184"/>
      <c r="H95" s="57" t="s">
        <v>116</v>
      </c>
      <c r="I95" s="235">
        <v>14679</v>
      </c>
      <c r="J95" s="86" t="s">
        <v>77</v>
      </c>
      <c r="K95" s="195" t="s">
        <v>146</v>
      </c>
      <c r="L95" s="194"/>
      <c r="M95" s="77"/>
      <c r="N95" s="77"/>
      <c r="O95" s="191"/>
    </row>
    <row r="96" s="1" customFormat="1" ht="18" customHeight="1" spans="1:15">
      <c r="A96" s="42"/>
      <c r="B96" s="25">
        <f t="shared" si="9"/>
        <v>0</v>
      </c>
      <c r="C96" s="43"/>
      <c r="D96" s="44"/>
      <c r="E96" s="45"/>
      <c r="F96" s="25">
        <f t="shared" si="10"/>
        <v>0</v>
      </c>
      <c r="G96" s="184"/>
      <c r="H96" s="57" t="s">
        <v>116</v>
      </c>
      <c r="I96" s="235">
        <v>551</v>
      </c>
      <c r="J96" s="86" t="s">
        <v>77</v>
      </c>
      <c r="K96" s="195" t="s">
        <v>140</v>
      </c>
      <c r="L96" s="194"/>
      <c r="M96" s="77"/>
      <c r="N96" s="77"/>
      <c r="O96" s="191"/>
    </row>
    <row r="97" s="1" customFormat="1" ht="18" customHeight="1" spans="1:15">
      <c r="A97" s="42"/>
      <c r="B97" s="25">
        <f t="shared" si="9"/>
        <v>0</v>
      </c>
      <c r="C97" s="43"/>
      <c r="D97" s="44"/>
      <c r="E97" s="45"/>
      <c r="F97" s="25">
        <f t="shared" si="10"/>
        <v>0</v>
      </c>
      <c r="G97" s="184"/>
      <c r="H97" s="57"/>
      <c r="I97" s="33"/>
      <c r="J97" s="86"/>
      <c r="K97" s="195"/>
      <c r="L97" s="194"/>
      <c r="M97" s="77"/>
      <c r="N97" s="77"/>
      <c r="O97" s="191"/>
    </row>
    <row r="98" ht="18" customHeight="1" spans="1:15">
      <c r="A98" s="38" t="s">
        <v>23</v>
      </c>
      <c r="B98" s="123">
        <f>SUM(B16:B97)</f>
        <v>7135539.46</v>
      </c>
      <c r="C98" s="38"/>
      <c r="D98" s="124"/>
      <c r="E98" s="124"/>
      <c r="F98" s="179">
        <f>SUM(F16:F97)</f>
        <v>333178.39</v>
      </c>
      <c r="G98" s="220">
        <f>SUM(G16:G97)</f>
        <v>7468717.85</v>
      </c>
      <c r="H98" s="221"/>
      <c r="I98" s="37">
        <f>SUM(I16:I97)</f>
        <v>6699640.33</v>
      </c>
      <c r="J98" s="226"/>
      <c r="K98" s="124"/>
      <c r="L98" s="180"/>
      <c r="M98" s="40"/>
      <c r="N98" s="40"/>
      <c r="O98" s="180"/>
    </row>
    <row r="99" ht="18" customHeight="1" spans="1:14">
      <c r="A99" s="126" t="s">
        <v>120</v>
      </c>
      <c r="B99" s="127">
        <f>B13*0.984</f>
        <v>6048440.36697248</v>
      </c>
      <c r="C99" s="126"/>
      <c r="D99" s="128"/>
      <c r="E99" s="128"/>
      <c r="F99" s="127"/>
      <c r="G99" s="127">
        <f>G13-G98</f>
        <v>-768717.85</v>
      </c>
      <c r="H99" s="29" t="s">
        <v>121</v>
      </c>
      <c r="I99" s="37">
        <f>I13-I98</f>
        <v>359.669999999925</v>
      </c>
      <c r="J99" s="14"/>
      <c r="K99" s="227"/>
      <c r="M99" s="13"/>
      <c r="N99" s="13"/>
    </row>
    <row r="100" ht="18" customHeight="1" spans="1:14">
      <c r="A100" s="126" t="s">
        <v>122</v>
      </c>
      <c r="B100" s="127">
        <f>B99-B98</f>
        <v>-1087099.09302752</v>
      </c>
      <c r="C100" s="126"/>
      <c r="D100" s="128"/>
      <c r="E100" s="128"/>
      <c r="F100" s="127"/>
      <c r="G100" s="127"/>
      <c r="H100" s="130"/>
      <c r="I100" s="127"/>
      <c r="J100" s="14"/>
      <c r="K100" s="227"/>
      <c r="M100" s="13"/>
      <c r="N100" s="13"/>
    </row>
    <row r="101" ht="18" customHeight="1" spans="1:3">
      <c r="A101" s="7" t="s">
        <v>124</v>
      </c>
      <c r="C101" s="7"/>
    </row>
    <row r="102" ht="18" customHeight="1" spans="1:13">
      <c r="A102" s="29" t="s">
        <v>125</v>
      </c>
      <c r="B102" s="28" t="s">
        <v>126</v>
      </c>
      <c r="C102" s="180"/>
      <c r="D102" s="29" t="s">
        <v>125</v>
      </c>
      <c r="E102" s="27" t="s">
        <v>17</v>
      </c>
      <c r="F102" s="28" t="s">
        <v>126</v>
      </c>
      <c r="G102" s="8" t="s">
        <v>127</v>
      </c>
      <c r="H102" s="28" t="s">
        <v>128</v>
      </c>
      <c r="I102" s="28" t="s">
        <v>129</v>
      </c>
      <c r="J102" s="176" t="s">
        <v>130</v>
      </c>
      <c r="K102" s="28" t="s">
        <v>131</v>
      </c>
      <c r="L102" s="28" t="s">
        <v>132</v>
      </c>
      <c r="M102" s="28" t="s">
        <v>133</v>
      </c>
    </row>
    <row r="103" ht="18" customHeight="1" spans="1:13">
      <c r="A103" s="180" t="s">
        <v>134</v>
      </c>
      <c r="B103" s="25">
        <f>(B99-B98)*0.25</f>
        <v>-271774.773256881</v>
      </c>
      <c r="C103" s="180"/>
      <c r="D103" s="36" t="s">
        <v>135</v>
      </c>
      <c r="E103" s="29" t="s">
        <v>136</v>
      </c>
      <c r="F103" s="179">
        <f>F13-F98</f>
        <v>97096.8393577982</v>
      </c>
      <c r="G103" s="8">
        <v>64220.1834862385</v>
      </c>
      <c r="H103" s="179">
        <v>0</v>
      </c>
      <c r="I103" s="179">
        <f>F7+F8-F16-F17</f>
        <v>41792.0369724771</v>
      </c>
      <c r="J103" s="179">
        <f>-F20</f>
        <v>-34513.27</v>
      </c>
      <c r="K103" s="141">
        <f>F9</f>
        <v>109174.311926606</v>
      </c>
      <c r="L103" s="179">
        <f>F10+F12-F22-F25-F27-F31-F32-F34</f>
        <v>-67178.4465137615</v>
      </c>
      <c r="M103" s="141">
        <f>-F37-F42</f>
        <v>-80618.16</v>
      </c>
    </row>
    <row r="104" ht="18" customHeight="1" spans="1:13">
      <c r="A104" s="180" t="s">
        <v>137</v>
      </c>
      <c r="B104" s="222" t="s">
        <v>138</v>
      </c>
      <c r="C104" s="180"/>
      <c r="D104" s="223" t="s">
        <v>139</v>
      </c>
      <c r="E104" s="21">
        <v>0.05</v>
      </c>
      <c r="F104" s="31">
        <f>F103*E104</f>
        <v>4854.84196788991</v>
      </c>
      <c r="G104" s="8">
        <v>3211.00917431193</v>
      </c>
      <c r="H104" s="31">
        <v>0</v>
      </c>
      <c r="I104" s="31">
        <f>I103*E104</f>
        <v>2089.60184862385</v>
      </c>
      <c r="J104" s="31">
        <f>J103*E104</f>
        <v>-1725.6635</v>
      </c>
      <c r="K104" s="33">
        <f>K103*E104</f>
        <v>5458.71559633028</v>
      </c>
      <c r="L104" s="31">
        <f>L103*E104</f>
        <v>-3358.92232568807</v>
      </c>
      <c r="M104" s="33">
        <f>M103*E104</f>
        <v>-4030.908</v>
      </c>
    </row>
    <row r="105" ht="18" customHeight="1" spans="1:13">
      <c r="A105" s="180" t="s">
        <v>140</v>
      </c>
      <c r="B105" s="222"/>
      <c r="C105" s="180"/>
      <c r="D105" s="223" t="s">
        <v>141</v>
      </c>
      <c r="E105" s="21">
        <v>0.03</v>
      </c>
      <c r="F105" s="31">
        <f>F103*E105</f>
        <v>2912.90518073394</v>
      </c>
      <c r="G105" s="8">
        <v>1926.60550458716</v>
      </c>
      <c r="H105" s="31">
        <v>0</v>
      </c>
      <c r="I105" s="31">
        <f>I103*E105</f>
        <v>1253.76110917431</v>
      </c>
      <c r="J105" s="31">
        <f>J103*E105</f>
        <v>-1035.3981</v>
      </c>
      <c r="K105" s="33">
        <f>K103*E105</f>
        <v>3275.22935779817</v>
      </c>
      <c r="L105" s="31">
        <f>L103*E105</f>
        <v>-2015.35339541284</v>
      </c>
      <c r="M105" s="33">
        <f>M103*E105</f>
        <v>-2418.5448</v>
      </c>
    </row>
    <row r="106" ht="18" customHeight="1" spans="1:13">
      <c r="A106" s="180"/>
      <c r="B106" s="31"/>
      <c r="C106" s="180"/>
      <c r="D106" s="223" t="s">
        <v>142</v>
      </c>
      <c r="E106" s="21">
        <v>0.02</v>
      </c>
      <c r="F106" s="31">
        <f>F103*E106</f>
        <v>1941.93678715596</v>
      </c>
      <c r="G106" s="8">
        <v>1284.40366972477</v>
      </c>
      <c r="H106" s="31">
        <v>0</v>
      </c>
      <c r="I106" s="31">
        <f>I103*E106</f>
        <v>835.840739449541</v>
      </c>
      <c r="J106" s="31">
        <f>J103*E106</f>
        <v>-690.2654</v>
      </c>
      <c r="K106" s="33">
        <f>K103*E106</f>
        <v>2183.48623853211</v>
      </c>
      <c r="L106" s="31">
        <f>L103*E106</f>
        <v>-1343.56893027523</v>
      </c>
      <c r="M106" s="33">
        <f>M103*E106</f>
        <v>-1612.3632</v>
      </c>
    </row>
    <row r="107" ht="18" customHeight="1" spans="1:13">
      <c r="A107" s="36" t="s">
        <v>143</v>
      </c>
      <c r="B107" s="123">
        <f>SUM(B103:B106)</f>
        <v>-271774.773256881</v>
      </c>
      <c r="C107" s="180"/>
      <c r="D107" s="41" t="s">
        <v>143</v>
      </c>
      <c r="E107" s="36"/>
      <c r="F107" s="179">
        <f t="shared" ref="F107:M107" si="11">SUM(F103:F106)</f>
        <v>106806.523293578</v>
      </c>
      <c r="G107" s="8">
        <v>70642.2018348624</v>
      </c>
      <c r="H107" s="179">
        <v>0</v>
      </c>
      <c r="I107" s="179">
        <f>SUM(I102:I106)</f>
        <v>45971.2406697248</v>
      </c>
      <c r="J107" s="179">
        <f t="shared" si="11"/>
        <v>-37964.597</v>
      </c>
      <c r="K107" s="141">
        <f t="shared" si="11"/>
        <v>120091.743119266</v>
      </c>
      <c r="L107" s="179">
        <f t="shared" si="11"/>
        <v>-73896.2911651376</v>
      </c>
      <c r="M107" s="141">
        <f t="shared" si="11"/>
        <v>-88679.976</v>
      </c>
    </row>
    <row r="108" ht="18" customHeight="1" spans="3:12">
      <c r="C108" s="7"/>
      <c r="D108" s="19" t="s">
        <v>140</v>
      </c>
      <c r="E108" s="224">
        <v>0.0006</v>
      </c>
      <c r="F108" s="31">
        <f>B13*E108</f>
        <v>3688.07339449541</v>
      </c>
      <c r="H108" s="31">
        <f>B7*E108</f>
        <v>550.45871559633</v>
      </c>
      <c r="I108" s="31">
        <f>B8*E108</f>
        <v>550.45871559633</v>
      </c>
      <c r="K108" s="31">
        <f>B9*E108</f>
        <v>935.779816513761</v>
      </c>
      <c r="L108" s="31">
        <f>(B10+B12)*E108</f>
        <v>550.45871559633</v>
      </c>
    </row>
    <row r="109" ht="18" customHeight="1" spans="3:9">
      <c r="C109" s="7"/>
      <c r="D109" s="27" t="s">
        <v>143</v>
      </c>
      <c r="E109" s="124"/>
      <c r="F109" s="37">
        <f t="shared" ref="F109:I109" si="12">F108</f>
        <v>3688.07339449541</v>
      </c>
      <c r="H109" s="37">
        <f t="shared" si="12"/>
        <v>550.45871559633</v>
      </c>
      <c r="I109" s="37">
        <f t="shared" si="12"/>
        <v>550.45871559633</v>
      </c>
    </row>
    <row r="110" ht="18" customHeight="1" spans="3:9">
      <c r="C110" s="7"/>
      <c r="D110" s="27" t="s">
        <v>23</v>
      </c>
      <c r="E110" s="38"/>
      <c r="F110" s="37">
        <f t="shared" ref="F110:I110" si="13">F107+F109</f>
        <v>110494.596688073</v>
      </c>
      <c r="H110" s="37">
        <f t="shared" si="13"/>
        <v>550.45871559633</v>
      </c>
      <c r="I110" s="37">
        <f t="shared" si="13"/>
        <v>46521.6993853211</v>
      </c>
    </row>
    <row r="111" ht="18" customHeight="1" spans="3:12">
      <c r="C111" s="7"/>
      <c r="D111" s="38" t="s">
        <v>134</v>
      </c>
      <c r="E111" s="124">
        <v>0.016</v>
      </c>
      <c r="F111" s="37">
        <f>B13*E111</f>
        <v>98348.623853211</v>
      </c>
      <c r="G111" s="225" t="s">
        <v>144</v>
      </c>
      <c r="H111" s="37">
        <f>B7*E111</f>
        <v>14678.8990825688</v>
      </c>
      <c r="I111" s="37">
        <f>B8*E111</f>
        <v>14678.8990825688</v>
      </c>
      <c r="K111" s="37">
        <f>B9*E111</f>
        <v>24954.128440367</v>
      </c>
      <c r="L111" s="37">
        <f>SUM(G10:G12)*E111</f>
        <v>48000</v>
      </c>
    </row>
    <row r="112" ht="18" customHeight="1" spans="3:9">
      <c r="C112" s="7"/>
      <c r="G112" s="8" t="s">
        <v>145</v>
      </c>
      <c r="I112" s="8">
        <f>B100*0.25</f>
        <v>-271774.773256881</v>
      </c>
    </row>
    <row r="113" ht="18" customHeight="1" spans="3:9">
      <c r="C113" s="7"/>
      <c r="I113" s="8">
        <f>B100*0.25</f>
        <v>-271774.773256881</v>
      </c>
    </row>
    <row r="114" ht="18" customHeight="1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</sheetData>
  <autoFilter ref="A15:Q11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4"/>
  <sheetViews>
    <sheetView topLeftCell="A88" workbookViewId="0">
      <selection activeCell="F52" sqref="F52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4" customWidth="1"/>
    <col min="13" max="13" width="13.5" style="14" customWidth="1"/>
    <col min="14" max="14" width="5.625" style="14" customWidth="1"/>
    <col min="15" max="15" width="11.125" style="14"/>
    <col min="16" max="16" width="12" style="14"/>
    <col min="17" max="17" width="10.375" style="14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2" si="0">G7/(1+C7+E7)</f>
        <v>917431.19266055</v>
      </c>
      <c r="C7" s="32">
        <v>0.02</v>
      </c>
      <c r="D7" s="33">
        <f t="shared" ref="D7:D12" si="1">G7/(1+E7+C7)*C7</f>
        <v>18348.623853211</v>
      </c>
      <c r="E7" s="32">
        <v>0.07</v>
      </c>
      <c r="F7" s="31">
        <f t="shared" ref="F7:F12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31">
        <f t="shared" si="2"/>
        <v>25688.0733944954</v>
      </c>
      <c r="G12" s="178">
        <v>400000</v>
      </c>
      <c r="H12" s="30">
        <v>44056</v>
      </c>
      <c r="I12" s="31">
        <v>400000</v>
      </c>
      <c r="J12" s="40" t="s">
        <v>22</v>
      </c>
    </row>
    <row r="13" ht="18" customHeight="1" spans="1:10">
      <c r="A13" s="36" t="s">
        <v>23</v>
      </c>
      <c r="B13" s="37">
        <f t="shared" ref="B13:G13" si="3">SUM(B7:B12)</f>
        <v>6513761.46788991</v>
      </c>
      <c r="C13" s="38"/>
      <c r="D13" s="37">
        <f t="shared" si="3"/>
        <v>130275.229357798</v>
      </c>
      <c r="E13" s="38"/>
      <c r="F13" s="179">
        <f t="shared" si="3"/>
        <v>455963.302752294</v>
      </c>
      <c r="G13" s="37">
        <f t="shared" si="3"/>
        <v>7100000</v>
      </c>
      <c r="H13" s="180"/>
      <c r="I13" s="37">
        <f>SUM(I7:I12)</f>
        <v>7100000</v>
      </c>
      <c r="J13" s="180"/>
    </row>
    <row r="14" ht="18" customHeight="1" spans="1:15">
      <c r="A14" s="7" t="s">
        <v>24</v>
      </c>
      <c r="J14" s="9"/>
      <c r="K14" s="26" t="s">
        <v>25</v>
      </c>
      <c r="L14" s="176"/>
      <c r="O14" s="189">
        <f>O17+O20+O22+O31+O34</f>
        <v>2519.89</v>
      </c>
    </row>
    <row r="15" ht="18" customHeight="1" spans="1:15">
      <c r="A15" s="41" t="s">
        <v>26</v>
      </c>
      <c r="B15" s="28" t="s">
        <v>27</v>
      </c>
      <c r="C15" s="27" t="s">
        <v>28</v>
      </c>
      <c r="D15" s="27" t="s">
        <v>29</v>
      </c>
      <c r="E15" s="27" t="s">
        <v>17</v>
      </c>
      <c r="F15" s="28" t="s">
        <v>30</v>
      </c>
      <c r="G15" s="28" t="s">
        <v>15</v>
      </c>
      <c r="H15" s="27" t="s">
        <v>31</v>
      </c>
      <c r="I15" s="28" t="s">
        <v>32</v>
      </c>
      <c r="J15" s="27" t="s">
        <v>21</v>
      </c>
      <c r="K15" s="74" t="s">
        <v>33</v>
      </c>
      <c r="L15" s="29" t="s">
        <v>34</v>
      </c>
      <c r="M15" s="29" t="s">
        <v>35</v>
      </c>
      <c r="N15" s="29" t="s">
        <v>36</v>
      </c>
      <c r="O15" s="29" t="s">
        <v>37</v>
      </c>
    </row>
    <row r="16" s="1" customFormat="1" ht="18" customHeight="1" spans="1:15">
      <c r="A16" s="42">
        <v>43617</v>
      </c>
      <c r="B16" s="25">
        <f t="shared" ref="B16:B60" si="4">ROUND(G16/(1+E16),2)</f>
        <v>970873.79</v>
      </c>
      <c r="C16" s="43"/>
      <c r="D16" s="44" t="s">
        <v>38</v>
      </c>
      <c r="E16" s="45">
        <v>0.03</v>
      </c>
      <c r="F16" s="25">
        <f t="shared" ref="F16:F60" si="5">ROUND(G16/(1+E16)*E16,2)</f>
        <v>29126.21</v>
      </c>
      <c r="G16" s="178">
        <v>1000000</v>
      </c>
      <c r="H16" s="30">
        <v>43640</v>
      </c>
      <c r="I16" s="31">
        <v>300000</v>
      </c>
      <c r="J16" s="40" t="s">
        <v>22</v>
      </c>
      <c r="K16" s="190" t="s">
        <v>39</v>
      </c>
      <c r="L16" s="191" t="s">
        <v>40</v>
      </c>
      <c r="M16" s="77" t="s">
        <v>41</v>
      </c>
      <c r="N16" s="77"/>
      <c r="O16" s="191"/>
    </row>
    <row r="17" s="1" customFormat="1" ht="18" customHeight="1" spans="1:15">
      <c r="A17" s="42">
        <v>43617</v>
      </c>
      <c r="B17" s="25">
        <f t="shared" si="4"/>
        <v>442477.88</v>
      </c>
      <c r="C17" s="43"/>
      <c r="D17" s="44" t="s">
        <v>38</v>
      </c>
      <c r="E17" s="45">
        <v>0.13</v>
      </c>
      <c r="F17" s="25">
        <f t="shared" si="5"/>
        <v>57522.12</v>
      </c>
      <c r="G17" s="178">
        <f>100000*5</f>
        <v>500000</v>
      </c>
      <c r="H17" s="30">
        <v>43640</v>
      </c>
      <c r="I17" s="31">
        <v>500000</v>
      </c>
      <c r="J17" s="40" t="s">
        <v>22</v>
      </c>
      <c r="K17" s="190" t="s">
        <v>42</v>
      </c>
      <c r="L17" s="191" t="s">
        <v>160</v>
      </c>
      <c r="M17" s="77" t="s">
        <v>41</v>
      </c>
      <c r="N17" s="77" t="s">
        <v>41</v>
      </c>
      <c r="O17" s="192">
        <v>119.5</v>
      </c>
    </row>
    <row r="18" s="1" customFormat="1" ht="18" customHeight="1" spans="1:15">
      <c r="A18" s="42">
        <v>43678</v>
      </c>
      <c r="B18" s="25">
        <f t="shared" si="4"/>
        <v>99500</v>
      </c>
      <c r="C18" s="43"/>
      <c r="D18" s="44" t="s">
        <v>44</v>
      </c>
      <c r="E18" s="45"/>
      <c r="F18" s="25">
        <f t="shared" si="5"/>
        <v>0</v>
      </c>
      <c r="G18" s="178">
        <v>99500</v>
      </c>
      <c r="H18" s="30">
        <v>43682</v>
      </c>
      <c r="I18" s="31">
        <v>99500</v>
      </c>
      <c r="J18" s="40" t="s">
        <v>45</v>
      </c>
      <c r="K18" s="190" t="s">
        <v>46</v>
      </c>
      <c r="L18" s="191" t="s">
        <v>47</v>
      </c>
      <c r="M18" s="77"/>
      <c r="N18" s="77"/>
      <c r="O18" s="191"/>
    </row>
    <row r="19" s="1" customFormat="1" ht="18" customHeight="1" spans="1:15">
      <c r="A19" s="42">
        <v>43739</v>
      </c>
      <c r="B19" s="25">
        <f t="shared" si="4"/>
        <v>4000</v>
      </c>
      <c r="C19" s="43"/>
      <c r="D19" s="44" t="s">
        <v>44</v>
      </c>
      <c r="E19" s="45"/>
      <c r="F19" s="25">
        <f t="shared" si="5"/>
        <v>0</v>
      </c>
      <c r="G19" s="178">
        <v>4000</v>
      </c>
      <c r="H19" s="30"/>
      <c r="I19" s="31"/>
      <c r="J19" s="40"/>
      <c r="K19" s="190" t="s">
        <v>48</v>
      </c>
      <c r="L19" s="191" t="s">
        <v>49</v>
      </c>
      <c r="M19" s="77"/>
      <c r="N19" s="77"/>
      <c r="O19" s="191"/>
    </row>
    <row r="20" s="1" customFormat="1" ht="18" customHeight="1" spans="1:15">
      <c r="A20" s="42">
        <v>43770</v>
      </c>
      <c r="B20" s="25">
        <f t="shared" si="4"/>
        <v>265486.73</v>
      </c>
      <c r="C20" s="43"/>
      <c r="D20" s="44" t="s">
        <v>38</v>
      </c>
      <c r="E20" s="47">
        <v>0.13</v>
      </c>
      <c r="F20" s="25">
        <f t="shared" si="5"/>
        <v>34513.27</v>
      </c>
      <c r="G20" s="178">
        <f>100000*3</f>
        <v>300000</v>
      </c>
      <c r="H20" s="30">
        <v>43784</v>
      </c>
      <c r="I20" s="31">
        <v>300000</v>
      </c>
      <c r="J20" s="40" t="s">
        <v>22</v>
      </c>
      <c r="K20" s="190" t="s">
        <v>42</v>
      </c>
      <c r="L20" s="191" t="s">
        <v>50</v>
      </c>
      <c r="M20" s="77" t="s">
        <v>41</v>
      </c>
      <c r="N20" s="77" t="s">
        <v>41</v>
      </c>
      <c r="O20" s="192">
        <v>923.01</v>
      </c>
    </row>
    <row r="21" s="1" customFormat="1" ht="18" customHeight="1" spans="1:15">
      <c r="A21" s="42"/>
      <c r="B21" s="25">
        <f t="shared" si="4"/>
        <v>0</v>
      </c>
      <c r="C21" s="43"/>
      <c r="D21" s="44"/>
      <c r="E21" s="45"/>
      <c r="F21" s="25">
        <f t="shared" si="5"/>
        <v>0</v>
      </c>
      <c r="G21" s="178"/>
      <c r="H21" s="30">
        <v>43784</v>
      </c>
      <c r="I21" s="31">
        <v>300000</v>
      </c>
      <c r="J21" s="40" t="s">
        <v>22</v>
      </c>
      <c r="K21" s="190" t="s">
        <v>39</v>
      </c>
      <c r="L21" s="191" t="s">
        <v>51</v>
      </c>
      <c r="M21" s="77"/>
      <c r="N21" s="77"/>
      <c r="O21" s="191"/>
    </row>
    <row r="22" s="1" customFormat="1" ht="18" customHeight="1" spans="1:15">
      <c r="A22" s="42">
        <v>43800</v>
      </c>
      <c r="B22" s="25">
        <f t="shared" si="4"/>
        <v>159292.04</v>
      </c>
      <c r="C22" s="43"/>
      <c r="D22" s="44" t="s">
        <v>38</v>
      </c>
      <c r="E22" s="47">
        <v>0.13</v>
      </c>
      <c r="F22" s="25">
        <f t="shared" si="5"/>
        <v>20707.96</v>
      </c>
      <c r="G22" s="178">
        <v>180000</v>
      </c>
      <c r="H22" s="30">
        <v>43798</v>
      </c>
      <c r="I22" s="31">
        <v>180000</v>
      </c>
      <c r="J22" s="40" t="s">
        <v>22</v>
      </c>
      <c r="K22" s="190" t="s">
        <v>42</v>
      </c>
      <c r="L22" s="191" t="s">
        <v>52</v>
      </c>
      <c r="M22" s="77" t="s">
        <v>41</v>
      </c>
      <c r="N22" s="77"/>
      <c r="O22" s="192">
        <v>321.43</v>
      </c>
    </row>
    <row r="23" s="1" customFormat="1" ht="18" customHeight="1" spans="1:15">
      <c r="A23" s="42">
        <v>43800</v>
      </c>
      <c r="B23" s="25">
        <f t="shared" si="4"/>
        <v>0</v>
      </c>
      <c r="C23" s="43"/>
      <c r="D23" s="44"/>
      <c r="E23" s="45"/>
      <c r="F23" s="25">
        <f t="shared" si="5"/>
        <v>0</v>
      </c>
      <c r="G23" s="178"/>
      <c r="H23" s="30">
        <v>43816</v>
      </c>
      <c r="I23" s="31">
        <v>510000</v>
      </c>
      <c r="J23" s="40" t="s">
        <v>22</v>
      </c>
      <c r="K23" s="190" t="s">
        <v>39</v>
      </c>
      <c r="L23" s="191" t="s">
        <v>51</v>
      </c>
      <c r="M23" s="77"/>
      <c r="N23" s="77"/>
      <c r="O23" s="191"/>
    </row>
    <row r="24" s="1" customFormat="1" ht="18" customHeight="1" spans="1:15">
      <c r="A24" s="42"/>
      <c r="B24" s="25">
        <f t="shared" si="4"/>
        <v>0</v>
      </c>
      <c r="C24" s="43"/>
      <c r="D24" s="44"/>
      <c r="E24" s="45"/>
      <c r="F24" s="25">
        <f t="shared" si="5"/>
        <v>0</v>
      </c>
      <c r="G24" s="178"/>
      <c r="H24" s="30">
        <v>43816</v>
      </c>
      <c r="I24" s="31">
        <v>500000</v>
      </c>
      <c r="J24" s="40" t="s">
        <v>22</v>
      </c>
      <c r="K24" s="190" t="s">
        <v>42</v>
      </c>
      <c r="L24" s="191" t="s">
        <v>53</v>
      </c>
      <c r="M24" s="77"/>
      <c r="N24" s="77"/>
      <c r="O24" s="191"/>
    </row>
    <row r="25" s="1" customFormat="1" ht="18" customHeight="1" spans="1:15">
      <c r="A25" s="42">
        <v>43800</v>
      </c>
      <c r="B25" s="25">
        <f t="shared" si="4"/>
        <v>26161.81</v>
      </c>
      <c r="C25" s="43"/>
      <c r="D25" s="44" t="s">
        <v>38</v>
      </c>
      <c r="E25" s="47">
        <v>0.13</v>
      </c>
      <c r="F25" s="25">
        <f t="shared" si="5"/>
        <v>3401.04</v>
      </c>
      <c r="G25" s="178">
        <f>289+712.88+1692.98+5848.99+20479+540</f>
        <v>29562.85</v>
      </c>
      <c r="H25" s="30"/>
      <c r="I25" s="31"/>
      <c r="J25" s="40"/>
      <c r="K25" s="190" t="s">
        <v>54</v>
      </c>
      <c r="L25" s="191"/>
      <c r="M25" s="77"/>
      <c r="N25" s="77"/>
      <c r="O25" s="191"/>
    </row>
    <row r="26" s="1" customFormat="1" ht="18" customHeight="1" spans="1:15">
      <c r="A26" s="42">
        <v>43800</v>
      </c>
      <c r="B26" s="25">
        <f t="shared" si="4"/>
        <v>3590</v>
      </c>
      <c r="C26" s="43"/>
      <c r="D26" s="44" t="s">
        <v>44</v>
      </c>
      <c r="E26" s="45"/>
      <c r="F26" s="25">
        <f t="shared" si="5"/>
        <v>0</v>
      </c>
      <c r="G26" s="178">
        <v>3590</v>
      </c>
      <c r="H26" s="30"/>
      <c r="I26" s="31"/>
      <c r="J26" s="40"/>
      <c r="K26" s="190" t="s">
        <v>55</v>
      </c>
      <c r="L26" s="191" t="s">
        <v>56</v>
      </c>
      <c r="M26" s="77"/>
      <c r="N26" s="77"/>
      <c r="O26" s="191"/>
    </row>
    <row r="27" s="1" customFormat="1" ht="18" customHeight="1" spans="1:15">
      <c r="A27" s="42">
        <v>43800</v>
      </c>
      <c r="B27" s="25">
        <f t="shared" si="4"/>
        <v>11518.87</v>
      </c>
      <c r="C27" s="43"/>
      <c r="D27" s="44" t="s">
        <v>38</v>
      </c>
      <c r="E27" s="47">
        <v>0.06</v>
      </c>
      <c r="F27" s="25">
        <f t="shared" si="5"/>
        <v>691.13</v>
      </c>
      <c r="G27" s="178">
        <f>1207+1069+372+1480+1468+1278+1095+955+1360+742+1184</f>
        <v>12210</v>
      </c>
      <c r="H27" s="30"/>
      <c r="I27" s="31"/>
      <c r="J27" s="40"/>
      <c r="K27" s="190" t="s">
        <v>57</v>
      </c>
      <c r="L27" s="191" t="s">
        <v>58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4"/>
        <v>1855</v>
      </c>
      <c r="C28" s="43"/>
      <c r="D28" s="44" t="s">
        <v>59</v>
      </c>
      <c r="E28" s="47"/>
      <c r="F28" s="25">
        <f t="shared" si="5"/>
        <v>0</v>
      </c>
      <c r="G28" s="178">
        <v>1855</v>
      </c>
      <c r="H28" s="30"/>
      <c r="I28" s="31"/>
      <c r="J28" s="40"/>
      <c r="K28" s="190" t="s">
        <v>57</v>
      </c>
      <c r="L28" s="191" t="s">
        <v>58</v>
      </c>
      <c r="M28" s="77"/>
      <c r="N28" s="77"/>
      <c r="O28" s="191"/>
    </row>
    <row r="29" s="1" customFormat="1" ht="18" customHeight="1" spans="1:15">
      <c r="A29" s="42"/>
      <c r="B29" s="25">
        <f t="shared" si="4"/>
        <v>0</v>
      </c>
      <c r="C29" s="43"/>
      <c r="D29" s="44"/>
      <c r="E29" s="45"/>
      <c r="F29" s="25">
        <f t="shared" si="5"/>
        <v>0</v>
      </c>
      <c r="G29" s="178"/>
      <c r="H29" s="30">
        <v>43819</v>
      </c>
      <c r="I29" s="31">
        <v>1000000</v>
      </c>
      <c r="J29" s="40" t="s">
        <v>45</v>
      </c>
      <c r="K29" s="190" t="s">
        <v>60</v>
      </c>
      <c r="L29" s="191" t="s">
        <v>61</v>
      </c>
      <c r="M29" s="77"/>
      <c r="N29" s="77"/>
      <c r="O29" s="191"/>
    </row>
    <row r="30" s="2" customFormat="1" ht="18" customHeight="1" spans="1:15">
      <c r="A30" s="50"/>
      <c r="B30" s="51">
        <f t="shared" si="4"/>
        <v>0</v>
      </c>
      <c r="C30" s="52"/>
      <c r="D30" s="53"/>
      <c r="E30" s="181"/>
      <c r="F30" s="51">
        <f t="shared" si="5"/>
        <v>0</v>
      </c>
      <c r="G30" s="51"/>
      <c r="H30" s="182">
        <v>43819</v>
      </c>
      <c r="I30" s="141">
        <v>-1000000</v>
      </c>
      <c r="J30" s="75" t="s">
        <v>45</v>
      </c>
      <c r="K30" s="193" t="s">
        <v>62</v>
      </c>
      <c r="L30" s="237" t="s">
        <v>63</v>
      </c>
      <c r="M30" s="78"/>
      <c r="N30" s="78"/>
      <c r="O30" s="194"/>
    </row>
    <row r="31" s="2" customFormat="1" ht="18" customHeight="1" spans="1:15">
      <c r="A31" s="50">
        <v>43800</v>
      </c>
      <c r="B31" s="51">
        <f t="shared" si="4"/>
        <v>442477.88</v>
      </c>
      <c r="C31" s="52"/>
      <c r="D31" s="53" t="s">
        <v>38</v>
      </c>
      <c r="E31" s="183">
        <v>0.13</v>
      </c>
      <c r="F31" s="51">
        <f t="shared" si="5"/>
        <v>57522.12</v>
      </c>
      <c r="G31" s="51">
        <v>500000</v>
      </c>
      <c r="H31" s="57">
        <v>43830</v>
      </c>
      <c r="I31" s="33">
        <v>300000</v>
      </c>
      <c r="J31" s="86" t="s">
        <v>22</v>
      </c>
      <c r="K31" s="195" t="s">
        <v>42</v>
      </c>
      <c r="L31" s="194" t="s">
        <v>64</v>
      </c>
      <c r="M31" s="78" t="s">
        <v>41</v>
      </c>
      <c r="N31" s="78" t="s">
        <v>65</v>
      </c>
      <c r="O31" s="194">
        <v>729.95</v>
      </c>
    </row>
    <row r="32" s="2" customFormat="1" ht="18" customHeight="1" spans="1:15">
      <c r="A32" s="50">
        <v>43800</v>
      </c>
      <c r="B32" s="51">
        <f t="shared" si="4"/>
        <v>485436.89</v>
      </c>
      <c r="C32" s="52"/>
      <c r="D32" s="53" t="s">
        <v>38</v>
      </c>
      <c r="E32" s="183">
        <v>0.03</v>
      </c>
      <c r="F32" s="51">
        <f t="shared" si="5"/>
        <v>14563.11</v>
      </c>
      <c r="G32" s="51">
        <v>500000</v>
      </c>
      <c r="H32" s="57">
        <v>43846</v>
      </c>
      <c r="I32" s="33">
        <v>390000</v>
      </c>
      <c r="J32" s="86" t="s">
        <v>22</v>
      </c>
      <c r="K32" s="195" t="s">
        <v>39</v>
      </c>
      <c r="L32" s="194" t="s">
        <v>51</v>
      </c>
      <c r="M32" s="78"/>
      <c r="N32" s="78"/>
      <c r="O32" s="194"/>
    </row>
    <row r="33" s="2" customFormat="1" ht="18" customHeight="1" spans="1:15">
      <c r="A33" s="50">
        <v>43800</v>
      </c>
      <c r="B33" s="51">
        <f t="shared" si="4"/>
        <v>1200000</v>
      </c>
      <c r="C33" s="52"/>
      <c r="D33" s="53" t="s">
        <v>66</v>
      </c>
      <c r="E33" s="183"/>
      <c r="F33" s="51">
        <f t="shared" si="5"/>
        <v>0</v>
      </c>
      <c r="G33" s="51">
        <v>1200000</v>
      </c>
      <c r="H33" s="57"/>
      <c r="I33" s="33"/>
      <c r="J33" s="86"/>
      <c r="K33" s="195" t="s">
        <v>67</v>
      </c>
      <c r="L33" s="194"/>
      <c r="M33" s="78"/>
      <c r="N33" s="78"/>
      <c r="O33" s="194"/>
    </row>
    <row r="34" s="2" customFormat="1" ht="18" customHeight="1" spans="1:15">
      <c r="A34" s="50">
        <v>43831</v>
      </c>
      <c r="B34" s="51">
        <f t="shared" si="4"/>
        <v>265486.73</v>
      </c>
      <c r="C34" s="52"/>
      <c r="D34" s="53" t="s">
        <v>38</v>
      </c>
      <c r="E34" s="183">
        <v>0.13</v>
      </c>
      <c r="F34" s="51">
        <f t="shared" si="5"/>
        <v>34513.27</v>
      </c>
      <c r="G34" s="51">
        <f>3*100000</f>
        <v>300000</v>
      </c>
      <c r="H34" s="57">
        <v>43846</v>
      </c>
      <c r="I34" s="33">
        <v>300000</v>
      </c>
      <c r="J34" s="86" t="s">
        <v>22</v>
      </c>
      <c r="K34" s="195" t="s">
        <v>42</v>
      </c>
      <c r="L34" s="194" t="s">
        <v>68</v>
      </c>
      <c r="M34" s="78" t="s">
        <v>41</v>
      </c>
      <c r="N34" s="78" t="s">
        <v>69</v>
      </c>
      <c r="O34" s="194">
        <v>426</v>
      </c>
    </row>
    <row r="35" s="2" customFormat="1" ht="18" customHeight="1" spans="1:15">
      <c r="A35" s="50">
        <v>43831</v>
      </c>
      <c r="B35" s="51">
        <f t="shared" si="4"/>
        <v>600000</v>
      </c>
      <c r="C35" s="52"/>
      <c r="D35" s="53" t="s">
        <v>66</v>
      </c>
      <c r="E35" s="183"/>
      <c r="F35" s="51">
        <f t="shared" si="5"/>
        <v>0</v>
      </c>
      <c r="G35" s="33">
        <v>600000</v>
      </c>
      <c r="H35" s="57"/>
      <c r="I35" s="33"/>
      <c r="J35" s="86"/>
      <c r="K35" s="196" t="s">
        <v>70</v>
      </c>
      <c r="L35" s="194" t="s">
        <v>71</v>
      </c>
      <c r="M35" s="78"/>
      <c r="N35" s="78"/>
      <c r="O35" s="194"/>
    </row>
    <row r="36" s="2" customFormat="1" ht="18" customHeight="1" spans="1:15">
      <c r="A36" s="50">
        <v>43831</v>
      </c>
      <c r="B36" s="51">
        <f t="shared" si="4"/>
        <v>600000</v>
      </c>
      <c r="C36" s="52"/>
      <c r="D36" s="53" t="s">
        <v>66</v>
      </c>
      <c r="E36" s="183"/>
      <c r="F36" s="51">
        <f t="shared" si="5"/>
        <v>0</v>
      </c>
      <c r="G36" s="33">
        <v>600000</v>
      </c>
      <c r="H36" s="57">
        <v>43852</v>
      </c>
      <c r="I36" s="33">
        <v>400000</v>
      </c>
      <c r="J36" s="86" t="s">
        <v>45</v>
      </c>
      <c r="K36" s="196" t="s">
        <v>72</v>
      </c>
      <c r="L36" s="194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4"/>
        <v>733944.95</v>
      </c>
      <c r="C37" s="52"/>
      <c r="D37" s="53" t="s">
        <v>38</v>
      </c>
      <c r="E37" s="183">
        <v>0.09</v>
      </c>
      <c r="F37" s="51">
        <f t="shared" si="5"/>
        <v>66055.05</v>
      </c>
      <c r="G37" s="33">
        <v>800000</v>
      </c>
      <c r="H37" s="57"/>
      <c r="I37" s="33"/>
      <c r="J37" s="86"/>
      <c r="K37" s="196" t="s">
        <v>73</v>
      </c>
      <c r="L37" s="194" t="s">
        <v>74</v>
      </c>
      <c r="M37" s="78" t="s">
        <v>41</v>
      </c>
      <c r="N37" s="78" t="s">
        <v>41</v>
      </c>
      <c r="O37" s="194"/>
    </row>
    <row r="38" s="2" customFormat="1" ht="18" customHeight="1" spans="1:15">
      <c r="A38" s="50"/>
      <c r="B38" s="51">
        <f t="shared" si="4"/>
        <v>0</v>
      </c>
      <c r="C38" s="52"/>
      <c r="D38" s="53"/>
      <c r="E38" s="183"/>
      <c r="F38" s="51">
        <f t="shared" si="5"/>
        <v>0</v>
      </c>
      <c r="G38" s="33"/>
      <c r="H38" s="57">
        <v>43850</v>
      </c>
      <c r="I38" s="33">
        <v>200000</v>
      </c>
      <c r="J38" s="86" t="s">
        <v>45</v>
      </c>
      <c r="K38" s="195" t="s">
        <v>60</v>
      </c>
      <c r="L38" s="194"/>
      <c r="M38" s="78"/>
      <c r="N38" s="78"/>
      <c r="O38" s="194"/>
    </row>
    <row r="39" s="2" customFormat="1" ht="18" customHeight="1" spans="1:15">
      <c r="A39" s="50"/>
      <c r="B39" s="51">
        <f t="shared" si="4"/>
        <v>0</v>
      </c>
      <c r="C39" s="52"/>
      <c r="D39" s="53"/>
      <c r="E39" s="183"/>
      <c r="F39" s="51">
        <f t="shared" si="5"/>
        <v>0</v>
      </c>
      <c r="G39" s="33"/>
      <c r="H39" s="57">
        <v>43853</v>
      </c>
      <c r="I39" s="33">
        <v>500000</v>
      </c>
      <c r="J39" s="86" t="s">
        <v>22</v>
      </c>
      <c r="K39" s="195" t="s">
        <v>73</v>
      </c>
      <c r="L39" s="194" t="s">
        <v>75</v>
      </c>
      <c r="M39" s="78"/>
      <c r="N39" s="78"/>
      <c r="O39" s="194"/>
    </row>
    <row r="40" s="2" customFormat="1" ht="18" customHeight="1" spans="1:15">
      <c r="A40" s="50"/>
      <c r="B40" s="51">
        <f t="shared" si="4"/>
        <v>0</v>
      </c>
      <c r="C40" s="52"/>
      <c r="D40" s="53"/>
      <c r="E40" s="183"/>
      <c r="F40" s="51">
        <f t="shared" si="5"/>
        <v>0</v>
      </c>
      <c r="G40" s="33"/>
      <c r="H40" s="57">
        <v>43853</v>
      </c>
      <c r="I40" s="33">
        <v>600000</v>
      </c>
      <c r="J40" s="86" t="s">
        <v>45</v>
      </c>
      <c r="K40" s="195" t="s">
        <v>70</v>
      </c>
      <c r="L40" s="194" t="s">
        <v>71</v>
      </c>
      <c r="M40" s="78"/>
      <c r="N40" s="78"/>
      <c r="O40" s="194"/>
    </row>
    <row r="41" s="2" customFormat="1" ht="18" customHeight="1" spans="1:15">
      <c r="A41" s="50"/>
      <c r="B41" s="51">
        <f t="shared" si="4"/>
        <v>0</v>
      </c>
      <c r="C41" s="52"/>
      <c r="D41" s="53"/>
      <c r="E41" s="183"/>
      <c r="F41" s="51">
        <f t="shared" si="5"/>
        <v>0</v>
      </c>
      <c r="G41" s="33"/>
      <c r="H41" s="57">
        <v>43853</v>
      </c>
      <c r="I41" s="33">
        <v>200000</v>
      </c>
      <c r="J41" s="86" t="s">
        <v>45</v>
      </c>
      <c r="K41" s="195" t="s">
        <v>72</v>
      </c>
      <c r="L41" s="194" t="s">
        <v>71</v>
      </c>
      <c r="M41" s="78"/>
      <c r="N41" s="78"/>
      <c r="O41" s="194"/>
    </row>
    <row r="42" s="2" customFormat="1" ht="18" customHeight="1" spans="1:15">
      <c r="A42" s="50">
        <v>43891</v>
      </c>
      <c r="B42" s="51">
        <f t="shared" si="4"/>
        <v>485436.89</v>
      </c>
      <c r="C42" s="52"/>
      <c r="D42" s="53" t="s">
        <v>38</v>
      </c>
      <c r="E42" s="183">
        <v>0.03</v>
      </c>
      <c r="F42" s="51">
        <f t="shared" si="5"/>
        <v>14563.11</v>
      </c>
      <c r="G42" s="33">
        <v>500000</v>
      </c>
      <c r="H42" s="57">
        <v>43923</v>
      </c>
      <c r="I42" s="33">
        <v>320000</v>
      </c>
      <c r="J42" s="86" t="s">
        <v>22</v>
      </c>
      <c r="K42" s="195" t="s">
        <v>39</v>
      </c>
      <c r="L42" s="194" t="s">
        <v>40</v>
      </c>
      <c r="M42" s="78"/>
      <c r="N42" s="78"/>
      <c r="O42" s="194"/>
    </row>
    <row r="43" s="2" customFormat="1" ht="18" customHeight="1" spans="1:15">
      <c r="A43" s="50">
        <v>43922</v>
      </c>
      <c r="B43" s="51">
        <f t="shared" si="4"/>
        <v>265486.73</v>
      </c>
      <c r="C43" s="52"/>
      <c r="D43" s="53" t="s">
        <v>38</v>
      </c>
      <c r="E43" s="183">
        <v>0.13</v>
      </c>
      <c r="F43" s="51">
        <f t="shared" si="5"/>
        <v>34513.27</v>
      </c>
      <c r="G43" s="33">
        <v>300000</v>
      </c>
      <c r="H43" s="57"/>
      <c r="I43" s="33"/>
      <c r="J43" s="86"/>
      <c r="K43" s="212" t="s">
        <v>42</v>
      </c>
      <c r="L43" s="194" t="s">
        <v>68</v>
      </c>
      <c r="M43" s="78"/>
      <c r="N43" s="78"/>
      <c r="O43" s="194"/>
    </row>
    <row r="44" s="1" customFormat="1" ht="18" customHeight="1" spans="1:15">
      <c r="A44" s="42">
        <v>43983</v>
      </c>
      <c r="B44" s="51">
        <f t="shared" si="4"/>
        <v>150500</v>
      </c>
      <c r="C44" s="43"/>
      <c r="D44" s="44" t="s">
        <v>66</v>
      </c>
      <c r="E44" s="47"/>
      <c r="F44" s="51">
        <f t="shared" si="5"/>
        <v>0</v>
      </c>
      <c r="G44" s="184">
        <v>150500</v>
      </c>
      <c r="H44" s="58">
        <v>43986</v>
      </c>
      <c r="I44" s="197">
        <v>150500</v>
      </c>
      <c r="J44" s="89" t="s">
        <v>152</v>
      </c>
      <c r="K44" s="198" t="s">
        <v>153</v>
      </c>
      <c r="L44" s="191" t="s">
        <v>154</v>
      </c>
      <c r="M44" s="77" t="s">
        <v>41</v>
      </c>
      <c r="N44" s="77" t="s">
        <v>155</v>
      </c>
      <c r="O44" s="191"/>
    </row>
    <row r="45" s="1" customFormat="1" ht="18" customHeight="1" spans="1:15">
      <c r="A45" s="42">
        <v>43983</v>
      </c>
      <c r="B45" s="51">
        <f t="shared" si="4"/>
        <v>154000</v>
      </c>
      <c r="C45" s="43"/>
      <c r="D45" s="44" t="s">
        <v>66</v>
      </c>
      <c r="E45" s="47"/>
      <c r="F45" s="51">
        <f t="shared" si="5"/>
        <v>0</v>
      </c>
      <c r="G45" s="184">
        <v>154000</v>
      </c>
      <c r="H45" s="58">
        <v>43986</v>
      </c>
      <c r="I45" s="197">
        <v>150000</v>
      </c>
      <c r="J45" s="89" t="s">
        <v>22</v>
      </c>
      <c r="K45" s="198" t="s">
        <v>156</v>
      </c>
      <c r="L45" s="191" t="s">
        <v>157</v>
      </c>
      <c r="M45" s="77" t="s">
        <v>41</v>
      </c>
      <c r="N45" s="77" t="s">
        <v>155</v>
      </c>
      <c r="O45" s="191"/>
    </row>
    <row r="46" s="1" customFormat="1" ht="18" customHeight="1" spans="1:15">
      <c r="A46" s="42"/>
      <c r="B46" s="51">
        <f t="shared" si="4"/>
        <v>0</v>
      </c>
      <c r="C46" s="43"/>
      <c r="D46" s="44"/>
      <c r="E46" s="47"/>
      <c r="F46" s="51">
        <f t="shared" si="5"/>
        <v>0</v>
      </c>
      <c r="G46" s="184"/>
      <c r="H46" s="206">
        <v>44067</v>
      </c>
      <c r="I46" s="210">
        <v>150000</v>
      </c>
      <c r="J46" s="211" t="s">
        <v>22</v>
      </c>
      <c r="K46" s="212" t="s">
        <v>39</v>
      </c>
      <c r="L46" s="192" t="s">
        <v>40</v>
      </c>
      <c r="M46" s="77"/>
      <c r="N46" s="77"/>
      <c r="O46" s="191"/>
    </row>
    <row r="47" s="1" customFormat="1" ht="18" customHeight="1" spans="1:15">
      <c r="A47" s="42">
        <v>44075</v>
      </c>
      <c r="B47" s="51">
        <f t="shared" si="4"/>
        <v>240000</v>
      </c>
      <c r="C47" s="43"/>
      <c r="D47" s="44" t="s">
        <v>66</v>
      </c>
      <c r="E47" s="47"/>
      <c r="F47" s="51">
        <f t="shared" si="5"/>
        <v>0</v>
      </c>
      <c r="G47" s="184">
        <f>90000+90000+60000</f>
        <v>240000</v>
      </c>
      <c r="H47" s="206">
        <v>44067</v>
      </c>
      <c r="I47" s="210">
        <v>240000</v>
      </c>
      <c r="J47" s="211" t="s">
        <v>22</v>
      </c>
      <c r="K47" s="212" t="s">
        <v>161</v>
      </c>
      <c r="L47" s="194" t="s">
        <v>162</v>
      </c>
      <c r="M47" s="77" t="s">
        <v>41</v>
      </c>
      <c r="N47" s="77" t="s">
        <v>41</v>
      </c>
      <c r="O47" s="191"/>
    </row>
    <row r="48" s="1" customFormat="1" ht="18" customHeight="1" spans="1:15">
      <c r="A48" s="42"/>
      <c r="B48" s="51">
        <f t="shared" si="4"/>
        <v>0</v>
      </c>
      <c r="C48" s="43"/>
      <c r="D48" s="44"/>
      <c r="E48" s="47"/>
      <c r="F48" s="51">
        <f t="shared" si="5"/>
        <v>0</v>
      </c>
      <c r="G48" s="184"/>
      <c r="H48" s="58"/>
      <c r="I48" s="197"/>
      <c r="J48" s="89"/>
      <c r="K48" s="195"/>
      <c r="L48" s="194"/>
      <c r="M48" s="77"/>
      <c r="N48" s="77"/>
      <c r="O48" s="191"/>
    </row>
    <row r="49" s="1" customFormat="1" ht="18" customHeight="1" spans="1:15">
      <c r="A49" s="42"/>
      <c r="B49" s="51">
        <f t="shared" si="4"/>
        <v>0</v>
      </c>
      <c r="C49" s="43"/>
      <c r="D49" s="44"/>
      <c r="E49" s="47"/>
      <c r="F49" s="51">
        <f t="shared" si="5"/>
        <v>0</v>
      </c>
      <c r="G49" s="184"/>
      <c r="H49" s="58"/>
      <c r="I49" s="197"/>
      <c r="J49" s="89"/>
      <c r="K49" s="195"/>
      <c r="L49" s="194"/>
      <c r="M49" s="77"/>
      <c r="N49" s="77"/>
      <c r="O49" s="191"/>
    </row>
    <row r="50" s="1" customFormat="1" ht="18" customHeight="1" spans="1:15">
      <c r="A50" s="42"/>
      <c r="B50" s="51">
        <f t="shared" si="4"/>
        <v>0</v>
      </c>
      <c r="C50" s="43"/>
      <c r="D50" s="44"/>
      <c r="E50" s="47"/>
      <c r="F50" s="51">
        <f t="shared" si="5"/>
        <v>0</v>
      </c>
      <c r="G50" s="184"/>
      <c r="H50" s="30"/>
      <c r="I50" s="31"/>
      <c r="J50" s="40"/>
      <c r="K50" s="190"/>
      <c r="L50" s="191"/>
      <c r="M50" s="77" t="s">
        <v>163</v>
      </c>
      <c r="N50" s="77"/>
      <c r="O50" s="191"/>
    </row>
    <row r="51" s="1" customFormat="1" ht="18" customHeight="1" spans="1:15">
      <c r="A51" s="42"/>
      <c r="B51" s="51">
        <f t="shared" si="4"/>
        <v>0</v>
      </c>
      <c r="C51" s="43"/>
      <c r="D51" s="44"/>
      <c r="E51" s="47"/>
      <c r="F51" s="51">
        <f t="shared" si="5"/>
        <v>0</v>
      </c>
      <c r="G51" s="184"/>
      <c r="H51" s="30"/>
      <c r="I51" s="31"/>
      <c r="J51" s="40"/>
      <c r="K51" s="190"/>
      <c r="L51" s="191"/>
      <c r="M51" s="77"/>
      <c r="N51" s="77"/>
      <c r="O51" s="191"/>
    </row>
    <row r="52" s="1" customFormat="1" ht="18" customHeight="1" spans="1:15">
      <c r="A52" s="42"/>
      <c r="B52" s="51">
        <f t="shared" ref="B50:B64" si="6">ROUND(G52/(1+E52),2)</f>
        <v>0</v>
      </c>
      <c r="C52" s="43"/>
      <c r="D52" s="44"/>
      <c r="E52" s="47"/>
      <c r="F52" s="51">
        <f t="shared" ref="F50:F64" si="7">ROUND(G52/(1+E52)*E52,2)</f>
        <v>0</v>
      </c>
      <c r="G52" s="184"/>
      <c r="H52" s="30"/>
      <c r="I52" s="31"/>
      <c r="J52" s="40"/>
      <c r="K52" s="190"/>
      <c r="L52" s="191"/>
      <c r="M52" s="77"/>
      <c r="N52" s="77"/>
      <c r="O52" s="191"/>
    </row>
    <row r="53" s="1" customFormat="1" ht="18" customHeight="1" spans="1:15">
      <c r="A53" s="42"/>
      <c r="B53" s="51">
        <f t="shared" si="6"/>
        <v>0</v>
      </c>
      <c r="C53" s="43"/>
      <c r="D53" s="44"/>
      <c r="E53" s="47"/>
      <c r="F53" s="51">
        <f t="shared" si="7"/>
        <v>0</v>
      </c>
      <c r="G53" s="184"/>
      <c r="H53" s="206" t="s">
        <v>164</v>
      </c>
      <c r="I53" s="210">
        <v>1192.9</v>
      </c>
      <c r="J53" s="211" t="s">
        <v>77</v>
      </c>
      <c r="K53" s="212" t="s">
        <v>165</v>
      </c>
      <c r="L53" s="191"/>
      <c r="M53" s="77"/>
      <c r="N53" s="77"/>
      <c r="O53" s="191"/>
    </row>
    <row r="54" s="1" customFormat="1" ht="18" customHeight="1" spans="1:15">
      <c r="A54" s="42"/>
      <c r="B54" s="51">
        <f t="shared" si="6"/>
        <v>0</v>
      </c>
      <c r="C54" s="43"/>
      <c r="D54" s="44"/>
      <c r="E54" s="47"/>
      <c r="F54" s="51">
        <f t="shared" si="7"/>
        <v>0</v>
      </c>
      <c r="G54" s="184"/>
      <c r="H54" s="206" t="s">
        <v>164</v>
      </c>
      <c r="I54" s="210">
        <v>200</v>
      </c>
      <c r="J54" s="211" t="s">
        <v>77</v>
      </c>
      <c r="K54" s="212" t="s">
        <v>78</v>
      </c>
      <c r="L54" s="191"/>
      <c r="M54" s="77"/>
      <c r="N54" s="77"/>
      <c r="O54" s="191"/>
    </row>
    <row r="55" s="1" customFormat="1" ht="18" customHeight="1" spans="1:15">
      <c r="A55" s="42"/>
      <c r="B55" s="51">
        <f t="shared" si="6"/>
        <v>2000</v>
      </c>
      <c r="C55" s="43"/>
      <c r="D55" s="44"/>
      <c r="E55" s="47"/>
      <c r="F55" s="51">
        <f t="shared" si="7"/>
        <v>0</v>
      </c>
      <c r="G55" s="184">
        <f>I55</f>
        <v>2000</v>
      </c>
      <c r="H55" s="206" t="s">
        <v>164</v>
      </c>
      <c r="I55" s="210">
        <v>2000</v>
      </c>
      <c r="J55" s="211" t="s">
        <v>77</v>
      </c>
      <c r="K55" s="212" t="s">
        <v>105</v>
      </c>
      <c r="L55" s="191"/>
      <c r="M55" s="77"/>
      <c r="N55" s="77"/>
      <c r="O55" s="191"/>
    </row>
    <row r="56" s="1" customFormat="1" ht="18" customHeight="1" spans="1:15">
      <c r="A56" s="42"/>
      <c r="B56" s="51">
        <f t="shared" si="6"/>
        <v>0</v>
      </c>
      <c r="C56" s="43"/>
      <c r="D56" s="44"/>
      <c r="E56" s="47"/>
      <c r="F56" s="51">
        <f t="shared" si="7"/>
        <v>0</v>
      </c>
      <c r="G56" s="184"/>
      <c r="H56" s="206" t="s">
        <v>164</v>
      </c>
      <c r="I56" s="210">
        <v>6400</v>
      </c>
      <c r="J56" s="211" t="s">
        <v>77</v>
      </c>
      <c r="K56" s="212" t="s">
        <v>146</v>
      </c>
      <c r="L56" s="191"/>
      <c r="M56" s="77"/>
      <c r="N56" s="77"/>
      <c r="O56" s="191"/>
    </row>
    <row r="57" s="1" customFormat="1" ht="18" customHeight="1" spans="1:15">
      <c r="A57" s="42"/>
      <c r="B57" s="51">
        <f t="shared" si="6"/>
        <v>0</v>
      </c>
      <c r="C57" s="43"/>
      <c r="D57" s="44"/>
      <c r="E57" s="47"/>
      <c r="F57" s="51">
        <f t="shared" si="7"/>
        <v>0</v>
      </c>
      <c r="G57" s="184"/>
      <c r="H57" s="206" t="s">
        <v>164</v>
      </c>
      <c r="I57" s="210">
        <v>221</v>
      </c>
      <c r="J57" s="211" t="s">
        <v>77</v>
      </c>
      <c r="K57" s="212" t="s">
        <v>140</v>
      </c>
      <c r="L57" s="191"/>
      <c r="M57" s="77"/>
      <c r="N57" s="77"/>
      <c r="O57" s="191"/>
    </row>
    <row r="58" s="1" customFormat="1" ht="18" customHeight="1" spans="1:15">
      <c r="A58" s="42"/>
      <c r="B58" s="51">
        <f t="shared" si="6"/>
        <v>0</v>
      </c>
      <c r="C58" s="43"/>
      <c r="D58" s="44"/>
      <c r="E58" s="47"/>
      <c r="F58" s="51">
        <f t="shared" si="7"/>
        <v>0</v>
      </c>
      <c r="G58" s="184"/>
      <c r="H58" s="30" t="s">
        <v>158</v>
      </c>
      <c r="I58" s="197">
        <v>100</v>
      </c>
      <c r="J58" s="89" t="s">
        <v>77</v>
      </c>
      <c r="K58" s="198" t="s">
        <v>78</v>
      </c>
      <c r="L58" s="191" t="s">
        <v>159</v>
      </c>
      <c r="M58" s="77"/>
      <c r="N58" s="77"/>
      <c r="O58" s="191"/>
    </row>
    <row r="59" s="1" customFormat="1" ht="18" customHeight="1" spans="1:15">
      <c r="A59" s="42"/>
      <c r="B59" s="51">
        <f t="shared" si="6"/>
        <v>0</v>
      </c>
      <c r="C59" s="43"/>
      <c r="D59" s="44"/>
      <c r="E59" s="47"/>
      <c r="F59" s="51">
        <f t="shared" si="7"/>
        <v>0</v>
      </c>
      <c r="G59" s="184"/>
      <c r="H59" s="30" t="s">
        <v>158</v>
      </c>
      <c r="I59" s="197">
        <v>100</v>
      </c>
      <c r="J59" s="89" t="s">
        <v>77</v>
      </c>
      <c r="K59" s="198" t="s">
        <v>78</v>
      </c>
      <c r="L59" s="191" t="s">
        <v>159</v>
      </c>
      <c r="M59" s="77"/>
      <c r="N59" s="77"/>
      <c r="O59" s="191"/>
    </row>
    <row r="60" s="1" customFormat="1" ht="18" customHeight="1" spans="1:15">
      <c r="A60" s="42"/>
      <c r="B60" s="51">
        <f t="shared" si="6"/>
        <v>0</v>
      </c>
      <c r="C60" s="43"/>
      <c r="D60" s="44"/>
      <c r="E60" s="47"/>
      <c r="F60" s="51">
        <f t="shared" si="7"/>
        <v>0</v>
      </c>
      <c r="G60" s="184"/>
      <c r="H60" s="57">
        <v>43923</v>
      </c>
      <c r="I60" s="33">
        <v>100</v>
      </c>
      <c r="J60" s="86" t="s">
        <v>77</v>
      </c>
      <c r="K60" s="195" t="s">
        <v>78</v>
      </c>
      <c r="L60" s="191"/>
      <c r="M60" s="77"/>
      <c r="N60" s="77"/>
      <c r="O60" s="191"/>
    </row>
    <row r="61" s="1" customFormat="1" ht="18" customHeight="1" spans="1:15">
      <c r="A61" s="42"/>
      <c r="B61" s="51">
        <f t="shared" si="6"/>
        <v>0</v>
      </c>
      <c r="C61" s="43"/>
      <c r="D61" s="44"/>
      <c r="E61" s="47"/>
      <c r="F61" s="51">
        <f t="shared" si="7"/>
        <v>0</v>
      </c>
      <c r="G61" s="184"/>
      <c r="H61" s="30" t="s">
        <v>79</v>
      </c>
      <c r="I61" s="31">
        <v>200</v>
      </c>
      <c r="J61" s="86" t="s">
        <v>77</v>
      </c>
      <c r="K61" s="195" t="s">
        <v>78</v>
      </c>
      <c r="L61" s="191"/>
      <c r="M61" s="77"/>
      <c r="N61" s="77"/>
      <c r="O61" s="191"/>
    </row>
    <row r="62" s="1" customFormat="1" ht="18" customHeight="1" spans="1:15">
      <c r="A62" s="42"/>
      <c r="B62" s="51">
        <f t="shared" si="6"/>
        <v>0</v>
      </c>
      <c r="C62" s="43"/>
      <c r="D62" s="44"/>
      <c r="E62" s="47"/>
      <c r="F62" s="25">
        <f t="shared" si="7"/>
        <v>0</v>
      </c>
      <c r="G62" s="184"/>
      <c r="H62" s="30" t="s">
        <v>79</v>
      </c>
      <c r="I62" s="31">
        <v>-88680</v>
      </c>
      <c r="J62" s="40" t="s">
        <v>80</v>
      </c>
      <c r="K62" s="190" t="s">
        <v>133</v>
      </c>
      <c r="L62" s="191"/>
      <c r="M62" s="77"/>
      <c r="N62" s="77"/>
      <c r="O62" s="191"/>
    </row>
    <row r="63" s="1" customFormat="1" ht="18" customHeight="1" spans="1:15">
      <c r="A63" s="42"/>
      <c r="B63" s="25">
        <f t="shared" si="6"/>
        <v>0</v>
      </c>
      <c r="C63" s="43"/>
      <c r="D63" s="44"/>
      <c r="E63" s="47"/>
      <c r="F63" s="25">
        <f t="shared" si="7"/>
        <v>0</v>
      </c>
      <c r="G63" s="184"/>
      <c r="H63" s="57" t="s">
        <v>82</v>
      </c>
      <c r="I63" s="33">
        <v>188304</v>
      </c>
      <c r="J63" s="86" t="s">
        <v>77</v>
      </c>
      <c r="K63" s="196" t="s">
        <v>83</v>
      </c>
      <c r="L63" s="194"/>
      <c r="M63" s="77"/>
      <c r="N63" s="77"/>
      <c r="O63" s="191"/>
    </row>
    <row r="64" s="1" customFormat="1" ht="18" customHeight="1" spans="1:16">
      <c r="A64" s="42"/>
      <c r="B64" s="25">
        <f t="shared" si="6"/>
        <v>0</v>
      </c>
      <c r="C64" s="43"/>
      <c r="D64" s="44"/>
      <c r="E64" s="47"/>
      <c r="F64" s="25">
        <f t="shared" si="7"/>
        <v>0</v>
      </c>
      <c r="G64" s="184"/>
      <c r="H64" s="104" t="s">
        <v>82</v>
      </c>
      <c r="I64" s="215">
        <v>-300000</v>
      </c>
      <c r="J64" s="114" t="s">
        <v>84</v>
      </c>
      <c r="K64" s="234" t="s">
        <v>85</v>
      </c>
      <c r="L64" s="194"/>
      <c r="M64" s="77"/>
      <c r="N64" s="115"/>
      <c r="O64" s="216" t="s">
        <v>86</v>
      </c>
      <c r="P64" s="120"/>
    </row>
    <row r="65" s="1" customFormat="1" ht="18" customHeight="1" spans="1:16">
      <c r="A65" s="42"/>
      <c r="B65" s="25"/>
      <c r="C65" s="43"/>
      <c r="D65" s="44"/>
      <c r="E65" s="47"/>
      <c r="F65" s="25"/>
      <c r="G65" s="184"/>
      <c r="H65" s="57" t="s">
        <v>82</v>
      </c>
      <c r="I65" s="197">
        <v>21333.33</v>
      </c>
      <c r="J65" s="86" t="s">
        <v>77</v>
      </c>
      <c r="K65" s="217" t="s">
        <v>87</v>
      </c>
      <c r="L65" s="218"/>
      <c r="M65" s="91"/>
      <c r="N65" s="91"/>
      <c r="O65" s="218"/>
      <c r="P65" s="122"/>
    </row>
    <row r="66" s="1" customFormat="1" ht="18" customHeight="1" spans="1:15">
      <c r="A66" s="42"/>
      <c r="B66" s="25">
        <f t="shared" ref="B66:B101" si="8">ROUND(G66/(1+E66),2)</f>
        <v>0</v>
      </c>
      <c r="C66" s="43"/>
      <c r="D66" s="44"/>
      <c r="E66" s="47"/>
      <c r="F66" s="25">
        <f t="shared" ref="F66:F101" si="9">ROUND(G66/(1+E66)*E66,2)</f>
        <v>0</v>
      </c>
      <c r="G66" s="184"/>
      <c r="H66" s="57" t="s">
        <v>82</v>
      </c>
      <c r="I66" s="33">
        <v>300</v>
      </c>
      <c r="J66" s="86" t="s">
        <v>77</v>
      </c>
      <c r="K66" s="195" t="s">
        <v>78</v>
      </c>
      <c r="L66" s="194"/>
      <c r="M66" s="77"/>
      <c r="N66" s="77"/>
      <c r="O66" s="191"/>
    </row>
    <row r="67" s="1" customFormat="1" ht="18" customHeight="1" spans="1:15">
      <c r="A67" s="42"/>
      <c r="B67" s="25">
        <f t="shared" si="8"/>
        <v>10000</v>
      </c>
      <c r="C67" s="43"/>
      <c r="D67" s="44"/>
      <c r="E67" s="47"/>
      <c r="F67" s="25">
        <f t="shared" si="9"/>
        <v>0</v>
      </c>
      <c r="G67" s="184">
        <f>10000</f>
        <v>10000</v>
      </c>
      <c r="H67" s="57" t="s">
        <v>82</v>
      </c>
      <c r="I67" s="33">
        <f>G67</f>
        <v>10000</v>
      </c>
      <c r="J67" s="86" t="s">
        <v>77</v>
      </c>
      <c r="K67" s="195" t="s">
        <v>105</v>
      </c>
      <c r="L67" s="194"/>
      <c r="M67" s="77"/>
      <c r="N67" s="77"/>
      <c r="O67" s="191"/>
    </row>
    <row r="68" s="1" customFormat="1" ht="18" customHeight="1" spans="1:15">
      <c r="A68" s="42"/>
      <c r="B68" s="25">
        <f t="shared" si="8"/>
        <v>0</v>
      </c>
      <c r="C68" s="43"/>
      <c r="D68" s="44"/>
      <c r="E68" s="47"/>
      <c r="F68" s="25">
        <f t="shared" si="9"/>
        <v>0</v>
      </c>
      <c r="G68" s="184"/>
      <c r="H68" s="57" t="s">
        <v>89</v>
      </c>
      <c r="I68" s="33">
        <v>-300000</v>
      </c>
      <c r="J68" s="86" t="s">
        <v>90</v>
      </c>
      <c r="K68" s="195" t="s">
        <v>91</v>
      </c>
      <c r="L68" s="194"/>
      <c r="M68" s="77"/>
      <c r="N68" s="77"/>
      <c r="O68" s="191"/>
    </row>
    <row r="69" s="1" customFormat="1" ht="18" customHeight="1" spans="1:15">
      <c r="A69" s="42"/>
      <c r="B69" s="25">
        <f t="shared" si="8"/>
        <v>0</v>
      </c>
      <c r="C69" s="43"/>
      <c r="D69" s="44"/>
      <c r="E69" s="47"/>
      <c r="F69" s="25">
        <f t="shared" si="9"/>
        <v>0</v>
      </c>
      <c r="G69" s="184"/>
      <c r="H69" s="57" t="s">
        <v>89</v>
      </c>
      <c r="I69" s="51">
        <v>100</v>
      </c>
      <c r="J69" s="86" t="s">
        <v>77</v>
      </c>
      <c r="K69" s="195" t="s">
        <v>78</v>
      </c>
      <c r="L69" s="194"/>
      <c r="M69" s="77"/>
      <c r="N69" s="77"/>
      <c r="O69" s="191"/>
    </row>
    <row r="70" s="1" customFormat="1" ht="18" customHeight="1" spans="1:15">
      <c r="A70" s="42"/>
      <c r="B70" s="25">
        <f t="shared" si="8"/>
        <v>0</v>
      </c>
      <c r="C70" s="43"/>
      <c r="D70" s="44"/>
      <c r="E70" s="47"/>
      <c r="F70" s="25">
        <f t="shared" si="9"/>
        <v>0</v>
      </c>
      <c r="G70" s="184"/>
      <c r="H70" s="57" t="s">
        <v>92</v>
      </c>
      <c r="I70" s="51">
        <v>100</v>
      </c>
      <c r="J70" s="86" t="s">
        <v>77</v>
      </c>
      <c r="K70" s="195" t="s">
        <v>78</v>
      </c>
      <c r="L70" s="194"/>
      <c r="M70" s="77"/>
      <c r="N70" s="77"/>
      <c r="O70" s="191"/>
    </row>
    <row r="71" s="1" customFormat="1" ht="18" customHeight="1" spans="1:15">
      <c r="A71" s="42"/>
      <c r="B71" s="25">
        <f t="shared" si="8"/>
        <v>0</v>
      </c>
      <c r="C71" s="43"/>
      <c r="D71" s="44"/>
      <c r="E71" s="47"/>
      <c r="F71" s="25">
        <f t="shared" si="9"/>
        <v>0</v>
      </c>
      <c r="G71" s="184"/>
      <c r="H71" s="57"/>
      <c r="I71" s="51"/>
      <c r="J71" s="86"/>
      <c r="K71" s="195"/>
      <c r="L71" s="194"/>
      <c r="M71" s="77"/>
      <c r="N71" s="77"/>
      <c r="O71" s="191"/>
    </row>
    <row r="72" s="1" customFormat="1" ht="18" customHeight="1" spans="1:15">
      <c r="A72" s="42"/>
      <c r="B72" s="25">
        <f t="shared" si="8"/>
        <v>0</v>
      </c>
      <c r="C72" s="43"/>
      <c r="D72" s="44"/>
      <c r="E72" s="47"/>
      <c r="F72" s="25">
        <f t="shared" si="9"/>
        <v>0</v>
      </c>
      <c r="G72" s="184"/>
      <c r="H72" s="57" t="s">
        <v>93</v>
      </c>
      <c r="I72" s="235">
        <v>184767</v>
      </c>
      <c r="J72" s="86" t="s">
        <v>94</v>
      </c>
      <c r="K72" s="195" t="s">
        <v>95</v>
      </c>
      <c r="L72" s="194"/>
      <c r="M72" s="77"/>
      <c r="N72" s="77"/>
      <c r="O72" s="191"/>
    </row>
    <row r="73" s="1" customFormat="1" ht="18" customHeight="1" spans="1:15">
      <c r="A73" s="42"/>
      <c r="B73" s="25">
        <f t="shared" si="8"/>
        <v>0</v>
      </c>
      <c r="C73" s="43"/>
      <c r="D73" s="44"/>
      <c r="E73" s="47"/>
      <c r="F73" s="25">
        <f t="shared" si="9"/>
        <v>0</v>
      </c>
      <c r="G73" s="184"/>
      <c r="H73" s="57" t="s">
        <v>93</v>
      </c>
      <c r="I73" s="235">
        <v>48000</v>
      </c>
      <c r="J73" s="86" t="s">
        <v>77</v>
      </c>
      <c r="K73" s="195" t="s">
        <v>146</v>
      </c>
      <c r="L73" s="194"/>
      <c r="M73" s="77"/>
      <c r="N73" s="77"/>
      <c r="O73" s="191"/>
    </row>
    <row r="74" s="1" customFormat="1" ht="18" customHeight="1" spans="1:15">
      <c r="A74" s="42"/>
      <c r="B74" s="25">
        <f t="shared" si="8"/>
        <v>0</v>
      </c>
      <c r="C74" s="43"/>
      <c r="D74" s="44"/>
      <c r="E74" s="47"/>
      <c r="F74" s="25">
        <f t="shared" si="9"/>
        <v>0</v>
      </c>
      <c r="G74" s="184"/>
      <c r="H74" s="57" t="s">
        <v>93</v>
      </c>
      <c r="I74" s="235">
        <v>1652</v>
      </c>
      <c r="J74" s="86" t="s">
        <v>77</v>
      </c>
      <c r="K74" s="195" t="s">
        <v>140</v>
      </c>
      <c r="L74" s="194"/>
      <c r="M74" s="77"/>
      <c r="N74" s="77"/>
      <c r="O74" s="191"/>
    </row>
    <row r="75" s="1" customFormat="1" ht="18" customHeight="1" spans="1:15">
      <c r="A75" s="42"/>
      <c r="B75" s="25">
        <f t="shared" si="8"/>
        <v>0</v>
      </c>
      <c r="C75" s="43"/>
      <c r="D75" s="44"/>
      <c r="E75" s="47"/>
      <c r="F75" s="25">
        <f t="shared" si="9"/>
        <v>0</v>
      </c>
      <c r="G75" s="184"/>
      <c r="H75" s="57" t="s">
        <v>93</v>
      </c>
      <c r="I75" s="235">
        <v>67389</v>
      </c>
      <c r="J75" s="86" t="s">
        <v>77</v>
      </c>
      <c r="K75" s="195" t="s">
        <v>147</v>
      </c>
      <c r="L75" s="194"/>
      <c r="M75" s="77"/>
      <c r="N75" s="77"/>
      <c r="O75" s="191"/>
    </row>
    <row r="76" s="1" customFormat="1" ht="18" customHeight="1" spans="1:15">
      <c r="A76" s="42"/>
      <c r="B76" s="25">
        <f t="shared" si="8"/>
        <v>0</v>
      </c>
      <c r="C76" s="43"/>
      <c r="D76" s="44"/>
      <c r="E76" s="45"/>
      <c r="F76" s="25">
        <f t="shared" si="9"/>
        <v>0</v>
      </c>
      <c r="G76" s="184"/>
      <c r="H76" s="57" t="s">
        <v>93</v>
      </c>
      <c r="I76" s="235">
        <v>100</v>
      </c>
      <c r="J76" s="86" t="s">
        <v>77</v>
      </c>
      <c r="K76" s="195" t="s">
        <v>78</v>
      </c>
      <c r="L76" s="194"/>
      <c r="M76" s="77"/>
      <c r="N76" s="77"/>
      <c r="O76" s="191"/>
    </row>
    <row r="77" s="1" customFormat="1" ht="18" customHeight="1" spans="1:15">
      <c r="A77" s="42"/>
      <c r="B77" s="25">
        <f t="shared" si="8"/>
        <v>5000</v>
      </c>
      <c r="C77" s="43"/>
      <c r="D77" s="44"/>
      <c r="E77" s="45"/>
      <c r="F77" s="25">
        <f t="shared" si="9"/>
        <v>0</v>
      </c>
      <c r="G77" s="184">
        <f>5000</f>
        <v>5000</v>
      </c>
      <c r="H77" s="57" t="s">
        <v>93</v>
      </c>
      <c r="I77" s="235">
        <f>G77</f>
        <v>5000</v>
      </c>
      <c r="J77" s="86" t="s">
        <v>77</v>
      </c>
      <c r="K77" s="195" t="s">
        <v>105</v>
      </c>
      <c r="L77" s="194"/>
      <c r="M77" s="77"/>
      <c r="N77" s="77"/>
      <c r="O77" s="191"/>
    </row>
    <row r="78" s="1" customFormat="1" ht="18" customHeight="1" spans="1:15">
      <c r="A78" s="42"/>
      <c r="B78" s="25">
        <f t="shared" si="8"/>
        <v>0</v>
      </c>
      <c r="C78" s="43"/>
      <c r="D78" s="44"/>
      <c r="E78" s="45"/>
      <c r="F78" s="25">
        <f t="shared" si="9"/>
        <v>0</v>
      </c>
      <c r="G78" s="184"/>
      <c r="H78" s="57" t="s">
        <v>99</v>
      </c>
      <c r="I78" s="235">
        <v>-157908</v>
      </c>
      <c r="J78" s="86" t="s">
        <v>90</v>
      </c>
      <c r="K78" s="195" t="s">
        <v>91</v>
      </c>
      <c r="L78" s="194"/>
      <c r="M78" s="77"/>
      <c r="N78" s="77"/>
      <c r="O78" s="191"/>
    </row>
    <row r="79" s="1" customFormat="1" ht="18" customHeight="1" spans="1:15">
      <c r="A79" s="42"/>
      <c r="B79" s="25">
        <f t="shared" si="8"/>
        <v>0</v>
      </c>
      <c r="C79" s="43"/>
      <c r="D79" s="44"/>
      <c r="E79" s="45"/>
      <c r="F79" s="25">
        <f t="shared" si="9"/>
        <v>0</v>
      </c>
      <c r="G79" s="184"/>
      <c r="H79" s="57" t="s">
        <v>99</v>
      </c>
      <c r="I79" s="235">
        <v>100</v>
      </c>
      <c r="J79" s="86" t="s">
        <v>77</v>
      </c>
      <c r="K79" s="195" t="s">
        <v>78</v>
      </c>
      <c r="L79" s="194"/>
      <c r="M79" s="77"/>
      <c r="N79" s="77"/>
      <c r="O79" s="191"/>
    </row>
    <row r="80" s="1" customFormat="1" ht="18" customHeight="1" spans="1:15">
      <c r="A80" s="42"/>
      <c r="B80" s="25">
        <f t="shared" si="8"/>
        <v>0</v>
      </c>
      <c r="C80" s="43"/>
      <c r="D80" s="44"/>
      <c r="E80" s="45"/>
      <c r="F80" s="25">
        <f t="shared" si="9"/>
        <v>0</v>
      </c>
      <c r="G80" s="184"/>
      <c r="H80" s="57" t="s">
        <v>100</v>
      </c>
      <c r="I80" s="235">
        <v>200</v>
      </c>
      <c r="J80" s="86" t="s">
        <v>77</v>
      </c>
      <c r="K80" s="195" t="s">
        <v>78</v>
      </c>
      <c r="L80" s="194"/>
      <c r="M80" s="77"/>
      <c r="N80" s="77"/>
      <c r="O80" s="191"/>
    </row>
    <row r="81" s="1" customFormat="1" ht="18" customHeight="1" spans="1:15">
      <c r="A81" s="42"/>
      <c r="B81" s="25">
        <f t="shared" si="8"/>
        <v>0</v>
      </c>
      <c r="C81" s="43"/>
      <c r="D81" s="44"/>
      <c r="E81" s="45"/>
      <c r="F81" s="25">
        <f t="shared" si="9"/>
        <v>0</v>
      </c>
      <c r="G81" s="184"/>
      <c r="H81" s="57" t="s">
        <v>101</v>
      </c>
      <c r="I81" s="235">
        <v>200</v>
      </c>
      <c r="J81" s="86" t="s">
        <v>77</v>
      </c>
      <c r="K81" s="195" t="s">
        <v>78</v>
      </c>
      <c r="L81" s="194"/>
      <c r="M81" s="77"/>
      <c r="N81" s="77"/>
      <c r="O81" s="191"/>
    </row>
    <row r="82" s="1" customFormat="1" ht="18" customHeight="1" spans="1:15">
      <c r="A82" s="42"/>
      <c r="B82" s="25">
        <f t="shared" si="8"/>
        <v>0</v>
      </c>
      <c r="C82" s="43"/>
      <c r="D82" s="44"/>
      <c r="E82" s="45"/>
      <c r="F82" s="25">
        <f t="shared" si="9"/>
        <v>0</v>
      </c>
      <c r="G82" s="184"/>
      <c r="H82" s="57" t="s">
        <v>101</v>
      </c>
      <c r="I82" s="235">
        <v>381546</v>
      </c>
      <c r="J82" s="86" t="s">
        <v>94</v>
      </c>
      <c r="K82" s="195" t="s">
        <v>95</v>
      </c>
      <c r="L82" s="194"/>
      <c r="M82" s="77"/>
      <c r="O82" s="191"/>
    </row>
    <row r="83" s="1" customFormat="1" ht="18" customHeight="1" spans="1:15">
      <c r="A83" s="42"/>
      <c r="B83" s="25">
        <f t="shared" si="8"/>
        <v>0</v>
      </c>
      <c r="C83" s="43"/>
      <c r="D83" s="44"/>
      <c r="E83" s="45"/>
      <c r="F83" s="25">
        <f t="shared" si="9"/>
        <v>0</v>
      </c>
      <c r="G83" s="184"/>
      <c r="H83" s="57" t="s">
        <v>101</v>
      </c>
      <c r="I83" s="235">
        <v>24955</v>
      </c>
      <c r="J83" s="86" t="s">
        <v>77</v>
      </c>
      <c r="K83" s="195" t="s">
        <v>146</v>
      </c>
      <c r="L83" s="194"/>
      <c r="M83" s="77"/>
      <c r="N83" s="77"/>
      <c r="O83" s="191"/>
    </row>
    <row r="84" s="1" customFormat="1" ht="18" customHeight="1" spans="1:15">
      <c r="A84" s="42"/>
      <c r="B84" s="25">
        <f t="shared" si="8"/>
        <v>0</v>
      </c>
      <c r="C84" s="43"/>
      <c r="D84" s="44"/>
      <c r="E84" s="45"/>
      <c r="F84" s="25">
        <f t="shared" si="9"/>
        <v>0</v>
      </c>
      <c r="G84" s="184"/>
      <c r="H84" s="57" t="s">
        <v>101</v>
      </c>
      <c r="I84" s="235">
        <v>936</v>
      </c>
      <c r="J84" s="86" t="s">
        <v>77</v>
      </c>
      <c r="K84" s="195" t="s">
        <v>140</v>
      </c>
      <c r="L84" s="194"/>
      <c r="M84" s="77"/>
      <c r="N84" s="77"/>
      <c r="O84" s="191"/>
    </row>
    <row r="85" s="1" customFormat="1" ht="18" customHeight="1" spans="1:15">
      <c r="A85" s="42"/>
      <c r="B85" s="25">
        <f t="shared" si="8"/>
        <v>0</v>
      </c>
      <c r="C85" s="43"/>
      <c r="D85" s="44"/>
      <c r="E85" s="45"/>
      <c r="F85" s="25">
        <f t="shared" si="9"/>
        <v>0</v>
      </c>
      <c r="G85" s="184"/>
      <c r="H85" s="57" t="s">
        <v>101</v>
      </c>
      <c r="I85" s="235">
        <v>120092</v>
      </c>
      <c r="J85" s="86" t="s">
        <v>77</v>
      </c>
      <c r="K85" s="195" t="s">
        <v>148</v>
      </c>
      <c r="L85" s="194"/>
      <c r="M85" s="77"/>
      <c r="N85" s="77"/>
      <c r="O85" s="191"/>
    </row>
    <row r="86" s="1" customFormat="1" ht="18" customHeight="1" spans="1:15">
      <c r="A86" s="42"/>
      <c r="B86" s="25">
        <f t="shared" si="8"/>
        <v>8500</v>
      </c>
      <c r="C86" s="43"/>
      <c r="D86" s="44"/>
      <c r="E86" s="45"/>
      <c r="F86" s="25">
        <f t="shared" si="9"/>
        <v>0</v>
      </c>
      <c r="G86" s="184">
        <v>8500</v>
      </c>
      <c r="H86" s="57" t="s">
        <v>101</v>
      </c>
      <c r="I86" s="235">
        <f>G86</f>
        <v>8500</v>
      </c>
      <c r="J86" s="86" t="s">
        <v>77</v>
      </c>
      <c r="K86" s="195" t="s">
        <v>105</v>
      </c>
      <c r="L86" s="194"/>
      <c r="M86" s="77"/>
      <c r="N86" s="77"/>
      <c r="O86" s="191"/>
    </row>
    <row r="87" s="1" customFormat="1" ht="18" customHeight="1" spans="1:15">
      <c r="A87" s="42"/>
      <c r="B87" s="25">
        <f t="shared" si="8"/>
        <v>0</v>
      </c>
      <c r="C87" s="43"/>
      <c r="D87" s="44"/>
      <c r="E87" s="45"/>
      <c r="F87" s="25">
        <f t="shared" si="9"/>
        <v>0</v>
      </c>
      <c r="G87" s="184"/>
      <c r="H87" s="57" t="s">
        <v>106</v>
      </c>
      <c r="I87" s="235">
        <v>9000</v>
      </c>
      <c r="J87" s="86" t="s">
        <v>77</v>
      </c>
      <c r="K87" s="195" t="s">
        <v>107</v>
      </c>
      <c r="L87" s="194"/>
      <c r="M87" s="77"/>
      <c r="N87" s="77"/>
      <c r="O87" s="191"/>
    </row>
    <row r="88" s="1" customFormat="1" ht="18" customHeight="1" spans="1:15">
      <c r="A88" s="42"/>
      <c r="B88" s="25">
        <f t="shared" si="8"/>
        <v>0</v>
      </c>
      <c r="C88" s="43"/>
      <c r="D88" s="44"/>
      <c r="E88" s="45"/>
      <c r="F88" s="25">
        <f t="shared" si="9"/>
        <v>0</v>
      </c>
      <c r="G88" s="184"/>
      <c r="H88" s="57" t="s">
        <v>106</v>
      </c>
      <c r="I88" s="235">
        <v>-66373</v>
      </c>
      <c r="J88" s="86" t="s">
        <v>90</v>
      </c>
      <c r="K88" s="195" t="s">
        <v>91</v>
      </c>
      <c r="L88" s="194"/>
      <c r="M88" s="77"/>
      <c r="N88" s="77"/>
      <c r="O88" s="191"/>
    </row>
    <row r="89" s="1" customFormat="1" ht="18" customHeight="1" spans="1:15">
      <c r="A89" s="42"/>
      <c r="B89" s="25">
        <f t="shared" si="8"/>
        <v>0</v>
      </c>
      <c r="C89" s="43"/>
      <c r="D89" s="44"/>
      <c r="E89" s="45"/>
      <c r="F89" s="25">
        <f t="shared" si="9"/>
        <v>0</v>
      </c>
      <c r="G89" s="184"/>
      <c r="H89" s="57" t="s">
        <v>106</v>
      </c>
      <c r="I89" s="33">
        <v>-37965</v>
      </c>
      <c r="J89" s="86" t="s">
        <v>90</v>
      </c>
      <c r="K89" s="195" t="s">
        <v>149</v>
      </c>
      <c r="L89" s="33">
        <v>-37965</v>
      </c>
      <c r="M89" s="151" t="s">
        <v>150</v>
      </c>
      <c r="N89" s="77"/>
      <c r="O89" s="191"/>
    </row>
    <row r="90" s="1" customFormat="1" ht="18" customHeight="1" spans="1:15">
      <c r="A90" s="42"/>
      <c r="B90" s="25">
        <f t="shared" si="8"/>
        <v>0</v>
      </c>
      <c r="C90" s="43"/>
      <c r="D90" s="44"/>
      <c r="E90" s="45"/>
      <c r="F90" s="25">
        <f t="shared" si="9"/>
        <v>0</v>
      </c>
      <c r="G90" s="184"/>
      <c r="H90" s="57" t="s">
        <v>109</v>
      </c>
      <c r="I90" s="235">
        <v>8496</v>
      </c>
      <c r="J90" s="86" t="s">
        <v>77</v>
      </c>
      <c r="K90" s="195" t="s">
        <v>110</v>
      </c>
      <c r="L90" s="194"/>
      <c r="M90" s="77"/>
      <c r="N90" s="77"/>
      <c r="O90" s="191"/>
    </row>
    <row r="91" s="1" customFormat="1" ht="18" customHeight="1" spans="1:17">
      <c r="A91" s="42"/>
      <c r="B91" s="25">
        <f t="shared" si="8"/>
        <v>0</v>
      </c>
      <c r="C91" s="43"/>
      <c r="D91" s="44"/>
      <c r="E91" s="45"/>
      <c r="F91" s="25">
        <f t="shared" si="9"/>
        <v>0</v>
      </c>
      <c r="G91" s="184"/>
      <c r="H91" s="57" t="s">
        <v>109</v>
      </c>
      <c r="I91" s="235">
        <v>212400</v>
      </c>
      <c r="J91" s="86" t="s">
        <v>111</v>
      </c>
      <c r="K91" s="195" t="s">
        <v>112</v>
      </c>
      <c r="L91" s="194"/>
      <c r="M91" s="77"/>
      <c r="N91" s="77"/>
      <c r="O91" s="191"/>
      <c r="Q91" s="1">
        <f>I92+I88+I82+I78+I72+I68+I64+I63</f>
        <v>0</v>
      </c>
    </row>
    <row r="92" s="1" customFormat="1" ht="18" customHeight="1" spans="1:15">
      <c r="A92" s="42"/>
      <c r="B92" s="25">
        <f t="shared" si="8"/>
        <v>0</v>
      </c>
      <c r="C92" s="43"/>
      <c r="D92" s="44"/>
      <c r="E92" s="45"/>
      <c r="F92" s="25">
        <f t="shared" si="9"/>
        <v>0</v>
      </c>
      <c r="G92" s="184"/>
      <c r="H92" s="57" t="s">
        <v>109</v>
      </c>
      <c r="I92" s="235">
        <v>69664</v>
      </c>
      <c r="J92" s="86" t="s">
        <v>94</v>
      </c>
      <c r="K92" s="195" t="s">
        <v>95</v>
      </c>
      <c r="L92" s="194"/>
      <c r="M92" s="77"/>
      <c r="N92" s="77"/>
      <c r="O92" s="191"/>
    </row>
    <row r="93" s="1" customFormat="1" ht="18" customHeight="1" spans="1:15">
      <c r="A93" s="42"/>
      <c r="B93" s="25">
        <f t="shared" si="8"/>
        <v>0</v>
      </c>
      <c r="C93" s="43"/>
      <c r="D93" s="44"/>
      <c r="E93" s="45"/>
      <c r="F93" s="25">
        <f t="shared" si="9"/>
        <v>0</v>
      </c>
      <c r="G93" s="184"/>
      <c r="H93" s="57" t="s">
        <v>109</v>
      </c>
      <c r="I93" s="235">
        <v>14679</v>
      </c>
      <c r="J93" s="86" t="s">
        <v>77</v>
      </c>
      <c r="K93" s="195" t="s">
        <v>146</v>
      </c>
      <c r="L93" s="194"/>
      <c r="M93" s="77"/>
      <c r="N93" s="77"/>
      <c r="O93" s="191"/>
    </row>
    <row r="94" s="1" customFormat="1" ht="18" customHeight="1" spans="1:15">
      <c r="A94" s="42"/>
      <c r="B94" s="25">
        <f t="shared" si="8"/>
        <v>0</v>
      </c>
      <c r="C94" s="43"/>
      <c r="D94" s="44"/>
      <c r="E94" s="45"/>
      <c r="F94" s="25">
        <f t="shared" si="9"/>
        <v>0</v>
      </c>
      <c r="G94" s="184"/>
      <c r="H94" s="57" t="s">
        <v>109</v>
      </c>
      <c r="I94" s="235">
        <v>551</v>
      </c>
      <c r="J94" s="86" t="s">
        <v>77</v>
      </c>
      <c r="K94" s="195" t="s">
        <v>140</v>
      </c>
      <c r="L94" s="194"/>
      <c r="M94" s="77"/>
      <c r="N94" s="77"/>
      <c r="O94" s="191"/>
    </row>
    <row r="95" s="1" customFormat="1" ht="18" customHeight="1" spans="1:15">
      <c r="A95" s="42"/>
      <c r="B95" s="25">
        <f t="shared" si="8"/>
        <v>0</v>
      </c>
      <c r="C95" s="43"/>
      <c r="D95" s="44"/>
      <c r="E95" s="45"/>
      <c r="F95" s="25">
        <f t="shared" si="9"/>
        <v>0</v>
      </c>
      <c r="G95" s="184"/>
      <c r="H95" s="57" t="s">
        <v>109</v>
      </c>
      <c r="I95" s="235">
        <v>45972</v>
      </c>
      <c r="J95" s="86" t="s">
        <v>77</v>
      </c>
      <c r="K95" s="195" t="s">
        <v>148</v>
      </c>
      <c r="L95" s="194"/>
      <c r="M95" s="77"/>
      <c r="N95" s="77"/>
      <c r="O95" s="191"/>
    </row>
    <row r="96" s="1" customFormat="1" ht="18" customHeight="1" spans="1:15">
      <c r="A96" s="42"/>
      <c r="B96" s="25">
        <f t="shared" si="8"/>
        <v>5000</v>
      </c>
      <c r="C96" s="43"/>
      <c r="D96" s="44"/>
      <c r="E96" s="45"/>
      <c r="F96" s="25">
        <f t="shared" si="9"/>
        <v>0</v>
      </c>
      <c r="G96" s="184">
        <v>5000</v>
      </c>
      <c r="H96" s="57" t="s">
        <v>109</v>
      </c>
      <c r="I96" s="235">
        <f>G96</f>
        <v>5000</v>
      </c>
      <c r="J96" s="86" t="s">
        <v>77</v>
      </c>
      <c r="K96" s="195" t="s">
        <v>105</v>
      </c>
      <c r="L96" s="194"/>
      <c r="M96" s="77"/>
      <c r="N96" s="77"/>
      <c r="O96" s="191"/>
    </row>
    <row r="97" s="1" customFormat="1" ht="18" customHeight="1" spans="1:15">
      <c r="A97" s="42"/>
      <c r="B97" s="25">
        <f t="shared" si="8"/>
        <v>0</v>
      </c>
      <c r="C97" s="43"/>
      <c r="D97" s="44"/>
      <c r="E97" s="45"/>
      <c r="F97" s="25">
        <f t="shared" si="9"/>
        <v>0</v>
      </c>
      <c r="G97" s="184"/>
      <c r="H97" s="57" t="s">
        <v>116</v>
      </c>
      <c r="I97" s="235">
        <v>500</v>
      </c>
      <c r="J97" s="86" t="s">
        <v>77</v>
      </c>
      <c r="K97" s="195" t="s">
        <v>117</v>
      </c>
      <c r="L97" s="194"/>
      <c r="M97" s="77"/>
      <c r="N97" s="77"/>
      <c r="O97" s="191"/>
    </row>
    <row r="98" s="1" customFormat="1" ht="18" customHeight="1" spans="1:15">
      <c r="A98" s="42"/>
      <c r="B98" s="25">
        <f t="shared" si="8"/>
        <v>5000</v>
      </c>
      <c r="C98" s="43"/>
      <c r="D98" s="44"/>
      <c r="E98" s="45"/>
      <c r="F98" s="25">
        <f t="shared" si="9"/>
        <v>0</v>
      </c>
      <c r="G98" s="184">
        <f>5000</f>
        <v>5000</v>
      </c>
      <c r="H98" s="57" t="s">
        <v>116</v>
      </c>
      <c r="I98" s="235">
        <f>G98</f>
        <v>5000</v>
      </c>
      <c r="J98" s="86" t="s">
        <v>77</v>
      </c>
      <c r="K98" s="195" t="s">
        <v>105</v>
      </c>
      <c r="L98" s="194"/>
      <c r="M98" s="77"/>
      <c r="N98" s="77"/>
      <c r="O98" s="191"/>
    </row>
    <row r="99" s="1" customFormat="1" ht="18" customHeight="1" spans="1:15">
      <c r="A99" s="42"/>
      <c r="B99" s="25">
        <f t="shared" si="8"/>
        <v>0</v>
      </c>
      <c r="C99" s="43"/>
      <c r="D99" s="44"/>
      <c r="E99" s="45"/>
      <c r="F99" s="25">
        <f t="shared" si="9"/>
        <v>0</v>
      </c>
      <c r="G99" s="184"/>
      <c r="H99" s="57" t="s">
        <v>116</v>
      </c>
      <c r="I99" s="235">
        <v>14679</v>
      </c>
      <c r="J99" s="86" t="s">
        <v>77</v>
      </c>
      <c r="K99" s="195" t="s">
        <v>146</v>
      </c>
      <c r="L99" s="194"/>
      <c r="M99" s="77"/>
      <c r="N99" s="77"/>
      <c r="O99" s="191"/>
    </row>
    <row r="100" s="1" customFormat="1" ht="18" customHeight="1" spans="1:15">
      <c r="A100" s="42"/>
      <c r="B100" s="25">
        <f t="shared" si="8"/>
        <v>0</v>
      </c>
      <c r="C100" s="43"/>
      <c r="D100" s="44"/>
      <c r="E100" s="45"/>
      <c r="F100" s="25">
        <f t="shared" si="9"/>
        <v>0</v>
      </c>
      <c r="G100" s="184"/>
      <c r="H100" s="57" t="s">
        <v>116</v>
      </c>
      <c r="I100" s="235">
        <v>551</v>
      </c>
      <c r="J100" s="86" t="s">
        <v>77</v>
      </c>
      <c r="K100" s="195" t="s">
        <v>140</v>
      </c>
      <c r="L100" s="194"/>
      <c r="M100" s="77"/>
      <c r="N100" s="77"/>
      <c r="O100" s="191"/>
    </row>
    <row r="101" s="1" customFormat="1" ht="18" customHeight="1" spans="1:15">
      <c r="A101" s="42"/>
      <c r="B101" s="25">
        <f t="shared" si="8"/>
        <v>0</v>
      </c>
      <c r="C101" s="43"/>
      <c r="D101" s="44"/>
      <c r="E101" s="45"/>
      <c r="F101" s="25">
        <f t="shared" si="9"/>
        <v>0</v>
      </c>
      <c r="G101" s="184"/>
      <c r="H101" s="57"/>
      <c r="I101" s="33"/>
      <c r="J101" s="86"/>
      <c r="K101" s="195"/>
      <c r="L101" s="194"/>
      <c r="M101" s="77"/>
      <c r="N101" s="77"/>
      <c r="O101" s="191"/>
    </row>
    <row r="102" ht="18" customHeight="1" spans="1:15">
      <c r="A102" s="38" t="s">
        <v>23</v>
      </c>
      <c r="B102" s="123">
        <f>SUM(B16:B101)</f>
        <v>7643026.19</v>
      </c>
      <c r="C102" s="38"/>
      <c r="D102" s="124"/>
      <c r="E102" s="124"/>
      <c r="F102" s="179">
        <f>SUM(F16:F101)</f>
        <v>367691.66</v>
      </c>
      <c r="G102" s="220">
        <f>SUM(G16:G101)</f>
        <v>8010717.85</v>
      </c>
      <c r="H102" s="221"/>
      <c r="I102" s="37">
        <f>SUM(I16:I101)</f>
        <v>7099654.23</v>
      </c>
      <c r="J102" s="226"/>
      <c r="K102" s="124"/>
      <c r="L102" s="180"/>
      <c r="M102" s="40"/>
      <c r="N102" s="40"/>
      <c r="O102" s="180"/>
    </row>
    <row r="103" ht="18" customHeight="1" spans="1:14">
      <c r="A103" s="126" t="s">
        <v>120</v>
      </c>
      <c r="B103" s="127">
        <f>B13*0.936</f>
        <v>6096880.73394496</v>
      </c>
      <c r="C103" s="126"/>
      <c r="D103" s="128"/>
      <c r="E103" s="128"/>
      <c r="F103" s="127"/>
      <c r="G103" s="127">
        <f>G13-G102</f>
        <v>-910717.85</v>
      </c>
      <c r="H103" s="29" t="s">
        <v>121</v>
      </c>
      <c r="I103" s="37">
        <f>I13-I102</f>
        <v>345.769999999553</v>
      </c>
      <c r="J103" s="14"/>
      <c r="K103" s="227"/>
      <c r="M103" s="13"/>
      <c r="N103" s="13"/>
    </row>
    <row r="104" ht="18" customHeight="1" spans="1:14">
      <c r="A104" s="126" t="s">
        <v>122</v>
      </c>
      <c r="B104" s="127">
        <f>B103-B102</f>
        <v>-1546145.45605504</v>
      </c>
      <c r="C104" s="126"/>
      <c r="D104" s="128"/>
      <c r="E104" s="128"/>
      <c r="F104" s="127"/>
      <c r="G104" s="127"/>
      <c r="H104" s="130"/>
      <c r="I104" s="127"/>
      <c r="J104" s="14"/>
      <c r="K104" s="227"/>
      <c r="M104" s="13"/>
      <c r="N104" s="13"/>
    </row>
    <row r="105" ht="18" customHeight="1" spans="1:3">
      <c r="A105" s="7" t="s">
        <v>124</v>
      </c>
      <c r="C105" s="7"/>
    </row>
    <row r="106" ht="18" customHeight="1" spans="1:16">
      <c r="A106" s="29" t="s">
        <v>125</v>
      </c>
      <c r="B106" s="28" t="s">
        <v>126</v>
      </c>
      <c r="C106" s="180"/>
      <c r="D106" s="29" t="s">
        <v>125</v>
      </c>
      <c r="E106" s="27" t="s">
        <v>17</v>
      </c>
      <c r="F106" s="28" t="s">
        <v>126</v>
      </c>
      <c r="G106" s="8" t="s">
        <v>127</v>
      </c>
      <c r="H106" s="28" t="s">
        <v>128</v>
      </c>
      <c r="I106" s="28" t="s">
        <v>129</v>
      </c>
      <c r="J106" s="176" t="s">
        <v>130</v>
      </c>
      <c r="K106" s="28" t="s">
        <v>131</v>
      </c>
      <c r="L106" s="28" t="s">
        <v>132</v>
      </c>
      <c r="M106" s="28" t="s">
        <v>133</v>
      </c>
      <c r="O106" s="228" t="s">
        <v>166</v>
      </c>
      <c r="P106" s="228" t="s">
        <v>167</v>
      </c>
    </row>
    <row r="107" ht="18" customHeight="1" spans="1:16">
      <c r="A107" s="180" t="s">
        <v>134</v>
      </c>
      <c r="B107" s="25">
        <f>(B103-B102)*0.25</f>
        <v>-386536.36401376</v>
      </c>
      <c r="C107" s="180"/>
      <c r="D107" s="36" t="s">
        <v>135</v>
      </c>
      <c r="E107" s="29" t="s">
        <v>136</v>
      </c>
      <c r="F107" s="179">
        <f>F13-F102</f>
        <v>88271.642752294</v>
      </c>
      <c r="G107" s="8">
        <v>64220.1834862385</v>
      </c>
      <c r="H107" s="179">
        <v>0</v>
      </c>
      <c r="I107" s="179">
        <f>F7+F8-F16-F17</f>
        <v>41792.036972477</v>
      </c>
      <c r="J107" s="179">
        <f>-F20</f>
        <v>-34513.27</v>
      </c>
      <c r="K107" s="141">
        <f>F9</f>
        <v>109174.311926606</v>
      </c>
      <c r="L107" s="179">
        <f>F10+F12-F22-F25-F27-F31-F32-F34</f>
        <v>-41490.3731192661</v>
      </c>
      <c r="M107" s="141">
        <f>-F37-F42</f>
        <v>-80618.16</v>
      </c>
      <c r="O107" s="228">
        <f>F12</f>
        <v>25688.0733944954</v>
      </c>
      <c r="P107" s="228">
        <f>-O107</f>
        <v>-25688.0733944954</v>
      </c>
    </row>
    <row r="108" ht="18" customHeight="1" spans="1:16">
      <c r="A108" s="180" t="s">
        <v>137</v>
      </c>
      <c r="B108" s="222" t="s">
        <v>138</v>
      </c>
      <c r="C108" s="180"/>
      <c r="D108" s="223" t="s">
        <v>139</v>
      </c>
      <c r="E108" s="21">
        <v>0.07</v>
      </c>
      <c r="F108" s="31">
        <f>F107*E108</f>
        <v>6179.01499266058</v>
      </c>
      <c r="G108" s="8">
        <v>3211.00917431193</v>
      </c>
      <c r="H108" s="31">
        <v>0</v>
      </c>
      <c r="I108" s="31">
        <f>I107*E108</f>
        <v>2925.44258807339</v>
      </c>
      <c r="J108" s="31">
        <f>J107*E108</f>
        <v>-2415.9289</v>
      </c>
      <c r="K108" s="33">
        <f>K107*E108</f>
        <v>7642.20183486242</v>
      </c>
      <c r="L108" s="31">
        <f>L107*E108</f>
        <v>-2904.32611834863</v>
      </c>
      <c r="M108" s="33">
        <f>M107*E108</f>
        <v>-5643.2712</v>
      </c>
      <c r="O108" s="230"/>
      <c r="P108" s="230"/>
    </row>
    <row r="109" ht="18" customHeight="1" spans="1:16">
      <c r="A109" s="180" t="s">
        <v>140</v>
      </c>
      <c r="B109" s="222"/>
      <c r="C109" s="180"/>
      <c r="D109" s="223" t="s">
        <v>141</v>
      </c>
      <c r="E109" s="21">
        <v>0.03</v>
      </c>
      <c r="F109" s="31">
        <f>F107*E109</f>
        <v>2648.14928256882</v>
      </c>
      <c r="G109" s="8">
        <v>1926.60550458716</v>
      </c>
      <c r="H109" s="31">
        <v>0</v>
      </c>
      <c r="I109" s="31">
        <f>I107*E109</f>
        <v>1253.76110917431</v>
      </c>
      <c r="J109" s="31">
        <f>J107*E109</f>
        <v>-1035.3981</v>
      </c>
      <c r="K109" s="33">
        <f>K107*E109</f>
        <v>3275.22935779817</v>
      </c>
      <c r="L109" s="31">
        <f>L107*E109</f>
        <v>-1244.71119357798</v>
      </c>
      <c r="M109" s="33">
        <f>M107*E109</f>
        <v>-2418.5448</v>
      </c>
      <c r="O109" s="230"/>
      <c r="P109" s="230"/>
    </row>
    <row r="110" ht="18" customHeight="1" spans="1:16">
      <c r="A110" s="180"/>
      <c r="B110" s="31"/>
      <c r="C110" s="180"/>
      <c r="D110" s="223" t="s">
        <v>142</v>
      </c>
      <c r="E110" s="21">
        <v>0.02</v>
      </c>
      <c r="F110" s="31">
        <f>F107*E110</f>
        <v>1765.43285504588</v>
      </c>
      <c r="G110" s="8">
        <v>1284.40366972477</v>
      </c>
      <c r="H110" s="31">
        <v>0</v>
      </c>
      <c r="I110" s="31">
        <f>I107*E110</f>
        <v>835.84073944954</v>
      </c>
      <c r="J110" s="31">
        <f>J107*E110</f>
        <v>-690.2654</v>
      </c>
      <c r="K110" s="33">
        <f>K107*E110</f>
        <v>2183.48623853211</v>
      </c>
      <c r="L110" s="31">
        <f>L107*E110</f>
        <v>-829.807462385322</v>
      </c>
      <c r="M110" s="33">
        <f>M107*E110</f>
        <v>-1612.3632</v>
      </c>
      <c r="O110" s="230"/>
      <c r="P110" s="230"/>
    </row>
    <row r="111" ht="18" customHeight="1" spans="1:16">
      <c r="A111" s="36" t="s">
        <v>143</v>
      </c>
      <c r="B111" s="123">
        <f>SUM(B107:B110)</f>
        <v>-386536.36401376</v>
      </c>
      <c r="C111" s="180"/>
      <c r="D111" s="41" t="s">
        <v>143</v>
      </c>
      <c r="E111" s="36"/>
      <c r="F111" s="179">
        <f t="shared" ref="F111:M111" si="10">SUM(F107:F110)</f>
        <v>98864.2398825692</v>
      </c>
      <c r="G111" s="8">
        <v>70642.2018348624</v>
      </c>
      <c r="H111" s="179">
        <v>0</v>
      </c>
      <c r="I111" s="179">
        <f>SUM(I106:I110)</f>
        <v>46807.0814091742</v>
      </c>
      <c r="J111" s="179">
        <f t="shared" si="10"/>
        <v>-38654.8624</v>
      </c>
      <c r="K111" s="141">
        <f t="shared" si="10"/>
        <v>122275.229357799</v>
      </c>
      <c r="L111" s="179">
        <f t="shared" si="10"/>
        <v>-46469.217893578</v>
      </c>
      <c r="M111" s="141">
        <f t="shared" si="10"/>
        <v>-90292.3392</v>
      </c>
      <c r="O111" s="228">
        <f>O107*1.12</f>
        <v>28770.6422018349</v>
      </c>
      <c r="P111" s="230">
        <f>-O111</f>
        <v>-28770.6422018349</v>
      </c>
    </row>
    <row r="112" ht="18" customHeight="1" spans="3:15">
      <c r="C112" s="7"/>
      <c r="D112" s="19" t="s">
        <v>140</v>
      </c>
      <c r="E112" s="224">
        <v>0.0006</v>
      </c>
      <c r="F112" s="31">
        <f>B13*E112</f>
        <v>3908.25688073394</v>
      </c>
      <c r="H112" s="31">
        <f>B7*E112</f>
        <v>550.45871559633</v>
      </c>
      <c r="I112" s="31">
        <f>B8*E112</f>
        <v>550.45871559633</v>
      </c>
      <c r="K112" s="31">
        <f>B9*E112</f>
        <v>935.779816513761</v>
      </c>
      <c r="L112" s="31">
        <f>(B10+B12)*E112</f>
        <v>770.642201834862</v>
      </c>
      <c r="O112" s="230">
        <f>B12*E112</f>
        <v>220.183486238532</v>
      </c>
    </row>
    <row r="113" ht="18" customHeight="1" spans="3:16">
      <c r="C113" s="7"/>
      <c r="D113" s="27" t="s">
        <v>143</v>
      </c>
      <c r="E113" s="124"/>
      <c r="F113" s="37">
        <f t="shared" ref="F113:I113" si="11">F112</f>
        <v>3908.25688073394</v>
      </c>
      <c r="H113" s="37">
        <f t="shared" si="11"/>
        <v>550.45871559633</v>
      </c>
      <c r="I113" s="37">
        <f t="shared" si="11"/>
        <v>550.45871559633</v>
      </c>
      <c r="O113" s="221" t="s">
        <v>168</v>
      </c>
      <c r="P113" s="221" t="s">
        <v>169</v>
      </c>
    </row>
    <row r="114" ht="18" customHeight="1" spans="3:15">
      <c r="C114" s="7"/>
      <c r="D114" s="27" t="s">
        <v>23</v>
      </c>
      <c r="E114" s="38"/>
      <c r="F114" s="37">
        <f t="shared" ref="F114:I114" si="12">F111+F113</f>
        <v>102772.496763303</v>
      </c>
      <c r="H114" s="37">
        <f t="shared" si="12"/>
        <v>550.45871559633</v>
      </c>
      <c r="I114" s="37">
        <f t="shared" si="12"/>
        <v>47357.5401247706</v>
      </c>
      <c r="O114" s="221"/>
    </row>
    <row r="115" ht="18" customHeight="1" spans="3:15">
      <c r="C115" s="7"/>
      <c r="D115" s="38" t="s">
        <v>134</v>
      </c>
      <c r="E115" s="124">
        <v>0.016</v>
      </c>
      <c r="F115" s="37">
        <f>B13*E115</f>
        <v>104220.183486239</v>
      </c>
      <c r="G115" s="225" t="s">
        <v>144</v>
      </c>
      <c r="H115" s="37">
        <f>B7*E115</f>
        <v>14678.8990825688</v>
      </c>
      <c r="I115" s="37">
        <f>B8*E115</f>
        <v>14678.8990825688</v>
      </c>
      <c r="K115" s="37">
        <f>B9*E115</f>
        <v>24954.128440367</v>
      </c>
      <c r="L115" s="37">
        <f>SUM(G10:G12)*E115</f>
        <v>54400</v>
      </c>
      <c r="O115" s="221">
        <f>G12*E115</f>
        <v>6400</v>
      </c>
    </row>
    <row r="116" ht="18" customHeight="1" spans="3:9">
      <c r="C116" s="7"/>
      <c r="G116" s="8" t="s">
        <v>145</v>
      </c>
      <c r="I116" s="8">
        <f>B104*0.25</f>
        <v>-386536.36401376</v>
      </c>
    </row>
    <row r="117" ht="18" customHeight="1" spans="3:9">
      <c r="C117" s="7"/>
      <c r="I117" s="8">
        <f>B104*0.25</f>
        <v>-386536.36401376</v>
      </c>
    </row>
    <row r="118" ht="18" customHeight="1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</sheetData>
  <autoFilter ref="A15:Q12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0"/>
  <sheetViews>
    <sheetView topLeftCell="A46" workbookViewId="0">
      <selection activeCell="I108" sqref="I108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4" customWidth="1"/>
    <col min="13" max="13" width="13.5" style="14" customWidth="1"/>
    <col min="14" max="14" width="5.625" style="14" customWidth="1"/>
    <col min="15" max="15" width="11.125" style="14"/>
    <col min="16" max="16" width="12" style="14"/>
    <col min="17" max="17" width="10.375" style="14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2" si="0">G7/(1+C7+E7)</f>
        <v>917431.19266055</v>
      </c>
      <c r="C7" s="32">
        <v>0.02</v>
      </c>
      <c r="D7" s="33">
        <f t="shared" ref="D7:D12" si="1">G7/(1+E7+C7)*C7</f>
        <v>18348.623853211</v>
      </c>
      <c r="E7" s="32">
        <v>0.07</v>
      </c>
      <c r="F7" s="31">
        <f t="shared" ref="F7:F12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31">
        <f t="shared" si="2"/>
        <v>25688.0733944954</v>
      </c>
      <c r="G12" s="178">
        <v>400000</v>
      </c>
      <c r="H12" s="30">
        <v>44056</v>
      </c>
      <c r="I12" s="31">
        <v>400000</v>
      </c>
      <c r="J12" s="40" t="s">
        <v>22</v>
      </c>
    </row>
    <row r="13" ht="18" customHeight="1" spans="1:10">
      <c r="A13" s="36" t="s">
        <v>23</v>
      </c>
      <c r="B13" s="37">
        <f t="shared" ref="B13:G13" si="3">SUM(B7:B12)</f>
        <v>6513761.46788991</v>
      </c>
      <c r="C13" s="38"/>
      <c r="D13" s="37">
        <f t="shared" si="3"/>
        <v>130275.229357798</v>
      </c>
      <c r="E13" s="38"/>
      <c r="F13" s="179">
        <f t="shared" si="3"/>
        <v>455963.302752294</v>
      </c>
      <c r="G13" s="37">
        <f t="shared" si="3"/>
        <v>7100000</v>
      </c>
      <c r="H13" s="180"/>
      <c r="I13" s="37">
        <f>SUM(I7:I12)</f>
        <v>7100000</v>
      </c>
      <c r="J13" s="180"/>
    </row>
    <row r="14" ht="18" customHeight="1" spans="1:15">
      <c r="A14" s="7" t="s">
        <v>24</v>
      </c>
      <c r="J14" s="9"/>
      <c r="K14" s="26" t="s">
        <v>25</v>
      </c>
      <c r="L14" s="176"/>
      <c r="O14" s="189">
        <f>O17+O20+O22+O31+O34</f>
        <v>2519.89</v>
      </c>
    </row>
    <row r="15" ht="18" customHeight="1" spans="1:15">
      <c r="A15" s="41" t="s">
        <v>26</v>
      </c>
      <c r="B15" s="28" t="s">
        <v>27</v>
      </c>
      <c r="C15" s="27" t="s">
        <v>28</v>
      </c>
      <c r="D15" s="27" t="s">
        <v>29</v>
      </c>
      <c r="E15" s="27" t="s">
        <v>17</v>
      </c>
      <c r="F15" s="28" t="s">
        <v>30</v>
      </c>
      <c r="G15" s="28" t="s">
        <v>15</v>
      </c>
      <c r="H15" s="27" t="s">
        <v>31</v>
      </c>
      <c r="I15" s="28" t="s">
        <v>32</v>
      </c>
      <c r="J15" s="27" t="s">
        <v>21</v>
      </c>
      <c r="K15" s="74" t="s">
        <v>33</v>
      </c>
      <c r="L15" s="29" t="s">
        <v>34</v>
      </c>
      <c r="M15" s="29" t="s">
        <v>35</v>
      </c>
      <c r="N15" s="29" t="s">
        <v>36</v>
      </c>
      <c r="O15" s="29" t="s">
        <v>37</v>
      </c>
    </row>
    <row r="16" s="1" customFormat="1" ht="18" customHeight="1" spans="1:15">
      <c r="A16" s="42">
        <v>43617</v>
      </c>
      <c r="B16" s="25">
        <f t="shared" ref="B16:B70" si="4">ROUND(G16/(1+E16),2)</f>
        <v>970873.79</v>
      </c>
      <c r="C16" s="43"/>
      <c r="D16" s="44" t="s">
        <v>38</v>
      </c>
      <c r="E16" s="45">
        <v>0.03</v>
      </c>
      <c r="F16" s="25">
        <f t="shared" ref="F16:F66" si="5">ROUND(G16/(1+E16)*E16,2)</f>
        <v>29126.21</v>
      </c>
      <c r="G16" s="178">
        <v>1000000</v>
      </c>
      <c r="H16" s="30">
        <v>43640</v>
      </c>
      <c r="I16" s="31">
        <v>300000</v>
      </c>
      <c r="J16" s="40" t="s">
        <v>22</v>
      </c>
      <c r="K16" s="190" t="s">
        <v>39</v>
      </c>
      <c r="L16" s="191" t="s">
        <v>40</v>
      </c>
      <c r="M16" s="77" t="s">
        <v>41</v>
      </c>
      <c r="N16" s="77"/>
      <c r="O16" s="191"/>
    </row>
    <row r="17" s="1" customFormat="1" ht="18" customHeight="1" spans="1:15">
      <c r="A17" s="42">
        <v>43617</v>
      </c>
      <c r="B17" s="25">
        <f t="shared" si="4"/>
        <v>442477.88</v>
      </c>
      <c r="C17" s="43"/>
      <c r="D17" s="44" t="s">
        <v>38</v>
      </c>
      <c r="E17" s="45">
        <v>0.13</v>
      </c>
      <c r="F17" s="25">
        <f t="shared" si="5"/>
        <v>57522.12</v>
      </c>
      <c r="G17" s="178">
        <f>100000*5</f>
        <v>500000</v>
      </c>
      <c r="H17" s="30">
        <v>43640</v>
      </c>
      <c r="I17" s="31">
        <v>500000</v>
      </c>
      <c r="J17" s="40" t="s">
        <v>22</v>
      </c>
      <c r="K17" s="190" t="s">
        <v>42</v>
      </c>
      <c r="L17" s="191" t="s">
        <v>160</v>
      </c>
      <c r="M17" s="77" t="s">
        <v>41</v>
      </c>
      <c r="N17" s="77" t="s">
        <v>41</v>
      </c>
      <c r="O17" s="192">
        <v>119.5</v>
      </c>
    </row>
    <row r="18" s="1" customFormat="1" ht="18" customHeight="1" spans="1:15">
      <c r="A18" s="42">
        <v>43678</v>
      </c>
      <c r="B18" s="25">
        <f t="shared" si="4"/>
        <v>99500</v>
      </c>
      <c r="C18" s="43"/>
      <c r="D18" s="44" t="s">
        <v>44</v>
      </c>
      <c r="E18" s="45"/>
      <c r="F18" s="25">
        <f t="shared" si="5"/>
        <v>0</v>
      </c>
      <c r="G18" s="178">
        <v>99500</v>
      </c>
      <c r="H18" s="30">
        <v>43682</v>
      </c>
      <c r="I18" s="31">
        <v>99500</v>
      </c>
      <c r="J18" s="40" t="s">
        <v>45</v>
      </c>
      <c r="K18" s="190" t="s">
        <v>46</v>
      </c>
      <c r="L18" s="191" t="s">
        <v>47</v>
      </c>
      <c r="M18" s="77"/>
      <c r="N18" s="77"/>
      <c r="O18" s="191"/>
    </row>
    <row r="19" s="1" customFormat="1" ht="18" customHeight="1" spans="1:15">
      <c r="A19" s="42">
        <v>43739</v>
      </c>
      <c r="B19" s="25">
        <f t="shared" si="4"/>
        <v>4000</v>
      </c>
      <c r="C19" s="43"/>
      <c r="D19" s="44" t="s">
        <v>44</v>
      </c>
      <c r="E19" s="45"/>
      <c r="F19" s="25">
        <f t="shared" si="5"/>
        <v>0</v>
      </c>
      <c r="G19" s="178">
        <v>4000</v>
      </c>
      <c r="H19" s="30"/>
      <c r="I19" s="31"/>
      <c r="J19" s="40"/>
      <c r="K19" s="190" t="s">
        <v>48</v>
      </c>
      <c r="L19" s="191" t="s">
        <v>49</v>
      </c>
      <c r="M19" s="77"/>
      <c r="N19" s="77"/>
      <c r="O19" s="191"/>
    </row>
    <row r="20" s="1" customFormat="1" ht="18" customHeight="1" spans="1:15">
      <c r="A20" s="42">
        <v>43770</v>
      </c>
      <c r="B20" s="25">
        <f t="shared" si="4"/>
        <v>265486.73</v>
      </c>
      <c r="C20" s="43"/>
      <c r="D20" s="44" t="s">
        <v>38</v>
      </c>
      <c r="E20" s="47">
        <v>0.13</v>
      </c>
      <c r="F20" s="25">
        <f t="shared" si="5"/>
        <v>34513.27</v>
      </c>
      <c r="G20" s="178">
        <f>100000*3</f>
        <v>300000</v>
      </c>
      <c r="H20" s="30">
        <v>43784</v>
      </c>
      <c r="I20" s="31">
        <v>300000</v>
      </c>
      <c r="J20" s="40" t="s">
        <v>22</v>
      </c>
      <c r="K20" s="190" t="s">
        <v>42</v>
      </c>
      <c r="L20" s="191" t="s">
        <v>50</v>
      </c>
      <c r="M20" s="77" t="s">
        <v>41</v>
      </c>
      <c r="N20" s="77" t="s">
        <v>41</v>
      </c>
      <c r="O20" s="192">
        <v>923.01</v>
      </c>
    </row>
    <row r="21" s="1" customFormat="1" ht="18" customHeight="1" spans="1:15">
      <c r="A21" s="42"/>
      <c r="B21" s="25">
        <f t="shared" si="4"/>
        <v>0</v>
      </c>
      <c r="C21" s="43"/>
      <c r="D21" s="44"/>
      <c r="E21" s="45"/>
      <c r="F21" s="25">
        <f t="shared" si="5"/>
        <v>0</v>
      </c>
      <c r="G21" s="178"/>
      <c r="H21" s="30">
        <v>43784</v>
      </c>
      <c r="I21" s="31">
        <v>300000</v>
      </c>
      <c r="J21" s="40" t="s">
        <v>22</v>
      </c>
      <c r="K21" s="190" t="s">
        <v>39</v>
      </c>
      <c r="L21" s="191" t="s">
        <v>51</v>
      </c>
      <c r="M21" s="77"/>
      <c r="N21" s="77"/>
      <c r="O21" s="191"/>
    </row>
    <row r="22" s="1" customFormat="1" ht="18" customHeight="1" spans="1:15">
      <c r="A22" s="42">
        <v>43800</v>
      </c>
      <c r="B22" s="25">
        <f t="shared" si="4"/>
        <v>159292.04</v>
      </c>
      <c r="C22" s="43"/>
      <c r="D22" s="44" t="s">
        <v>38</v>
      </c>
      <c r="E22" s="47">
        <v>0.13</v>
      </c>
      <c r="F22" s="25">
        <f t="shared" si="5"/>
        <v>20707.96</v>
      </c>
      <c r="G22" s="178">
        <v>180000</v>
      </c>
      <c r="H22" s="30">
        <v>43798</v>
      </c>
      <c r="I22" s="31">
        <v>180000</v>
      </c>
      <c r="J22" s="40" t="s">
        <v>22</v>
      </c>
      <c r="K22" s="190" t="s">
        <v>42</v>
      </c>
      <c r="L22" s="191" t="s">
        <v>52</v>
      </c>
      <c r="M22" s="77" t="s">
        <v>41</v>
      </c>
      <c r="N22" s="77"/>
      <c r="O22" s="192">
        <v>321.43</v>
      </c>
    </row>
    <row r="23" s="1" customFormat="1" ht="18" customHeight="1" spans="1:15">
      <c r="A23" s="42">
        <v>43800</v>
      </c>
      <c r="B23" s="25">
        <f t="shared" si="4"/>
        <v>0</v>
      </c>
      <c r="C23" s="43"/>
      <c r="D23" s="44"/>
      <c r="E23" s="45"/>
      <c r="F23" s="25">
        <f t="shared" si="5"/>
        <v>0</v>
      </c>
      <c r="G23" s="178"/>
      <c r="H23" s="30">
        <v>43816</v>
      </c>
      <c r="I23" s="31">
        <v>510000</v>
      </c>
      <c r="J23" s="40" t="s">
        <v>22</v>
      </c>
      <c r="K23" s="190" t="s">
        <v>39</v>
      </c>
      <c r="L23" s="191" t="s">
        <v>51</v>
      </c>
      <c r="M23" s="77"/>
      <c r="N23" s="77"/>
      <c r="O23" s="191"/>
    </row>
    <row r="24" s="1" customFormat="1" ht="18" customHeight="1" spans="1:15">
      <c r="A24" s="42"/>
      <c r="B24" s="25">
        <f t="shared" si="4"/>
        <v>0</v>
      </c>
      <c r="C24" s="43"/>
      <c r="D24" s="44"/>
      <c r="E24" s="45"/>
      <c r="F24" s="25">
        <f t="shared" si="5"/>
        <v>0</v>
      </c>
      <c r="G24" s="178"/>
      <c r="H24" s="30">
        <v>43816</v>
      </c>
      <c r="I24" s="31">
        <v>500000</v>
      </c>
      <c r="J24" s="40" t="s">
        <v>22</v>
      </c>
      <c r="K24" s="190" t="s">
        <v>42</v>
      </c>
      <c r="L24" s="191" t="s">
        <v>53</v>
      </c>
      <c r="M24" s="77"/>
      <c r="N24" s="77"/>
      <c r="O24" s="191"/>
    </row>
    <row r="25" s="1" customFormat="1" ht="18" customHeight="1" spans="1:15">
      <c r="A25" s="42">
        <v>43800</v>
      </c>
      <c r="B25" s="25">
        <f t="shared" si="4"/>
        <v>26161.81</v>
      </c>
      <c r="C25" s="43"/>
      <c r="D25" s="44" t="s">
        <v>38</v>
      </c>
      <c r="E25" s="47">
        <v>0.13</v>
      </c>
      <c r="F25" s="25">
        <f t="shared" si="5"/>
        <v>3401.04</v>
      </c>
      <c r="G25" s="178">
        <f>289+712.88+1692.98+5848.99+20479+540</f>
        <v>29562.85</v>
      </c>
      <c r="H25" s="30"/>
      <c r="I25" s="31"/>
      <c r="J25" s="40"/>
      <c r="K25" s="190" t="s">
        <v>54</v>
      </c>
      <c r="L25" s="191"/>
      <c r="M25" s="77"/>
      <c r="N25" s="77"/>
      <c r="O25" s="191"/>
    </row>
    <row r="26" s="1" customFormat="1" ht="18" customHeight="1" spans="1:15">
      <c r="A26" s="42">
        <v>43800</v>
      </c>
      <c r="B26" s="25">
        <f t="shared" si="4"/>
        <v>3590</v>
      </c>
      <c r="C26" s="43"/>
      <c r="D26" s="44" t="s">
        <v>44</v>
      </c>
      <c r="E26" s="45"/>
      <c r="F26" s="25">
        <f t="shared" si="5"/>
        <v>0</v>
      </c>
      <c r="G26" s="178">
        <v>3590</v>
      </c>
      <c r="H26" s="30"/>
      <c r="I26" s="31"/>
      <c r="J26" s="40"/>
      <c r="K26" s="190" t="s">
        <v>55</v>
      </c>
      <c r="L26" s="191" t="s">
        <v>56</v>
      </c>
      <c r="M26" s="77"/>
      <c r="N26" s="77"/>
      <c r="O26" s="191"/>
    </row>
    <row r="27" s="1" customFormat="1" ht="18" customHeight="1" spans="1:15">
      <c r="A27" s="42">
        <v>43800</v>
      </c>
      <c r="B27" s="25">
        <f t="shared" si="4"/>
        <v>11518.87</v>
      </c>
      <c r="C27" s="43"/>
      <c r="D27" s="44" t="s">
        <v>38</v>
      </c>
      <c r="E27" s="47">
        <v>0.06</v>
      </c>
      <c r="F27" s="25">
        <f t="shared" si="5"/>
        <v>691.13</v>
      </c>
      <c r="G27" s="178">
        <f>1207+1069+372+1480+1468+1278+1095+955+1360+742+1184</f>
        <v>12210</v>
      </c>
      <c r="H27" s="30"/>
      <c r="I27" s="31"/>
      <c r="J27" s="40"/>
      <c r="K27" s="190" t="s">
        <v>57</v>
      </c>
      <c r="L27" s="191" t="s">
        <v>58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4"/>
        <v>1855</v>
      </c>
      <c r="C28" s="43"/>
      <c r="D28" s="44" t="s">
        <v>59</v>
      </c>
      <c r="E28" s="47"/>
      <c r="F28" s="25">
        <f t="shared" si="5"/>
        <v>0</v>
      </c>
      <c r="G28" s="178">
        <v>1855</v>
      </c>
      <c r="H28" s="30"/>
      <c r="I28" s="31"/>
      <c r="J28" s="40"/>
      <c r="K28" s="190" t="s">
        <v>57</v>
      </c>
      <c r="L28" s="191" t="s">
        <v>58</v>
      </c>
      <c r="M28" s="77"/>
      <c r="N28" s="77"/>
      <c r="O28" s="191"/>
    </row>
    <row r="29" s="1" customFormat="1" ht="18" customHeight="1" spans="1:15">
      <c r="A29" s="42"/>
      <c r="B29" s="25">
        <f t="shared" si="4"/>
        <v>0</v>
      </c>
      <c r="C29" s="43"/>
      <c r="D29" s="44"/>
      <c r="E29" s="45"/>
      <c r="F29" s="25">
        <f t="shared" si="5"/>
        <v>0</v>
      </c>
      <c r="G29" s="178"/>
      <c r="H29" s="30">
        <v>43819</v>
      </c>
      <c r="I29" s="31">
        <v>1000000</v>
      </c>
      <c r="J29" s="40" t="s">
        <v>45</v>
      </c>
      <c r="K29" s="190" t="s">
        <v>60</v>
      </c>
      <c r="L29" s="191" t="s">
        <v>61</v>
      </c>
      <c r="M29" s="77"/>
      <c r="N29" s="77"/>
      <c r="O29" s="191"/>
    </row>
    <row r="30" s="2" customFormat="1" ht="18" customHeight="1" spans="1:15">
      <c r="A30" s="50"/>
      <c r="B30" s="51">
        <f t="shared" si="4"/>
        <v>0</v>
      </c>
      <c r="C30" s="52"/>
      <c r="D30" s="53"/>
      <c r="E30" s="181"/>
      <c r="F30" s="51">
        <f t="shared" si="5"/>
        <v>0</v>
      </c>
      <c r="G30" s="51"/>
      <c r="H30" s="182">
        <v>43819</v>
      </c>
      <c r="I30" s="141">
        <v>-1000000</v>
      </c>
      <c r="J30" s="75" t="s">
        <v>45</v>
      </c>
      <c r="K30" s="193" t="s">
        <v>62</v>
      </c>
      <c r="L30" s="237" t="s">
        <v>63</v>
      </c>
      <c r="M30" s="78"/>
      <c r="N30" s="78"/>
      <c r="O30" s="194"/>
    </row>
    <row r="31" s="2" customFormat="1" ht="18" customHeight="1" spans="1:15">
      <c r="A31" s="50">
        <v>43800</v>
      </c>
      <c r="B31" s="51">
        <f t="shared" si="4"/>
        <v>442477.88</v>
      </c>
      <c r="C31" s="52"/>
      <c r="D31" s="53" t="s">
        <v>38</v>
      </c>
      <c r="E31" s="183">
        <v>0.13</v>
      </c>
      <c r="F31" s="51">
        <f t="shared" si="5"/>
        <v>57522.12</v>
      </c>
      <c r="G31" s="51">
        <v>500000</v>
      </c>
      <c r="H31" s="57">
        <v>43830</v>
      </c>
      <c r="I31" s="33">
        <v>300000</v>
      </c>
      <c r="J31" s="86" t="s">
        <v>22</v>
      </c>
      <c r="K31" s="195" t="s">
        <v>42</v>
      </c>
      <c r="L31" s="194" t="s">
        <v>64</v>
      </c>
      <c r="M31" s="78" t="s">
        <v>41</v>
      </c>
      <c r="N31" s="78" t="s">
        <v>65</v>
      </c>
      <c r="O31" s="194">
        <v>729.95</v>
      </c>
    </row>
    <row r="32" s="2" customFormat="1" ht="18" customHeight="1" spans="1:15">
      <c r="A32" s="50">
        <v>43800</v>
      </c>
      <c r="B32" s="51">
        <f t="shared" si="4"/>
        <v>485436.89</v>
      </c>
      <c r="C32" s="52"/>
      <c r="D32" s="53" t="s">
        <v>38</v>
      </c>
      <c r="E32" s="183">
        <v>0.03</v>
      </c>
      <c r="F32" s="51">
        <f t="shared" si="5"/>
        <v>14563.11</v>
      </c>
      <c r="G32" s="51">
        <v>500000</v>
      </c>
      <c r="H32" s="57">
        <v>43846</v>
      </c>
      <c r="I32" s="33">
        <v>390000</v>
      </c>
      <c r="J32" s="86" t="s">
        <v>22</v>
      </c>
      <c r="K32" s="195" t="s">
        <v>39</v>
      </c>
      <c r="L32" s="194" t="s">
        <v>51</v>
      </c>
      <c r="M32" s="78"/>
      <c r="N32" s="78"/>
      <c r="O32" s="194"/>
    </row>
    <row r="33" s="2" customFormat="1" ht="18" customHeight="1" spans="1:15">
      <c r="A33" s="50">
        <v>43800</v>
      </c>
      <c r="B33" s="51">
        <f t="shared" si="4"/>
        <v>1200000</v>
      </c>
      <c r="C33" s="52"/>
      <c r="D33" s="53" t="s">
        <v>66</v>
      </c>
      <c r="E33" s="183"/>
      <c r="F33" s="51">
        <f t="shared" si="5"/>
        <v>0</v>
      </c>
      <c r="G33" s="51">
        <v>1200000</v>
      </c>
      <c r="H33" s="57"/>
      <c r="I33" s="33"/>
      <c r="J33" s="86"/>
      <c r="K33" s="195" t="s">
        <v>67</v>
      </c>
      <c r="L33" s="194"/>
      <c r="M33" s="78"/>
      <c r="N33" s="78"/>
      <c r="O33" s="194"/>
    </row>
    <row r="34" s="2" customFormat="1" ht="18" customHeight="1" spans="1:15">
      <c r="A34" s="50">
        <v>43831</v>
      </c>
      <c r="B34" s="51">
        <f t="shared" si="4"/>
        <v>265486.73</v>
      </c>
      <c r="C34" s="52"/>
      <c r="D34" s="53" t="s">
        <v>38</v>
      </c>
      <c r="E34" s="183">
        <v>0.13</v>
      </c>
      <c r="F34" s="51">
        <f t="shared" si="5"/>
        <v>34513.27</v>
      </c>
      <c r="G34" s="51">
        <f>3*100000</f>
        <v>300000</v>
      </c>
      <c r="H34" s="57">
        <v>43846</v>
      </c>
      <c r="I34" s="33">
        <v>300000</v>
      </c>
      <c r="J34" s="86" t="s">
        <v>22</v>
      </c>
      <c r="K34" s="195" t="s">
        <v>42</v>
      </c>
      <c r="L34" s="194" t="s">
        <v>68</v>
      </c>
      <c r="M34" s="78" t="s">
        <v>41</v>
      </c>
      <c r="N34" s="78" t="s">
        <v>69</v>
      </c>
      <c r="O34" s="194">
        <v>426</v>
      </c>
    </row>
    <row r="35" s="2" customFormat="1" ht="18" customHeight="1" spans="1:15">
      <c r="A35" s="50">
        <v>43831</v>
      </c>
      <c r="B35" s="51">
        <f t="shared" si="4"/>
        <v>600000</v>
      </c>
      <c r="C35" s="52"/>
      <c r="D35" s="53" t="s">
        <v>66</v>
      </c>
      <c r="E35" s="183"/>
      <c r="F35" s="51">
        <f t="shared" si="5"/>
        <v>0</v>
      </c>
      <c r="G35" s="33">
        <v>600000</v>
      </c>
      <c r="H35" s="57"/>
      <c r="I35" s="33"/>
      <c r="J35" s="86"/>
      <c r="K35" s="196" t="s">
        <v>70</v>
      </c>
      <c r="L35" s="194" t="s">
        <v>71</v>
      </c>
      <c r="M35" s="78"/>
      <c r="N35" s="78"/>
      <c r="O35" s="194"/>
    </row>
    <row r="36" s="2" customFormat="1" ht="18" customHeight="1" spans="1:15">
      <c r="A36" s="50">
        <v>43831</v>
      </c>
      <c r="B36" s="51">
        <f t="shared" si="4"/>
        <v>600000</v>
      </c>
      <c r="C36" s="52"/>
      <c r="D36" s="53" t="s">
        <v>66</v>
      </c>
      <c r="E36" s="183"/>
      <c r="F36" s="51">
        <f t="shared" si="5"/>
        <v>0</v>
      </c>
      <c r="G36" s="33">
        <v>600000</v>
      </c>
      <c r="H36" s="57">
        <v>43852</v>
      </c>
      <c r="I36" s="33">
        <v>400000</v>
      </c>
      <c r="J36" s="86" t="s">
        <v>45</v>
      </c>
      <c r="K36" s="196" t="s">
        <v>72</v>
      </c>
      <c r="L36" s="194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4"/>
        <v>733944.95</v>
      </c>
      <c r="C37" s="52"/>
      <c r="D37" s="53" t="s">
        <v>38</v>
      </c>
      <c r="E37" s="183">
        <v>0.09</v>
      </c>
      <c r="F37" s="51">
        <f t="shared" si="5"/>
        <v>66055.05</v>
      </c>
      <c r="G37" s="33">
        <v>800000</v>
      </c>
      <c r="H37" s="57"/>
      <c r="I37" s="33"/>
      <c r="J37" s="86"/>
      <c r="K37" s="196" t="s">
        <v>73</v>
      </c>
      <c r="L37" s="194" t="s">
        <v>74</v>
      </c>
      <c r="M37" s="78" t="s">
        <v>41</v>
      </c>
      <c r="N37" s="78" t="s">
        <v>41</v>
      </c>
      <c r="O37" s="194"/>
    </row>
    <row r="38" s="2" customFormat="1" ht="18" customHeight="1" spans="1:15">
      <c r="A38" s="50"/>
      <c r="B38" s="51">
        <f t="shared" si="4"/>
        <v>0</v>
      </c>
      <c r="C38" s="52"/>
      <c r="D38" s="53"/>
      <c r="E38" s="183"/>
      <c r="F38" s="51">
        <f t="shared" si="5"/>
        <v>0</v>
      </c>
      <c r="G38" s="33"/>
      <c r="H38" s="57">
        <v>43850</v>
      </c>
      <c r="I38" s="33">
        <v>200000</v>
      </c>
      <c r="J38" s="86" t="s">
        <v>45</v>
      </c>
      <c r="K38" s="195" t="s">
        <v>60</v>
      </c>
      <c r="L38" s="194"/>
      <c r="M38" s="78"/>
      <c r="N38" s="78"/>
      <c r="O38" s="194"/>
    </row>
    <row r="39" s="2" customFormat="1" ht="18" customHeight="1" spans="1:15">
      <c r="A39" s="50"/>
      <c r="B39" s="51">
        <f t="shared" si="4"/>
        <v>0</v>
      </c>
      <c r="C39" s="52"/>
      <c r="D39" s="53"/>
      <c r="E39" s="183"/>
      <c r="F39" s="51">
        <f t="shared" si="5"/>
        <v>0</v>
      </c>
      <c r="G39" s="33"/>
      <c r="H39" s="57">
        <v>43853</v>
      </c>
      <c r="I39" s="33">
        <v>500000</v>
      </c>
      <c r="J39" s="86" t="s">
        <v>22</v>
      </c>
      <c r="K39" s="195" t="s">
        <v>73</v>
      </c>
      <c r="L39" s="194" t="s">
        <v>75</v>
      </c>
      <c r="M39" s="78"/>
      <c r="N39" s="78"/>
      <c r="O39" s="194"/>
    </row>
    <row r="40" s="2" customFormat="1" ht="18" customHeight="1" spans="1:15">
      <c r="A40" s="50"/>
      <c r="B40" s="51">
        <f t="shared" si="4"/>
        <v>0</v>
      </c>
      <c r="C40" s="52"/>
      <c r="D40" s="53"/>
      <c r="E40" s="183"/>
      <c r="F40" s="51">
        <f t="shared" si="5"/>
        <v>0</v>
      </c>
      <c r="G40" s="33"/>
      <c r="H40" s="57">
        <v>43853</v>
      </c>
      <c r="I40" s="33">
        <v>600000</v>
      </c>
      <c r="J40" s="86" t="s">
        <v>45</v>
      </c>
      <c r="K40" s="195" t="s">
        <v>70</v>
      </c>
      <c r="L40" s="194" t="s">
        <v>71</v>
      </c>
      <c r="M40" s="78"/>
      <c r="N40" s="78"/>
      <c r="O40" s="194"/>
    </row>
    <row r="41" s="2" customFormat="1" ht="18" customHeight="1" spans="1:15">
      <c r="A41" s="50"/>
      <c r="B41" s="51">
        <f t="shared" si="4"/>
        <v>0</v>
      </c>
      <c r="C41" s="52"/>
      <c r="D41" s="53"/>
      <c r="E41" s="183"/>
      <c r="F41" s="51">
        <f t="shared" si="5"/>
        <v>0</v>
      </c>
      <c r="G41" s="33"/>
      <c r="H41" s="57">
        <v>43853</v>
      </c>
      <c r="I41" s="33">
        <v>200000</v>
      </c>
      <c r="J41" s="86" t="s">
        <v>45</v>
      </c>
      <c r="K41" s="195" t="s">
        <v>72</v>
      </c>
      <c r="L41" s="194" t="s">
        <v>71</v>
      </c>
      <c r="M41" s="78"/>
      <c r="N41" s="78"/>
      <c r="O41" s="194"/>
    </row>
    <row r="42" s="2" customFormat="1" ht="18" customHeight="1" spans="1:15">
      <c r="A42" s="50">
        <v>43891</v>
      </c>
      <c r="B42" s="51">
        <f t="shared" si="4"/>
        <v>485436.89</v>
      </c>
      <c r="C42" s="52"/>
      <c r="D42" s="53" t="s">
        <v>38</v>
      </c>
      <c r="E42" s="183">
        <v>0.03</v>
      </c>
      <c r="F42" s="51">
        <f t="shared" si="5"/>
        <v>14563.11</v>
      </c>
      <c r="G42" s="33">
        <v>500000</v>
      </c>
      <c r="H42" s="57">
        <v>43923</v>
      </c>
      <c r="I42" s="33">
        <v>320000</v>
      </c>
      <c r="J42" s="86" t="s">
        <v>22</v>
      </c>
      <c r="K42" s="195" t="s">
        <v>39</v>
      </c>
      <c r="L42" s="194" t="s">
        <v>40</v>
      </c>
      <c r="M42" s="78"/>
      <c r="N42" s="78"/>
      <c r="O42" s="194"/>
    </row>
    <row r="43" s="2" customFormat="1" ht="18" customHeight="1" spans="1:15">
      <c r="A43" s="50">
        <v>43922</v>
      </c>
      <c r="B43" s="51">
        <f t="shared" si="4"/>
        <v>265486.73</v>
      </c>
      <c r="C43" s="52"/>
      <c r="D43" s="53" t="s">
        <v>38</v>
      </c>
      <c r="E43" s="183">
        <v>0.13</v>
      </c>
      <c r="F43" s="51">
        <f t="shared" si="5"/>
        <v>34513.27</v>
      </c>
      <c r="G43" s="33">
        <v>300000</v>
      </c>
      <c r="H43" s="58"/>
      <c r="I43" s="197"/>
      <c r="J43" s="89"/>
      <c r="K43" s="198" t="s">
        <v>42</v>
      </c>
      <c r="L43" s="218" t="s">
        <v>68</v>
      </c>
      <c r="M43" s="78"/>
      <c r="N43" s="78"/>
      <c r="O43" s="194"/>
    </row>
    <row r="44" s="1" customFormat="1" ht="18" customHeight="1" spans="1:15">
      <c r="A44" s="42">
        <v>43983</v>
      </c>
      <c r="B44" s="51">
        <f t="shared" si="4"/>
        <v>150500</v>
      </c>
      <c r="C44" s="43"/>
      <c r="D44" s="44" t="s">
        <v>66</v>
      </c>
      <c r="E44" s="47"/>
      <c r="F44" s="51">
        <f t="shared" si="5"/>
        <v>0</v>
      </c>
      <c r="G44" s="184">
        <v>150500</v>
      </c>
      <c r="H44" s="58">
        <v>43986</v>
      </c>
      <c r="I44" s="197">
        <v>150500</v>
      </c>
      <c r="J44" s="89" t="s">
        <v>152</v>
      </c>
      <c r="K44" s="198" t="s">
        <v>153</v>
      </c>
      <c r="L44" s="218" t="s">
        <v>154</v>
      </c>
      <c r="M44" s="77" t="s">
        <v>41</v>
      </c>
      <c r="N44" s="77" t="s">
        <v>41</v>
      </c>
      <c r="O44" s="191"/>
    </row>
    <row r="45" s="1" customFormat="1" ht="18" customHeight="1" spans="1:15">
      <c r="A45" s="42">
        <v>43983</v>
      </c>
      <c r="B45" s="51">
        <f t="shared" si="4"/>
        <v>154000</v>
      </c>
      <c r="C45" s="43"/>
      <c r="D45" s="44" t="s">
        <v>66</v>
      </c>
      <c r="E45" s="47"/>
      <c r="F45" s="51">
        <f t="shared" si="5"/>
        <v>0</v>
      </c>
      <c r="G45" s="184">
        <v>154000</v>
      </c>
      <c r="H45" s="58">
        <v>43986</v>
      </c>
      <c r="I45" s="197">
        <v>150000</v>
      </c>
      <c r="J45" s="89" t="s">
        <v>22</v>
      </c>
      <c r="K45" s="198" t="s">
        <v>156</v>
      </c>
      <c r="L45" s="218" t="s">
        <v>157</v>
      </c>
      <c r="M45" s="77" t="s">
        <v>41</v>
      </c>
      <c r="N45" s="77" t="s">
        <v>41</v>
      </c>
      <c r="O45" s="191"/>
    </row>
    <row r="46" s="1" customFormat="1" ht="18" customHeight="1" spans="1:15">
      <c r="A46" s="42"/>
      <c r="B46" s="51">
        <f t="shared" si="4"/>
        <v>0</v>
      </c>
      <c r="C46" s="43"/>
      <c r="D46" s="44"/>
      <c r="E46" s="47"/>
      <c r="F46" s="51">
        <f t="shared" si="5"/>
        <v>0</v>
      </c>
      <c r="G46" s="184"/>
      <c r="H46" s="58">
        <v>44067</v>
      </c>
      <c r="I46" s="197">
        <v>150000</v>
      </c>
      <c r="J46" s="89" t="s">
        <v>22</v>
      </c>
      <c r="K46" s="198" t="s">
        <v>39</v>
      </c>
      <c r="L46" s="218" t="s">
        <v>40</v>
      </c>
      <c r="M46" s="77"/>
      <c r="N46" s="77"/>
      <c r="O46" s="191"/>
    </row>
    <row r="47" s="1" customFormat="1" ht="18" customHeight="1" spans="1:15">
      <c r="A47" s="42">
        <v>44075</v>
      </c>
      <c r="B47" s="51">
        <f t="shared" si="4"/>
        <v>240000</v>
      </c>
      <c r="C47" s="43"/>
      <c r="D47" s="44" t="s">
        <v>66</v>
      </c>
      <c r="E47" s="47"/>
      <c r="F47" s="51">
        <f t="shared" si="5"/>
        <v>0</v>
      </c>
      <c r="G47" s="184">
        <f>90000+90000+60000</f>
        <v>240000</v>
      </c>
      <c r="H47" s="58">
        <v>44067</v>
      </c>
      <c r="I47" s="197">
        <v>240000</v>
      </c>
      <c r="J47" s="89" t="s">
        <v>22</v>
      </c>
      <c r="K47" s="198" t="s">
        <v>161</v>
      </c>
      <c r="L47" s="218" t="s">
        <v>162</v>
      </c>
      <c r="M47" s="77" t="s">
        <v>41</v>
      </c>
      <c r="N47" s="77" t="s">
        <v>41</v>
      </c>
      <c r="O47" s="191"/>
    </row>
    <row r="48" s="1" customFormat="1" ht="18" customHeight="1" spans="1:15">
      <c r="A48" s="42"/>
      <c r="B48" s="51">
        <f t="shared" si="4"/>
        <v>0</v>
      </c>
      <c r="C48" s="43"/>
      <c r="D48" s="44"/>
      <c r="E48" s="47"/>
      <c r="F48" s="51">
        <f t="shared" si="5"/>
        <v>0</v>
      </c>
      <c r="G48" s="184"/>
      <c r="H48" s="58"/>
      <c r="I48" s="199">
        <v>-1000000</v>
      </c>
      <c r="J48" s="200" t="s">
        <v>170</v>
      </c>
      <c r="K48" s="201" t="s">
        <v>63</v>
      </c>
      <c r="L48" s="201" t="s">
        <v>63</v>
      </c>
      <c r="M48" s="77"/>
      <c r="N48" s="77"/>
      <c r="O48" s="191"/>
    </row>
    <row r="49" s="1" customFormat="1" ht="18" customHeight="1" spans="1:15">
      <c r="A49" s="42"/>
      <c r="B49" s="51">
        <f t="shared" si="4"/>
        <v>0</v>
      </c>
      <c r="C49" s="43"/>
      <c r="D49" s="44"/>
      <c r="E49" s="47"/>
      <c r="F49" s="51">
        <f t="shared" si="5"/>
        <v>0</v>
      </c>
      <c r="G49" s="184"/>
      <c r="H49" s="58">
        <v>44081</v>
      </c>
      <c r="I49" s="197">
        <v>100000</v>
      </c>
      <c r="J49" s="89" t="s">
        <v>22</v>
      </c>
      <c r="K49" s="198" t="s">
        <v>171</v>
      </c>
      <c r="L49" s="201" t="s">
        <v>63</v>
      </c>
      <c r="M49" s="77"/>
      <c r="N49" s="77"/>
      <c r="O49" s="191"/>
    </row>
    <row r="50" s="1" customFormat="1" ht="18" customHeight="1" spans="1:15">
      <c r="A50" s="42"/>
      <c r="B50" s="51">
        <f t="shared" si="4"/>
        <v>0</v>
      </c>
      <c r="C50" s="43"/>
      <c r="D50" s="44"/>
      <c r="E50" s="47"/>
      <c r="F50" s="51">
        <f t="shared" si="5"/>
        <v>0</v>
      </c>
      <c r="G50" s="184"/>
      <c r="H50" s="206">
        <v>44084</v>
      </c>
      <c r="I50" s="210">
        <v>200000</v>
      </c>
      <c r="J50" s="211" t="s">
        <v>22</v>
      </c>
      <c r="K50" s="212" t="s">
        <v>161</v>
      </c>
      <c r="L50" s="201" t="s">
        <v>63</v>
      </c>
      <c r="M50" s="77"/>
      <c r="N50" s="77"/>
      <c r="O50" s="191"/>
    </row>
    <row r="51" s="1" customFormat="1" ht="18" customHeight="1" spans="1:15">
      <c r="A51" s="42">
        <v>44075</v>
      </c>
      <c r="B51" s="51">
        <f t="shared" si="4"/>
        <v>283.02</v>
      </c>
      <c r="C51" s="43"/>
      <c r="D51" s="44" t="s">
        <v>38</v>
      </c>
      <c r="E51" s="47">
        <v>0.06</v>
      </c>
      <c r="F51" s="51">
        <f t="shared" ref="F51:F70" si="6">ROUND(G51/(1+E51)*E51,2)</f>
        <v>16.98</v>
      </c>
      <c r="G51" s="184">
        <v>300</v>
      </c>
      <c r="H51" s="58"/>
      <c r="I51" s="197"/>
      <c r="J51" s="89"/>
      <c r="K51" s="198" t="s">
        <v>172</v>
      </c>
      <c r="L51" s="198" t="s">
        <v>173</v>
      </c>
      <c r="M51" s="77"/>
      <c r="N51" s="77"/>
      <c r="O51" s="191"/>
    </row>
    <row r="52" s="1" customFormat="1" ht="18" customHeight="1" spans="1:15">
      <c r="A52" s="42"/>
      <c r="B52" s="51">
        <f t="shared" si="4"/>
        <v>0</v>
      </c>
      <c r="C52" s="43"/>
      <c r="D52" s="44"/>
      <c r="E52" s="47"/>
      <c r="F52" s="51">
        <f t="shared" si="6"/>
        <v>0</v>
      </c>
      <c r="G52" s="184"/>
      <c r="H52" s="58"/>
      <c r="I52" s="197"/>
      <c r="J52" s="89"/>
      <c r="K52" s="198"/>
      <c r="L52" s="201"/>
      <c r="M52" s="77"/>
      <c r="N52" s="77"/>
      <c r="O52" s="191"/>
    </row>
    <row r="53" s="1" customFormat="1" ht="18" customHeight="1" spans="1:15">
      <c r="A53" s="42"/>
      <c r="B53" s="51">
        <f t="shared" si="4"/>
        <v>0</v>
      </c>
      <c r="C53" s="43"/>
      <c r="D53" s="44"/>
      <c r="E53" s="47"/>
      <c r="F53" s="51">
        <f t="shared" si="6"/>
        <v>0</v>
      </c>
      <c r="G53" s="184"/>
      <c r="H53" s="58"/>
      <c r="I53" s="197"/>
      <c r="J53" s="89"/>
      <c r="K53" s="198"/>
      <c r="L53" s="201"/>
      <c r="M53" s="77"/>
      <c r="N53" s="77"/>
      <c r="O53" s="191"/>
    </row>
    <row r="54" s="1" customFormat="1" ht="18" customHeight="1" spans="1:15">
      <c r="A54" s="42"/>
      <c r="B54" s="51">
        <f t="shared" si="4"/>
        <v>0</v>
      </c>
      <c r="C54" s="43"/>
      <c r="D54" s="44"/>
      <c r="E54" s="47"/>
      <c r="F54" s="51">
        <f t="shared" si="6"/>
        <v>0</v>
      </c>
      <c r="G54" s="184"/>
      <c r="H54" s="58"/>
      <c r="I54" s="197"/>
      <c r="J54" s="89"/>
      <c r="K54" s="198"/>
      <c r="L54" s="201"/>
      <c r="M54" s="77"/>
      <c r="N54" s="77"/>
      <c r="O54" s="191"/>
    </row>
    <row r="55" s="1" customFormat="1" ht="18" customHeight="1" spans="1:15">
      <c r="A55" s="42"/>
      <c r="B55" s="51">
        <f t="shared" si="4"/>
        <v>0</v>
      </c>
      <c r="C55" s="43"/>
      <c r="D55" s="44"/>
      <c r="E55" s="47"/>
      <c r="F55" s="51">
        <f t="shared" si="6"/>
        <v>0</v>
      </c>
      <c r="G55" s="184"/>
      <c r="H55" s="58"/>
      <c r="I55" s="197"/>
      <c r="J55" s="89"/>
      <c r="K55" s="198"/>
      <c r="L55" s="218"/>
      <c r="M55" s="77"/>
      <c r="N55" s="77"/>
      <c r="O55" s="191"/>
    </row>
    <row r="56" s="1" customFormat="1" ht="18" customHeight="1" spans="1:15">
      <c r="A56" s="42"/>
      <c r="B56" s="51">
        <f t="shared" si="4"/>
        <v>0</v>
      </c>
      <c r="C56" s="43"/>
      <c r="D56" s="44"/>
      <c r="E56" s="47"/>
      <c r="F56" s="51">
        <f t="shared" si="6"/>
        <v>0</v>
      </c>
      <c r="G56" s="184"/>
      <c r="H56" s="30"/>
      <c r="I56" s="31"/>
      <c r="J56" s="40"/>
      <c r="K56" s="190"/>
      <c r="L56" s="191"/>
      <c r="M56" s="77" t="s">
        <v>163</v>
      </c>
      <c r="N56" s="77"/>
      <c r="O56" s="191"/>
    </row>
    <row r="57" s="1" customFormat="1" ht="18" customHeight="1" spans="1:15">
      <c r="A57" s="42"/>
      <c r="B57" s="51">
        <f t="shared" si="4"/>
        <v>0</v>
      </c>
      <c r="C57" s="43"/>
      <c r="D57" s="44"/>
      <c r="E57" s="47"/>
      <c r="F57" s="51">
        <f t="shared" si="6"/>
        <v>0</v>
      </c>
      <c r="G57" s="184"/>
      <c r="H57" s="206" t="s">
        <v>174</v>
      </c>
      <c r="I57" s="210">
        <v>100</v>
      </c>
      <c r="J57" s="211" t="s">
        <v>77</v>
      </c>
      <c r="K57" s="212" t="s">
        <v>78</v>
      </c>
      <c r="L57" s="191"/>
      <c r="M57" s="77"/>
      <c r="N57" s="77"/>
      <c r="O57" s="191"/>
    </row>
    <row r="58" s="1" customFormat="1" ht="18" customHeight="1" spans="1:15">
      <c r="A58" s="42"/>
      <c r="B58" s="51">
        <f t="shared" si="4"/>
        <v>0</v>
      </c>
      <c r="C58" s="43"/>
      <c r="D58" s="44"/>
      <c r="E58" s="47"/>
      <c r="F58" s="51">
        <f t="shared" si="6"/>
        <v>0</v>
      </c>
      <c r="G58" s="184"/>
      <c r="H58" s="58" t="s">
        <v>175</v>
      </c>
      <c r="I58" s="197">
        <v>100</v>
      </c>
      <c r="J58" s="89" t="s">
        <v>77</v>
      </c>
      <c r="K58" s="198" t="s">
        <v>78</v>
      </c>
      <c r="L58" s="191"/>
      <c r="M58" s="77"/>
      <c r="N58" s="77"/>
      <c r="O58" s="191"/>
    </row>
    <row r="59" s="1" customFormat="1" ht="18" customHeight="1" spans="1:15">
      <c r="A59" s="42"/>
      <c r="B59" s="51">
        <f t="shared" si="4"/>
        <v>0</v>
      </c>
      <c r="C59" s="43"/>
      <c r="D59" s="44"/>
      <c r="E59" s="47"/>
      <c r="F59" s="51">
        <f t="shared" si="6"/>
        <v>0</v>
      </c>
      <c r="G59" s="184"/>
      <c r="H59" s="58" t="s">
        <v>164</v>
      </c>
      <c r="I59" s="197">
        <v>1192.9</v>
      </c>
      <c r="J59" s="89" t="s">
        <v>77</v>
      </c>
      <c r="K59" s="198" t="s">
        <v>165</v>
      </c>
      <c r="L59" s="191"/>
      <c r="M59" s="77"/>
      <c r="N59" s="77"/>
      <c r="O59" s="191"/>
    </row>
    <row r="60" s="1" customFormat="1" ht="18" customHeight="1" spans="1:15">
      <c r="A60" s="42"/>
      <c r="B60" s="51">
        <f t="shared" si="4"/>
        <v>0</v>
      </c>
      <c r="C60" s="43"/>
      <c r="D60" s="44"/>
      <c r="E60" s="47"/>
      <c r="F60" s="51">
        <f t="shared" si="6"/>
        <v>0</v>
      </c>
      <c r="G60" s="184"/>
      <c r="H60" s="58" t="s">
        <v>164</v>
      </c>
      <c r="I60" s="197">
        <v>200</v>
      </c>
      <c r="J60" s="89" t="s">
        <v>77</v>
      </c>
      <c r="K60" s="198" t="s">
        <v>78</v>
      </c>
      <c r="L60" s="191"/>
      <c r="M60" s="77"/>
      <c r="N60" s="77"/>
      <c r="O60" s="191"/>
    </row>
    <row r="61" s="1" customFormat="1" ht="18" customHeight="1" spans="1:15">
      <c r="A61" s="42"/>
      <c r="B61" s="51">
        <f t="shared" si="4"/>
        <v>2000</v>
      </c>
      <c r="C61" s="43"/>
      <c r="D61" s="44"/>
      <c r="E61" s="47"/>
      <c r="F61" s="51">
        <f t="shared" si="6"/>
        <v>0</v>
      </c>
      <c r="G61" s="184">
        <f>I61</f>
        <v>2000</v>
      </c>
      <c r="H61" s="58" t="s">
        <v>164</v>
      </c>
      <c r="I61" s="197">
        <v>2000</v>
      </c>
      <c r="J61" s="89" t="s">
        <v>77</v>
      </c>
      <c r="K61" s="198" t="s">
        <v>105</v>
      </c>
      <c r="L61" s="191"/>
      <c r="M61" s="77"/>
      <c r="N61" s="77"/>
      <c r="O61" s="191"/>
    </row>
    <row r="62" s="1" customFormat="1" ht="18" customHeight="1" spans="1:15">
      <c r="A62" s="42"/>
      <c r="B62" s="51">
        <f t="shared" si="4"/>
        <v>0</v>
      </c>
      <c r="C62" s="43"/>
      <c r="D62" s="44"/>
      <c r="E62" s="47"/>
      <c r="F62" s="51">
        <f t="shared" si="6"/>
        <v>0</v>
      </c>
      <c r="G62" s="184"/>
      <c r="H62" s="58" t="s">
        <v>164</v>
      </c>
      <c r="I62" s="197">
        <v>6400</v>
      </c>
      <c r="J62" s="89" t="s">
        <v>77</v>
      </c>
      <c r="K62" s="198" t="s">
        <v>146</v>
      </c>
      <c r="L62" s="191"/>
      <c r="M62" s="77"/>
      <c r="N62" s="77"/>
      <c r="O62" s="191"/>
    </row>
    <row r="63" s="1" customFormat="1" ht="18" customHeight="1" spans="1:15">
      <c r="A63" s="42"/>
      <c r="B63" s="51">
        <f t="shared" si="4"/>
        <v>0</v>
      </c>
      <c r="C63" s="43"/>
      <c r="D63" s="44"/>
      <c r="E63" s="47"/>
      <c r="F63" s="51">
        <f t="shared" si="6"/>
        <v>0</v>
      </c>
      <c r="G63" s="184"/>
      <c r="H63" s="58" t="s">
        <v>164</v>
      </c>
      <c r="I63" s="197">
        <v>221</v>
      </c>
      <c r="J63" s="89" t="s">
        <v>77</v>
      </c>
      <c r="K63" s="198" t="s">
        <v>140</v>
      </c>
      <c r="L63" s="191"/>
      <c r="M63" s="77"/>
      <c r="N63" s="77"/>
      <c r="O63" s="191"/>
    </row>
    <row r="64" s="1" customFormat="1" ht="18" customHeight="1" spans="1:15">
      <c r="A64" s="42"/>
      <c r="B64" s="51">
        <f t="shared" si="4"/>
        <v>0</v>
      </c>
      <c r="C64" s="43"/>
      <c r="D64" s="44"/>
      <c r="E64" s="47"/>
      <c r="F64" s="51">
        <f t="shared" si="6"/>
        <v>0</v>
      </c>
      <c r="G64" s="184"/>
      <c r="H64" s="58" t="s">
        <v>158</v>
      </c>
      <c r="I64" s="197">
        <v>100</v>
      </c>
      <c r="J64" s="89" t="s">
        <v>77</v>
      </c>
      <c r="K64" s="198" t="s">
        <v>78</v>
      </c>
      <c r="L64" s="191" t="s">
        <v>159</v>
      </c>
      <c r="M64" s="77"/>
      <c r="N64" s="77"/>
      <c r="O64" s="191"/>
    </row>
    <row r="65" s="1" customFormat="1" ht="18" customHeight="1" spans="1:15">
      <c r="A65" s="42"/>
      <c r="B65" s="51">
        <f t="shared" si="4"/>
        <v>0</v>
      </c>
      <c r="C65" s="43"/>
      <c r="D65" s="44"/>
      <c r="E65" s="47"/>
      <c r="F65" s="51">
        <f t="shared" si="6"/>
        <v>0</v>
      </c>
      <c r="G65" s="184"/>
      <c r="H65" s="58" t="s">
        <v>158</v>
      </c>
      <c r="I65" s="197">
        <v>100</v>
      </c>
      <c r="J65" s="89" t="s">
        <v>77</v>
      </c>
      <c r="K65" s="198" t="s">
        <v>78</v>
      </c>
      <c r="L65" s="191" t="s">
        <v>159</v>
      </c>
      <c r="M65" s="77"/>
      <c r="N65" s="77"/>
      <c r="O65" s="191"/>
    </row>
    <row r="66" s="1" customFormat="1" ht="18" customHeight="1" spans="1:15">
      <c r="A66" s="42"/>
      <c r="B66" s="51">
        <f t="shared" si="4"/>
        <v>0</v>
      </c>
      <c r="C66" s="43"/>
      <c r="D66" s="44"/>
      <c r="E66" s="47"/>
      <c r="F66" s="51">
        <f t="shared" si="6"/>
        <v>0</v>
      </c>
      <c r="G66" s="184"/>
      <c r="H66" s="57">
        <v>43923</v>
      </c>
      <c r="I66" s="33">
        <v>100</v>
      </c>
      <c r="J66" s="86" t="s">
        <v>77</v>
      </c>
      <c r="K66" s="195" t="s">
        <v>78</v>
      </c>
      <c r="L66" s="191"/>
      <c r="M66" s="77"/>
      <c r="N66" s="77"/>
      <c r="O66" s="191"/>
    </row>
    <row r="67" s="1" customFormat="1" ht="18" customHeight="1" spans="1:15">
      <c r="A67" s="42"/>
      <c r="B67" s="51">
        <f t="shared" si="4"/>
        <v>0</v>
      </c>
      <c r="C67" s="43"/>
      <c r="D67" s="44"/>
      <c r="E67" s="47"/>
      <c r="F67" s="51">
        <f t="shared" si="6"/>
        <v>0</v>
      </c>
      <c r="G67" s="184"/>
      <c r="H67" s="30" t="s">
        <v>79</v>
      </c>
      <c r="I67" s="31">
        <v>200</v>
      </c>
      <c r="J67" s="86" t="s">
        <v>77</v>
      </c>
      <c r="K67" s="195" t="s">
        <v>78</v>
      </c>
      <c r="L67" s="191"/>
      <c r="M67" s="77"/>
      <c r="N67" s="77"/>
      <c r="O67" s="191"/>
    </row>
    <row r="68" s="1" customFormat="1" ht="18" customHeight="1" spans="1:15">
      <c r="A68" s="42"/>
      <c r="B68" s="51">
        <f t="shared" si="4"/>
        <v>0</v>
      </c>
      <c r="C68" s="43"/>
      <c r="D68" s="44"/>
      <c r="E68" s="47"/>
      <c r="F68" s="25">
        <f t="shared" si="6"/>
        <v>0</v>
      </c>
      <c r="G68" s="184"/>
      <c r="H68" s="30" t="s">
        <v>79</v>
      </c>
      <c r="I68" s="31">
        <v>-88680</v>
      </c>
      <c r="J68" s="40" t="s">
        <v>80</v>
      </c>
      <c r="K68" s="190" t="s">
        <v>133</v>
      </c>
      <c r="L68" s="191"/>
      <c r="M68" s="77"/>
      <c r="N68" s="77"/>
      <c r="O68" s="191"/>
    </row>
    <row r="69" s="1" customFormat="1" ht="18" customHeight="1" spans="1:15">
      <c r="A69" s="42"/>
      <c r="B69" s="25">
        <f t="shared" si="4"/>
        <v>0</v>
      </c>
      <c r="C69" s="43"/>
      <c r="D69" s="44"/>
      <c r="E69" s="47"/>
      <c r="F69" s="25">
        <f t="shared" si="6"/>
        <v>0</v>
      </c>
      <c r="G69" s="184"/>
      <c r="H69" s="57" t="s">
        <v>82</v>
      </c>
      <c r="I69" s="33">
        <v>188304</v>
      </c>
      <c r="J69" s="86" t="s">
        <v>77</v>
      </c>
      <c r="K69" s="196" t="s">
        <v>83</v>
      </c>
      <c r="L69" s="194"/>
      <c r="M69" s="77"/>
      <c r="N69" s="77"/>
      <c r="O69" s="191"/>
    </row>
    <row r="70" s="1" customFormat="1" ht="18" customHeight="1" spans="1:16">
      <c r="A70" s="42"/>
      <c r="B70" s="25">
        <f t="shared" si="4"/>
        <v>0</v>
      </c>
      <c r="C70" s="43"/>
      <c r="D70" s="44"/>
      <c r="E70" s="47"/>
      <c r="F70" s="25">
        <f t="shared" si="6"/>
        <v>0</v>
      </c>
      <c r="G70" s="184"/>
      <c r="H70" s="104" t="s">
        <v>82</v>
      </c>
      <c r="I70" s="215">
        <v>-300000</v>
      </c>
      <c r="J70" s="114" t="s">
        <v>84</v>
      </c>
      <c r="K70" s="234" t="s">
        <v>85</v>
      </c>
      <c r="L70" s="194"/>
      <c r="M70" s="77"/>
      <c r="N70" s="115"/>
      <c r="O70" s="216" t="s">
        <v>86</v>
      </c>
      <c r="P70" s="120"/>
    </row>
    <row r="71" s="1" customFormat="1" ht="18" customHeight="1" spans="1:16">
      <c r="A71" s="42"/>
      <c r="B71" s="25"/>
      <c r="C71" s="43"/>
      <c r="D71" s="44"/>
      <c r="E71" s="47"/>
      <c r="F71" s="25"/>
      <c r="G71" s="184"/>
      <c r="H71" s="57" t="s">
        <v>82</v>
      </c>
      <c r="I71" s="197">
        <v>21333.33</v>
      </c>
      <c r="J71" s="86" t="s">
        <v>77</v>
      </c>
      <c r="K71" s="217" t="s">
        <v>87</v>
      </c>
      <c r="L71" s="218"/>
      <c r="M71" s="91"/>
      <c r="N71" s="91"/>
      <c r="O71" s="218"/>
      <c r="P71" s="122"/>
    </row>
    <row r="72" s="1" customFormat="1" ht="18" customHeight="1" spans="1:15">
      <c r="A72" s="42"/>
      <c r="B72" s="25">
        <f t="shared" ref="B72:B107" si="7">ROUND(G72/(1+E72),2)</f>
        <v>0</v>
      </c>
      <c r="C72" s="43"/>
      <c r="D72" s="44"/>
      <c r="E72" s="47"/>
      <c r="F72" s="25">
        <f t="shared" ref="F72:F107" si="8">ROUND(G72/(1+E72)*E72,2)</f>
        <v>0</v>
      </c>
      <c r="G72" s="184"/>
      <c r="H72" s="57" t="s">
        <v>82</v>
      </c>
      <c r="I72" s="33">
        <v>300</v>
      </c>
      <c r="J72" s="86" t="s">
        <v>77</v>
      </c>
      <c r="K72" s="195" t="s">
        <v>78</v>
      </c>
      <c r="L72" s="194"/>
      <c r="M72" s="77"/>
      <c r="N72" s="77"/>
      <c r="O72" s="191"/>
    </row>
    <row r="73" s="1" customFormat="1" ht="18" customHeight="1" spans="1:15">
      <c r="A73" s="42"/>
      <c r="B73" s="25">
        <f t="shared" si="7"/>
        <v>10000</v>
      </c>
      <c r="C73" s="43"/>
      <c r="D73" s="44"/>
      <c r="E73" s="47"/>
      <c r="F73" s="25">
        <f t="shared" si="8"/>
        <v>0</v>
      </c>
      <c r="G73" s="184">
        <f>10000</f>
        <v>10000</v>
      </c>
      <c r="H73" s="57" t="s">
        <v>82</v>
      </c>
      <c r="I73" s="33">
        <f>G73</f>
        <v>10000</v>
      </c>
      <c r="J73" s="86" t="s">
        <v>77</v>
      </c>
      <c r="K73" s="195" t="s">
        <v>105</v>
      </c>
      <c r="L73" s="194"/>
      <c r="M73" s="77"/>
      <c r="N73" s="77"/>
      <c r="O73" s="191"/>
    </row>
    <row r="74" s="1" customFormat="1" ht="18" customHeight="1" spans="1:15">
      <c r="A74" s="42"/>
      <c r="B74" s="25">
        <f t="shared" si="7"/>
        <v>0</v>
      </c>
      <c r="C74" s="43"/>
      <c r="D74" s="44"/>
      <c r="E74" s="47"/>
      <c r="F74" s="25">
        <f t="shared" si="8"/>
        <v>0</v>
      </c>
      <c r="G74" s="184"/>
      <c r="H74" s="57" t="s">
        <v>89</v>
      </c>
      <c r="I74" s="33">
        <v>-300000</v>
      </c>
      <c r="J74" s="86" t="s">
        <v>90</v>
      </c>
      <c r="K74" s="195" t="s">
        <v>91</v>
      </c>
      <c r="L74" s="194"/>
      <c r="M74" s="77"/>
      <c r="N74" s="77"/>
      <c r="O74" s="191"/>
    </row>
    <row r="75" s="1" customFormat="1" ht="18" customHeight="1" spans="1:15">
      <c r="A75" s="42"/>
      <c r="B75" s="25">
        <f t="shared" si="7"/>
        <v>0</v>
      </c>
      <c r="C75" s="43"/>
      <c r="D75" s="44"/>
      <c r="E75" s="47"/>
      <c r="F75" s="25">
        <f t="shared" si="8"/>
        <v>0</v>
      </c>
      <c r="G75" s="184"/>
      <c r="H75" s="57" t="s">
        <v>89</v>
      </c>
      <c r="I75" s="51">
        <v>100</v>
      </c>
      <c r="J75" s="86" t="s">
        <v>77</v>
      </c>
      <c r="K75" s="195" t="s">
        <v>78</v>
      </c>
      <c r="L75" s="194"/>
      <c r="M75" s="77"/>
      <c r="N75" s="77"/>
      <c r="O75" s="191"/>
    </row>
    <row r="76" s="1" customFormat="1" ht="18" customHeight="1" spans="1:15">
      <c r="A76" s="42"/>
      <c r="B76" s="25">
        <f t="shared" si="7"/>
        <v>0</v>
      </c>
      <c r="C76" s="43"/>
      <c r="D76" s="44"/>
      <c r="E76" s="47"/>
      <c r="F76" s="25">
        <f t="shared" si="8"/>
        <v>0</v>
      </c>
      <c r="G76" s="184"/>
      <c r="H76" s="57" t="s">
        <v>92</v>
      </c>
      <c r="I76" s="51">
        <v>100</v>
      </c>
      <c r="J76" s="86" t="s">
        <v>77</v>
      </c>
      <c r="K76" s="195" t="s">
        <v>78</v>
      </c>
      <c r="L76" s="194"/>
      <c r="M76" s="77"/>
      <c r="N76" s="77"/>
      <c r="O76" s="191"/>
    </row>
    <row r="77" s="1" customFormat="1" ht="18" customHeight="1" spans="1:15">
      <c r="A77" s="42"/>
      <c r="B77" s="25">
        <f t="shared" si="7"/>
        <v>0</v>
      </c>
      <c r="C77" s="43"/>
      <c r="D77" s="44"/>
      <c r="E77" s="47"/>
      <c r="F77" s="25">
        <f t="shared" si="8"/>
        <v>0</v>
      </c>
      <c r="G77" s="184"/>
      <c r="H77" s="57"/>
      <c r="I77" s="51"/>
      <c r="J77" s="86"/>
      <c r="K77" s="195"/>
      <c r="L77" s="194"/>
      <c r="M77" s="77"/>
      <c r="N77" s="77"/>
      <c r="O77" s="191"/>
    </row>
    <row r="78" s="1" customFormat="1" ht="18" customHeight="1" spans="1:15">
      <c r="A78" s="42"/>
      <c r="B78" s="25">
        <f t="shared" si="7"/>
        <v>0</v>
      </c>
      <c r="C78" s="43"/>
      <c r="D78" s="44"/>
      <c r="E78" s="47"/>
      <c r="F78" s="25">
        <f t="shared" si="8"/>
        <v>0</v>
      </c>
      <c r="G78" s="184"/>
      <c r="H78" s="57" t="s">
        <v>93</v>
      </c>
      <c r="I78" s="235">
        <v>184767</v>
      </c>
      <c r="J78" s="86" t="s">
        <v>94</v>
      </c>
      <c r="K78" s="195" t="s">
        <v>95</v>
      </c>
      <c r="L78" s="194"/>
      <c r="M78" s="77"/>
      <c r="N78" s="77"/>
      <c r="O78" s="191"/>
    </row>
    <row r="79" s="1" customFormat="1" ht="18" customHeight="1" spans="1:15">
      <c r="A79" s="42"/>
      <c r="B79" s="25">
        <f t="shared" si="7"/>
        <v>0</v>
      </c>
      <c r="C79" s="43"/>
      <c r="D79" s="44"/>
      <c r="E79" s="47"/>
      <c r="F79" s="25">
        <f t="shared" si="8"/>
        <v>0</v>
      </c>
      <c r="G79" s="184"/>
      <c r="H79" s="57" t="s">
        <v>93</v>
      </c>
      <c r="I79" s="235">
        <v>48000</v>
      </c>
      <c r="J79" s="86" t="s">
        <v>77</v>
      </c>
      <c r="K79" s="195" t="s">
        <v>146</v>
      </c>
      <c r="L79" s="194"/>
      <c r="M79" s="77"/>
      <c r="N79" s="77"/>
      <c r="O79" s="191"/>
    </row>
    <row r="80" s="1" customFormat="1" ht="18" customHeight="1" spans="1:15">
      <c r="A80" s="42"/>
      <c r="B80" s="25">
        <f t="shared" si="7"/>
        <v>0</v>
      </c>
      <c r="C80" s="43"/>
      <c r="D80" s="44"/>
      <c r="E80" s="47"/>
      <c r="F80" s="25">
        <f t="shared" si="8"/>
        <v>0</v>
      </c>
      <c r="G80" s="184"/>
      <c r="H80" s="57" t="s">
        <v>93</v>
      </c>
      <c r="I80" s="235">
        <v>1652</v>
      </c>
      <c r="J80" s="86" t="s">
        <v>77</v>
      </c>
      <c r="K80" s="195" t="s">
        <v>140</v>
      </c>
      <c r="L80" s="194"/>
      <c r="M80" s="77"/>
      <c r="N80" s="77"/>
      <c r="O80" s="191"/>
    </row>
    <row r="81" s="1" customFormat="1" ht="18" customHeight="1" spans="1:15">
      <c r="A81" s="42"/>
      <c r="B81" s="25">
        <f t="shared" si="7"/>
        <v>0</v>
      </c>
      <c r="C81" s="43"/>
      <c r="D81" s="44"/>
      <c r="E81" s="47"/>
      <c r="F81" s="25">
        <f t="shared" si="8"/>
        <v>0</v>
      </c>
      <c r="G81" s="184"/>
      <c r="H81" s="57" t="s">
        <v>93</v>
      </c>
      <c r="I81" s="235">
        <v>67389</v>
      </c>
      <c r="J81" s="86" t="s">
        <v>77</v>
      </c>
      <c r="K81" s="195" t="s">
        <v>147</v>
      </c>
      <c r="L81" s="194"/>
      <c r="M81" s="77"/>
      <c r="N81" s="77"/>
      <c r="O81" s="191"/>
    </row>
    <row r="82" s="1" customFormat="1" ht="18" customHeight="1" spans="1:15">
      <c r="A82" s="42"/>
      <c r="B82" s="25">
        <f t="shared" si="7"/>
        <v>0</v>
      </c>
      <c r="C82" s="43"/>
      <c r="D82" s="44"/>
      <c r="E82" s="45"/>
      <c r="F82" s="25">
        <f t="shared" si="8"/>
        <v>0</v>
      </c>
      <c r="G82" s="184"/>
      <c r="H82" s="57" t="s">
        <v>93</v>
      </c>
      <c r="I82" s="235">
        <v>100</v>
      </c>
      <c r="J82" s="86" t="s">
        <v>77</v>
      </c>
      <c r="K82" s="195" t="s">
        <v>78</v>
      </c>
      <c r="L82" s="194"/>
      <c r="M82" s="77"/>
      <c r="N82" s="77"/>
      <c r="O82" s="191"/>
    </row>
    <row r="83" s="1" customFormat="1" ht="18" customHeight="1" spans="1:15">
      <c r="A83" s="42"/>
      <c r="B83" s="25">
        <f t="shared" si="7"/>
        <v>5000</v>
      </c>
      <c r="C83" s="43"/>
      <c r="D83" s="44"/>
      <c r="E83" s="45"/>
      <c r="F83" s="25">
        <f t="shared" si="8"/>
        <v>0</v>
      </c>
      <c r="G83" s="184">
        <f>5000</f>
        <v>5000</v>
      </c>
      <c r="H83" s="57" t="s">
        <v>93</v>
      </c>
      <c r="I83" s="235">
        <f>G83</f>
        <v>5000</v>
      </c>
      <c r="J83" s="86" t="s">
        <v>77</v>
      </c>
      <c r="K83" s="195" t="s">
        <v>105</v>
      </c>
      <c r="L83" s="194"/>
      <c r="M83" s="77"/>
      <c r="N83" s="77"/>
      <c r="O83" s="191"/>
    </row>
    <row r="84" s="1" customFormat="1" ht="18" customHeight="1" spans="1:15">
      <c r="A84" s="42"/>
      <c r="B84" s="25">
        <f t="shared" si="7"/>
        <v>0</v>
      </c>
      <c r="C84" s="43"/>
      <c r="D84" s="44"/>
      <c r="E84" s="45"/>
      <c r="F84" s="25">
        <f t="shared" si="8"/>
        <v>0</v>
      </c>
      <c r="G84" s="184"/>
      <c r="H84" s="57" t="s">
        <v>99</v>
      </c>
      <c r="I84" s="235">
        <v>-157908</v>
      </c>
      <c r="J84" s="86" t="s">
        <v>90</v>
      </c>
      <c r="K84" s="195" t="s">
        <v>91</v>
      </c>
      <c r="L84" s="194"/>
      <c r="M84" s="77"/>
      <c r="N84" s="77"/>
      <c r="O84" s="191"/>
    </row>
    <row r="85" s="1" customFormat="1" ht="18" customHeight="1" spans="1:15">
      <c r="A85" s="42"/>
      <c r="B85" s="25">
        <f t="shared" si="7"/>
        <v>0</v>
      </c>
      <c r="C85" s="43"/>
      <c r="D85" s="44"/>
      <c r="E85" s="45"/>
      <c r="F85" s="25">
        <f t="shared" si="8"/>
        <v>0</v>
      </c>
      <c r="G85" s="184"/>
      <c r="H85" s="57" t="s">
        <v>99</v>
      </c>
      <c r="I85" s="235">
        <v>100</v>
      </c>
      <c r="J85" s="86" t="s">
        <v>77</v>
      </c>
      <c r="K85" s="195" t="s">
        <v>78</v>
      </c>
      <c r="L85" s="194"/>
      <c r="M85" s="77"/>
      <c r="N85" s="77"/>
      <c r="O85" s="191"/>
    </row>
    <row r="86" s="1" customFormat="1" ht="18" customHeight="1" spans="1:15">
      <c r="A86" s="42"/>
      <c r="B86" s="25">
        <f t="shared" si="7"/>
        <v>0</v>
      </c>
      <c r="C86" s="43"/>
      <c r="D86" s="44"/>
      <c r="E86" s="45"/>
      <c r="F86" s="25">
        <f t="shared" si="8"/>
        <v>0</v>
      </c>
      <c r="G86" s="184"/>
      <c r="H86" s="57" t="s">
        <v>100</v>
      </c>
      <c r="I86" s="235">
        <v>200</v>
      </c>
      <c r="J86" s="86" t="s">
        <v>77</v>
      </c>
      <c r="K86" s="195" t="s">
        <v>78</v>
      </c>
      <c r="L86" s="194"/>
      <c r="M86" s="77"/>
      <c r="N86" s="77"/>
      <c r="O86" s="191"/>
    </row>
    <row r="87" s="1" customFormat="1" ht="18" customHeight="1" spans="1:15">
      <c r="A87" s="42"/>
      <c r="B87" s="25">
        <f t="shared" si="7"/>
        <v>0</v>
      </c>
      <c r="C87" s="43"/>
      <c r="D87" s="44"/>
      <c r="E87" s="45"/>
      <c r="F87" s="25">
        <f t="shared" si="8"/>
        <v>0</v>
      </c>
      <c r="G87" s="184"/>
      <c r="H87" s="57" t="s">
        <v>101</v>
      </c>
      <c r="I87" s="235">
        <v>200</v>
      </c>
      <c r="J87" s="86" t="s">
        <v>77</v>
      </c>
      <c r="K87" s="195" t="s">
        <v>78</v>
      </c>
      <c r="L87" s="194"/>
      <c r="M87" s="77"/>
      <c r="N87" s="77"/>
      <c r="O87" s="191"/>
    </row>
    <row r="88" s="1" customFormat="1" ht="18" customHeight="1" spans="1:15">
      <c r="A88" s="42"/>
      <c r="B88" s="25">
        <f t="shared" si="7"/>
        <v>0</v>
      </c>
      <c r="C88" s="43"/>
      <c r="D88" s="44"/>
      <c r="E88" s="45"/>
      <c r="F88" s="25">
        <f t="shared" si="8"/>
        <v>0</v>
      </c>
      <c r="G88" s="184"/>
      <c r="H88" s="57" t="s">
        <v>101</v>
      </c>
      <c r="I88" s="235">
        <v>381546</v>
      </c>
      <c r="J88" s="86" t="s">
        <v>94</v>
      </c>
      <c r="K88" s="195" t="s">
        <v>95</v>
      </c>
      <c r="L88" s="194"/>
      <c r="M88" s="77"/>
      <c r="O88" s="191"/>
    </row>
    <row r="89" s="1" customFormat="1" ht="18" customHeight="1" spans="1:15">
      <c r="A89" s="42"/>
      <c r="B89" s="25">
        <f t="shared" si="7"/>
        <v>0</v>
      </c>
      <c r="C89" s="43"/>
      <c r="D89" s="44"/>
      <c r="E89" s="45"/>
      <c r="F89" s="25">
        <f t="shared" si="8"/>
        <v>0</v>
      </c>
      <c r="G89" s="184"/>
      <c r="H89" s="57" t="s">
        <v>101</v>
      </c>
      <c r="I89" s="235">
        <v>24955</v>
      </c>
      <c r="J89" s="86" t="s">
        <v>77</v>
      </c>
      <c r="K89" s="195" t="s">
        <v>146</v>
      </c>
      <c r="L89" s="194"/>
      <c r="M89" s="77"/>
      <c r="N89" s="77"/>
      <c r="O89" s="191"/>
    </row>
    <row r="90" s="1" customFormat="1" ht="18" customHeight="1" spans="1:15">
      <c r="A90" s="42"/>
      <c r="B90" s="25">
        <f t="shared" si="7"/>
        <v>0</v>
      </c>
      <c r="C90" s="43"/>
      <c r="D90" s="44"/>
      <c r="E90" s="45"/>
      <c r="F90" s="25">
        <f t="shared" si="8"/>
        <v>0</v>
      </c>
      <c r="G90" s="184"/>
      <c r="H90" s="57" t="s">
        <v>101</v>
      </c>
      <c r="I90" s="235">
        <v>936</v>
      </c>
      <c r="J90" s="86" t="s">
        <v>77</v>
      </c>
      <c r="K90" s="195" t="s">
        <v>140</v>
      </c>
      <c r="L90" s="194"/>
      <c r="M90" s="77"/>
      <c r="N90" s="77"/>
      <c r="O90" s="191"/>
    </row>
    <row r="91" s="1" customFormat="1" ht="18" customHeight="1" spans="1:15">
      <c r="A91" s="42"/>
      <c r="B91" s="25">
        <f t="shared" si="7"/>
        <v>0</v>
      </c>
      <c r="C91" s="43"/>
      <c r="D91" s="44"/>
      <c r="E91" s="45"/>
      <c r="F91" s="25">
        <f t="shared" si="8"/>
        <v>0</v>
      </c>
      <c r="G91" s="184"/>
      <c r="H91" s="57" t="s">
        <v>101</v>
      </c>
      <c r="I91" s="235">
        <v>120092</v>
      </c>
      <c r="J91" s="86" t="s">
        <v>77</v>
      </c>
      <c r="K91" s="195" t="s">
        <v>148</v>
      </c>
      <c r="L91" s="194"/>
      <c r="M91" s="77"/>
      <c r="N91" s="77"/>
      <c r="O91" s="191"/>
    </row>
    <row r="92" s="1" customFormat="1" ht="18" customHeight="1" spans="1:15">
      <c r="A92" s="42"/>
      <c r="B92" s="25">
        <f t="shared" si="7"/>
        <v>8500</v>
      </c>
      <c r="C92" s="43"/>
      <c r="D92" s="44"/>
      <c r="E92" s="45"/>
      <c r="F92" s="25">
        <f t="shared" si="8"/>
        <v>0</v>
      </c>
      <c r="G92" s="184">
        <v>8500</v>
      </c>
      <c r="H92" s="57" t="s">
        <v>101</v>
      </c>
      <c r="I92" s="235">
        <f>G92</f>
        <v>8500</v>
      </c>
      <c r="J92" s="86" t="s">
        <v>77</v>
      </c>
      <c r="K92" s="195" t="s">
        <v>105</v>
      </c>
      <c r="L92" s="194"/>
      <c r="M92" s="77"/>
      <c r="N92" s="77"/>
      <c r="O92" s="191"/>
    </row>
    <row r="93" s="1" customFormat="1" ht="18" customHeight="1" spans="1:15">
      <c r="A93" s="42"/>
      <c r="B93" s="25">
        <f t="shared" si="7"/>
        <v>0</v>
      </c>
      <c r="C93" s="43"/>
      <c r="D93" s="44"/>
      <c r="E93" s="45"/>
      <c r="F93" s="25">
        <f t="shared" si="8"/>
        <v>0</v>
      </c>
      <c r="G93" s="184"/>
      <c r="H93" s="57" t="s">
        <v>106</v>
      </c>
      <c r="I93" s="235">
        <v>9000</v>
      </c>
      <c r="J93" s="86" t="s">
        <v>77</v>
      </c>
      <c r="K93" s="195" t="s">
        <v>107</v>
      </c>
      <c r="L93" s="194"/>
      <c r="M93" s="77"/>
      <c r="N93" s="77"/>
      <c r="O93" s="191"/>
    </row>
    <row r="94" s="1" customFormat="1" ht="18" customHeight="1" spans="1:15">
      <c r="A94" s="42"/>
      <c r="B94" s="25">
        <f t="shared" si="7"/>
        <v>0</v>
      </c>
      <c r="C94" s="43"/>
      <c r="D94" s="44"/>
      <c r="E94" s="45"/>
      <c r="F94" s="25">
        <f t="shared" si="8"/>
        <v>0</v>
      </c>
      <c r="G94" s="184"/>
      <c r="H94" s="57" t="s">
        <v>106</v>
      </c>
      <c r="I94" s="235">
        <v>-66373</v>
      </c>
      <c r="J94" s="86" t="s">
        <v>90</v>
      </c>
      <c r="K94" s="195" t="s">
        <v>91</v>
      </c>
      <c r="L94" s="194"/>
      <c r="M94" s="77"/>
      <c r="N94" s="77"/>
      <c r="O94" s="191"/>
    </row>
    <row r="95" s="1" customFormat="1" ht="18" customHeight="1" spans="1:15">
      <c r="A95" s="42"/>
      <c r="B95" s="25">
        <f t="shared" si="7"/>
        <v>0</v>
      </c>
      <c r="C95" s="43"/>
      <c r="D95" s="44"/>
      <c r="E95" s="45"/>
      <c r="F95" s="25">
        <f t="shared" si="8"/>
        <v>0</v>
      </c>
      <c r="G95" s="184"/>
      <c r="H95" s="57" t="s">
        <v>106</v>
      </c>
      <c r="I95" s="33">
        <v>-37965</v>
      </c>
      <c r="J95" s="86" t="s">
        <v>90</v>
      </c>
      <c r="K95" s="195" t="s">
        <v>149</v>
      </c>
      <c r="L95" s="33">
        <v>-37965</v>
      </c>
      <c r="M95" s="151" t="s">
        <v>150</v>
      </c>
      <c r="N95" s="77"/>
      <c r="O95" s="191"/>
    </row>
    <row r="96" s="1" customFormat="1" ht="18" customHeight="1" spans="1:15">
      <c r="A96" s="42"/>
      <c r="B96" s="25">
        <f t="shared" si="7"/>
        <v>0</v>
      </c>
      <c r="C96" s="43"/>
      <c r="D96" s="44"/>
      <c r="E96" s="45"/>
      <c r="F96" s="25">
        <f t="shared" si="8"/>
        <v>0</v>
      </c>
      <c r="G96" s="184"/>
      <c r="H96" s="57" t="s">
        <v>109</v>
      </c>
      <c r="I96" s="235">
        <v>8496</v>
      </c>
      <c r="J96" s="86" t="s">
        <v>77</v>
      </c>
      <c r="K96" s="195" t="s">
        <v>110</v>
      </c>
      <c r="L96" s="194"/>
      <c r="M96" s="77"/>
      <c r="N96" s="77"/>
      <c r="O96" s="191"/>
    </row>
    <row r="97" s="1" customFormat="1" ht="18" customHeight="1" spans="1:17">
      <c r="A97" s="42"/>
      <c r="B97" s="25">
        <f t="shared" si="7"/>
        <v>0</v>
      </c>
      <c r="C97" s="43"/>
      <c r="D97" s="44"/>
      <c r="E97" s="45"/>
      <c r="F97" s="25">
        <f t="shared" si="8"/>
        <v>0</v>
      </c>
      <c r="G97" s="184"/>
      <c r="H97" s="57" t="s">
        <v>109</v>
      </c>
      <c r="I97" s="235">
        <v>212400</v>
      </c>
      <c r="J97" s="86" t="s">
        <v>111</v>
      </c>
      <c r="K97" s="195" t="s">
        <v>112</v>
      </c>
      <c r="L97" s="194"/>
      <c r="M97" s="77"/>
      <c r="N97" s="77"/>
      <c r="O97" s="191"/>
      <c r="Q97" s="1">
        <f>I98+I94+I88+I84+I78+I74+I70+I69</f>
        <v>0</v>
      </c>
    </row>
    <row r="98" s="1" customFormat="1" ht="18" customHeight="1" spans="1:15">
      <c r="A98" s="42"/>
      <c r="B98" s="25">
        <f t="shared" si="7"/>
        <v>0</v>
      </c>
      <c r="C98" s="43"/>
      <c r="D98" s="44"/>
      <c r="E98" s="45"/>
      <c r="F98" s="25">
        <f t="shared" si="8"/>
        <v>0</v>
      </c>
      <c r="G98" s="184"/>
      <c r="H98" s="57" t="s">
        <v>109</v>
      </c>
      <c r="I98" s="235">
        <v>69664</v>
      </c>
      <c r="J98" s="86" t="s">
        <v>94</v>
      </c>
      <c r="K98" s="195" t="s">
        <v>95</v>
      </c>
      <c r="L98" s="194"/>
      <c r="M98" s="77"/>
      <c r="N98" s="77"/>
      <c r="O98" s="191"/>
    </row>
    <row r="99" s="1" customFormat="1" ht="18" customHeight="1" spans="1:15">
      <c r="A99" s="42"/>
      <c r="B99" s="25">
        <f t="shared" si="7"/>
        <v>0</v>
      </c>
      <c r="C99" s="43"/>
      <c r="D99" s="44"/>
      <c r="E99" s="45"/>
      <c r="F99" s="25">
        <f t="shared" si="8"/>
        <v>0</v>
      </c>
      <c r="G99" s="184"/>
      <c r="H99" s="57" t="s">
        <v>109</v>
      </c>
      <c r="I99" s="235">
        <v>14679</v>
      </c>
      <c r="J99" s="86" t="s">
        <v>77</v>
      </c>
      <c r="K99" s="195" t="s">
        <v>146</v>
      </c>
      <c r="L99" s="194"/>
      <c r="M99" s="77"/>
      <c r="N99" s="77"/>
      <c r="O99" s="191"/>
    </row>
    <row r="100" s="1" customFormat="1" ht="18" customHeight="1" spans="1:15">
      <c r="A100" s="42"/>
      <c r="B100" s="25">
        <f t="shared" si="7"/>
        <v>0</v>
      </c>
      <c r="C100" s="43"/>
      <c r="D100" s="44"/>
      <c r="E100" s="45"/>
      <c r="F100" s="25">
        <f t="shared" si="8"/>
        <v>0</v>
      </c>
      <c r="G100" s="184"/>
      <c r="H100" s="57" t="s">
        <v>109</v>
      </c>
      <c r="I100" s="235">
        <v>551</v>
      </c>
      <c r="J100" s="86" t="s">
        <v>77</v>
      </c>
      <c r="K100" s="195" t="s">
        <v>140</v>
      </c>
      <c r="L100" s="194"/>
      <c r="M100" s="77"/>
      <c r="N100" s="77"/>
      <c r="O100" s="191"/>
    </row>
    <row r="101" s="1" customFormat="1" ht="18" customHeight="1" spans="1:15">
      <c r="A101" s="42"/>
      <c r="B101" s="25">
        <f t="shared" si="7"/>
        <v>0</v>
      </c>
      <c r="C101" s="43"/>
      <c r="D101" s="44"/>
      <c r="E101" s="45"/>
      <c r="F101" s="25">
        <f t="shared" si="8"/>
        <v>0</v>
      </c>
      <c r="G101" s="184"/>
      <c r="H101" s="57" t="s">
        <v>109</v>
      </c>
      <c r="I101" s="235">
        <v>45972</v>
      </c>
      <c r="J101" s="86" t="s">
        <v>77</v>
      </c>
      <c r="K101" s="195" t="s">
        <v>148</v>
      </c>
      <c r="L101" s="194"/>
      <c r="M101" s="77"/>
      <c r="N101" s="77"/>
      <c r="O101" s="191"/>
    </row>
    <row r="102" s="1" customFormat="1" ht="18" customHeight="1" spans="1:15">
      <c r="A102" s="42"/>
      <c r="B102" s="25">
        <f t="shared" si="7"/>
        <v>5000</v>
      </c>
      <c r="C102" s="43"/>
      <c r="D102" s="44"/>
      <c r="E102" s="45"/>
      <c r="F102" s="25">
        <f t="shared" si="8"/>
        <v>0</v>
      </c>
      <c r="G102" s="184">
        <v>5000</v>
      </c>
      <c r="H102" s="57" t="s">
        <v>109</v>
      </c>
      <c r="I102" s="235">
        <f>G102</f>
        <v>5000</v>
      </c>
      <c r="J102" s="86" t="s">
        <v>77</v>
      </c>
      <c r="K102" s="195" t="s">
        <v>105</v>
      </c>
      <c r="L102" s="194"/>
      <c r="M102" s="77"/>
      <c r="N102" s="77"/>
      <c r="O102" s="191"/>
    </row>
    <row r="103" s="1" customFormat="1" ht="18" customHeight="1" spans="1:15">
      <c r="A103" s="42"/>
      <c r="B103" s="25">
        <f t="shared" si="7"/>
        <v>0</v>
      </c>
      <c r="C103" s="43"/>
      <c r="D103" s="44"/>
      <c r="E103" s="45"/>
      <c r="F103" s="25">
        <f t="shared" si="8"/>
        <v>0</v>
      </c>
      <c r="G103" s="184"/>
      <c r="H103" s="57" t="s">
        <v>116</v>
      </c>
      <c r="I103" s="235">
        <v>500</v>
      </c>
      <c r="J103" s="86" t="s">
        <v>77</v>
      </c>
      <c r="K103" s="195" t="s">
        <v>117</v>
      </c>
      <c r="L103" s="194"/>
      <c r="M103" s="77"/>
      <c r="N103" s="77"/>
      <c r="O103" s="191"/>
    </row>
    <row r="104" s="1" customFormat="1" ht="18" customHeight="1" spans="1:15">
      <c r="A104" s="42"/>
      <c r="B104" s="25">
        <f t="shared" si="7"/>
        <v>5000</v>
      </c>
      <c r="C104" s="43"/>
      <c r="D104" s="44"/>
      <c r="E104" s="45"/>
      <c r="F104" s="25">
        <f t="shared" si="8"/>
        <v>0</v>
      </c>
      <c r="G104" s="184">
        <f>5000</f>
        <v>5000</v>
      </c>
      <c r="H104" s="57" t="s">
        <v>116</v>
      </c>
      <c r="I104" s="235">
        <f>G104</f>
        <v>5000</v>
      </c>
      <c r="J104" s="86" t="s">
        <v>77</v>
      </c>
      <c r="K104" s="195" t="s">
        <v>105</v>
      </c>
      <c r="L104" s="194"/>
      <c r="M104" s="77"/>
      <c r="N104" s="77"/>
      <c r="O104" s="191"/>
    </row>
    <row r="105" s="1" customFormat="1" ht="18" customHeight="1" spans="1:15">
      <c r="A105" s="42"/>
      <c r="B105" s="25">
        <f t="shared" si="7"/>
        <v>0</v>
      </c>
      <c r="C105" s="43"/>
      <c r="D105" s="44"/>
      <c r="E105" s="45"/>
      <c r="F105" s="25">
        <f t="shared" si="8"/>
        <v>0</v>
      </c>
      <c r="G105" s="184"/>
      <c r="H105" s="57" t="s">
        <v>116</v>
      </c>
      <c r="I105" s="235">
        <v>14679</v>
      </c>
      <c r="J105" s="86" t="s">
        <v>77</v>
      </c>
      <c r="K105" s="195" t="s">
        <v>146</v>
      </c>
      <c r="L105" s="194"/>
      <c r="M105" s="77"/>
      <c r="N105" s="77"/>
      <c r="O105" s="191"/>
    </row>
    <row r="106" s="1" customFormat="1" ht="18" customHeight="1" spans="1:15">
      <c r="A106" s="42"/>
      <c r="B106" s="25">
        <f t="shared" si="7"/>
        <v>0</v>
      </c>
      <c r="C106" s="43"/>
      <c r="D106" s="44"/>
      <c r="E106" s="45"/>
      <c r="F106" s="25">
        <f t="shared" si="8"/>
        <v>0</v>
      </c>
      <c r="G106" s="184"/>
      <c r="H106" s="57" t="s">
        <v>116</v>
      </c>
      <c r="I106" s="235">
        <v>551</v>
      </c>
      <c r="J106" s="86" t="s">
        <v>77</v>
      </c>
      <c r="K106" s="195" t="s">
        <v>140</v>
      </c>
      <c r="L106" s="194"/>
      <c r="M106" s="77"/>
      <c r="N106" s="77"/>
      <c r="O106" s="191"/>
    </row>
    <row r="107" s="1" customFormat="1" ht="18" customHeight="1" spans="1:15">
      <c r="A107" s="42"/>
      <c r="B107" s="25">
        <f t="shared" si="7"/>
        <v>0</v>
      </c>
      <c r="C107" s="43"/>
      <c r="D107" s="44"/>
      <c r="E107" s="45"/>
      <c r="F107" s="25">
        <f t="shared" si="8"/>
        <v>0</v>
      </c>
      <c r="G107" s="184"/>
      <c r="H107" s="57"/>
      <c r="I107" s="33"/>
      <c r="J107" s="86"/>
      <c r="K107" s="195"/>
      <c r="L107" s="194"/>
      <c r="M107" s="77"/>
      <c r="N107" s="77"/>
      <c r="O107" s="191"/>
    </row>
    <row r="108" ht="18" customHeight="1" spans="1:15">
      <c r="A108" s="38" t="s">
        <v>23</v>
      </c>
      <c r="B108" s="123">
        <f>SUM(B16:B107)</f>
        <v>7643309.21</v>
      </c>
      <c r="C108" s="38"/>
      <c r="D108" s="124"/>
      <c r="E108" s="124"/>
      <c r="F108" s="179">
        <f>SUM(F16:F107)</f>
        <v>367708.64</v>
      </c>
      <c r="G108" s="220">
        <f>SUM(G16:G107)</f>
        <v>8011017.85</v>
      </c>
      <c r="H108" s="221"/>
      <c r="I108" s="37">
        <f>SUM(I16:I107)</f>
        <v>6399854.23</v>
      </c>
      <c r="J108" s="226"/>
      <c r="K108" s="124"/>
      <c r="L108" s="180"/>
      <c r="M108" s="40"/>
      <c r="N108" s="40"/>
      <c r="O108" s="180"/>
    </row>
    <row r="109" ht="18" customHeight="1" spans="1:14">
      <c r="A109" s="126" t="s">
        <v>120</v>
      </c>
      <c r="B109" s="127">
        <f>B13*0.936</f>
        <v>6096880.73394496</v>
      </c>
      <c r="C109" s="126"/>
      <c r="D109" s="128"/>
      <c r="E109" s="128"/>
      <c r="F109" s="127"/>
      <c r="G109" s="127">
        <f>G13-G108</f>
        <v>-911017.85</v>
      </c>
      <c r="H109" s="29" t="s">
        <v>121</v>
      </c>
      <c r="I109" s="37">
        <f>I13-I108</f>
        <v>700145.77</v>
      </c>
      <c r="J109" s="14"/>
      <c r="K109" s="227"/>
      <c r="M109" s="13"/>
      <c r="N109" s="13"/>
    </row>
    <row r="110" ht="18" customHeight="1" spans="1:14">
      <c r="A110" s="126" t="s">
        <v>122</v>
      </c>
      <c r="B110" s="127">
        <f>B109-B108</f>
        <v>-1546428.47605504</v>
      </c>
      <c r="C110" s="126"/>
      <c r="D110" s="128"/>
      <c r="E110" s="128"/>
      <c r="F110" s="127"/>
      <c r="G110" s="127"/>
      <c r="H110" s="130"/>
      <c r="I110" s="127"/>
      <c r="J110" s="14"/>
      <c r="K110" s="227"/>
      <c r="M110" s="13"/>
      <c r="N110" s="13"/>
    </row>
    <row r="111" ht="18" customHeight="1" spans="1:3">
      <c r="A111" s="7" t="s">
        <v>124</v>
      </c>
      <c r="C111" s="7"/>
    </row>
    <row r="112" ht="18" customHeight="1" spans="1:16">
      <c r="A112" s="29" t="s">
        <v>125</v>
      </c>
      <c r="B112" s="28" t="s">
        <v>126</v>
      </c>
      <c r="C112" s="180"/>
      <c r="D112" s="29" t="s">
        <v>125</v>
      </c>
      <c r="E112" s="27" t="s">
        <v>17</v>
      </c>
      <c r="F112" s="28" t="s">
        <v>126</v>
      </c>
      <c r="G112" s="8" t="s">
        <v>127</v>
      </c>
      <c r="H112" s="28" t="s">
        <v>128</v>
      </c>
      <c r="I112" s="28" t="s">
        <v>129</v>
      </c>
      <c r="J112" s="176" t="s">
        <v>130</v>
      </c>
      <c r="K112" s="28" t="s">
        <v>131</v>
      </c>
      <c r="L112" s="28" t="s">
        <v>132</v>
      </c>
      <c r="M112" s="28" t="s">
        <v>133</v>
      </c>
      <c r="O112" s="228" t="s">
        <v>166</v>
      </c>
      <c r="P112" s="228" t="s">
        <v>167</v>
      </c>
    </row>
    <row r="113" ht="18" customHeight="1" spans="1:16">
      <c r="A113" s="180" t="s">
        <v>134</v>
      </c>
      <c r="B113" s="25">
        <f>(B109-B108)*0.25</f>
        <v>-386607.11901376</v>
      </c>
      <c r="C113" s="180"/>
      <c r="D113" s="36" t="s">
        <v>135</v>
      </c>
      <c r="E113" s="29" t="s">
        <v>136</v>
      </c>
      <c r="F113" s="179">
        <f>F13-F108</f>
        <v>88254.662752294</v>
      </c>
      <c r="G113" s="8">
        <v>64220.1834862385</v>
      </c>
      <c r="H113" s="179">
        <v>0</v>
      </c>
      <c r="I113" s="179">
        <f>F7+F8-F16-F17</f>
        <v>41792.036972477</v>
      </c>
      <c r="J113" s="179">
        <f>-F20</f>
        <v>-34513.27</v>
      </c>
      <c r="K113" s="141">
        <f>F9</f>
        <v>109174.311926606</v>
      </c>
      <c r="L113" s="179">
        <f>F10+F12-F22-F25-F27-F31-F32-F34</f>
        <v>-41490.3731192661</v>
      </c>
      <c r="M113" s="141">
        <f>-F37-F42</f>
        <v>-80618.16</v>
      </c>
      <c r="O113" s="228">
        <f>F12</f>
        <v>25688.0733944954</v>
      </c>
      <c r="P113" s="228">
        <f>-O113</f>
        <v>-25688.0733944954</v>
      </c>
    </row>
    <row r="114" ht="18" customHeight="1" spans="1:16">
      <c r="A114" s="180" t="s">
        <v>137</v>
      </c>
      <c r="B114" s="222" t="s">
        <v>138</v>
      </c>
      <c r="C114" s="180"/>
      <c r="D114" s="223" t="s">
        <v>139</v>
      </c>
      <c r="E114" s="21">
        <v>0.07</v>
      </c>
      <c r="F114" s="31">
        <f>F113*E114</f>
        <v>6177.82639266058</v>
      </c>
      <c r="G114" s="8">
        <v>3211.00917431193</v>
      </c>
      <c r="H114" s="31">
        <v>0</v>
      </c>
      <c r="I114" s="31">
        <f>I113*E114</f>
        <v>2925.44258807339</v>
      </c>
      <c r="J114" s="31">
        <f>J113*E114</f>
        <v>-2415.9289</v>
      </c>
      <c r="K114" s="33">
        <f>K113*E114</f>
        <v>7642.20183486239</v>
      </c>
      <c r="L114" s="31">
        <f>L113*E114</f>
        <v>-2904.32611834863</v>
      </c>
      <c r="M114" s="33">
        <f>M113*E114</f>
        <v>-5643.2712</v>
      </c>
      <c r="O114" s="230"/>
      <c r="P114" s="230"/>
    </row>
    <row r="115" ht="18" customHeight="1" spans="1:16">
      <c r="A115" s="180" t="s">
        <v>140</v>
      </c>
      <c r="B115" s="222"/>
      <c r="C115" s="180"/>
      <c r="D115" s="223" t="s">
        <v>141</v>
      </c>
      <c r="E115" s="21">
        <v>0.03</v>
      </c>
      <c r="F115" s="31">
        <f>F113*E115</f>
        <v>2647.63988256882</v>
      </c>
      <c r="G115" s="8">
        <v>1926.60550458716</v>
      </c>
      <c r="H115" s="31">
        <v>0</v>
      </c>
      <c r="I115" s="31">
        <f>I113*E115</f>
        <v>1253.76110917431</v>
      </c>
      <c r="J115" s="31">
        <f>J113*E115</f>
        <v>-1035.3981</v>
      </c>
      <c r="K115" s="33">
        <f>K113*E115</f>
        <v>3275.22935779817</v>
      </c>
      <c r="L115" s="31">
        <f>L113*E115</f>
        <v>-1244.71119357798</v>
      </c>
      <c r="M115" s="33">
        <f>M113*E115</f>
        <v>-2418.5448</v>
      </c>
      <c r="O115" s="230"/>
      <c r="P115" s="230"/>
    </row>
    <row r="116" ht="18" customHeight="1" spans="1:16">
      <c r="A116" s="180"/>
      <c r="B116" s="31"/>
      <c r="C116" s="180"/>
      <c r="D116" s="223" t="s">
        <v>142</v>
      </c>
      <c r="E116" s="21">
        <v>0.02</v>
      </c>
      <c r="F116" s="31">
        <f>F113*E116</f>
        <v>1765.09325504588</v>
      </c>
      <c r="G116" s="8">
        <v>1284.40366972477</v>
      </c>
      <c r="H116" s="31">
        <v>0</v>
      </c>
      <c r="I116" s="31">
        <f>I113*E116</f>
        <v>835.84073944954</v>
      </c>
      <c r="J116" s="31">
        <f>J113*E116</f>
        <v>-690.2654</v>
      </c>
      <c r="K116" s="33">
        <f>K113*E116</f>
        <v>2183.48623853211</v>
      </c>
      <c r="L116" s="31">
        <f>L113*E116</f>
        <v>-829.807462385322</v>
      </c>
      <c r="M116" s="33">
        <f>M113*E116</f>
        <v>-1612.3632</v>
      </c>
      <c r="O116" s="230"/>
      <c r="P116" s="230"/>
    </row>
    <row r="117" ht="18" customHeight="1" spans="1:16">
      <c r="A117" s="36" t="s">
        <v>143</v>
      </c>
      <c r="B117" s="123">
        <f>SUM(B113:B116)</f>
        <v>-386607.11901376</v>
      </c>
      <c r="C117" s="180"/>
      <c r="D117" s="41" t="s">
        <v>143</v>
      </c>
      <c r="E117" s="36"/>
      <c r="F117" s="179">
        <f t="shared" ref="F117:M117" si="9">SUM(F113:F116)</f>
        <v>98845.2222825693</v>
      </c>
      <c r="G117" s="8">
        <v>70642.2018348624</v>
      </c>
      <c r="H117" s="179">
        <v>0</v>
      </c>
      <c r="I117" s="179">
        <f>SUM(I112:I116)</f>
        <v>46807.0814091742</v>
      </c>
      <c r="J117" s="179">
        <f t="shared" si="9"/>
        <v>-38654.8624</v>
      </c>
      <c r="K117" s="141">
        <f t="shared" si="9"/>
        <v>122275.229357798</v>
      </c>
      <c r="L117" s="179">
        <f t="shared" si="9"/>
        <v>-46469.217893578</v>
      </c>
      <c r="M117" s="141">
        <f t="shared" si="9"/>
        <v>-90292.3392</v>
      </c>
      <c r="O117" s="228">
        <f>O113*1.12</f>
        <v>28770.6422018349</v>
      </c>
      <c r="P117" s="230">
        <f>-O117</f>
        <v>-28770.6422018349</v>
      </c>
    </row>
    <row r="118" ht="18" customHeight="1" spans="3:15">
      <c r="C118" s="7"/>
      <c r="D118" s="19" t="s">
        <v>140</v>
      </c>
      <c r="E118" s="224">
        <v>0.0006</v>
      </c>
      <c r="F118" s="31">
        <f>B13*E118</f>
        <v>3908.25688073394</v>
      </c>
      <c r="H118" s="31">
        <f>B7*E118</f>
        <v>550.45871559633</v>
      </c>
      <c r="I118" s="31">
        <f>B8*E118</f>
        <v>550.45871559633</v>
      </c>
      <c r="K118" s="31">
        <f>B9*E118</f>
        <v>935.779816513761</v>
      </c>
      <c r="L118" s="31">
        <f>(B10+B12)*E118</f>
        <v>770.642201834862</v>
      </c>
      <c r="O118" s="230">
        <f>B12*E118</f>
        <v>220.183486238532</v>
      </c>
    </row>
    <row r="119" ht="18" customHeight="1" spans="3:16">
      <c r="C119" s="7"/>
      <c r="D119" s="27" t="s">
        <v>143</v>
      </c>
      <c r="E119" s="124"/>
      <c r="F119" s="37">
        <f t="shared" ref="F119:I119" si="10">F118</f>
        <v>3908.25688073394</v>
      </c>
      <c r="H119" s="37">
        <f t="shared" si="10"/>
        <v>550.45871559633</v>
      </c>
      <c r="I119" s="37">
        <f t="shared" si="10"/>
        <v>550.45871559633</v>
      </c>
      <c r="O119" s="221" t="s">
        <v>168</v>
      </c>
      <c r="P119" s="221" t="s">
        <v>169</v>
      </c>
    </row>
    <row r="120" ht="18" customHeight="1" spans="3:15">
      <c r="C120" s="7"/>
      <c r="D120" s="27" t="s">
        <v>23</v>
      </c>
      <c r="E120" s="38"/>
      <c r="F120" s="37">
        <f t="shared" ref="F120:I120" si="11">F117+F119</f>
        <v>102753.479163303</v>
      </c>
      <c r="H120" s="37">
        <f t="shared" si="11"/>
        <v>550.45871559633</v>
      </c>
      <c r="I120" s="37">
        <f t="shared" si="11"/>
        <v>47357.5401247706</v>
      </c>
      <c r="O120" s="221"/>
    </row>
    <row r="121" ht="18" customHeight="1" spans="3:15">
      <c r="C121" s="7"/>
      <c r="D121" s="38" t="s">
        <v>134</v>
      </c>
      <c r="E121" s="124">
        <v>0.016</v>
      </c>
      <c r="F121" s="37">
        <f>B13*E121</f>
        <v>104220.183486239</v>
      </c>
      <c r="G121" s="225" t="s">
        <v>144</v>
      </c>
      <c r="H121" s="37">
        <f>B7*E121</f>
        <v>14678.8990825688</v>
      </c>
      <c r="I121" s="37">
        <f>B8*E121</f>
        <v>14678.8990825688</v>
      </c>
      <c r="K121" s="37">
        <f>B9*E121</f>
        <v>24954.128440367</v>
      </c>
      <c r="L121" s="37">
        <f>SUM(G10:G12)*E121</f>
        <v>54400</v>
      </c>
      <c r="O121" s="221">
        <f>G12*E121</f>
        <v>6400</v>
      </c>
    </row>
    <row r="122" ht="18" customHeight="1" spans="3:9">
      <c r="C122" s="7"/>
      <c r="G122" s="8" t="s">
        <v>145</v>
      </c>
      <c r="I122" s="8">
        <f>B110*0.25</f>
        <v>-386607.11901376</v>
      </c>
    </row>
    <row r="123" ht="18" customHeight="1" spans="3:9">
      <c r="C123" s="7"/>
      <c r="I123" s="8">
        <f>B110*0.25</f>
        <v>-386607.11901376</v>
      </c>
    </row>
    <row r="124" ht="18" customHeight="1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</sheetData>
  <autoFilter ref="A15:Q12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0"/>
  <sheetViews>
    <sheetView topLeftCell="A49" workbookViewId="0">
      <selection activeCell="J43" sqref="J43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4" customWidth="1"/>
    <col min="13" max="13" width="13.5" style="14" customWidth="1"/>
    <col min="14" max="14" width="5.625" style="14" customWidth="1"/>
    <col min="15" max="15" width="11.125" style="14"/>
    <col min="16" max="16" width="12" style="14"/>
    <col min="17" max="17" width="10.375" style="14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2" si="0">G7/(1+C7+E7)</f>
        <v>917431.19266055</v>
      </c>
      <c r="C7" s="32">
        <v>0.02</v>
      </c>
      <c r="D7" s="33">
        <f t="shared" ref="D7:D12" si="1">G7/(1+E7+C7)*C7</f>
        <v>18348.623853211</v>
      </c>
      <c r="E7" s="32">
        <v>0.07</v>
      </c>
      <c r="F7" s="31">
        <f t="shared" ref="F7:F12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31">
        <f t="shared" si="2"/>
        <v>25688.0733944954</v>
      </c>
      <c r="G12" s="178">
        <v>400000</v>
      </c>
      <c r="H12" s="30">
        <v>44056</v>
      </c>
      <c r="I12" s="31">
        <v>400000</v>
      </c>
      <c r="J12" s="40" t="s">
        <v>22</v>
      </c>
    </row>
    <row r="13" ht="18" customHeight="1" spans="1:10">
      <c r="A13" s="36" t="s">
        <v>23</v>
      </c>
      <c r="B13" s="37">
        <f t="shared" ref="B13:G13" si="3">SUM(B7:B12)</f>
        <v>6513761.46788991</v>
      </c>
      <c r="C13" s="38"/>
      <c r="D13" s="37">
        <f t="shared" si="3"/>
        <v>130275.229357798</v>
      </c>
      <c r="E13" s="38"/>
      <c r="F13" s="179">
        <f t="shared" si="3"/>
        <v>455963.302752294</v>
      </c>
      <c r="G13" s="37">
        <f t="shared" si="3"/>
        <v>7100000</v>
      </c>
      <c r="H13" s="180"/>
      <c r="I13" s="37">
        <f>SUM(I7:I12)</f>
        <v>7100000</v>
      </c>
      <c r="J13" s="180"/>
    </row>
    <row r="14" ht="18" customHeight="1" spans="1:15">
      <c r="A14" s="7" t="s">
        <v>24</v>
      </c>
      <c r="J14" s="9"/>
      <c r="K14" s="26" t="s">
        <v>25</v>
      </c>
      <c r="L14" s="176"/>
      <c r="O14" s="189">
        <f>O17+O20+O22+O31+O34</f>
        <v>2519.89</v>
      </c>
    </row>
    <row r="15" ht="18" customHeight="1" spans="1:15">
      <c r="A15" s="41" t="s">
        <v>26</v>
      </c>
      <c r="B15" s="28" t="s">
        <v>27</v>
      </c>
      <c r="C15" s="27" t="s">
        <v>28</v>
      </c>
      <c r="D15" s="27" t="s">
        <v>29</v>
      </c>
      <c r="E15" s="27" t="s">
        <v>17</v>
      </c>
      <c r="F15" s="28" t="s">
        <v>30</v>
      </c>
      <c r="G15" s="28" t="s">
        <v>15</v>
      </c>
      <c r="H15" s="27" t="s">
        <v>31</v>
      </c>
      <c r="I15" s="28" t="s">
        <v>32</v>
      </c>
      <c r="J15" s="27" t="s">
        <v>21</v>
      </c>
      <c r="K15" s="74" t="s">
        <v>33</v>
      </c>
      <c r="L15" s="29" t="s">
        <v>34</v>
      </c>
      <c r="M15" s="29" t="s">
        <v>35</v>
      </c>
      <c r="N15" s="29" t="s">
        <v>36</v>
      </c>
      <c r="O15" s="29" t="s">
        <v>37</v>
      </c>
    </row>
    <row r="16" s="1" customFormat="1" ht="18" customHeight="1" spans="1:15">
      <c r="A16" s="42">
        <v>43617</v>
      </c>
      <c r="B16" s="25">
        <f t="shared" ref="B16:B70" si="4">ROUND(G16/(1+E16),2)</f>
        <v>970873.79</v>
      </c>
      <c r="C16" s="43"/>
      <c r="D16" s="44" t="s">
        <v>38</v>
      </c>
      <c r="E16" s="45">
        <v>0.03</v>
      </c>
      <c r="F16" s="25">
        <f t="shared" ref="F16:F70" si="5">ROUND(G16/(1+E16)*E16,2)</f>
        <v>29126.21</v>
      </c>
      <c r="G16" s="178">
        <v>1000000</v>
      </c>
      <c r="H16" s="30">
        <v>43640</v>
      </c>
      <c r="I16" s="31">
        <v>300000</v>
      </c>
      <c r="J16" s="40" t="s">
        <v>22</v>
      </c>
      <c r="K16" s="190" t="s">
        <v>39</v>
      </c>
      <c r="L16" s="191" t="s">
        <v>40</v>
      </c>
      <c r="M16" s="77" t="s">
        <v>41</v>
      </c>
      <c r="N16" s="77"/>
      <c r="O16" s="191"/>
    </row>
    <row r="17" s="1" customFormat="1" ht="18" customHeight="1" spans="1:15">
      <c r="A17" s="42">
        <v>43617</v>
      </c>
      <c r="B17" s="25">
        <f t="shared" si="4"/>
        <v>442477.88</v>
      </c>
      <c r="C17" s="43"/>
      <c r="D17" s="44" t="s">
        <v>38</v>
      </c>
      <c r="E17" s="45">
        <v>0.13</v>
      </c>
      <c r="F17" s="25">
        <f t="shared" si="5"/>
        <v>57522.12</v>
      </c>
      <c r="G17" s="178">
        <f>100000*5</f>
        <v>500000</v>
      </c>
      <c r="H17" s="30">
        <v>43640</v>
      </c>
      <c r="I17" s="31">
        <v>500000</v>
      </c>
      <c r="J17" s="40" t="s">
        <v>22</v>
      </c>
      <c r="K17" s="190" t="s">
        <v>42</v>
      </c>
      <c r="L17" s="191" t="s">
        <v>160</v>
      </c>
      <c r="M17" s="77" t="s">
        <v>41</v>
      </c>
      <c r="N17" s="77" t="s">
        <v>41</v>
      </c>
      <c r="O17" s="192">
        <v>119.5</v>
      </c>
    </row>
    <row r="18" s="1" customFormat="1" ht="18" customHeight="1" spans="1:15">
      <c r="A18" s="42">
        <v>43678</v>
      </c>
      <c r="B18" s="25">
        <f t="shared" si="4"/>
        <v>99500</v>
      </c>
      <c r="C18" s="43"/>
      <c r="D18" s="44" t="s">
        <v>44</v>
      </c>
      <c r="E18" s="45"/>
      <c r="F18" s="25">
        <f t="shared" si="5"/>
        <v>0</v>
      </c>
      <c r="G18" s="178">
        <v>99500</v>
      </c>
      <c r="H18" s="30">
        <v>43682</v>
      </c>
      <c r="I18" s="31">
        <v>99500</v>
      </c>
      <c r="J18" s="40" t="s">
        <v>45</v>
      </c>
      <c r="K18" s="190" t="s">
        <v>46</v>
      </c>
      <c r="L18" s="191" t="s">
        <v>47</v>
      </c>
      <c r="M18" s="77"/>
      <c r="N18" s="77"/>
      <c r="O18" s="191"/>
    </row>
    <row r="19" s="1" customFormat="1" ht="18" customHeight="1" spans="1:15">
      <c r="A19" s="42">
        <v>43739</v>
      </c>
      <c r="B19" s="25">
        <f t="shared" si="4"/>
        <v>4000</v>
      </c>
      <c r="C19" s="43"/>
      <c r="D19" s="44" t="s">
        <v>44</v>
      </c>
      <c r="E19" s="45"/>
      <c r="F19" s="25">
        <f t="shared" si="5"/>
        <v>0</v>
      </c>
      <c r="G19" s="178">
        <v>4000</v>
      </c>
      <c r="H19" s="30"/>
      <c r="I19" s="31"/>
      <c r="J19" s="40"/>
      <c r="K19" s="190" t="s">
        <v>48</v>
      </c>
      <c r="L19" s="191" t="s">
        <v>49</v>
      </c>
      <c r="M19" s="77"/>
      <c r="N19" s="77"/>
      <c r="O19" s="191"/>
    </row>
    <row r="20" s="1" customFormat="1" ht="18" customHeight="1" spans="1:15">
      <c r="A20" s="42">
        <v>43770</v>
      </c>
      <c r="B20" s="25">
        <f t="shared" si="4"/>
        <v>265486.73</v>
      </c>
      <c r="C20" s="43"/>
      <c r="D20" s="44" t="s">
        <v>38</v>
      </c>
      <c r="E20" s="47">
        <v>0.13</v>
      </c>
      <c r="F20" s="25">
        <f t="shared" si="5"/>
        <v>34513.27</v>
      </c>
      <c r="G20" s="178">
        <f>100000*3</f>
        <v>300000</v>
      </c>
      <c r="H20" s="30">
        <v>43784</v>
      </c>
      <c r="I20" s="31">
        <v>300000</v>
      </c>
      <c r="J20" s="40" t="s">
        <v>22</v>
      </c>
      <c r="K20" s="190" t="s">
        <v>42</v>
      </c>
      <c r="L20" s="191" t="s">
        <v>50</v>
      </c>
      <c r="M20" s="77" t="s">
        <v>41</v>
      </c>
      <c r="N20" s="77" t="s">
        <v>41</v>
      </c>
      <c r="O20" s="192">
        <v>923.01</v>
      </c>
    </row>
    <row r="21" s="1" customFormat="1" ht="18" customHeight="1" spans="1:15">
      <c r="A21" s="42"/>
      <c r="B21" s="25">
        <f t="shared" si="4"/>
        <v>0</v>
      </c>
      <c r="C21" s="43"/>
      <c r="D21" s="44"/>
      <c r="E21" s="45"/>
      <c r="F21" s="25">
        <f t="shared" si="5"/>
        <v>0</v>
      </c>
      <c r="G21" s="178"/>
      <c r="H21" s="30">
        <v>43784</v>
      </c>
      <c r="I21" s="31">
        <v>300000</v>
      </c>
      <c r="J21" s="40" t="s">
        <v>22</v>
      </c>
      <c r="K21" s="190" t="s">
        <v>39</v>
      </c>
      <c r="L21" s="191" t="s">
        <v>51</v>
      </c>
      <c r="M21" s="77"/>
      <c r="N21" s="77"/>
      <c r="O21" s="191"/>
    </row>
    <row r="22" s="1" customFormat="1" ht="18" customHeight="1" spans="1:15">
      <c r="A22" s="42">
        <v>43800</v>
      </c>
      <c r="B22" s="25">
        <f t="shared" si="4"/>
        <v>159292.04</v>
      </c>
      <c r="C22" s="43"/>
      <c r="D22" s="44" t="s">
        <v>38</v>
      </c>
      <c r="E22" s="47">
        <v>0.13</v>
      </c>
      <c r="F22" s="25">
        <f t="shared" si="5"/>
        <v>20707.96</v>
      </c>
      <c r="G22" s="178">
        <v>180000</v>
      </c>
      <c r="H22" s="30">
        <v>43798</v>
      </c>
      <c r="I22" s="31">
        <v>180000</v>
      </c>
      <c r="J22" s="40" t="s">
        <v>22</v>
      </c>
      <c r="K22" s="190" t="s">
        <v>42</v>
      </c>
      <c r="L22" s="191" t="s">
        <v>52</v>
      </c>
      <c r="M22" s="77" t="s">
        <v>41</v>
      </c>
      <c r="N22" s="77"/>
      <c r="O22" s="192">
        <v>321.43</v>
      </c>
    </row>
    <row r="23" s="1" customFormat="1" ht="18" customHeight="1" spans="1:15">
      <c r="A23" s="42">
        <v>43800</v>
      </c>
      <c r="B23" s="25">
        <f t="shared" si="4"/>
        <v>0</v>
      </c>
      <c r="C23" s="43"/>
      <c r="D23" s="44"/>
      <c r="E23" s="45"/>
      <c r="F23" s="25">
        <f t="shared" si="5"/>
        <v>0</v>
      </c>
      <c r="G23" s="178"/>
      <c r="H23" s="30">
        <v>43816</v>
      </c>
      <c r="I23" s="31">
        <v>510000</v>
      </c>
      <c r="J23" s="40" t="s">
        <v>22</v>
      </c>
      <c r="K23" s="190" t="s">
        <v>39</v>
      </c>
      <c r="L23" s="191" t="s">
        <v>51</v>
      </c>
      <c r="M23" s="77"/>
      <c r="N23" s="77"/>
      <c r="O23" s="191"/>
    </row>
    <row r="24" s="1" customFormat="1" ht="18" customHeight="1" spans="1:15">
      <c r="A24" s="42"/>
      <c r="B24" s="25">
        <f t="shared" si="4"/>
        <v>0</v>
      </c>
      <c r="C24" s="43"/>
      <c r="D24" s="44"/>
      <c r="E24" s="45"/>
      <c r="F24" s="25">
        <f t="shared" si="5"/>
        <v>0</v>
      </c>
      <c r="G24" s="178"/>
      <c r="H24" s="30">
        <v>43816</v>
      </c>
      <c r="I24" s="31">
        <v>500000</v>
      </c>
      <c r="J24" s="40" t="s">
        <v>22</v>
      </c>
      <c r="K24" s="190" t="s">
        <v>42</v>
      </c>
      <c r="L24" s="191" t="s">
        <v>53</v>
      </c>
      <c r="M24" s="77"/>
      <c r="N24" s="77"/>
      <c r="O24" s="191"/>
    </row>
    <row r="25" s="1" customFormat="1" ht="18" customHeight="1" spans="1:15">
      <c r="A25" s="42">
        <v>43800</v>
      </c>
      <c r="B25" s="25">
        <f t="shared" si="4"/>
        <v>26161.81</v>
      </c>
      <c r="C25" s="43"/>
      <c r="D25" s="44" t="s">
        <v>38</v>
      </c>
      <c r="E25" s="47">
        <v>0.13</v>
      </c>
      <c r="F25" s="25">
        <f t="shared" si="5"/>
        <v>3401.04</v>
      </c>
      <c r="G25" s="178">
        <f>289+712.88+1692.98+5848.99+20479+540</f>
        <v>29562.85</v>
      </c>
      <c r="H25" s="30"/>
      <c r="I25" s="31"/>
      <c r="J25" s="40"/>
      <c r="K25" s="190" t="s">
        <v>54</v>
      </c>
      <c r="L25" s="191"/>
      <c r="M25" s="77"/>
      <c r="N25" s="77"/>
      <c r="O25" s="191"/>
    </row>
    <row r="26" s="1" customFormat="1" ht="18" customHeight="1" spans="1:15">
      <c r="A26" s="42">
        <v>43800</v>
      </c>
      <c r="B26" s="25">
        <f t="shared" si="4"/>
        <v>3590</v>
      </c>
      <c r="C26" s="43"/>
      <c r="D26" s="44" t="s">
        <v>44</v>
      </c>
      <c r="E26" s="45"/>
      <c r="F26" s="25">
        <f t="shared" si="5"/>
        <v>0</v>
      </c>
      <c r="G26" s="178">
        <v>3590</v>
      </c>
      <c r="H26" s="30"/>
      <c r="I26" s="31"/>
      <c r="J26" s="40"/>
      <c r="K26" s="190" t="s">
        <v>55</v>
      </c>
      <c r="L26" s="191" t="s">
        <v>56</v>
      </c>
      <c r="M26" s="77"/>
      <c r="N26" s="77"/>
      <c r="O26" s="191"/>
    </row>
    <row r="27" s="1" customFormat="1" ht="18" customHeight="1" spans="1:15">
      <c r="A27" s="42">
        <v>43800</v>
      </c>
      <c r="B27" s="25">
        <f t="shared" si="4"/>
        <v>11518.87</v>
      </c>
      <c r="C27" s="43"/>
      <c r="D27" s="44" t="s">
        <v>38</v>
      </c>
      <c r="E27" s="47">
        <v>0.06</v>
      </c>
      <c r="F27" s="25">
        <f t="shared" si="5"/>
        <v>691.13</v>
      </c>
      <c r="G27" s="178">
        <f>1207+1069+372+1480+1468+1278+1095+955+1360+742+1184</f>
        <v>12210</v>
      </c>
      <c r="H27" s="30"/>
      <c r="I27" s="31"/>
      <c r="J27" s="40"/>
      <c r="K27" s="190" t="s">
        <v>57</v>
      </c>
      <c r="L27" s="191" t="s">
        <v>58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4"/>
        <v>1855</v>
      </c>
      <c r="C28" s="43"/>
      <c r="D28" s="44" t="s">
        <v>59</v>
      </c>
      <c r="E28" s="47"/>
      <c r="F28" s="25">
        <f t="shared" si="5"/>
        <v>0</v>
      </c>
      <c r="G28" s="178">
        <v>1855</v>
      </c>
      <c r="H28" s="30"/>
      <c r="I28" s="31"/>
      <c r="J28" s="40"/>
      <c r="K28" s="190" t="s">
        <v>57</v>
      </c>
      <c r="L28" s="191" t="s">
        <v>58</v>
      </c>
      <c r="M28" s="77"/>
      <c r="N28" s="77"/>
      <c r="O28" s="191"/>
    </row>
    <row r="29" s="1" customFormat="1" ht="18" customHeight="1" spans="1:15">
      <c r="A29" s="42"/>
      <c r="B29" s="25">
        <f t="shared" si="4"/>
        <v>0</v>
      </c>
      <c r="C29" s="43"/>
      <c r="D29" s="44"/>
      <c r="E29" s="45"/>
      <c r="F29" s="25">
        <f t="shared" si="5"/>
        <v>0</v>
      </c>
      <c r="G29" s="178"/>
      <c r="H29" s="30">
        <v>43819</v>
      </c>
      <c r="I29" s="31">
        <v>1000000</v>
      </c>
      <c r="J29" s="40" t="s">
        <v>45</v>
      </c>
      <c r="K29" s="190" t="s">
        <v>60</v>
      </c>
      <c r="L29" s="191" t="s">
        <v>61</v>
      </c>
      <c r="M29" s="77"/>
      <c r="N29" s="77"/>
      <c r="O29" s="191"/>
    </row>
    <row r="30" s="2" customFormat="1" ht="18" customHeight="1" spans="1:15">
      <c r="A30" s="50"/>
      <c r="B30" s="51">
        <f t="shared" si="4"/>
        <v>0</v>
      </c>
      <c r="C30" s="52"/>
      <c r="D30" s="53"/>
      <c r="E30" s="181"/>
      <c r="F30" s="51">
        <f t="shared" si="5"/>
        <v>0</v>
      </c>
      <c r="G30" s="51"/>
      <c r="H30" s="182">
        <v>43819</v>
      </c>
      <c r="I30" s="141">
        <v>-1000000</v>
      </c>
      <c r="J30" s="75" t="s">
        <v>45</v>
      </c>
      <c r="K30" s="193" t="s">
        <v>62</v>
      </c>
      <c r="L30" s="237" t="s">
        <v>63</v>
      </c>
      <c r="M30" s="78"/>
      <c r="N30" s="78"/>
      <c r="O30" s="194"/>
    </row>
    <row r="31" s="2" customFormat="1" ht="18" customHeight="1" spans="1:15">
      <c r="A31" s="50">
        <v>43800</v>
      </c>
      <c r="B31" s="51">
        <f t="shared" si="4"/>
        <v>442477.88</v>
      </c>
      <c r="C31" s="52"/>
      <c r="D31" s="53" t="s">
        <v>38</v>
      </c>
      <c r="E31" s="183">
        <v>0.13</v>
      </c>
      <c r="F31" s="51">
        <f t="shared" si="5"/>
        <v>57522.12</v>
      </c>
      <c r="G31" s="51">
        <v>500000</v>
      </c>
      <c r="H31" s="57">
        <v>43830</v>
      </c>
      <c r="I31" s="33">
        <v>300000</v>
      </c>
      <c r="J31" s="86" t="s">
        <v>22</v>
      </c>
      <c r="K31" s="195" t="s">
        <v>42</v>
      </c>
      <c r="L31" s="194" t="s">
        <v>64</v>
      </c>
      <c r="M31" s="78" t="s">
        <v>41</v>
      </c>
      <c r="N31" s="78" t="s">
        <v>65</v>
      </c>
      <c r="O31" s="194">
        <v>729.95</v>
      </c>
    </row>
    <row r="32" s="2" customFormat="1" ht="18" customHeight="1" spans="1:15">
      <c r="A32" s="50">
        <v>43800</v>
      </c>
      <c r="B32" s="51">
        <f t="shared" si="4"/>
        <v>485436.89</v>
      </c>
      <c r="C32" s="52"/>
      <c r="D32" s="53" t="s">
        <v>38</v>
      </c>
      <c r="E32" s="183">
        <v>0.03</v>
      </c>
      <c r="F32" s="51">
        <f t="shared" si="5"/>
        <v>14563.11</v>
      </c>
      <c r="G32" s="51">
        <v>500000</v>
      </c>
      <c r="H32" s="57">
        <v>43846</v>
      </c>
      <c r="I32" s="33">
        <v>390000</v>
      </c>
      <c r="J32" s="86" t="s">
        <v>22</v>
      </c>
      <c r="K32" s="195" t="s">
        <v>39</v>
      </c>
      <c r="L32" s="194" t="s">
        <v>51</v>
      </c>
      <c r="M32" s="78"/>
      <c r="N32" s="78"/>
      <c r="O32" s="194"/>
    </row>
    <row r="33" s="2" customFormat="1" ht="18" customHeight="1" spans="1:15">
      <c r="A33" s="50">
        <v>43800</v>
      </c>
      <c r="B33" s="51">
        <f t="shared" si="4"/>
        <v>1200000</v>
      </c>
      <c r="C33" s="52"/>
      <c r="D33" s="53" t="s">
        <v>66</v>
      </c>
      <c r="E33" s="183"/>
      <c r="F33" s="51">
        <f t="shared" si="5"/>
        <v>0</v>
      </c>
      <c r="G33" s="51">
        <v>1200000</v>
      </c>
      <c r="H33" s="57"/>
      <c r="I33" s="33"/>
      <c r="J33" s="86"/>
      <c r="K33" s="195" t="s">
        <v>67</v>
      </c>
      <c r="L33" s="194"/>
      <c r="M33" s="78"/>
      <c r="N33" s="78"/>
      <c r="O33" s="194"/>
    </row>
    <row r="34" s="2" customFormat="1" ht="18" customHeight="1" spans="1:15">
      <c r="A34" s="50">
        <v>43831</v>
      </c>
      <c r="B34" s="51">
        <f t="shared" si="4"/>
        <v>265486.73</v>
      </c>
      <c r="C34" s="52"/>
      <c r="D34" s="53" t="s">
        <v>38</v>
      </c>
      <c r="E34" s="183">
        <v>0.13</v>
      </c>
      <c r="F34" s="51">
        <f t="shared" si="5"/>
        <v>34513.27</v>
      </c>
      <c r="G34" s="51">
        <f>3*100000</f>
        <v>300000</v>
      </c>
      <c r="H34" s="57">
        <v>43846</v>
      </c>
      <c r="I34" s="33">
        <v>300000</v>
      </c>
      <c r="J34" s="86" t="s">
        <v>22</v>
      </c>
      <c r="K34" s="195" t="s">
        <v>42</v>
      </c>
      <c r="L34" s="194" t="s">
        <v>68</v>
      </c>
      <c r="M34" s="78" t="s">
        <v>41</v>
      </c>
      <c r="N34" s="78" t="s">
        <v>69</v>
      </c>
      <c r="O34" s="194">
        <v>426</v>
      </c>
    </row>
    <row r="35" s="2" customFormat="1" ht="18" customHeight="1" spans="1:15">
      <c r="A35" s="50">
        <v>43831</v>
      </c>
      <c r="B35" s="51">
        <f t="shared" si="4"/>
        <v>600000</v>
      </c>
      <c r="C35" s="52"/>
      <c r="D35" s="53" t="s">
        <v>66</v>
      </c>
      <c r="E35" s="183"/>
      <c r="F35" s="51">
        <f t="shared" si="5"/>
        <v>0</v>
      </c>
      <c r="G35" s="33">
        <v>600000</v>
      </c>
      <c r="H35" s="57"/>
      <c r="I35" s="33"/>
      <c r="J35" s="86"/>
      <c r="K35" s="196" t="s">
        <v>70</v>
      </c>
      <c r="L35" s="194" t="s">
        <v>71</v>
      </c>
      <c r="M35" s="78"/>
      <c r="N35" s="78"/>
      <c r="O35" s="194"/>
    </row>
    <row r="36" s="2" customFormat="1" ht="18" customHeight="1" spans="1:15">
      <c r="A36" s="50">
        <v>43831</v>
      </c>
      <c r="B36" s="51">
        <f t="shared" si="4"/>
        <v>600000</v>
      </c>
      <c r="C36" s="52"/>
      <c r="D36" s="53" t="s">
        <v>66</v>
      </c>
      <c r="E36" s="183"/>
      <c r="F36" s="51">
        <f t="shared" si="5"/>
        <v>0</v>
      </c>
      <c r="G36" s="33">
        <v>600000</v>
      </c>
      <c r="H36" s="57">
        <v>43852</v>
      </c>
      <c r="I36" s="33">
        <v>400000</v>
      </c>
      <c r="J36" s="86" t="s">
        <v>45</v>
      </c>
      <c r="K36" s="196" t="s">
        <v>72</v>
      </c>
      <c r="L36" s="194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4"/>
        <v>733944.95</v>
      </c>
      <c r="C37" s="52"/>
      <c r="D37" s="53" t="s">
        <v>38</v>
      </c>
      <c r="E37" s="183">
        <v>0.09</v>
      </c>
      <c r="F37" s="51">
        <f t="shared" si="5"/>
        <v>66055.05</v>
      </c>
      <c r="G37" s="33">
        <v>800000</v>
      </c>
      <c r="H37" s="57"/>
      <c r="I37" s="33"/>
      <c r="J37" s="86"/>
      <c r="K37" s="196" t="s">
        <v>73</v>
      </c>
      <c r="L37" s="194" t="s">
        <v>74</v>
      </c>
      <c r="M37" s="78" t="s">
        <v>41</v>
      </c>
      <c r="N37" s="78" t="s">
        <v>41</v>
      </c>
      <c r="O37" s="194"/>
    </row>
    <row r="38" s="2" customFormat="1" ht="18" customHeight="1" spans="1:15">
      <c r="A38" s="50"/>
      <c r="B38" s="51">
        <f t="shared" si="4"/>
        <v>0</v>
      </c>
      <c r="C38" s="52"/>
      <c r="D38" s="53"/>
      <c r="E38" s="183"/>
      <c r="F38" s="51">
        <f t="shared" si="5"/>
        <v>0</v>
      </c>
      <c r="G38" s="33"/>
      <c r="H38" s="57">
        <v>43850</v>
      </c>
      <c r="I38" s="33">
        <v>200000</v>
      </c>
      <c r="J38" s="86" t="s">
        <v>45</v>
      </c>
      <c r="K38" s="195" t="s">
        <v>60</v>
      </c>
      <c r="L38" s="194"/>
      <c r="M38" s="78"/>
      <c r="N38" s="78"/>
      <c r="O38" s="194"/>
    </row>
    <row r="39" s="2" customFormat="1" ht="18" customHeight="1" spans="1:15">
      <c r="A39" s="50"/>
      <c r="B39" s="51">
        <f t="shared" si="4"/>
        <v>0</v>
      </c>
      <c r="C39" s="52"/>
      <c r="D39" s="53"/>
      <c r="E39" s="183"/>
      <c r="F39" s="51">
        <f t="shared" si="5"/>
        <v>0</v>
      </c>
      <c r="G39" s="33"/>
      <c r="H39" s="57">
        <v>43853</v>
      </c>
      <c r="I39" s="33">
        <v>500000</v>
      </c>
      <c r="J39" s="86" t="s">
        <v>22</v>
      </c>
      <c r="K39" s="195" t="s">
        <v>73</v>
      </c>
      <c r="L39" s="194" t="s">
        <v>75</v>
      </c>
      <c r="M39" s="78"/>
      <c r="N39" s="78"/>
      <c r="O39" s="194"/>
    </row>
    <row r="40" s="2" customFormat="1" ht="18" customHeight="1" spans="1:15">
      <c r="A40" s="50"/>
      <c r="B40" s="51">
        <f t="shared" si="4"/>
        <v>0</v>
      </c>
      <c r="C40" s="52"/>
      <c r="D40" s="53"/>
      <c r="E40" s="183"/>
      <c r="F40" s="51">
        <f t="shared" si="5"/>
        <v>0</v>
      </c>
      <c r="G40" s="33"/>
      <c r="H40" s="57">
        <v>43853</v>
      </c>
      <c r="I40" s="33">
        <v>600000</v>
      </c>
      <c r="J40" s="86" t="s">
        <v>45</v>
      </c>
      <c r="K40" s="195" t="s">
        <v>70</v>
      </c>
      <c r="L40" s="194" t="s">
        <v>71</v>
      </c>
      <c r="M40" s="78"/>
      <c r="N40" s="78"/>
      <c r="O40" s="194"/>
    </row>
    <row r="41" s="2" customFormat="1" ht="18" customHeight="1" spans="1:15">
      <c r="A41" s="50"/>
      <c r="B41" s="51">
        <f t="shared" si="4"/>
        <v>0</v>
      </c>
      <c r="C41" s="52"/>
      <c r="D41" s="53"/>
      <c r="E41" s="183"/>
      <c r="F41" s="51">
        <f t="shared" si="5"/>
        <v>0</v>
      </c>
      <c r="G41" s="33"/>
      <c r="H41" s="57">
        <v>43853</v>
      </c>
      <c r="I41" s="33">
        <v>200000</v>
      </c>
      <c r="J41" s="86" t="s">
        <v>45</v>
      </c>
      <c r="K41" s="195" t="s">
        <v>72</v>
      </c>
      <c r="L41" s="194" t="s">
        <v>71</v>
      </c>
      <c r="M41" s="78"/>
      <c r="N41" s="78"/>
      <c r="O41" s="194"/>
    </row>
    <row r="42" s="2" customFormat="1" ht="18" customHeight="1" spans="1:15">
      <c r="A42" s="50">
        <v>43891</v>
      </c>
      <c r="B42" s="51">
        <f t="shared" si="4"/>
        <v>485436.89</v>
      </c>
      <c r="C42" s="52"/>
      <c r="D42" s="53" t="s">
        <v>38</v>
      </c>
      <c r="E42" s="183">
        <v>0.03</v>
      </c>
      <c r="F42" s="51">
        <f t="shared" si="5"/>
        <v>14563.11</v>
      </c>
      <c r="G42" s="33">
        <v>500000</v>
      </c>
      <c r="H42" s="57">
        <v>43923</v>
      </c>
      <c r="I42" s="33">
        <v>320000</v>
      </c>
      <c r="J42" s="86" t="s">
        <v>22</v>
      </c>
      <c r="K42" s="195" t="s">
        <v>39</v>
      </c>
      <c r="L42" s="194" t="s">
        <v>40</v>
      </c>
      <c r="M42" s="78"/>
      <c r="N42" s="78"/>
      <c r="O42" s="194"/>
    </row>
    <row r="43" s="2" customFormat="1" ht="18" customHeight="1" spans="1:15">
      <c r="A43" s="50">
        <v>43922</v>
      </c>
      <c r="B43" s="51">
        <f t="shared" si="4"/>
        <v>265486.73</v>
      </c>
      <c r="C43" s="52"/>
      <c r="D43" s="53" t="s">
        <v>38</v>
      </c>
      <c r="E43" s="183">
        <v>0.13</v>
      </c>
      <c r="F43" s="51">
        <f t="shared" si="5"/>
        <v>34513.27</v>
      </c>
      <c r="G43" s="33">
        <v>300000</v>
      </c>
      <c r="H43" s="58"/>
      <c r="I43" s="197"/>
      <c r="J43" s="89"/>
      <c r="K43" s="198" t="s">
        <v>42</v>
      </c>
      <c r="L43" s="218" t="s">
        <v>68</v>
      </c>
      <c r="M43" s="78"/>
      <c r="N43" s="78"/>
      <c r="O43" s="194"/>
    </row>
    <row r="44" s="1" customFormat="1" ht="18" customHeight="1" spans="1:15">
      <c r="A44" s="42">
        <v>43983</v>
      </c>
      <c r="B44" s="51">
        <f t="shared" si="4"/>
        <v>150500</v>
      </c>
      <c r="C44" s="43"/>
      <c r="D44" s="44" t="s">
        <v>66</v>
      </c>
      <c r="E44" s="47"/>
      <c r="F44" s="51">
        <f t="shared" si="5"/>
        <v>0</v>
      </c>
      <c r="G44" s="184">
        <v>150500</v>
      </c>
      <c r="H44" s="58">
        <v>43986</v>
      </c>
      <c r="I44" s="197">
        <v>150500</v>
      </c>
      <c r="J44" s="89" t="s">
        <v>152</v>
      </c>
      <c r="K44" s="198" t="s">
        <v>153</v>
      </c>
      <c r="L44" s="218" t="s">
        <v>154</v>
      </c>
      <c r="M44" s="77" t="s">
        <v>41</v>
      </c>
      <c r="N44" s="77" t="s">
        <v>41</v>
      </c>
      <c r="O44" s="191"/>
    </row>
    <row r="45" s="1" customFormat="1" ht="18" customHeight="1" spans="1:15">
      <c r="A45" s="42">
        <v>43983</v>
      </c>
      <c r="B45" s="51">
        <f t="shared" si="4"/>
        <v>154000</v>
      </c>
      <c r="C45" s="43"/>
      <c r="D45" s="44" t="s">
        <v>66</v>
      </c>
      <c r="E45" s="47"/>
      <c r="F45" s="51">
        <f t="shared" si="5"/>
        <v>0</v>
      </c>
      <c r="G45" s="184">
        <v>154000</v>
      </c>
      <c r="H45" s="58">
        <v>43986</v>
      </c>
      <c r="I45" s="197">
        <v>150000</v>
      </c>
      <c r="J45" s="89" t="s">
        <v>22</v>
      </c>
      <c r="K45" s="198" t="s">
        <v>156</v>
      </c>
      <c r="L45" s="218" t="s">
        <v>157</v>
      </c>
      <c r="M45" s="77" t="s">
        <v>41</v>
      </c>
      <c r="N45" s="77" t="s">
        <v>41</v>
      </c>
      <c r="O45" s="191"/>
    </row>
    <row r="46" s="1" customFormat="1" ht="18" customHeight="1" spans="1:15">
      <c r="A46" s="42"/>
      <c r="B46" s="51">
        <f t="shared" si="4"/>
        <v>0</v>
      </c>
      <c r="C46" s="43"/>
      <c r="D46" s="44"/>
      <c r="E46" s="47"/>
      <c r="F46" s="51">
        <f t="shared" si="5"/>
        <v>0</v>
      </c>
      <c r="G46" s="184"/>
      <c r="H46" s="58">
        <v>44067</v>
      </c>
      <c r="I46" s="197">
        <v>150000</v>
      </c>
      <c r="J46" s="89" t="s">
        <v>22</v>
      </c>
      <c r="K46" s="198" t="s">
        <v>39</v>
      </c>
      <c r="L46" s="218" t="s">
        <v>40</v>
      </c>
      <c r="M46" s="77"/>
      <c r="N46" s="77"/>
      <c r="O46" s="191"/>
    </row>
    <row r="47" s="1" customFormat="1" ht="18" customHeight="1" spans="1:15">
      <c r="A47" s="42">
        <v>44075</v>
      </c>
      <c r="B47" s="51">
        <f t="shared" si="4"/>
        <v>240000</v>
      </c>
      <c r="C47" s="43"/>
      <c r="D47" s="44" t="s">
        <v>66</v>
      </c>
      <c r="E47" s="47"/>
      <c r="F47" s="51">
        <f t="shared" si="5"/>
        <v>0</v>
      </c>
      <c r="G47" s="184">
        <f>90000+90000+60000</f>
        <v>240000</v>
      </c>
      <c r="H47" s="58">
        <v>44067</v>
      </c>
      <c r="I47" s="197">
        <v>240000</v>
      </c>
      <c r="J47" s="89" t="s">
        <v>22</v>
      </c>
      <c r="K47" s="198" t="s">
        <v>161</v>
      </c>
      <c r="L47" s="218" t="s">
        <v>162</v>
      </c>
      <c r="M47" s="77" t="s">
        <v>41</v>
      </c>
      <c r="N47" s="77" t="s">
        <v>41</v>
      </c>
      <c r="O47" s="191"/>
    </row>
    <row r="48" s="1" customFormat="1" ht="18" customHeight="1" spans="1:15">
      <c r="A48" s="42"/>
      <c r="B48" s="51">
        <f t="shared" si="4"/>
        <v>0</v>
      </c>
      <c r="C48" s="43"/>
      <c r="D48" s="44"/>
      <c r="E48" s="47"/>
      <c r="F48" s="51">
        <f t="shared" si="5"/>
        <v>0</v>
      </c>
      <c r="G48" s="184"/>
      <c r="H48" s="58"/>
      <c r="I48" s="199">
        <v>-1000000</v>
      </c>
      <c r="J48" s="200" t="s">
        <v>170</v>
      </c>
      <c r="K48" s="201" t="s">
        <v>63</v>
      </c>
      <c r="L48" s="201" t="s">
        <v>63</v>
      </c>
      <c r="M48" s="77"/>
      <c r="N48" s="77"/>
      <c r="O48" s="191"/>
    </row>
    <row r="49" s="1" customFormat="1" ht="18" customHeight="1" spans="1:15">
      <c r="A49" s="42"/>
      <c r="B49" s="51">
        <f t="shared" si="4"/>
        <v>0</v>
      </c>
      <c r="C49" s="43"/>
      <c r="D49" s="44"/>
      <c r="E49" s="47"/>
      <c r="F49" s="51">
        <f t="shared" si="5"/>
        <v>0</v>
      </c>
      <c r="G49" s="184"/>
      <c r="H49" s="58">
        <v>44081</v>
      </c>
      <c r="I49" s="197">
        <v>100000</v>
      </c>
      <c r="J49" s="89" t="s">
        <v>22</v>
      </c>
      <c r="K49" s="198" t="s">
        <v>171</v>
      </c>
      <c r="L49" s="201" t="s">
        <v>63</v>
      </c>
      <c r="M49" s="77"/>
      <c r="N49" s="77"/>
      <c r="O49" s="191"/>
    </row>
    <row r="50" s="1" customFormat="1" ht="18" customHeight="1" spans="1:15">
      <c r="A50" s="42"/>
      <c r="B50" s="51">
        <f t="shared" si="4"/>
        <v>0</v>
      </c>
      <c r="C50" s="43"/>
      <c r="D50" s="44"/>
      <c r="E50" s="47"/>
      <c r="F50" s="51">
        <f t="shared" si="5"/>
        <v>0</v>
      </c>
      <c r="G50" s="184"/>
      <c r="H50" s="57">
        <v>44084</v>
      </c>
      <c r="I50" s="33">
        <v>200000</v>
      </c>
      <c r="J50" s="86" t="s">
        <v>22</v>
      </c>
      <c r="K50" s="195" t="s">
        <v>161</v>
      </c>
      <c r="L50" s="201" t="s">
        <v>63</v>
      </c>
      <c r="M50" s="77"/>
      <c r="N50" s="77"/>
      <c r="O50" s="191"/>
    </row>
    <row r="51" s="1" customFormat="1" ht="18" customHeight="1" spans="1:15">
      <c r="A51" s="42">
        <v>44075</v>
      </c>
      <c r="B51" s="51">
        <f t="shared" si="4"/>
        <v>283.02</v>
      </c>
      <c r="C51" s="43"/>
      <c r="D51" s="44" t="s">
        <v>38</v>
      </c>
      <c r="E51" s="47">
        <v>0.06</v>
      </c>
      <c r="F51" s="51">
        <f t="shared" si="5"/>
        <v>16.98</v>
      </c>
      <c r="G51" s="184">
        <v>300</v>
      </c>
      <c r="H51" s="58"/>
      <c r="I51" s="197"/>
      <c r="J51" s="89"/>
      <c r="K51" s="198" t="s">
        <v>172</v>
      </c>
      <c r="L51" s="198" t="s">
        <v>173</v>
      </c>
      <c r="M51" s="77"/>
      <c r="N51" s="77"/>
      <c r="O51" s="191"/>
    </row>
    <row r="52" s="1" customFormat="1" ht="18" customHeight="1" spans="1:15">
      <c r="A52" s="42"/>
      <c r="B52" s="51">
        <f t="shared" si="4"/>
        <v>0</v>
      </c>
      <c r="C52" s="43"/>
      <c r="D52" s="44"/>
      <c r="E52" s="47"/>
      <c r="F52" s="51">
        <f t="shared" si="5"/>
        <v>0</v>
      </c>
      <c r="G52" s="184"/>
      <c r="H52" s="206">
        <v>44091</v>
      </c>
      <c r="I52" s="210">
        <v>80000</v>
      </c>
      <c r="J52" s="211" t="s">
        <v>22</v>
      </c>
      <c r="K52" s="212" t="s">
        <v>176</v>
      </c>
      <c r="L52" s="201"/>
      <c r="M52" s="77"/>
      <c r="N52" s="77"/>
      <c r="O52" s="191"/>
    </row>
    <row r="53" s="1" customFormat="1" ht="18" customHeight="1" spans="1:15">
      <c r="A53" s="42"/>
      <c r="B53" s="51">
        <f t="shared" si="4"/>
        <v>0</v>
      </c>
      <c r="C53" s="43"/>
      <c r="D53" s="44"/>
      <c r="E53" s="47"/>
      <c r="F53" s="51">
        <f t="shared" si="5"/>
        <v>0</v>
      </c>
      <c r="G53" s="184"/>
      <c r="H53" s="58"/>
      <c r="I53" s="197"/>
      <c r="J53" s="89"/>
      <c r="K53" s="198"/>
      <c r="L53" s="201"/>
      <c r="M53" s="77"/>
      <c r="N53" s="77"/>
      <c r="O53" s="191"/>
    </row>
    <row r="54" s="1" customFormat="1" ht="18" customHeight="1" spans="1:15">
      <c r="A54" s="42"/>
      <c r="B54" s="51">
        <f t="shared" si="4"/>
        <v>0</v>
      </c>
      <c r="C54" s="43"/>
      <c r="D54" s="44"/>
      <c r="E54" s="47"/>
      <c r="F54" s="51">
        <f t="shared" si="5"/>
        <v>0</v>
      </c>
      <c r="G54" s="184"/>
      <c r="H54" s="58"/>
      <c r="I54" s="197"/>
      <c r="J54" s="89"/>
      <c r="K54" s="198"/>
      <c r="L54" s="201"/>
      <c r="M54" s="77"/>
      <c r="N54" s="77"/>
      <c r="O54" s="191"/>
    </row>
    <row r="55" s="1" customFormat="1" ht="18" customHeight="1" spans="1:15">
      <c r="A55" s="42"/>
      <c r="B55" s="51">
        <f t="shared" si="4"/>
        <v>0</v>
      </c>
      <c r="C55" s="43"/>
      <c r="D55" s="44"/>
      <c r="E55" s="47"/>
      <c r="F55" s="51">
        <f t="shared" si="5"/>
        <v>0</v>
      </c>
      <c r="G55" s="184"/>
      <c r="H55" s="58"/>
      <c r="I55" s="197"/>
      <c r="J55" s="89"/>
      <c r="K55" s="198"/>
      <c r="L55" s="218"/>
      <c r="M55" s="77"/>
      <c r="N55" s="77"/>
      <c r="O55" s="191"/>
    </row>
    <row r="56" s="1" customFormat="1" ht="18" customHeight="1" spans="1:15">
      <c r="A56" s="42"/>
      <c r="B56" s="51">
        <f t="shared" si="4"/>
        <v>0</v>
      </c>
      <c r="C56" s="43"/>
      <c r="D56" s="44"/>
      <c r="E56" s="47"/>
      <c r="F56" s="51">
        <f t="shared" si="5"/>
        <v>0</v>
      </c>
      <c r="G56" s="184"/>
      <c r="H56" s="206" t="s">
        <v>177</v>
      </c>
      <c r="I56" s="210">
        <v>50</v>
      </c>
      <c r="J56" s="211" t="s">
        <v>77</v>
      </c>
      <c r="K56" s="212" t="s">
        <v>78</v>
      </c>
      <c r="L56" s="191"/>
      <c r="M56" s="77" t="s">
        <v>163</v>
      </c>
      <c r="N56" s="77"/>
      <c r="O56" s="191"/>
    </row>
    <row r="57" s="1" customFormat="1" ht="18" customHeight="1" spans="1:15">
      <c r="A57" s="42"/>
      <c r="B57" s="51">
        <f t="shared" si="4"/>
        <v>0</v>
      </c>
      <c r="C57" s="43"/>
      <c r="D57" s="44"/>
      <c r="E57" s="47"/>
      <c r="F57" s="51">
        <f t="shared" si="5"/>
        <v>0</v>
      </c>
      <c r="G57" s="184"/>
      <c r="H57" s="57" t="s">
        <v>174</v>
      </c>
      <c r="I57" s="33">
        <v>100</v>
      </c>
      <c r="J57" s="86" t="s">
        <v>77</v>
      </c>
      <c r="K57" s="195" t="s">
        <v>78</v>
      </c>
      <c r="L57" s="191"/>
      <c r="M57" s="77"/>
      <c r="N57" s="77"/>
      <c r="O57" s="191"/>
    </row>
    <row r="58" s="1" customFormat="1" ht="18" customHeight="1" spans="1:15">
      <c r="A58" s="42"/>
      <c r="B58" s="51">
        <f t="shared" si="4"/>
        <v>0</v>
      </c>
      <c r="C58" s="43"/>
      <c r="D58" s="44"/>
      <c r="E58" s="47"/>
      <c r="F58" s="51">
        <f t="shared" si="5"/>
        <v>0</v>
      </c>
      <c r="G58" s="184"/>
      <c r="H58" s="57" t="s">
        <v>175</v>
      </c>
      <c r="I58" s="33">
        <v>100</v>
      </c>
      <c r="J58" s="86" t="s">
        <v>77</v>
      </c>
      <c r="K58" s="195" t="s">
        <v>78</v>
      </c>
      <c r="L58" s="191"/>
      <c r="M58" s="77"/>
      <c r="N58" s="77"/>
      <c r="O58" s="191"/>
    </row>
    <row r="59" s="1" customFormat="1" ht="18" customHeight="1" spans="1:15">
      <c r="A59" s="42"/>
      <c r="B59" s="51">
        <f t="shared" si="4"/>
        <v>0</v>
      </c>
      <c r="C59" s="43"/>
      <c r="D59" s="44"/>
      <c r="E59" s="47"/>
      <c r="F59" s="51">
        <f t="shared" si="5"/>
        <v>0</v>
      </c>
      <c r="G59" s="184"/>
      <c r="H59" s="58" t="s">
        <v>164</v>
      </c>
      <c r="I59" s="197">
        <v>1192.9</v>
      </c>
      <c r="J59" s="89" t="s">
        <v>77</v>
      </c>
      <c r="K59" s="198" t="s">
        <v>165</v>
      </c>
      <c r="L59" s="191"/>
      <c r="M59" s="77"/>
      <c r="N59" s="77"/>
      <c r="O59" s="191"/>
    </row>
    <row r="60" s="1" customFormat="1" ht="18" customHeight="1" spans="1:15">
      <c r="A60" s="42"/>
      <c r="B60" s="51">
        <f t="shared" si="4"/>
        <v>0</v>
      </c>
      <c r="C60" s="43"/>
      <c r="D60" s="44"/>
      <c r="E60" s="47"/>
      <c r="F60" s="51">
        <f t="shared" si="5"/>
        <v>0</v>
      </c>
      <c r="G60" s="184"/>
      <c r="H60" s="58" t="s">
        <v>164</v>
      </c>
      <c r="I60" s="197">
        <v>200</v>
      </c>
      <c r="J60" s="89" t="s">
        <v>77</v>
      </c>
      <c r="K60" s="198" t="s">
        <v>78</v>
      </c>
      <c r="L60" s="191"/>
      <c r="M60" s="77"/>
      <c r="N60" s="77"/>
      <c r="O60" s="191"/>
    </row>
    <row r="61" s="1" customFormat="1" ht="18" customHeight="1" spans="1:15">
      <c r="A61" s="42"/>
      <c r="B61" s="51">
        <f t="shared" si="4"/>
        <v>2000</v>
      </c>
      <c r="C61" s="43"/>
      <c r="D61" s="44"/>
      <c r="E61" s="47"/>
      <c r="F61" s="51">
        <f t="shared" si="5"/>
        <v>0</v>
      </c>
      <c r="G61" s="184">
        <f>I61</f>
        <v>2000</v>
      </c>
      <c r="H61" s="58" t="s">
        <v>164</v>
      </c>
      <c r="I61" s="197">
        <v>2000</v>
      </c>
      <c r="J61" s="89" t="s">
        <v>77</v>
      </c>
      <c r="K61" s="198" t="s">
        <v>105</v>
      </c>
      <c r="L61" s="191"/>
      <c r="M61" s="77"/>
      <c r="N61" s="77"/>
      <c r="O61" s="191"/>
    </row>
    <row r="62" s="1" customFormat="1" ht="18" customHeight="1" spans="1:15">
      <c r="A62" s="42"/>
      <c r="B62" s="51">
        <f t="shared" si="4"/>
        <v>0</v>
      </c>
      <c r="C62" s="43"/>
      <c r="D62" s="44"/>
      <c r="E62" s="47"/>
      <c r="F62" s="51">
        <f t="shared" si="5"/>
        <v>0</v>
      </c>
      <c r="G62" s="184"/>
      <c r="H62" s="58" t="s">
        <v>164</v>
      </c>
      <c r="I62" s="197">
        <v>6400</v>
      </c>
      <c r="J62" s="89" t="s">
        <v>77</v>
      </c>
      <c r="K62" s="198" t="s">
        <v>146</v>
      </c>
      <c r="L62" s="191"/>
      <c r="M62" s="77"/>
      <c r="N62" s="77"/>
      <c r="O62" s="191"/>
    </row>
    <row r="63" s="1" customFormat="1" ht="18" customHeight="1" spans="1:15">
      <c r="A63" s="42"/>
      <c r="B63" s="51">
        <f t="shared" si="4"/>
        <v>0</v>
      </c>
      <c r="C63" s="43"/>
      <c r="D63" s="44"/>
      <c r="E63" s="47"/>
      <c r="F63" s="51">
        <f t="shared" si="5"/>
        <v>0</v>
      </c>
      <c r="G63" s="184"/>
      <c r="H63" s="58" t="s">
        <v>164</v>
      </c>
      <c r="I63" s="197">
        <v>221</v>
      </c>
      <c r="J63" s="89" t="s">
        <v>77</v>
      </c>
      <c r="K63" s="198" t="s">
        <v>140</v>
      </c>
      <c r="L63" s="191"/>
      <c r="M63" s="77"/>
      <c r="N63" s="77"/>
      <c r="O63" s="191"/>
    </row>
    <row r="64" s="1" customFormat="1" ht="18" customHeight="1" spans="1:15">
      <c r="A64" s="42"/>
      <c r="B64" s="51">
        <f t="shared" si="4"/>
        <v>0</v>
      </c>
      <c r="C64" s="43"/>
      <c r="D64" s="44"/>
      <c r="E64" s="47"/>
      <c r="F64" s="51">
        <f t="shared" si="5"/>
        <v>0</v>
      </c>
      <c r="G64" s="184"/>
      <c r="H64" s="58" t="s">
        <v>158</v>
      </c>
      <c r="I64" s="197">
        <v>100</v>
      </c>
      <c r="J64" s="89" t="s">
        <v>77</v>
      </c>
      <c r="K64" s="198" t="s">
        <v>78</v>
      </c>
      <c r="L64" s="191" t="s">
        <v>159</v>
      </c>
      <c r="M64" s="77"/>
      <c r="N64" s="77"/>
      <c r="O64" s="191"/>
    </row>
    <row r="65" s="1" customFormat="1" ht="18" customHeight="1" spans="1:15">
      <c r="A65" s="42"/>
      <c r="B65" s="51">
        <f t="shared" si="4"/>
        <v>0</v>
      </c>
      <c r="C65" s="43"/>
      <c r="D65" s="44"/>
      <c r="E65" s="47"/>
      <c r="F65" s="51">
        <f t="shared" si="5"/>
        <v>0</v>
      </c>
      <c r="G65" s="184"/>
      <c r="H65" s="58" t="s">
        <v>158</v>
      </c>
      <c r="I65" s="197">
        <v>100</v>
      </c>
      <c r="J65" s="89" t="s">
        <v>77</v>
      </c>
      <c r="K65" s="198" t="s">
        <v>78</v>
      </c>
      <c r="L65" s="191" t="s">
        <v>159</v>
      </c>
      <c r="M65" s="77"/>
      <c r="N65" s="77"/>
      <c r="O65" s="191"/>
    </row>
    <row r="66" s="1" customFormat="1" ht="18" customHeight="1" spans="1:15">
      <c r="A66" s="42"/>
      <c r="B66" s="51">
        <f t="shared" si="4"/>
        <v>0</v>
      </c>
      <c r="C66" s="43"/>
      <c r="D66" s="44"/>
      <c r="E66" s="47"/>
      <c r="F66" s="51">
        <f t="shared" si="5"/>
        <v>0</v>
      </c>
      <c r="G66" s="184"/>
      <c r="H66" s="57">
        <v>43923</v>
      </c>
      <c r="I66" s="33">
        <v>100</v>
      </c>
      <c r="J66" s="86" t="s">
        <v>77</v>
      </c>
      <c r="K66" s="195" t="s">
        <v>78</v>
      </c>
      <c r="L66" s="191"/>
      <c r="M66" s="77"/>
      <c r="N66" s="77"/>
      <c r="O66" s="191"/>
    </row>
    <row r="67" s="1" customFormat="1" ht="18" customHeight="1" spans="1:15">
      <c r="A67" s="42"/>
      <c r="B67" s="51">
        <f t="shared" si="4"/>
        <v>0</v>
      </c>
      <c r="C67" s="43"/>
      <c r="D67" s="44"/>
      <c r="E67" s="47"/>
      <c r="F67" s="51">
        <f t="shared" si="5"/>
        <v>0</v>
      </c>
      <c r="G67" s="184"/>
      <c r="H67" s="30" t="s">
        <v>79</v>
      </c>
      <c r="I67" s="31">
        <v>200</v>
      </c>
      <c r="J67" s="86" t="s">
        <v>77</v>
      </c>
      <c r="K67" s="195" t="s">
        <v>78</v>
      </c>
      <c r="L67" s="191"/>
      <c r="M67" s="77"/>
      <c r="N67" s="77"/>
      <c r="O67" s="191"/>
    </row>
    <row r="68" s="1" customFormat="1" ht="18" customHeight="1" spans="1:15">
      <c r="A68" s="42"/>
      <c r="B68" s="51">
        <f t="shared" si="4"/>
        <v>0</v>
      </c>
      <c r="C68" s="43"/>
      <c r="D68" s="44"/>
      <c r="E68" s="47"/>
      <c r="F68" s="25">
        <f t="shared" si="5"/>
        <v>0</v>
      </c>
      <c r="G68" s="184"/>
      <c r="H68" s="30" t="s">
        <v>79</v>
      </c>
      <c r="I68" s="31">
        <v>-88680</v>
      </c>
      <c r="J68" s="40" t="s">
        <v>80</v>
      </c>
      <c r="K68" s="190" t="s">
        <v>133</v>
      </c>
      <c r="L68" s="191"/>
      <c r="M68" s="77"/>
      <c r="N68" s="77"/>
      <c r="O68" s="191"/>
    </row>
    <row r="69" s="1" customFormat="1" ht="18" customHeight="1" spans="1:15">
      <c r="A69" s="42"/>
      <c r="B69" s="25">
        <f t="shared" si="4"/>
        <v>0</v>
      </c>
      <c r="C69" s="43"/>
      <c r="D69" s="44"/>
      <c r="E69" s="47"/>
      <c r="F69" s="25">
        <f t="shared" si="5"/>
        <v>0</v>
      </c>
      <c r="G69" s="184"/>
      <c r="H69" s="57" t="s">
        <v>82</v>
      </c>
      <c r="I69" s="33">
        <v>188304</v>
      </c>
      <c r="J69" s="86" t="s">
        <v>77</v>
      </c>
      <c r="K69" s="196" t="s">
        <v>83</v>
      </c>
      <c r="L69" s="194"/>
      <c r="M69" s="77"/>
      <c r="N69" s="77"/>
      <c r="O69" s="191"/>
    </row>
    <row r="70" s="1" customFormat="1" ht="18" customHeight="1" spans="1:16">
      <c r="A70" s="42"/>
      <c r="B70" s="25">
        <f t="shared" si="4"/>
        <v>0</v>
      </c>
      <c r="C70" s="43"/>
      <c r="D70" s="44"/>
      <c r="E70" s="47"/>
      <c r="F70" s="25">
        <f t="shared" si="5"/>
        <v>0</v>
      </c>
      <c r="G70" s="184"/>
      <c r="H70" s="104" t="s">
        <v>82</v>
      </c>
      <c r="I70" s="215">
        <v>-300000</v>
      </c>
      <c r="J70" s="114" t="s">
        <v>84</v>
      </c>
      <c r="K70" s="234" t="s">
        <v>85</v>
      </c>
      <c r="L70" s="194"/>
      <c r="M70" s="77"/>
      <c r="N70" s="115"/>
      <c r="O70" s="216" t="s">
        <v>86</v>
      </c>
      <c r="P70" s="120"/>
    </row>
    <row r="71" s="1" customFormat="1" ht="18" customHeight="1" spans="1:16">
      <c r="A71" s="42"/>
      <c r="B71" s="25"/>
      <c r="C71" s="43"/>
      <c r="D71" s="44"/>
      <c r="E71" s="47"/>
      <c r="F71" s="25"/>
      <c r="G71" s="184"/>
      <c r="H71" s="57" t="s">
        <v>82</v>
      </c>
      <c r="I71" s="197">
        <v>21333.33</v>
      </c>
      <c r="J71" s="86" t="s">
        <v>77</v>
      </c>
      <c r="K71" s="217" t="s">
        <v>87</v>
      </c>
      <c r="L71" s="218"/>
      <c r="M71" s="91"/>
      <c r="N71" s="91"/>
      <c r="O71" s="218"/>
      <c r="P71" s="122"/>
    </row>
    <row r="72" s="1" customFormat="1" ht="18" customHeight="1" spans="1:15">
      <c r="A72" s="42"/>
      <c r="B72" s="25">
        <f t="shared" ref="B72:B107" si="6">ROUND(G72/(1+E72),2)</f>
        <v>0</v>
      </c>
      <c r="C72" s="43"/>
      <c r="D72" s="44"/>
      <c r="E72" s="47"/>
      <c r="F72" s="25">
        <f t="shared" ref="F72:F107" si="7">ROUND(G72/(1+E72)*E72,2)</f>
        <v>0</v>
      </c>
      <c r="G72" s="184"/>
      <c r="H72" s="57" t="s">
        <v>82</v>
      </c>
      <c r="I72" s="33">
        <v>300</v>
      </c>
      <c r="J72" s="86" t="s">
        <v>77</v>
      </c>
      <c r="K72" s="195" t="s">
        <v>78</v>
      </c>
      <c r="L72" s="194"/>
      <c r="M72" s="77"/>
      <c r="N72" s="77"/>
      <c r="O72" s="191"/>
    </row>
    <row r="73" s="1" customFormat="1" ht="18" customHeight="1" spans="1:15">
      <c r="A73" s="42"/>
      <c r="B73" s="25">
        <f t="shared" si="6"/>
        <v>10000</v>
      </c>
      <c r="C73" s="43"/>
      <c r="D73" s="44"/>
      <c r="E73" s="47"/>
      <c r="F73" s="25">
        <f t="shared" si="7"/>
        <v>0</v>
      </c>
      <c r="G73" s="184">
        <f>10000</f>
        <v>10000</v>
      </c>
      <c r="H73" s="57" t="s">
        <v>82</v>
      </c>
      <c r="I73" s="33">
        <f>G73</f>
        <v>10000</v>
      </c>
      <c r="J73" s="86" t="s">
        <v>77</v>
      </c>
      <c r="K73" s="195" t="s">
        <v>105</v>
      </c>
      <c r="L73" s="194"/>
      <c r="M73" s="77"/>
      <c r="N73" s="77"/>
      <c r="O73" s="191"/>
    </row>
    <row r="74" s="1" customFormat="1" ht="18" customHeight="1" spans="1:15">
      <c r="A74" s="42"/>
      <c r="B74" s="25">
        <f t="shared" si="6"/>
        <v>0</v>
      </c>
      <c r="C74" s="43"/>
      <c r="D74" s="44"/>
      <c r="E74" s="47"/>
      <c r="F74" s="25">
        <f t="shared" si="7"/>
        <v>0</v>
      </c>
      <c r="G74" s="184"/>
      <c r="H74" s="57" t="s">
        <v>89</v>
      </c>
      <c r="I74" s="33">
        <v>-300000</v>
      </c>
      <c r="J74" s="86" t="s">
        <v>90</v>
      </c>
      <c r="K74" s="195" t="s">
        <v>91</v>
      </c>
      <c r="L74" s="194"/>
      <c r="M74" s="77"/>
      <c r="N74" s="77"/>
      <c r="O74" s="191"/>
    </row>
    <row r="75" s="1" customFormat="1" ht="18" customHeight="1" spans="1:15">
      <c r="A75" s="42"/>
      <c r="B75" s="25">
        <f t="shared" si="6"/>
        <v>0</v>
      </c>
      <c r="C75" s="43"/>
      <c r="D75" s="44"/>
      <c r="E75" s="47"/>
      <c r="F75" s="25">
        <f t="shared" si="7"/>
        <v>0</v>
      </c>
      <c r="G75" s="184"/>
      <c r="H75" s="57" t="s">
        <v>89</v>
      </c>
      <c r="I75" s="51">
        <v>100</v>
      </c>
      <c r="J75" s="86" t="s">
        <v>77</v>
      </c>
      <c r="K75" s="195" t="s">
        <v>78</v>
      </c>
      <c r="L75" s="194"/>
      <c r="M75" s="77"/>
      <c r="N75" s="77"/>
      <c r="O75" s="191"/>
    </row>
    <row r="76" s="1" customFormat="1" ht="18" customHeight="1" spans="1:15">
      <c r="A76" s="42"/>
      <c r="B76" s="25">
        <f t="shared" si="6"/>
        <v>0</v>
      </c>
      <c r="C76" s="43"/>
      <c r="D76" s="44"/>
      <c r="E76" s="47"/>
      <c r="F76" s="25">
        <f t="shared" si="7"/>
        <v>0</v>
      </c>
      <c r="G76" s="184"/>
      <c r="H76" s="57" t="s">
        <v>92</v>
      </c>
      <c r="I76" s="51">
        <v>100</v>
      </c>
      <c r="J76" s="86" t="s">
        <v>77</v>
      </c>
      <c r="K76" s="195" t="s">
        <v>78</v>
      </c>
      <c r="L76" s="194"/>
      <c r="M76" s="77"/>
      <c r="N76" s="77"/>
      <c r="O76" s="191"/>
    </row>
    <row r="77" s="1" customFormat="1" ht="18" customHeight="1" spans="1:15">
      <c r="A77" s="42"/>
      <c r="B77" s="25">
        <f t="shared" si="6"/>
        <v>0</v>
      </c>
      <c r="C77" s="43"/>
      <c r="D77" s="44"/>
      <c r="E77" s="47"/>
      <c r="F77" s="25">
        <f t="shared" si="7"/>
        <v>0</v>
      </c>
      <c r="G77" s="184"/>
      <c r="H77" s="57"/>
      <c r="I77" s="51"/>
      <c r="J77" s="86"/>
      <c r="K77" s="195"/>
      <c r="L77" s="194"/>
      <c r="M77" s="77"/>
      <c r="N77" s="77"/>
      <c r="O77" s="191"/>
    </row>
    <row r="78" s="1" customFormat="1" ht="18" customHeight="1" spans="1:15">
      <c r="A78" s="42"/>
      <c r="B78" s="25">
        <f t="shared" si="6"/>
        <v>0</v>
      </c>
      <c r="C78" s="43"/>
      <c r="D78" s="44"/>
      <c r="E78" s="47"/>
      <c r="F78" s="25">
        <f t="shared" si="7"/>
        <v>0</v>
      </c>
      <c r="G78" s="184"/>
      <c r="H78" s="57" t="s">
        <v>93</v>
      </c>
      <c r="I78" s="235">
        <v>184767</v>
      </c>
      <c r="J78" s="86" t="s">
        <v>94</v>
      </c>
      <c r="K78" s="195" t="s">
        <v>95</v>
      </c>
      <c r="L78" s="194"/>
      <c r="M78" s="77"/>
      <c r="N78" s="77"/>
      <c r="O78" s="191"/>
    </row>
    <row r="79" s="1" customFormat="1" ht="18" customHeight="1" spans="1:15">
      <c r="A79" s="42"/>
      <c r="B79" s="25">
        <f t="shared" si="6"/>
        <v>0</v>
      </c>
      <c r="C79" s="43"/>
      <c r="D79" s="44"/>
      <c r="E79" s="47"/>
      <c r="F79" s="25">
        <f t="shared" si="7"/>
        <v>0</v>
      </c>
      <c r="G79" s="184"/>
      <c r="H79" s="57" t="s">
        <v>93</v>
      </c>
      <c r="I79" s="235">
        <v>48000</v>
      </c>
      <c r="J79" s="86" t="s">
        <v>77</v>
      </c>
      <c r="K79" s="195" t="s">
        <v>146</v>
      </c>
      <c r="L79" s="194"/>
      <c r="M79" s="77"/>
      <c r="N79" s="77"/>
      <c r="O79" s="191"/>
    </row>
    <row r="80" s="1" customFormat="1" ht="18" customHeight="1" spans="1:15">
      <c r="A80" s="42"/>
      <c r="B80" s="25">
        <f t="shared" si="6"/>
        <v>0</v>
      </c>
      <c r="C80" s="43"/>
      <c r="D80" s="44"/>
      <c r="E80" s="47"/>
      <c r="F80" s="25">
        <f t="shared" si="7"/>
        <v>0</v>
      </c>
      <c r="G80" s="184"/>
      <c r="H80" s="57" t="s">
        <v>93</v>
      </c>
      <c r="I80" s="235">
        <v>1652</v>
      </c>
      <c r="J80" s="86" t="s">
        <v>77</v>
      </c>
      <c r="K80" s="195" t="s">
        <v>140</v>
      </c>
      <c r="L80" s="194"/>
      <c r="M80" s="77"/>
      <c r="N80" s="77"/>
      <c r="O80" s="191"/>
    </row>
    <row r="81" s="1" customFormat="1" ht="18" customHeight="1" spans="1:15">
      <c r="A81" s="42"/>
      <c r="B81" s="25">
        <f t="shared" si="6"/>
        <v>0</v>
      </c>
      <c r="C81" s="43"/>
      <c r="D81" s="44"/>
      <c r="E81" s="47"/>
      <c r="F81" s="25">
        <f t="shared" si="7"/>
        <v>0</v>
      </c>
      <c r="G81" s="184"/>
      <c r="H81" s="57" t="s">
        <v>93</v>
      </c>
      <c r="I81" s="235">
        <v>67389</v>
      </c>
      <c r="J81" s="86" t="s">
        <v>77</v>
      </c>
      <c r="K81" s="195" t="s">
        <v>147</v>
      </c>
      <c r="L81" s="194"/>
      <c r="M81" s="77"/>
      <c r="N81" s="77"/>
      <c r="O81" s="191"/>
    </row>
    <row r="82" s="1" customFormat="1" ht="18" customHeight="1" spans="1:15">
      <c r="A82" s="42"/>
      <c r="B82" s="25">
        <f t="shared" si="6"/>
        <v>0</v>
      </c>
      <c r="C82" s="43"/>
      <c r="D82" s="44"/>
      <c r="E82" s="45"/>
      <c r="F82" s="25">
        <f t="shared" si="7"/>
        <v>0</v>
      </c>
      <c r="G82" s="184"/>
      <c r="H82" s="57" t="s">
        <v>93</v>
      </c>
      <c r="I82" s="235">
        <v>100</v>
      </c>
      <c r="J82" s="86" t="s">
        <v>77</v>
      </c>
      <c r="K82" s="195" t="s">
        <v>78</v>
      </c>
      <c r="L82" s="194"/>
      <c r="M82" s="77"/>
      <c r="N82" s="77"/>
      <c r="O82" s="191"/>
    </row>
    <row r="83" s="1" customFormat="1" ht="18" customHeight="1" spans="1:15">
      <c r="A83" s="42"/>
      <c r="B83" s="25">
        <f t="shared" si="6"/>
        <v>5000</v>
      </c>
      <c r="C83" s="43"/>
      <c r="D83" s="44"/>
      <c r="E83" s="45"/>
      <c r="F83" s="25">
        <f t="shared" si="7"/>
        <v>0</v>
      </c>
      <c r="G83" s="184">
        <f>5000</f>
        <v>5000</v>
      </c>
      <c r="H83" s="57" t="s">
        <v>93</v>
      </c>
      <c r="I83" s="235">
        <f>G83</f>
        <v>5000</v>
      </c>
      <c r="J83" s="86" t="s">
        <v>77</v>
      </c>
      <c r="K83" s="195" t="s">
        <v>105</v>
      </c>
      <c r="L83" s="194"/>
      <c r="M83" s="77"/>
      <c r="N83" s="77"/>
      <c r="O83" s="191"/>
    </row>
    <row r="84" s="1" customFormat="1" ht="18" customHeight="1" spans="1:15">
      <c r="A84" s="42"/>
      <c r="B84" s="25">
        <f t="shared" si="6"/>
        <v>0</v>
      </c>
      <c r="C84" s="43"/>
      <c r="D84" s="44"/>
      <c r="E84" s="45"/>
      <c r="F84" s="25">
        <f t="shared" si="7"/>
        <v>0</v>
      </c>
      <c r="G84" s="184"/>
      <c r="H84" s="57" t="s">
        <v>99</v>
      </c>
      <c r="I84" s="235">
        <v>-157908</v>
      </c>
      <c r="J84" s="86" t="s">
        <v>90</v>
      </c>
      <c r="K84" s="195" t="s">
        <v>91</v>
      </c>
      <c r="L84" s="194"/>
      <c r="M84" s="77"/>
      <c r="N84" s="77"/>
      <c r="O84" s="191"/>
    </row>
    <row r="85" s="1" customFormat="1" ht="18" customHeight="1" spans="1:15">
      <c r="A85" s="42"/>
      <c r="B85" s="25">
        <f t="shared" si="6"/>
        <v>0</v>
      </c>
      <c r="C85" s="43"/>
      <c r="D85" s="44"/>
      <c r="E85" s="45"/>
      <c r="F85" s="25">
        <f t="shared" si="7"/>
        <v>0</v>
      </c>
      <c r="G85" s="184"/>
      <c r="H85" s="57" t="s">
        <v>99</v>
      </c>
      <c r="I85" s="235">
        <v>100</v>
      </c>
      <c r="J85" s="86" t="s">
        <v>77</v>
      </c>
      <c r="K85" s="195" t="s">
        <v>78</v>
      </c>
      <c r="L85" s="194"/>
      <c r="M85" s="77"/>
      <c r="N85" s="77"/>
      <c r="O85" s="191"/>
    </row>
    <row r="86" s="1" customFormat="1" ht="18" customHeight="1" spans="1:15">
      <c r="A86" s="42"/>
      <c r="B86" s="25">
        <f t="shared" si="6"/>
        <v>0</v>
      </c>
      <c r="C86" s="43"/>
      <c r="D86" s="44"/>
      <c r="E86" s="45"/>
      <c r="F86" s="25">
        <f t="shared" si="7"/>
        <v>0</v>
      </c>
      <c r="G86" s="184"/>
      <c r="H86" s="57" t="s">
        <v>100</v>
      </c>
      <c r="I86" s="235">
        <v>200</v>
      </c>
      <c r="J86" s="86" t="s">
        <v>77</v>
      </c>
      <c r="K86" s="195" t="s">
        <v>78</v>
      </c>
      <c r="L86" s="194"/>
      <c r="M86" s="77"/>
      <c r="N86" s="77"/>
      <c r="O86" s="191"/>
    </row>
    <row r="87" s="1" customFormat="1" ht="18" customHeight="1" spans="1:15">
      <c r="A87" s="42"/>
      <c r="B87" s="25">
        <f t="shared" si="6"/>
        <v>0</v>
      </c>
      <c r="C87" s="43"/>
      <c r="D87" s="44"/>
      <c r="E87" s="45"/>
      <c r="F87" s="25">
        <f t="shared" si="7"/>
        <v>0</v>
      </c>
      <c r="G87" s="184"/>
      <c r="H87" s="57" t="s">
        <v>101</v>
      </c>
      <c r="I87" s="235">
        <v>200</v>
      </c>
      <c r="J87" s="86" t="s">
        <v>77</v>
      </c>
      <c r="K87" s="195" t="s">
        <v>78</v>
      </c>
      <c r="L87" s="194"/>
      <c r="M87" s="77"/>
      <c r="N87" s="77"/>
      <c r="O87" s="191"/>
    </row>
    <row r="88" s="1" customFormat="1" ht="18" customHeight="1" spans="1:15">
      <c r="A88" s="42"/>
      <c r="B88" s="25">
        <f t="shared" si="6"/>
        <v>0</v>
      </c>
      <c r="C88" s="43"/>
      <c r="D88" s="44"/>
      <c r="E88" s="45"/>
      <c r="F88" s="25">
        <f t="shared" si="7"/>
        <v>0</v>
      </c>
      <c r="G88" s="184"/>
      <c r="H88" s="57" t="s">
        <v>101</v>
      </c>
      <c r="I88" s="235">
        <v>381546</v>
      </c>
      <c r="J88" s="86" t="s">
        <v>94</v>
      </c>
      <c r="K88" s="195" t="s">
        <v>95</v>
      </c>
      <c r="L88" s="194"/>
      <c r="M88" s="77"/>
      <c r="O88" s="191"/>
    </row>
    <row r="89" s="1" customFormat="1" ht="18" customHeight="1" spans="1:15">
      <c r="A89" s="42"/>
      <c r="B89" s="25">
        <f t="shared" si="6"/>
        <v>0</v>
      </c>
      <c r="C89" s="43"/>
      <c r="D89" s="44"/>
      <c r="E89" s="45"/>
      <c r="F89" s="25">
        <f t="shared" si="7"/>
        <v>0</v>
      </c>
      <c r="G89" s="184"/>
      <c r="H89" s="57" t="s">
        <v>101</v>
      </c>
      <c r="I89" s="235">
        <v>24955</v>
      </c>
      <c r="J89" s="86" t="s">
        <v>77</v>
      </c>
      <c r="K89" s="195" t="s">
        <v>146</v>
      </c>
      <c r="L89" s="194"/>
      <c r="M89" s="77"/>
      <c r="N89" s="77"/>
      <c r="O89" s="191"/>
    </row>
    <row r="90" s="1" customFormat="1" ht="18" customHeight="1" spans="1:15">
      <c r="A90" s="42"/>
      <c r="B90" s="25">
        <f t="shared" si="6"/>
        <v>0</v>
      </c>
      <c r="C90" s="43"/>
      <c r="D90" s="44"/>
      <c r="E90" s="45"/>
      <c r="F90" s="25">
        <f t="shared" si="7"/>
        <v>0</v>
      </c>
      <c r="G90" s="184"/>
      <c r="H90" s="57" t="s">
        <v>101</v>
      </c>
      <c r="I90" s="235">
        <v>936</v>
      </c>
      <c r="J90" s="86" t="s">
        <v>77</v>
      </c>
      <c r="K90" s="195" t="s">
        <v>140</v>
      </c>
      <c r="L90" s="194"/>
      <c r="M90" s="77"/>
      <c r="N90" s="77"/>
      <c r="O90" s="191"/>
    </row>
    <row r="91" s="1" customFormat="1" ht="18" customHeight="1" spans="1:15">
      <c r="A91" s="42"/>
      <c r="B91" s="25">
        <f t="shared" si="6"/>
        <v>0</v>
      </c>
      <c r="C91" s="43"/>
      <c r="D91" s="44"/>
      <c r="E91" s="45"/>
      <c r="F91" s="25">
        <f t="shared" si="7"/>
        <v>0</v>
      </c>
      <c r="G91" s="184"/>
      <c r="H91" s="57" t="s">
        <v>101</v>
      </c>
      <c r="I91" s="235">
        <v>120092</v>
      </c>
      <c r="J91" s="86" t="s">
        <v>77</v>
      </c>
      <c r="K91" s="195" t="s">
        <v>148</v>
      </c>
      <c r="L91" s="194"/>
      <c r="M91" s="77"/>
      <c r="N91" s="77"/>
      <c r="O91" s="191"/>
    </row>
    <row r="92" s="1" customFormat="1" ht="18" customHeight="1" spans="1:15">
      <c r="A92" s="42"/>
      <c r="B92" s="25">
        <f t="shared" si="6"/>
        <v>8500</v>
      </c>
      <c r="C92" s="43"/>
      <c r="D92" s="44"/>
      <c r="E92" s="45"/>
      <c r="F92" s="25">
        <f t="shared" si="7"/>
        <v>0</v>
      </c>
      <c r="G92" s="184">
        <v>8500</v>
      </c>
      <c r="H92" s="57" t="s">
        <v>101</v>
      </c>
      <c r="I92" s="235">
        <f>G92</f>
        <v>8500</v>
      </c>
      <c r="J92" s="86" t="s">
        <v>77</v>
      </c>
      <c r="K92" s="195" t="s">
        <v>105</v>
      </c>
      <c r="L92" s="194"/>
      <c r="M92" s="77"/>
      <c r="N92" s="77"/>
      <c r="O92" s="191"/>
    </row>
    <row r="93" s="1" customFormat="1" ht="18" customHeight="1" spans="1:15">
      <c r="A93" s="42"/>
      <c r="B93" s="25">
        <f t="shared" si="6"/>
        <v>0</v>
      </c>
      <c r="C93" s="43"/>
      <c r="D93" s="44"/>
      <c r="E93" s="45"/>
      <c r="F93" s="25">
        <f t="shared" si="7"/>
        <v>0</v>
      </c>
      <c r="G93" s="184"/>
      <c r="H93" s="57" t="s">
        <v>106</v>
      </c>
      <c r="I93" s="235">
        <v>9000</v>
      </c>
      <c r="J93" s="86" t="s">
        <v>77</v>
      </c>
      <c r="K93" s="195" t="s">
        <v>107</v>
      </c>
      <c r="L93" s="194"/>
      <c r="M93" s="77"/>
      <c r="N93" s="77"/>
      <c r="O93" s="191"/>
    </row>
    <row r="94" s="1" customFormat="1" ht="18" customHeight="1" spans="1:15">
      <c r="A94" s="42"/>
      <c r="B94" s="25">
        <f t="shared" si="6"/>
        <v>0</v>
      </c>
      <c r="C94" s="43"/>
      <c r="D94" s="44"/>
      <c r="E94" s="45"/>
      <c r="F94" s="25">
        <f t="shared" si="7"/>
        <v>0</v>
      </c>
      <c r="G94" s="184"/>
      <c r="H94" s="57" t="s">
        <v>106</v>
      </c>
      <c r="I94" s="235">
        <v>-66373</v>
      </c>
      <c r="J94" s="86" t="s">
        <v>90</v>
      </c>
      <c r="K94" s="195" t="s">
        <v>91</v>
      </c>
      <c r="L94" s="194"/>
      <c r="M94" s="77"/>
      <c r="N94" s="77"/>
      <c r="O94" s="191"/>
    </row>
    <row r="95" s="1" customFormat="1" ht="18" customHeight="1" spans="1:15">
      <c r="A95" s="42"/>
      <c r="B95" s="25">
        <f t="shared" si="6"/>
        <v>0</v>
      </c>
      <c r="C95" s="43"/>
      <c r="D95" s="44"/>
      <c r="E95" s="45"/>
      <c r="F95" s="25">
        <f t="shared" si="7"/>
        <v>0</v>
      </c>
      <c r="G95" s="184"/>
      <c r="H95" s="57" t="s">
        <v>106</v>
      </c>
      <c r="I95" s="33">
        <v>-37965</v>
      </c>
      <c r="J95" s="86" t="s">
        <v>90</v>
      </c>
      <c r="K95" s="195" t="s">
        <v>149</v>
      </c>
      <c r="L95" s="33">
        <v>-37965</v>
      </c>
      <c r="M95" s="151" t="s">
        <v>150</v>
      </c>
      <c r="N95" s="77"/>
      <c r="O95" s="191"/>
    </row>
    <row r="96" s="1" customFormat="1" ht="18" customHeight="1" spans="1:15">
      <c r="A96" s="42"/>
      <c r="B96" s="25">
        <f t="shared" si="6"/>
        <v>0</v>
      </c>
      <c r="C96" s="43"/>
      <c r="D96" s="44"/>
      <c r="E96" s="45"/>
      <c r="F96" s="25">
        <f t="shared" si="7"/>
        <v>0</v>
      </c>
      <c r="G96" s="184"/>
      <c r="H96" s="57" t="s">
        <v>109</v>
      </c>
      <c r="I96" s="235">
        <v>8496</v>
      </c>
      <c r="J96" s="86" t="s">
        <v>77</v>
      </c>
      <c r="K96" s="195" t="s">
        <v>110</v>
      </c>
      <c r="L96" s="194"/>
      <c r="M96" s="77"/>
      <c r="N96" s="77"/>
      <c r="O96" s="191"/>
    </row>
    <row r="97" s="1" customFormat="1" ht="18" customHeight="1" spans="1:17">
      <c r="A97" s="42"/>
      <c r="B97" s="25">
        <f t="shared" si="6"/>
        <v>0</v>
      </c>
      <c r="C97" s="43"/>
      <c r="D97" s="44"/>
      <c r="E97" s="45"/>
      <c r="F97" s="25">
        <f t="shared" si="7"/>
        <v>0</v>
      </c>
      <c r="G97" s="184"/>
      <c r="H97" s="57" t="s">
        <v>109</v>
      </c>
      <c r="I97" s="235">
        <v>212400</v>
      </c>
      <c r="J97" s="86" t="s">
        <v>111</v>
      </c>
      <c r="K97" s="195" t="s">
        <v>112</v>
      </c>
      <c r="L97" s="194"/>
      <c r="M97" s="77"/>
      <c r="N97" s="77"/>
      <c r="O97" s="191"/>
      <c r="Q97" s="1">
        <f>I98+I94+I88+I84+I78+I74+I70+I69</f>
        <v>0</v>
      </c>
    </row>
    <row r="98" s="1" customFormat="1" ht="18" customHeight="1" spans="1:15">
      <c r="A98" s="42"/>
      <c r="B98" s="25">
        <f t="shared" si="6"/>
        <v>0</v>
      </c>
      <c r="C98" s="43"/>
      <c r="D98" s="44"/>
      <c r="E98" s="45"/>
      <c r="F98" s="25">
        <f t="shared" si="7"/>
        <v>0</v>
      </c>
      <c r="G98" s="184"/>
      <c r="H98" s="57" t="s">
        <v>109</v>
      </c>
      <c r="I98" s="235">
        <v>69664</v>
      </c>
      <c r="J98" s="86" t="s">
        <v>94</v>
      </c>
      <c r="K98" s="195" t="s">
        <v>95</v>
      </c>
      <c r="L98" s="194"/>
      <c r="M98" s="77"/>
      <c r="N98" s="77"/>
      <c r="O98" s="191"/>
    </row>
    <row r="99" s="1" customFormat="1" ht="18" customHeight="1" spans="1:15">
      <c r="A99" s="42"/>
      <c r="B99" s="25">
        <f t="shared" si="6"/>
        <v>0</v>
      </c>
      <c r="C99" s="43"/>
      <c r="D99" s="44"/>
      <c r="E99" s="45"/>
      <c r="F99" s="25">
        <f t="shared" si="7"/>
        <v>0</v>
      </c>
      <c r="G99" s="184"/>
      <c r="H99" s="57" t="s">
        <v>109</v>
      </c>
      <c r="I99" s="235">
        <v>14679</v>
      </c>
      <c r="J99" s="86" t="s">
        <v>77</v>
      </c>
      <c r="K99" s="195" t="s">
        <v>146</v>
      </c>
      <c r="L99" s="194"/>
      <c r="M99" s="77"/>
      <c r="N99" s="77"/>
      <c r="O99" s="191"/>
    </row>
    <row r="100" s="1" customFormat="1" ht="18" customHeight="1" spans="1:15">
      <c r="A100" s="42"/>
      <c r="B100" s="25">
        <f t="shared" si="6"/>
        <v>0</v>
      </c>
      <c r="C100" s="43"/>
      <c r="D100" s="44"/>
      <c r="E100" s="45"/>
      <c r="F100" s="25">
        <f t="shared" si="7"/>
        <v>0</v>
      </c>
      <c r="G100" s="184"/>
      <c r="H100" s="57" t="s">
        <v>109</v>
      </c>
      <c r="I100" s="235">
        <v>551</v>
      </c>
      <c r="J100" s="86" t="s">
        <v>77</v>
      </c>
      <c r="K100" s="195" t="s">
        <v>140</v>
      </c>
      <c r="L100" s="194"/>
      <c r="M100" s="77"/>
      <c r="N100" s="77"/>
      <c r="O100" s="191"/>
    </row>
    <row r="101" s="1" customFormat="1" ht="18" customHeight="1" spans="1:15">
      <c r="A101" s="42"/>
      <c r="B101" s="25">
        <f t="shared" si="6"/>
        <v>0</v>
      </c>
      <c r="C101" s="43"/>
      <c r="D101" s="44"/>
      <c r="E101" s="45"/>
      <c r="F101" s="25">
        <f t="shared" si="7"/>
        <v>0</v>
      </c>
      <c r="G101" s="184"/>
      <c r="H101" s="57" t="s">
        <v>109</v>
      </c>
      <c r="I101" s="235">
        <v>45972</v>
      </c>
      <c r="J101" s="86" t="s">
        <v>77</v>
      </c>
      <c r="K101" s="195" t="s">
        <v>148</v>
      </c>
      <c r="L101" s="194"/>
      <c r="M101" s="77"/>
      <c r="N101" s="77"/>
      <c r="O101" s="191"/>
    </row>
    <row r="102" s="1" customFormat="1" ht="18" customHeight="1" spans="1:15">
      <c r="A102" s="42"/>
      <c r="B102" s="25">
        <f t="shared" si="6"/>
        <v>5000</v>
      </c>
      <c r="C102" s="43"/>
      <c r="D102" s="44"/>
      <c r="E102" s="45"/>
      <c r="F102" s="25">
        <f t="shared" si="7"/>
        <v>0</v>
      </c>
      <c r="G102" s="184">
        <v>5000</v>
      </c>
      <c r="H102" s="57" t="s">
        <v>109</v>
      </c>
      <c r="I102" s="235">
        <f>G102</f>
        <v>5000</v>
      </c>
      <c r="J102" s="86" t="s">
        <v>77</v>
      </c>
      <c r="K102" s="195" t="s">
        <v>105</v>
      </c>
      <c r="L102" s="194"/>
      <c r="M102" s="77"/>
      <c r="N102" s="77"/>
      <c r="O102" s="191"/>
    </row>
    <row r="103" s="1" customFormat="1" ht="18" customHeight="1" spans="1:15">
      <c r="A103" s="42"/>
      <c r="B103" s="25">
        <f t="shared" si="6"/>
        <v>0</v>
      </c>
      <c r="C103" s="43"/>
      <c r="D103" s="44"/>
      <c r="E103" s="45"/>
      <c r="F103" s="25">
        <f t="shared" si="7"/>
        <v>0</v>
      </c>
      <c r="G103" s="184"/>
      <c r="H103" s="57" t="s">
        <v>116</v>
      </c>
      <c r="I103" s="235">
        <v>500</v>
      </c>
      <c r="J103" s="86" t="s">
        <v>77</v>
      </c>
      <c r="K103" s="195" t="s">
        <v>117</v>
      </c>
      <c r="L103" s="194"/>
      <c r="M103" s="77"/>
      <c r="N103" s="77"/>
      <c r="O103" s="191"/>
    </row>
    <row r="104" s="1" customFormat="1" ht="18" customHeight="1" spans="1:15">
      <c r="A104" s="42"/>
      <c r="B104" s="25">
        <f t="shared" si="6"/>
        <v>5000</v>
      </c>
      <c r="C104" s="43"/>
      <c r="D104" s="44"/>
      <c r="E104" s="45"/>
      <c r="F104" s="25">
        <f t="shared" si="7"/>
        <v>0</v>
      </c>
      <c r="G104" s="184">
        <f>5000</f>
        <v>5000</v>
      </c>
      <c r="H104" s="57" t="s">
        <v>116</v>
      </c>
      <c r="I104" s="235">
        <f>G104</f>
        <v>5000</v>
      </c>
      <c r="J104" s="86" t="s">
        <v>77</v>
      </c>
      <c r="K104" s="195" t="s">
        <v>105</v>
      </c>
      <c r="L104" s="194"/>
      <c r="M104" s="77"/>
      <c r="N104" s="77"/>
      <c r="O104" s="191"/>
    </row>
    <row r="105" s="1" customFormat="1" ht="18" customHeight="1" spans="1:15">
      <c r="A105" s="42"/>
      <c r="B105" s="25">
        <f t="shared" si="6"/>
        <v>0</v>
      </c>
      <c r="C105" s="43"/>
      <c r="D105" s="44"/>
      <c r="E105" s="45"/>
      <c r="F105" s="25">
        <f t="shared" si="7"/>
        <v>0</v>
      </c>
      <c r="G105" s="184"/>
      <c r="H105" s="57" t="s">
        <v>116</v>
      </c>
      <c r="I105" s="235">
        <v>14679</v>
      </c>
      <c r="J105" s="86" t="s">
        <v>77</v>
      </c>
      <c r="K105" s="195" t="s">
        <v>146</v>
      </c>
      <c r="L105" s="194"/>
      <c r="M105" s="77"/>
      <c r="N105" s="77"/>
      <c r="O105" s="191"/>
    </row>
    <row r="106" s="1" customFormat="1" ht="18" customHeight="1" spans="1:15">
      <c r="A106" s="42"/>
      <c r="B106" s="25">
        <f t="shared" si="6"/>
        <v>0</v>
      </c>
      <c r="C106" s="43"/>
      <c r="D106" s="44"/>
      <c r="E106" s="45"/>
      <c r="F106" s="25">
        <f t="shared" si="7"/>
        <v>0</v>
      </c>
      <c r="G106" s="184"/>
      <c r="H106" s="57" t="s">
        <v>116</v>
      </c>
      <c r="I106" s="235">
        <v>551</v>
      </c>
      <c r="J106" s="86" t="s">
        <v>77</v>
      </c>
      <c r="K106" s="195" t="s">
        <v>140</v>
      </c>
      <c r="L106" s="194"/>
      <c r="M106" s="77"/>
      <c r="N106" s="77"/>
      <c r="O106" s="191"/>
    </row>
    <row r="107" s="1" customFormat="1" ht="18" customHeight="1" spans="1:15">
      <c r="A107" s="42"/>
      <c r="B107" s="25">
        <f t="shared" si="6"/>
        <v>0</v>
      </c>
      <c r="C107" s="43"/>
      <c r="D107" s="44"/>
      <c r="E107" s="45"/>
      <c r="F107" s="25">
        <f t="shared" si="7"/>
        <v>0</v>
      </c>
      <c r="G107" s="184"/>
      <c r="H107" s="57"/>
      <c r="I107" s="33"/>
      <c r="J107" s="86"/>
      <c r="K107" s="195"/>
      <c r="L107" s="194"/>
      <c r="M107" s="77"/>
      <c r="N107" s="77"/>
      <c r="O107" s="191"/>
    </row>
    <row r="108" ht="18" customHeight="1" spans="1:15">
      <c r="A108" s="38" t="s">
        <v>23</v>
      </c>
      <c r="B108" s="123">
        <f t="shared" ref="B108:G108" si="8">SUM(B16:B107)</f>
        <v>7643309.21</v>
      </c>
      <c r="C108" s="38"/>
      <c r="D108" s="124"/>
      <c r="E108" s="124"/>
      <c r="F108" s="179">
        <f t="shared" si="8"/>
        <v>367708.64</v>
      </c>
      <c r="G108" s="220">
        <f t="shared" si="8"/>
        <v>8011017.85</v>
      </c>
      <c r="H108" s="221"/>
      <c r="I108" s="37">
        <f>SUM(I16:I107)</f>
        <v>6479904.23</v>
      </c>
      <c r="J108" s="226"/>
      <c r="K108" s="124"/>
      <c r="L108" s="180"/>
      <c r="M108" s="40"/>
      <c r="N108" s="40"/>
      <c r="O108" s="180"/>
    </row>
    <row r="109" ht="18" customHeight="1" spans="1:14">
      <c r="A109" s="126" t="s">
        <v>120</v>
      </c>
      <c r="B109" s="127">
        <f>B13*0.936</f>
        <v>6096880.73394496</v>
      </c>
      <c r="C109" s="126"/>
      <c r="D109" s="128"/>
      <c r="E109" s="128"/>
      <c r="F109" s="127"/>
      <c r="G109" s="127">
        <f>G13-G108</f>
        <v>-911017.85</v>
      </c>
      <c r="H109" s="29" t="s">
        <v>121</v>
      </c>
      <c r="I109" s="37">
        <f>I13-I108</f>
        <v>620095.77</v>
      </c>
      <c r="J109" s="14"/>
      <c r="K109" s="227"/>
      <c r="M109" s="13"/>
      <c r="N109" s="13"/>
    </row>
    <row r="110" ht="18" customHeight="1" spans="1:14">
      <c r="A110" s="126" t="s">
        <v>122</v>
      </c>
      <c r="B110" s="127">
        <f>B109-B108</f>
        <v>-1546428.47605504</v>
      </c>
      <c r="C110" s="126"/>
      <c r="D110" s="128"/>
      <c r="E110" s="128"/>
      <c r="F110" s="127"/>
      <c r="G110" s="127"/>
      <c r="H110" s="130"/>
      <c r="I110" s="127"/>
      <c r="J110" s="14"/>
      <c r="K110" s="227"/>
      <c r="M110" s="13"/>
      <c r="N110" s="13"/>
    </row>
    <row r="111" ht="18" customHeight="1" spans="1:3">
      <c r="A111" s="7" t="s">
        <v>124</v>
      </c>
      <c r="C111" s="7"/>
    </row>
    <row r="112" ht="18" customHeight="1" spans="1:16">
      <c r="A112" s="29" t="s">
        <v>125</v>
      </c>
      <c r="B112" s="28" t="s">
        <v>126</v>
      </c>
      <c r="C112" s="180"/>
      <c r="D112" s="29" t="s">
        <v>125</v>
      </c>
      <c r="E112" s="27" t="s">
        <v>17</v>
      </c>
      <c r="F112" s="28" t="s">
        <v>126</v>
      </c>
      <c r="G112" s="8" t="s">
        <v>127</v>
      </c>
      <c r="H112" s="28" t="s">
        <v>128</v>
      </c>
      <c r="I112" s="28" t="s">
        <v>129</v>
      </c>
      <c r="J112" s="176" t="s">
        <v>130</v>
      </c>
      <c r="K112" s="28" t="s">
        <v>131</v>
      </c>
      <c r="L112" s="28" t="s">
        <v>132</v>
      </c>
      <c r="M112" s="28" t="s">
        <v>133</v>
      </c>
      <c r="O112" s="228" t="s">
        <v>166</v>
      </c>
      <c r="P112" s="228" t="s">
        <v>167</v>
      </c>
    </row>
    <row r="113" ht="18" customHeight="1" spans="1:16">
      <c r="A113" s="180" t="s">
        <v>134</v>
      </c>
      <c r="B113" s="25">
        <f>(B109-B108)*0.25</f>
        <v>-386607.119013761</v>
      </c>
      <c r="C113" s="180"/>
      <c r="D113" s="36" t="s">
        <v>135</v>
      </c>
      <c r="E113" s="29" t="s">
        <v>136</v>
      </c>
      <c r="F113" s="179">
        <f>F13-F108</f>
        <v>88254.6627522936</v>
      </c>
      <c r="G113" s="8">
        <v>64220.1834862385</v>
      </c>
      <c r="H113" s="179">
        <v>0</v>
      </c>
      <c r="I113" s="179">
        <f>F7+F8-F16-F17</f>
        <v>41792.0369724771</v>
      </c>
      <c r="J113" s="179">
        <f>-F20</f>
        <v>-34513.27</v>
      </c>
      <c r="K113" s="141">
        <f>F9</f>
        <v>109174.311926606</v>
      </c>
      <c r="L113" s="179">
        <f>F10+F12-F22-F25-F27-F31-F32-F34</f>
        <v>-41490.373119266</v>
      </c>
      <c r="M113" s="141">
        <f>-F37-F42</f>
        <v>-80618.16</v>
      </c>
      <c r="O113" s="228">
        <f>F12</f>
        <v>25688.0733944954</v>
      </c>
      <c r="P113" s="228">
        <f>-O113</f>
        <v>-25688.0733944954</v>
      </c>
    </row>
    <row r="114" ht="18" customHeight="1" spans="1:16">
      <c r="A114" s="180" t="s">
        <v>137</v>
      </c>
      <c r="B114" s="222" t="s">
        <v>138</v>
      </c>
      <c r="C114" s="180"/>
      <c r="D114" s="223" t="s">
        <v>139</v>
      </c>
      <c r="E114" s="21">
        <v>0.07</v>
      </c>
      <c r="F114" s="31">
        <f>F113*E114</f>
        <v>6177.82639266055</v>
      </c>
      <c r="G114" s="8">
        <v>3211.00917431193</v>
      </c>
      <c r="H114" s="31">
        <v>0</v>
      </c>
      <c r="I114" s="31">
        <f>I113*E114</f>
        <v>2925.44258807339</v>
      </c>
      <c r="J114" s="31">
        <f>J113*E114</f>
        <v>-2415.9289</v>
      </c>
      <c r="K114" s="33">
        <f>K113*E114</f>
        <v>7642.20183486239</v>
      </c>
      <c r="L114" s="31">
        <f>L113*E114</f>
        <v>-2904.32611834862</v>
      </c>
      <c r="M114" s="33">
        <f>M113*E114</f>
        <v>-5643.2712</v>
      </c>
      <c r="O114" s="230"/>
      <c r="P114" s="230"/>
    </row>
    <row r="115" ht="18" customHeight="1" spans="1:16">
      <c r="A115" s="180" t="s">
        <v>140</v>
      </c>
      <c r="B115" s="222"/>
      <c r="C115" s="180"/>
      <c r="D115" s="223" t="s">
        <v>141</v>
      </c>
      <c r="E115" s="21">
        <v>0.03</v>
      </c>
      <c r="F115" s="31">
        <f>F113*E115</f>
        <v>2647.63988256881</v>
      </c>
      <c r="G115" s="8">
        <v>1926.60550458716</v>
      </c>
      <c r="H115" s="31">
        <v>0</v>
      </c>
      <c r="I115" s="31">
        <f>I113*E115</f>
        <v>1253.76110917431</v>
      </c>
      <c r="J115" s="31">
        <f>J113*E115</f>
        <v>-1035.3981</v>
      </c>
      <c r="K115" s="33">
        <f>K113*E115</f>
        <v>3275.22935779817</v>
      </c>
      <c r="L115" s="31">
        <f>L113*E115</f>
        <v>-1244.71119357798</v>
      </c>
      <c r="M115" s="33">
        <f>M113*E115</f>
        <v>-2418.5448</v>
      </c>
      <c r="O115" s="230"/>
      <c r="P115" s="230"/>
    </row>
    <row r="116" ht="18" customHeight="1" spans="1:16">
      <c r="A116" s="180"/>
      <c r="B116" s="31"/>
      <c r="C116" s="180"/>
      <c r="D116" s="223" t="s">
        <v>142</v>
      </c>
      <c r="E116" s="21">
        <v>0.02</v>
      </c>
      <c r="F116" s="31">
        <f>F113*E116</f>
        <v>1765.09325504587</v>
      </c>
      <c r="G116" s="8">
        <v>1284.40366972477</v>
      </c>
      <c r="H116" s="31">
        <v>0</v>
      </c>
      <c r="I116" s="31">
        <f>I113*E116</f>
        <v>835.840739449541</v>
      </c>
      <c r="J116" s="31">
        <f>J113*E116</f>
        <v>-690.2654</v>
      </c>
      <c r="K116" s="33">
        <f>K113*E116</f>
        <v>2183.48623853211</v>
      </c>
      <c r="L116" s="31">
        <f>L113*E116</f>
        <v>-829.807462385321</v>
      </c>
      <c r="M116" s="33">
        <f>M113*E116</f>
        <v>-1612.3632</v>
      </c>
      <c r="O116" s="230"/>
      <c r="P116" s="230"/>
    </row>
    <row r="117" ht="18" customHeight="1" spans="1:16">
      <c r="A117" s="36" t="s">
        <v>143</v>
      </c>
      <c r="B117" s="123">
        <f>SUM(B113:B116)</f>
        <v>-386607.119013761</v>
      </c>
      <c r="C117" s="180"/>
      <c r="D117" s="41" t="s">
        <v>143</v>
      </c>
      <c r="E117" s="36"/>
      <c r="F117" s="179">
        <f t="shared" ref="F117:M117" si="9">SUM(F113:F116)</f>
        <v>98845.2222825688</v>
      </c>
      <c r="G117" s="8">
        <v>70642.2018348624</v>
      </c>
      <c r="H117" s="179">
        <v>0</v>
      </c>
      <c r="I117" s="179">
        <f>SUM(I112:I116)</f>
        <v>46807.0814091743</v>
      </c>
      <c r="J117" s="179">
        <f t="shared" si="9"/>
        <v>-38654.8624</v>
      </c>
      <c r="K117" s="141">
        <f t="shared" si="9"/>
        <v>122275.229357798</v>
      </c>
      <c r="L117" s="179">
        <f t="shared" si="9"/>
        <v>-46469.217893578</v>
      </c>
      <c r="M117" s="141">
        <f t="shared" si="9"/>
        <v>-90292.3392</v>
      </c>
      <c r="O117" s="228">
        <f>O113*1.12</f>
        <v>28770.6422018349</v>
      </c>
      <c r="P117" s="230">
        <f>-O117</f>
        <v>-28770.6422018349</v>
      </c>
    </row>
    <row r="118" ht="18" customHeight="1" spans="3:15">
      <c r="C118" s="7"/>
      <c r="D118" s="19" t="s">
        <v>140</v>
      </c>
      <c r="E118" s="224">
        <v>0.0006</v>
      </c>
      <c r="F118" s="31">
        <f>B13*E118</f>
        <v>3908.25688073394</v>
      </c>
      <c r="H118" s="31">
        <f>B7*E118</f>
        <v>550.45871559633</v>
      </c>
      <c r="I118" s="31">
        <f>B8*E118</f>
        <v>550.45871559633</v>
      </c>
      <c r="K118" s="31">
        <f>B9*E118</f>
        <v>935.779816513761</v>
      </c>
      <c r="L118" s="31">
        <f>(B10+B12)*E118</f>
        <v>770.642201834862</v>
      </c>
      <c r="O118" s="230">
        <f>B12*E118</f>
        <v>220.183486238532</v>
      </c>
    </row>
    <row r="119" ht="18" customHeight="1" spans="3:16">
      <c r="C119" s="7"/>
      <c r="D119" s="27" t="s">
        <v>143</v>
      </c>
      <c r="E119" s="124"/>
      <c r="F119" s="37">
        <f t="shared" ref="F119:I119" si="10">F118</f>
        <v>3908.25688073394</v>
      </c>
      <c r="H119" s="37">
        <f t="shared" si="10"/>
        <v>550.45871559633</v>
      </c>
      <c r="I119" s="37">
        <f t="shared" si="10"/>
        <v>550.45871559633</v>
      </c>
      <c r="O119" s="221" t="s">
        <v>168</v>
      </c>
      <c r="P119" s="221" t="s">
        <v>169</v>
      </c>
    </row>
    <row r="120" ht="18" customHeight="1" spans="3:15">
      <c r="C120" s="7"/>
      <c r="D120" s="27" t="s">
        <v>23</v>
      </c>
      <c r="E120" s="38"/>
      <c r="F120" s="37">
        <f t="shared" ref="F120:I120" si="11">F117+F119</f>
        <v>102753.479163303</v>
      </c>
      <c r="H120" s="37">
        <f t="shared" si="11"/>
        <v>550.45871559633</v>
      </c>
      <c r="I120" s="37">
        <f t="shared" si="11"/>
        <v>47357.5401247706</v>
      </c>
      <c r="O120" s="221"/>
    </row>
    <row r="121" ht="18" customHeight="1" spans="3:15">
      <c r="C121" s="7"/>
      <c r="D121" s="38" t="s">
        <v>134</v>
      </c>
      <c r="E121" s="124">
        <v>0.016</v>
      </c>
      <c r="F121" s="37">
        <f>B13*E121</f>
        <v>104220.183486239</v>
      </c>
      <c r="G121" s="225" t="s">
        <v>144</v>
      </c>
      <c r="H121" s="37">
        <f>B7*E121</f>
        <v>14678.8990825688</v>
      </c>
      <c r="I121" s="37">
        <f>B8*E121</f>
        <v>14678.8990825688</v>
      </c>
      <c r="K121" s="37">
        <f>B9*E121</f>
        <v>24954.128440367</v>
      </c>
      <c r="L121" s="37">
        <f>SUM(G10:G12)*E121</f>
        <v>54400</v>
      </c>
      <c r="O121" s="221">
        <f>G12*E121</f>
        <v>6400</v>
      </c>
    </row>
    <row r="122" ht="18" customHeight="1" spans="3:9">
      <c r="C122" s="7"/>
      <c r="G122" s="8" t="s">
        <v>145</v>
      </c>
      <c r="I122" s="8">
        <f>B110*0.25</f>
        <v>-386607.119013761</v>
      </c>
    </row>
    <row r="123" ht="18" customHeight="1" spans="3:9">
      <c r="C123" s="7"/>
      <c r="I123" s="8">
        <f>B110*0.25</f>
        <v>-386607.119013761</v>
      </c>
    </row>
    <row r="124" ht="18" customHeight="1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</sheetData>
  <autoFilter ref="A15:Q12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"/>
  <sheetViews>
    <sheetView topLeftCell="D46" workbookViewId="0">
      <selection activeCell="M68" sqref="M68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4" customWidth="1"/>
    <col min="13" max="13" width="13.5" style="14" customWidth="1"/>
    <col min="14" max="14" width="5.625" style="14" customWidth="1"/>
    <col min="15" max="15" width="11.125" style="14"/>
    <col min="16" max="16" width="12" style="14"/>
    <col min="17" max="17" width="10.375" style="14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2" si="0">G7/(1+C7+E7)</f>
        <v>917431.19266055</v>
      </c>
      <c r="C7" s="32">
        <v>0.02</v>
      </c>
      <c r="D7" s="33">
        <f t="shared" ref="D7:D12" si="1">G7/(1+E7+C7)*C7</f>
        <v>18348.623853211</v>
      </c>
      <c r="E7" s="32">
        <v>0.07</v>
      </c>
      <c r="F7" s="31">
        <f t="shared" ref="F7:F12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31">
        <f t="shared" si="2"/>
        <v>25688.0733944954</v>
      </c>
      <c r="G12" s="178">
        <v>400000</v>
      </c>
      <c r="H12" s="30">
        <v>44056</v>
      </c>
      <c r="I12" s="31">
        <v>400000</v>
      </c>
      <c r="J12" s="40" t="s">
        <v>22</v>
      </c>
    </row>
    <row r="13" ht="18" customHeight="1" spans="1:10">
      <c r="A13" s="36" t="s">
        <v>23</v>
      </c>
      <c r="B13" s="37">
        <f t="shared" ref="B13:G13" si="3">SUM(B7:B12)</f>
        <v>6513761.46788991</v>
      </c>
      <c r="C13" s="38"/>
      <c r="D13" s="37">
        <f t="shared" si="3"/>
        <v>130275.229357798</v>
      </c>
      <c r="E13" s="38"/>
      <c r="F13" s="179">
        <f t="shared" si="3"/>
        <v>455963.302752294</v>
      </c>
      <c r="G13" s="37">
        <f t="shared" si="3"/>
        <v>7100000</v>
      </c>
      <c r="H13" s="180"/>
      <c r="I13" s="37">
        <f>SUM(I7:I12)</f>
        <v>7100000</v>
      </c>
      <c r="J13" s="180"/>
    </row>
    <row r="14" ht="18" customHeight="1" spans="1:15">
      <c r="A14" s="7" t="s">
        <v>24</v>
      </c>
      <c r="J14" s="9"/>
      <c r="K14" s="26" t="s">
        <v>25</v>
      </c>
      <c r="L14" s="176"/>
      <c r="O14" s="189">
        <f>O17+O20+O22+O31+O34</f>
        <v>2519.89</v>
      </c>
    </row>
    <row r="15" ht="18" customHeight="1" spans="1:15">
      <c r="A15" s="41" t="s">
        <v>26</v>
      </c>
      <c r="B15" s="28" t="s">
        <v>27</v>
      </c>
      <c r="C15" s="27" t="s">
        <v>28</v>
      </c>
      <c r="D15" s="27" t="s">
        <v>29</v>
      </c>
      <c r="E15" s="27" t="s">
        <v>17</v>
      </c>
      <c r="F15" s="28" t="s">
        <v>30</v>
      </c>
      <c r="G15" s="28" t="s">
        <v>15</v>
      </c>
      <c r="H15" s="27" t="s">
        <v>31</v>
      </c>
      <c r="I15" s="28" t="s">
        <v>32</v>
      </c>
      <c r="J15" s="27" t="s">
        <v>21</v>
      </c>
      <c r="K15" s="74" t="s">
        <v>33</v>
      </c>
      <c r="L15" s="29" t="s">
        <v>34</v>
      </c>
      <c r="M15" s="29" t="s">
        <v>35</v>
      </c>
      <c r="N15" s="29" t="s">
        <v>36</v>
      </c>
      <c r="O15" s="29" t="s">
        <v>37</v>
      </c>
    </row>
    <row r="16" s="1" customFormat="1" ht="18" customHeight="1" spans="1:15">
      <c r="A16" s="42">
        <v>43617</v>
      </c>
      <c r="B16" s="25">
        <f t="shared" ref="B16:B70" si="4">ROUND(G16/(1+E16),2)</f>
        <v>970873.79</v>
      </c>
      <c r="C16" s="43"/>
      <c r="D16" s="44" t="s">
        <v>38</v>
      </c>
      <c r="E16" s="45">
        <v>0.03</v>
      </c>
      <c r="F16" s="25">
        <f t="shared" ref="F16:F70" si="5">ROUND(G16/(1+E16)*E16,2)</f>
        <v>29126.21</v>
      </c>
      <c r="G16" s="178">
        <v>1000000</v>
      </c>
      <c r="H16" s="30">
        <v>43640</v>
      </c>
      <c r="I16" s="31">
        <v>300000</v>
      </c>
      <c r="J16" s="40" t="s">
        <v>22</v>
      </c>
      <c r="K16" s="190" t="s">
        <v>39</v>
      </c>
      <c r="L16" s="191" t="s">
        <v>40</v>
      </c>
      <c r="M16" s="77" t="s">
        <v>41</v>
      </c>
      <c r="N16" s="77"/>
      <c r="O16" s="191"/>
    </row>
    <row r="17" s="1" customFormat="1" ht="18" customHeight="1" spans="1:15">
      <c r="A17" s="42">
        <v>43617</v>
      </c>
      <c r="B17" s="25">
        <f t="shared" si="4"/>
        <v>442477.88</v>
      </c>
      <c r="C17" s="43"/>
      <c r="D17" s="44" t="s">
        <v>38</v>
      </c>
      <c r="E17" s="45">
        <v>0.13</v>
      </c>
      <c r="F17" s="25">
        <f t="shared" si="5"/>
        <v>57522.12</v>
      </c>
      <c r="G17" s="178">
        <f>100000*5</f>
        <v>500000</v>
      </c>
      <c r="H17" s="30">
        <v>43640</v>
      </c>
      <c r="I17" s="31">
        <v>500000</v>
      </c>
      <c r="J17" s="40" t="s">
        <v>22</v>
      </c>
      <c r="K17" s="190" t="s">
        <v>42</v>
      </c>
      <c r="L17" s="191" t="s">
        <v>160</v>
      </c>
      <c r="M17" s="77" t="s">
        <v>41</v>
      </c>
      <c r="N17" s="77" t="s">
        <v>41</v>
      </c>
      <c r="O17" s="192">
        <v>119.5</v>
      </c>
    </row>
    <row r="18" s="1" customFormat="1" ht="18" customHeight="1" spans="1:15">
      <c r="A18" s="42">
        <v>43678</v>
      </c>
      <c r="B18" s="25">
        <f t="shared" si="4"/>
        <v>99500</v>
      </c>
      <c r="C18" s="43"/>
      <c r="D18" s="44" t="s">
        <v>44</v>
      </c>
      <c r="E18" s="45"/>
      <c r="F18" s="25">
        <f t="shared" si="5"/>
        <v>0</v>
      </c>
      <c r="G18" s="178">
        <v>99500</v>
      </c>
      <c r="H18" s="30">
        <v>43682</v>
      </c>
      <c r="I18" s="31">
        <v>99500</v>
      </c>
      <c r="J18" s="40" t="s">
        <v>45</v>
      </c>
      <c r="K18" s="190" t="s">
        <v>46</v>
      </c>
      <c r="L18" s="191" t="s">
        <v>47</v>
      </c>
      <c r="M18" s="77"/>
      <c r="N18" s="77"/>
      <c r="O18" s="191"/>
    </row>
    <row r="19" s="1" customFormat="1" ht="18" customHeight="1" spans="1:15">
      <c r="A19" s="42">
        <v>43739</v>
      </c>
      <c r="B19" s="25">
        <f t="shared" si="4"/>
        <v>4000</v>
      </c>
      <c r="C19" s="43"/>
      <c r="D19" s="44" t="s">
        <v>44</v>
      </c>
      <c r="E19" s="45"/>
      <c r="F19" s="25">
        <f t="shared" si="5"/>
        <v>0</v>
      </c>
      <c r="G19" s="178">
        <v>4000</v>
      </c>
      <c r="H19" s="30"/>
      <c r="I19" s="31"/>
      <c r="J19" s="40"/>
      <c r="K19" s="190" t="s">
        <v>48</v>
      </c>
      <c r="L19" s="191" t="s">
        <v>49</v>
      </c>
      <c r="M19" s="77"/>
      <c r="N19" s="77"/>
      <c r="O19" s="191"/>
    </row>
    <row r="20" s="1" customFormat="1" ht="18" customHeight="1" spans="1:15">
      <c r="A20" s="42">
        <v>43770</v>
      </c>
      <c r="B20" s="25">
        <f t="shared" si="4"/>
        <v>265486.73</v>
      </c>
      <c r="C20" s="43"/>
      <c r="D20" s="44" t="s">
        <v>38</v>
      </c>
      <c r="E20" s="47">
        <v>0.13</v>
      </c>
      <c r="F20" s="25">
        <f t="shared" si="5"/>
        <v>34513.27</v>
      </c>
      <c r="G20" s="178">
        <f>100000*3</f>
        <v>300000</v>
      </c>
      <c r="H20" s="30">
        <v>43784</v>
      </c>
      <c r="I20" s="31">
        <v>300000</v>
      </c>
      <c r="J20" s="40" t="s">
        <v>22</v>
      </c>
      <c r="K20" s="190" t="s">
        <v>42</v>
      </c>
      <c r="L20" s="191" t="s">
        <v>50</v>
      </c>
      <c r="M20" s="77" t="s">
        <v>41</v>
      </c>
      <c r="N20" s="77" t="s">
        <v>41</v>
      </c>
      <c r="O20" s="192">
        <v>923.01</v>
      </c>
    </row>
    <row r="21" s="1" customFormat="1" ht="18" customHeight="1" spans="1:15">
      <c r="A21" s="42"/>
      <c r="B21" s="25">
        <f t="shared" si="4"/>
        <v>0</v>
      </c>
      <c r="C21" s="43"/>
      <c r="D21" s="44"/>
      <c r="E21" s="45"/>
      <c r="F21" s="25">
        <f t="shared" si="5"/>
        <v>0</v>
      </c>
      <c r="G21" s="178"/>
      <c r="H21" s="30">
        <v>43784</v>
      </c>
      <c r="I21" s="31">
        <v>300000</v>
      </c>
      <c r="J21" s="40" t="s">
        <v>22</v>
      </c>
      <c r="K21" s="190" t="s">
        <v>39</v>
      </c>
      <c r="L21" s="191" t="s">
        <v>51</v>
      </c>
      <c r="M21" s="77"/>
      <c r="N21" s="77"/>
      <c r="O21" s="191"/>
    </row>
    <row r="22" s="1" customFormat="1" ht="18" customHeight="1" spans="1:15">
      <c r="A22" s="42">
        <v>43800</v>
      </c>
      <c r="B22" s="25">
        <f t="shared" si="4"/>
        <v>159292.04</v>
      </c>
      <c r="C22" s="43"/>
      <c r="D22" s="44" t="s">
        <v>38</v>
      </c>
      <c r="E22" s="47">
        <v>0.13</v>
      </c>
      <c r="F22" s="25">
        <f t="shared" si="5"/>
        <v>20707.96</v>
      </c>
      <c r="G22" s="178">
        <v>180000</v>
      </c>
      <c r="H22" s="30">
        <v>43798</v>
      </c>
      <c r="I22" s="31">
        <v>180000</v>
      </c>
      <c r="J22" s="40" t="s">
        <v>22</v>
      </c>
      <c r="K22" s="190" t="s">
        <v>42</v>
      </c>
      <c r="L22" s="191" t="s">
        <v>52</v>
      </c>
      <c r="M22" s="77" t="s">
        <v>41</v>
      </c>
      <c r="N22" s="77"/>
      <c r="O22" s="192">
        <v>321.43</v>
      </c>
    </row>
    <row r="23" s="1" customFormat="1" ht="18" customHeight="1" spans="1:15">
      <c r="A23" s="42">
        <v>43800</v>
      </c>
      <c r="B23" s="25">
        <f t="shared" si="4"/>
        <v>0</v>
      </c>
      <c r="C23" s="43"/>
      <c r="D23" s="44"/>
      <c r="E23" s="45"/>
      <c r="F23" s="25">
        <f t="shared" si="5"/>
        <v>0</v>
      </c>
      <c r="G23" s="178"/>
      <c r="H23" s="30">
        <v>43816</v>
      </c>
      <c r="I23" s="31">
        <v>510000</v>
      </c>
      <c r="J23" s="40" t="s">
        <v>22</v>
      </c>
      <c r="K23" s="190" t="s">
        <v>39</v>
      </c>
      <c r="L23" s="191" t="s">
        <v>51</v>
      </c>
      <c r="M23" s="77"/>
      <c r="N23" s="77"/>
      <c r="O23" s="191"/>
    </row>
    <row r="24" s="1" customFormat="1" ht="18" customHeight="1" spans="1:15">
      <c r="A24" s="42"/>
      <c r="B24" s="25">
        <f t="shared" si="4"/>
        <v>0</v>
      </c>
      <c r="C24" s="43"/>
      <c r="D24" s="44"/>
      <c r="E24" s="45"/>
      <c r="F24" s="25">
        <f t="shared" si="5"/>
        <v>0</v>
      </c>
      <c r="G24" s="178"/>
      <c r="H24" s="30">
        <v>43816</v>
      </c>
      <c r="I24" s="31">
        <v>500000</v>
      </c>
      <c r="J24" s="40" t="s">
        <v>22</v>
      </c>
      <c r="K24" s="190" t="s">
        <v>42</v>
      </c>
      <c r="L24" s="191" t="s">
        <v>53</v>
      </c>
      <c r="M24" s="77"/>
      <c r="N24" s="77"/>
      <c r="O24" s="191"/>
    </row>
    <row r="25" s="1" customFormat="1" ht="18" customHeight="1" spans="1:15">
      <c r="A25" s="42">
        <v>43800</v>
      </c>
      <c r="B25" s="25">
        <f t="shared" si="4"/>
        <v>26161.81</v>
      </c>
      <c r="C25" s="43"/>
      <c r="D25" s="44" t="s">
        <v>38</v>
      </c>
      <c r="E25" s="47">
        <v>0.13</v>
      </c>
      <c r="F25" s="25">
        <f t="shared" si="5"/>
        <v>3401.04</v>
      </c>
      <c r="G25" s="178">
        <f>289+712.88+1692.98+5848.99+20479+540</f>
        <v>29562.85</v>
      </c>
      <c r="H25" s="30"/>
      <c r="I25" s="31"/>
      <c r="J25" s="40"/>
      <c r="K25" s="190" t="s">
        <v>54</v>
      </c>
      <c r="L25" s="191"/>
      <c r="M25" s="77"/>
      <c r="N25" s="77"/>
      <c r="O25" s="191"/>
    </row>
    <row r="26" s="1" customFormat="1" ht="18" customHeight="1" spans="1:15">
      <c r="A26" s="42">
        <v>43800</v>
      </c>
      <c r="B26" s="25">
        <f t="shared" si="4"/>
        <v>3590</v>
      </c>
      <c r="C26" s="43"/>
      <c r="D26" s="44" t="s">
        <v>44</v>
      </c>
      <c r="E26" s="45"/>
      <c r="F26" s="25">
        <f t="shared" si="5"/>
        <v>0</v>
      </c>
      <c r="G26" s="178">
        <v>3590</v>
      </c>
      <c r="H26" s="30"/>
      <c r="I26" s="31"/>
      <c r="J26" s="40"/>
      <c r="K26" s="190" t="s">
        <v>55</v>
      </c>
      <c r="L26" s="191" t="s">
        <v>56</v>
      </c>
      <c r="M26" s="77"/>
      <c r="N26" s="77"/>
      <c r="O26" s="191"/>
    </row>
    <row r="27" s="1" customFormat="1" ht="18" customHeight="1" spans="1:15">
      <c r="A27" s="42">
        <v>43800</v>
      </c>
      <c r="B27" s="25">
        <f t="shared" si="4"/>
        <v>11518.87</v>
      </c>
      <c r="C27" s="43"/>
      <c r="D27" s="44" t="s">
        <v>38</v>
      </c>
      <c r="E27" s="47">
        <v>0.06</v>
      </c>
      <c r="F27" s="25">
        <f t="shared" si="5"/>
        <v>691.13</v>
      </c>
      <c r="G27" s="178">
        <f>1207+1069+372+1480+1468+1278+1095+955+1360+742+1184</f>
        <v>12210</v>
      </c>
      <c r="H27" s="30"/>
      <c r="I27" s="31"/>
      <c r="J27" s="40"/>
      <c r="K27" s="190" t="s">
        <v>57</v>
      </c>
      <c r="L27" s="191" t="s">
        <v>58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4"/>
        <v>1855</v>
      </c>
      <c r="C28" s="43"/>
      <c r="D28" s="44" t="s">
        <v>59</v>
      </c>
      <c r="E28" s="47"/>
      <c r="F28" s="25">
        <f t="shared" si="5"/>
        <v>0</v>
      </c>
      <c r="G28" s="178">
        <v>1855</v>
      </c>
      <c r="H28" s="30"/>
      <c r="I28" s="31"/>
      <c r="J28" s="40"/>
      <c r="K28" s="190" t="s">
        <v>57</v>
      </c>
      <c r="L28" s="191" t="s">
        <v>58</v>
      </c>
      <c r="M28" s="77"/>
      <c r="N28" s="77"/>
      <c r="O28" s="191"/>
    </row>
    <row r="29" s="1" customFormat="1" ht="18" customHeight="1" spans="1:15">
      <c r="A29" s="42"/>
      <c r="B29" s="25">
        <f t="shared" si="4"/>
        <v>0</v>
      </c>
      <c r="C29" s="43"/>
      <c r="D29" s="44"/>
      <c r="E29" s="45"/>
      <c r="F29" s="25">
        <f t="shared" si="5"/>
        <v>0</v>
      </c>
      <c r="G29" s="178"/>
      <c r="H29" s="30">
        <v>43819</v>
      </c>
      <c r="I29" s="31">
        <v>1000000</v>
      </c>
      <c r="J29" s="40" t="s">
        <v>45</v>
      </c>
      <c r="K29" s="190" t="s">
        <v>60</v>
      </c>
      <c r="L29" s="191" t="s">
        <v>61</v>
      </c>
      <c r="M29" s="77"/>
      <c r="N29" s="77"/>
      <c r="O29" s="191"/>
    </row>
    <row r="30" s="2" customFormat="1" ht="18" customHeight="1" spans="1:15">
      <c r="A30" s="50"/>
      <c r="B30" s="51">
        <f t="shared" si="4"/>
        <v>0</v>
      </c>
      <c r="C30" s="52"/>
      <c r="D30" s="53"/>
      <c r="E30" s="181"/>
      <c r="F30" s="51">
        <f t="shared" si="5"/>
        <v>0</v>
      </c>
      <c r="G30" s="51"/>
      <c r="H30" s="182">
        <v>43819</v>
      </c>
      <c r="I30" s="141">
        <v>-1000000</v>
      </c>
      <c r="J30" s="75" t="s">
        <v>45</v>
      </c>
      <c r="K30" s="193" t="s">
        <v>62</v>
      </c>
      <c r="L30" s="237" t="s">
        <v>63</v>
      </c>
      <c r="M30" s="78"/>
      <c r="N30" s="78"/>
      <c r="O30" s="194"/>
    </row>
    <row r="31" s="2" customFormat="1" ht="18" customHeight="1" spans="1:15">
      <c r="A31" s="50">
        <v>43800</v>
      </c>
      <c r="B31" s="51">
        <f t="shared" si="4"/>
        <v>442477.88</v>
      </c>
      <c r="C31" s="52"/>
      <c r="D31" s="53" t="s">
        <v>38</v>
      </c>
      <c r="E31" s="183">
        <v>0.13</v>
      </c>
      <c r="F31" s="51">
        <f t="shared" si="5"/>
        <v>57522.12</v>
      </c>
      <c r="G31" s="51">
        <v>500000</v>
      </c>
      <c r="H31" s="57">
        <v>43830</v>
      </c>
      <c r="I31" s="33">
        <v>300000</v>
      </c>
      <c r="J31" s="86" t="s">
        <v>22</v>
      </c>
      <c r="K31" s="195" t="s">
        <v>42</v>
      </c>
      <c r="L31" s="194" t="s">
        <v>64</v>
      </c>
      <c r="M31" s="78" t="s">
        <v>41</v>
      </c>
      <c r="N31" s="78" t="s">
        <v>65</v>
      </c>
      <c r="O31" s="194">
        <v>729.95</v>
      </c>
    </row>
    <row r="32" s="2" customFormat="1" ht="18" customHeight="1" spans="1:15">
      <c r="A32" s="50">
        <v>43800</v>
      </c>
      <c r="B32" s="51">
        <f t="shared" si="4"/>
        <v>485436.89</v>
      </c>
      <c r="C32" s="52"/>
      <c r="D32" s="53" t="s">
        <v>38</v>
      </c>
      <c r="E32" s="183">
        <v>0.03</v>
      </c>
      <c r="F32" s="51">
        <f t="shared" si="5"/>
        <v>14563.11</v>
      </c>
      <c r="G32" s="51">
        <v>500000</v>
      </c>
      <c r="H32" s="57">
        <v>43846</v>
      </c>
      <c r="I32" s="33">
        <v>390000</v>
      </c>
      <c r="J32" s="86" t="s">
        <v>22</v>
      </c>
      <c r="K32" s="195" t="s">
        <v>39</v>
      </c>
      <c r="L32" s="194" t="s">
        <v>51</v>
      </c>
      <c r="M32" s="78"/>
      <c r="N32" s="78"/>
      <c r="O32" s="194"/>
    </row>
    <row r="33" s="2" customFormat="1" ht="18" customHeight="1" spans="1:15">
      <c r="A33" s="50">
        <v>43800</v>
      </c>
      <c r="B33" s="51">
        <f t="shared" si="4"/>
        <v>1200000</v>
      </c>
      <c r="C33" s="52"/>
      <c r="D33" s="53" t="s">
        <v>66</v>
      </c>
      <c r="E33" s="183"/>
      <c r="F33" s="51">
        <f t="shared" si="5"/>
        <v>0</v>
      </c>
      <c r="G33" s="51">
        <v>1200000</v>
      </c>
      <c r="H33" s="57"/>
      <c r="I33" s="33"/>
      <c r="J33" s="86"/>
      <c r="K33" s="195" t="s">
        <v>67</v>
      </c>
      <c r="L33" s="194"/>
      <c r="M33" s="78"/>
      <c r="N33" s="78"/>
      <c r="O33" s="194"/>
    </row>
    <row r="34" s="2" customFormat="1" ht="18" customHeight="1" spans="1:15">
      <c r="A34" s="50">
        <v>43831</v>
      </c>
      <c r="B34" s="51">
        <f t="shared" si="4"/>
        <v>265486.73</v>
      </c>
      <c r="C34" s="52"/>
      <c r="D34" s="53" t="s">
        <v>38</v>
      </c>
      <c r="E34" s="183">
        <v>0.13</v>
      </c>
      <c r="F34" s="51">
        <f t="shared" si="5"/>
        <v>34513.27</v>
      </c>
      <c r="G34" s="51">
        <f>3*100000</f>
        <v>300000</v>
      </c>
      <c r="H34" s="57">
        <v>43846</v>
      </c>
      <c r="I34" s="33">
        <v>300000</v>
      </c>
      <c r="J34" s="86" t="s">
        <v>22</v>
      </c>
      <c r="K34" s="195" t="s">
        <v>42</v>
      </c>
      <c r="L34" s="194" t="s">
        <v>68</v>
      </c>
      <c r="M34" s="78" t="s">
        <v>41</v>
      </c>
      <c r="N34" s="78" t="s">
        <v>69</v>
      </c>
      <c r="O34" s="194">
        <v>426</v>
      </c>
    </row>
    <row r="35" s="2" customFormat="1" ht="18" customHeight="1" spans="1:15">
      <c r="A35" s="50">
        <v>43831</v>
      </c>
      <c r="B35" s="51">
        <f t="shared" si="4"/>
        <v>600000</v>
      </c>
      <c r="C35" s="52"/>
      <c r="D35" s="53" t="s">
        <v>66</v>
      </c>
      <c r="E35" s="183"/>
      <c r="F35" s="51">
        <f t="shared" si="5"/>
        <v>0</v>
      </c>
      <c r="G35" s="33">
        <v>600000</v>
      </c>
      <c r="H35" s="57"/>
      <c r="I35" s="33"/>
      <c r="J35" s="86"/>
      <c r="K35" s="196" t="s">
        <v>70</v>
      </c>
      <c r="L35" s="194" t="s">
        <v>71</v>
      </c>
      <c r="M35" s="78"/>
      <c r="N35" s="78"/>
      <c r="O35" s="194"/>
    </row>
    <row r="36" s="2" customFormat="1" ht="18" customHeight="1" spans="1:15">
      <c r="A36" s="50">
        <v>43831</v>
      </c>
      <c r="B36" s="51">
        <f t="shared" si="4"/>
        <v>600000</v>
      </c>
      <c r="C36" s="52"/>
      <c r="D36" s="53" t="s">
        <v>66</v>
      </c>
      <c r="E36" s="183"/>
      <c r="F36" s="51">
        <f t="shared" si="5"/>
        <v>0</v>
      </c>
      <c r="G36" s="33">
        <v>600000</v>
      </c>
      <c r="H36" s="57">
        <v>43852</v>
      </c>
      <c r="I36" s="33">
        <v>400000</v>
      </c>
      <c r="J36" s="86" t="s">
        <v>45</v>
      </c>
      <c r="K36" s="196" t="s">
        <v>72</v>
      </c>
      <c r="L36" s="194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4"/>
        <v>733944.95</v>
      </c>
      <c r="C37" s="52"/>
      <c r="D37" s="53" t="s">
        <v>38</v>
      </c>
      <c r="E37" s="183">
        <v>0.09</v>
      </c>
      <c r="F37" s="51">
        <f t="shared" si="5"/>
        <v>66055.05</v>
      </c>
      <c r="G37" s="33">
        <v>800000</v>
      </c>
      <c r="H37" s="57"/>
      <c r="I37" s="33"/>
      <c r="J37" s="86"/>
      <c r="K37" s="196" t="s">
        <v>73</v>
      </c>
      <c r="L37" s="194" t="s">
        <v>74</v>
      </c>
      <c r="M37" s="78" t="s">
        <v>41</v>
      </c>
      <c r="N37" s="78" t="s">
        <v>41</v>
      </c>
      <c r="O37" s="194"/>
    </row>
    <row r="38" s="2" customFormat="1" ht="18" customHeight="1" spans="1:15">
      <c r="A38" s="50"/>
      <c r="B38" s="51">
        <f t="shared" si="4"/>
        <v>0</v>
      </c>
      <c r="C38" s="52"/>
      <c r="D38" s="53"/>
      <c r="E38" s="183"/>
      <c r="F38" s="51">
        <f t="shared" si="5"/>
        <v>0</v>
      </c>
      <c r="G38" s="33"/>
      <c r="H38" s="57">
        <v>43850</v>
      </c>
      <c r="I38" s="33">
        <v>200000</v>
      </c>
      <c r="J38" s="86" t="s">
        <v>45</v>
      </c>
      <c r="K38" s="195" t="s">
        <v>60</v>
      </c>
      <c r="L38" s="194"/>
      <c r="M38" s="78"/>
      <c r="N38" s="78"/>
      <c r="O38" s="194"/>
    </row>
    <row r="39" s="2" customFormat="1" ht="18" customHeight="1" spans="1:15">
      <c r="A39" s="50"/>
      <c r="B39" s="51">
        <f t="shared" si="4"/>
        <v>0</v>
      </c>
      <c r="C39" s="52"/>
      <c r="D39" s="53"/>
      <c r="E39" s="183"/>
      <c r="F39" s="51">
        <f t="shared" si="5"/>
        <v>0</v>
      </c>
      <c r="G39" s="33"/>
      <c r="H39" s="57">
        <v>43853</v>
      </c>
      <c r="I39" s="33">
        <v>500000</v>
      </c>
      <c r="J39" s="86" t="s">
        <v>22</v>
      </c>
      <c r="K39" s="195" t="s">
        <v>73</v>
      </c>
      <c r="L39" s="194" t="s">
        <v>75</v>
      </c>
      <c r="M39" s="78"/>
      <c r="N39" s="78"/>
      <c r="O39" s="194"/>
    </row>
    <row r="40" s="2" customFormat="1" ht="18" customHeight="1" spans="1:15">
      <c r="A40" s="50"/>
      <c r="B40" s="51">
        <f t="shared" si="4"/>
        <v>0</v>
      </c>
      <c r="C40" s="52"/>
      <c r="D40" s="53"/>
      <c r="E40" s="183"/>
      <c r="F40" s="51">
        <f t="shared" si="5"/>
        <v>0</v>
      </c>
      <c r="G40" s="33"/>
      <c r="H40" s="57">
        <v>43853</v>
      </c>
      <c r="I40" s="33">
        <v>600000</v>
      </c>
      <c r="J40" s="86" t="s">
        <v>45</v>
      </c>
      <c r="K40" s="195" t="s">
        <v>70</v>
      </c>
      <c r="L40" s="194" t="s">
        <v>71</v>
      </c>
      <c r="M40" s="78"/>
      <c r="N40" s="78"/>
      <c r="O40" s="194"/>
    </row>
    <row r="41" s="2" customFormat="1" ht="18" customHeight="1" spans="1:15">
      <c r="A41" s="50"/>
      <c r="B41" s="51">
        <f t="shared" si="4"/>
        <v>0</v>
      </c>
      <c r="C41" s="52"/>
      <c r="D41" s="53"/>
      <c r="E41" s="183"/>
      <c r="F41" s="51">
        <f t="shared" si="5"/>
        <v>0</v>
      </c>
      <c r="G41" s="33"/>
      <c r="H41" s="57">
        <v>43853</v>
      </c>
      <c r="I41" s="33">
        <v>200000</v>
      </c>
      <c r="J41" s="86" t="s">
        <v>45</v>
      </c>
      <c r="K41" s="195" t="s">
        <v>72</v>
      </c>
      <c r="L41" s="194" t="s">
        <v>71</v>
      </c>
      <c r="M41" s="78"/>
      <c r="N41" s="78"/>
      <c r="O41" s="194"/>
    </row>
    <row r="42" s="2" customFormat="1" ht="18" customHeight="1" spans="1:15">
      <c r="A42" s="50">
        <v>43891</v>
      </c>
      <c r="B42" s="51">
        <f t="shared" si="4"/>
        <v>485436.89</v>
      </c>
      <c r="C42" s="52"/>
      <c r="D42" s="53" t="s">
        <v>38</v>
      </c>
      <c r="E42" s="183">
        <v>0.03</v>
      </c>
      <c r="F42" s="51">
        <f t="shared" si="5"/>
        <v>14563.11</v>
      </c>
      <c r="G42" s="33">
        <v>500000</v>
      </c>
      <c r="H42" s="57">
        <v>43923</v>
      </c>
      <c r="I42" s="33">
        <v>320000</v>
      </c>
      <c r="J42" s="86" t="s">
        <v>22</v>
      </c>
      <c r="K42" s="195" t="s">
        <v>39</v>
      </c>
      <c r="L42" s="194" t="s">
        <v>40</v>
      </c>
      <c r="M42" s="78"/>
      <c r="N42" s="78"/>
      <c r="O42" s="194"/>
    </row>
    <row r="43" s="2" customFormat="1" ht="18" customHeight="1" spans="1:15">
      <c r="A43" s="50">
        <v>43922</v>
      </c>
      <c r="B43" s="51">
        <f t="shared" si="4"/>
        <v>265486.73</v>
      </c>
      <c r="C43" s="52"/>
      <c r="D43" s="53" t="s">
        <v>38</v>
      </c>
      <c r="E43" s="183">
        <v>0.13</v>
      </c>
      <c r="F43" s="51">
        <f t="shared" si="5"/>
        <v>34513.27</v>
      </c>
      <c r="G43" s="33">
        <v>300000</v>
      </c>
      <c r="H43" s="58"/>
      <c r="I43" s="197"/>
      <c r="J43" s="89"/>
      <c r="K43" s="198" t="s">
        <v>42</v>
      </c>
      <c r="L43" s="218" t="s">
        <v>68</v>
      </c>
      <c r="M43" s="78"/>
      <c r="N43" s="78"/>
      <c r="O43" s="194"/>
    </row>
    <row r="44" s="1" customFormat="1" ht="18" customHeight="1" spans="1:15">
      <c r="A44" s="42">
        <v>43983</v>
      </c>
      <c r="B44" s="51">
        <f t="shared" si="4"/>
        <v>150500</v>
      </c>
      <c r="C44" s="43"/>
      <c r="D44" s="44" t="s">
        <v>66</v>
      </c>
      <c r="E44" s="47"/>
      <c r="F44" s="51">
        <f t="shared" si="5"/>
        <v>0</v>
      </c>
      <c r="G44" s="184">
        <v>150500</v>
      </c>
      <c r="H44" s="58">
        <v>43986</v>
      </c>
      <c r="I44" s="197">
        <v>150500</v>
      </c>
      <c r="J44" s="89" t="s">
        <v>152</v>
      </c>
      <c r="K44" s="198" t="s">
        <v>153</v>
      </c>
      <c r="L44" s="218" t="s">
        <v>154</v>
      </c>
      <c r="M44" s="77" t="s">
        <v>41</v>
      </c>
      <c r="N44" s="77" t="s">
        <v>41</v>
      </c>
      <c r="O44" s="191"/>
    </row>
    <row r="45" s="1" customFormat="1" ht="18" customHeight="1" spans="1:15">
      <c r="A45" s="42">
        <v>43983</v>
      </c>
      <c r="B45" s="51">
        <f t="shared" si="4"/>
        <v>154000</v>
      </c>
      <c r="C45" s="43"/>
      <c r="D45" s="44" t="s">
        <v>66</v>
      </c>
      <c r="E45" s="47"/>
      <c r="F45" s="51">
        <f t="shared" si="5"/>
        <v>0</v>
      </c>
      <c r="G45" s="184">
        <v>154000</v>
      </c>
      <c r="H45" s="58">
        <v>43986</v>
      </c>
      <c r="I45" s="197">
        <v>150000</v>
      </c>
      <c r="J45" s="89" t="s">
        <v>22</v>
      </c>
      <c r="K45" s="198" t="s">
        <v>156</v>
      </c>
      <c r="L45" s="218" t="s">
        <v>157</v>
      </c>
      <c r="M45" s="77" t="s">
        <v>41</v>
      </c>
      <c r="N45" s="77" t="s">
        <v>41</v>
      </c>
      <c r="O45" s="191"/>
    </row>
    <row r="46" s="1" customFormat="1" ht="18" customHeight="1" spans="1:15">
      <c r="A46" s="42"/>
      <c r="B46" s="51">
        <f t="shared" si="4"/>
        <v>0</v>
      </c>
      <c r="C46" s="43"/>
      <c r="D46" s="44"/>
      <c r="E46" s="47"/>
      <c r="F46" s="51">
        <f t="shared" si="5"/>
        <v>0</v>
      </c>
      <c r="G46" s="184"/>
      <c r="H46" s="58">
        <v>44067</v>
      </c>
      <c r="I46" s="197">
        <v>150000</v>
      </c>
      <c r="J46" s="89" t="s">
        <v>22</v>
      </c>
      <c r="K46" s="198" t="s">
        <v>39</v>
      </c>
      <c r="L46" s="218" t="s">
        <v>40</v>
      </c>
      <c r="M46" s="77"/>
      <c r="N46" s="77"/>
      <c r="O46" s="191"/>
    </row>
    <row r="47" s="1" customFormat="1" ht="18" customHeight="1" spans="1:15">
      <c r="A47" s="42">
        <v>44075</v>
      </c>
      <c r="B47" s="51">
        <f t="shared" si="4"/>
        <v>240000</v>
      </c>
      <c r="C47" s="43"/>
      <c r="D47" s="44" t="s">
        <v>66</v>
      </c>
      <c r="E47" s="47"/>
      <c r="F47" s="51">
        <f t="shared" si="5"/>
        <v>0</v>
      </c>
      <c r="G47" s="184">
        <f>90000+90000+60000</f>
        <v>240000</v>
      </c>
      <c r="H47" s="58">
        <v>44067</v>
      </c>
      <c r="I47" s="197">
        <v>240000</v>
      </c>
      <c r="J47" s="89" t="s">
        <v>22</v>
      </c>
      <c r="K47" s="198" t="s">
        <v>161</v>
      </c>
      <c r="L47" s="218" t="s">
        <v>162</v>
      </c>
      <c r="M47" s="77" t="s">
        <v>41</v>
      </c>
      <c r="N47" s="77" t="s">
        <v>41</v>
      </c>
      <c r="O47" s="191"/>
    </row>
    <row r="48" s="1" customFormat="1" ht="18" customHeight="1" spans="1:15">
      <c r="A48" s="42"/>
      <c r="B48" s="51">
        <f t="shared" si="4"/>
        <v>0</v>
      </c>
      <c r="C48" s="43"/>
      <c r="D48" s="44"/>
      <c r="E48" s="47"/>
      <c r="F48" s="51">
        <f t="shared" si="5"/>
        <v>0</v>
      </c>
      <c r="G48" s="184"/>
      <c r="H48" s="58"/>
      <c r="I48" s="199">
        <v>-1000000</v>
      </c>
      <c r="J48" s="200" t="s">
        <v>170</v>
      </c>
      <c r="K48" s="201" t="s">
        <v>63</v>
      </c>
      <c r="L48" s="201" t="s">
        <v>63</v>
      </c>
      <c r="M48" s="77"/>
      <c r="N48" s="77"/>
      <c r="O48" s="191"/>
    </row>
    <row r="49" s="1" customFormat="1" ht="18" customHeight="1" spans="1:15">
      <c r="A49" s="42"/>
      <c r="B49" s="51">
        <f t="shared" si="4"/>
        <v>0</v>
      </c>
      <c r="C49" s="43"/>
      <c r="D49" s="44"/>
      <c r="E49" s="47"/>
      <c r="F49" s="51">
        <f t="shared" si="5"/>
        <v>0</v>
      </c>
      <c r="G49" s="184"/>
      <c r="H49" s="58">
        <v>44081</v>
      </c>
      <c r="I49" s="197">
        <v>100000</v>
      </c>
      <c r="J49" s="89" t="s">
        <v>22</v>
      </c>
      <c r="K49" s="198" t="s">
        <v>171</v>
      </c>
      <c r="L49" s="201" t="s">
        <v>63</v>
      </c>
      <c r="M49" s="77"/>
      <c r="N49" s="77"/>
      <c r="O49" s="191"/>
    </row>
    <row r="50" s="1" customFormat="1" ht="18" customHeight="1" spans="1:15">
      <c r="A50" s="42"/>
      <c r="B50" s="51">
        <f t="shared" si="4"/>
        <v>0</v>
      </c>
      <c r="C50" s="43"/>
      <c r="D50" s="44"/>
      <c r="E50" s="47"/>
      <c r="F50" s="51">
        <f t="shared" si="5"/>
        <v>0</v>
      </c>
      <c r="G50" s="184"/>
      <c r="H50" s="57">
        <v>44084</v>
      </c>
      <c r="I50" s="33">
        <v>200000</v>
      </c>
      <c r="J50" s="86" t="s">
        <v>22</v>
      </c>
      <c r="K50" s="195" t="s">
        <v>161</v>
      </c>
      <c r="L50" s="201" t="s">
        <v>63</v>
      </c>
      <c r="M50" s="77"/>
      <c r="N50" s="77"/>
      <c r="O50" s="191"/>
    </row>
    <row r="51" s="1" customFormat="1" ht="18" customHeight="1" spans="1:15">
      <c r="A51" s="42">
        <v>44075</v>
      </c>
      <c r="B51" s="51">
        <f t="shared" si="4"/>
        <v>283.02</v>
      </c>
      <c r="C51" s="43"/>
      <c r="D51" s="44" t="s">
        <v>38</v>
      </c>
      <c r="E51" s="47">
        <v>0.06</v>
      </c>
      <c r="F51" s="51">
        <f t="shared" si="5"/>
        <v>16.98</v>
      </c>
      <c r="G51" s="184">
        <v>300</v>
      </c>
      <c r="H51" s="58"/>
      <c r="I51" s="197"/>
      <c r="J51" s="89"/>
      <c r="K51" s="198" t="s">
        <v>172</v>
      </c>
      <c r="L51" s="198" t="s">
        <v>173</v>
      </c>
      <c r="M51" s="77"/>
      <c r="N51" s="77"/>
      <c r="O51" s="191"/>
    </row>
    <row r="52" s="1" customFormat="1" ht="18" customHeight="1" spans="1:15">
      <c r="A52" s="42"/>
      <c r="B52" s="51">
        <f t="shared" si="4"/>
        <v>0</v>
      </c>
      <c r="C52" s="43"/>
      <c r="D52" s="44"/>
      <c r="E52" s="47"/>
      <c r="F52" s="51">
        <f t="shared" si="5"/>
        <v>0</v>
      </c>
      <c r="G52" s="184"/>
      <c r="H52" s="57">
        <v>44091</v>
      </c>
      <c r="I52" s="33">
        <v>80000</v>
      </c>
      <c r="J52" s="86" t="s">
        <v>22</v>
      </c>
      <c r="K52" s="195" t="s">
        <v>176</v>
      </c>
      <c r="L52" s="201" t="s">
        <v>63</v>
      </c>
      <c r="M52" s="77"/>
      <c r="N52" s="77"/>
      <c r="O52" s="191"/>
    </row>
    <row r="53" s="1" customFormat="1" ht="18" customHeight="1" spans="1:15">
      <c r="A53" s="42"/>
      <c r="B53" s="51">
        <f t="shared" si="4"/>
        <v>0</v>
      </c>
      <c r="C53" s="43"/>
      <c r="D53" s="44"/>
      <c r="E53" s="47"/>
      <c r="F53" s="51">
        <f t="shared" si="5"/>
        <v>0</v>
      </c>
      <c r="G53" s="184"/>
      <c r="H53" s="57">
        <v>44095</v>
      </c>
      <c r="I53" s="33">
        <v>100000</v>
      </c>
      <c r="J53" s="86" t="s">
        <v>22</v>
      </c>
      <c r="K53" s="195" t="s">
        <v>171</v>
      </c>
      <c r="L53" s="193" t="s">
        <v>63</v>
      </c>
      <c r="M53" s="77"/>
      <c r="N53" s="77"/>
      <c r="O53" s="191"/>
    </row>
    <row r="54" s="1" customFormat="1" ht="18" customHeight="1" spans="1:15">
      <c r="A54" s="42"/>
      <c r="B54" s="51"/>
      <c r="C54" s="43"/>
      <c r="D54" s="44"/>
      <c r="E54" s="47"/>
      <c r="F54" s="51"/>
      <c r="G54" s="184"/>
      <c r="H54" s="57">
        <v>44096</v>
      </c>
      <c r="I54" s="210">
        <v>200000</v>
      </c>
      <c r="J54" s="211" t="s">
        <v>22</v>
      </c>
      <c r="K54" s="212" t="s">
        <v>161</v>
      </c>
      <c r="L54" s="242" t="s">
        <v>63</v>
      </c>
      <c r="M54" s="77"/>
      <c r="N54" s="77"/>
      <c r="O54" s="191"/>
    </row>
    <row r="55" s="1" customFormat="1" ht="18" customHeight="1" spans="1:15">
      <c r="A55" s="42"/>
      <c r="B55" s="51"/>
      <c r="C55" s="43"/>
      <c r="D55" s="44"/>
      <c r="E55" s="47"/>
      <c r="F55" s="51"/>
      <c r="G55" s="184"/>
      <c r="H55" s="57"/>
      <c r="I55" s="210"/>
      <c r="J55" s="211"/>
      <c r="K55" s="212"/>
      <c r="L55" s="242"/>
      <c r="M55" s="77"/>
      <c r="N55" s="77"/>
      <c r="O55" s="191"/>
    </row>
    <row r="56" s="1" customFormat="1" ht="18" customHeight="1" spans="1:15">
      <c r="A56" s="42"/>
      <c r="B56" s="51"/>
      <c r="C56" s="43"/>
      <c r="D56" s="44"/>
      <c r="E56" s="47"/>
      <c r="F56" s="51"/>
      <c r="G56" s="184"/>
      <c r="H56" s="57"/>
      <c r="I56" s="33"/>
      <c r="J56" s="86"/>
      <c r="K56" s="195"/>
      <c r="L56" s="193"/>
      <c r="M56" s="77"/>
      <c r="N56" s="77"/>
      <c r="O56" s="191"/>
    </row>
    <row r="57" s="1" customFormat="1" ht="18" customHeight="1" spans="1:15">
      <c r="A57" s="42"/>
      <c r="B57" s="51">
        <f t="shared" ref="B57:B73" si="6">ROUND(G57/(1+E57),2)</f>
        <v>0</v>
      </c>
      <c r="C57" s="43"/>
      <c r="D57" s="44"/>
      <c r="E57" s="47"/>
      <c r="F57" s="51">
        <f t="shared" ref="F57:F73" si="7">ROUND(G57/(1+E57)*E57,2)</f>
        <v>0</v>
      </c>
      <c r="G57" s="184"/>
      <c r="H57" s="57" t="s">
        <v>178</v>
      </c>
      <c r="I57" s="243">
        <v>100</v>
      </c>
      <c r="J57" s="211" t="s">
        <v>77</v>
      </c>
      <c r="K57" s="212" t="s">
        <v>78</v>
      </c>
      <c r="L57" s="201"/>
      <c r="M57" s="77"/>
      <c r="N57" s="77"/>
      <c r="O57" s="191"/>
    </row>
    <row r="58" s="1" customFormat="1" ht="18" customHeight="1" spans="1:15">
      <c r="A58" s="42"/>
      <c r="B58" s="51">
        <f t="shared" si="6"/>
        <v>0</v>
      </c>
      <c r="C58" s="43"/>
      <c r="D58" s="44"/>
      <c r="E58" s="47"/>
      <c r="F58" s="51">
        <f t="shared" si="7"/>
        <v>0</v>
      </c>
      <c r="G58" s="184"/>
      <c r="H58" s="57">
        <v>44095</v>
      </c>
      <c r="I58" s="33">
        <v>100</v>
      </c>
      <c r="J58" s="86" t="s">
        <v>77</v>
      </c>
      <c r="K58" s="195" t="s">
        <v>78</v>
      </c>
      <c r="L58" s="218"/>
      <c r="M58" s="77"/>
      <c r="N58" s="77"/>
      <c r="O58" s="191"/>
    </row>
    <row r="59" s="1" customFormat="1" ht="18" customHeight="1" spans="1:15">
      <c r="A59" s="42"/>
      <c r="B59" s="51">
        <f t="shared" si="6"/>
        <v>0</v>
      </c>
      <c r="C59" s="43"/>
      <c r="D59" s="44"/>
      <c r="E59" s="47"/>
      <c r="F59" s="51">
        <f t="shared" si="7"/>
        <v>0</v>
      </c>
      <c r="G59" s="184"/>
      <c r="H59" s="57" t="s">
        <v>177</v>
      </c>
      <c r="I59" s="33">
        <v>50</v>
      </c>
      <c r="J59" s="86" t="s">
        <v>77</v>
      </c>
      <c r="K59" s="195" t="s">
        <v>78</v>
      </c>
      <c r="L59" s="191"/>
      <c r="M59" s="77" t="s">
        <v>163</v>
      </c>
      <c r="N59" s="77"/>
      <c r="O59" s="191"/>
    </row>
    <row r="60" s="1" customFormat="1" ht="18" customHeight="1" spans="1:15">
      <c r="A60" s="42"/>
      <c r="B60" s="51">
        <f t="shared" si="6"/>
        <v>0</v>
      </c>
      <c r="C60" s="43"/>
      <c r="D60" s="44"/>
      <c r="E60" s="47"/>
      <c r="F60" s="51">
        <f t="shared" si="7"/>
        <v>0</v>
      </c>
      <c r="G60" s="184"/>
      <c r="H60" s="57" t="s">
        <v>174</v>
      </c>
      <c r="I60" s="33">
        <v>100</v>
      </c>
      <c r="J60" s="86" t="s">
        <v>77</v>
      </c>
      <c r="K60" s="195" t="s">
        <v>78</v>
      </c>
      <c r="L60" s="191"/>
      <c r="M60" s="77"/>
      <c r="N60" s="77"/>
      <c r="O60" s="191"/>
    </row>
    <row r="61" s="1" customFormat="1" ht="18" customHeight="1" spans="1:15">
      <c r="A61" s="42"/>
      <c r="B61" s="51">
        <f t="shared" si="6"/>
        <v>0</v>
      </c>
      <c r="C61" s="43"/>
      <c r="D61" s="44"/>
      <c r="E61" s="47"/>
      <c r="F61" s="51">
        <f t="shared" si="7"/>
        <v>0</v>
      </c>
      <c r="G61" s="184"/>
      <c r="H61" s="57" t="s">
        <v>175</v>
      </c>
      <c r="I61" s="33">
        <v>100</v>
      </c>
      <c r="J61" s="86" t="s">
        <v>77</v>
      </c>
      <c r="K61" s="195" t="s">
        <v>78</v>
      </c>
      <c r="L61" s="191"/>
      <c r="M61" s="77"/>
      <c r="N61" s="77"/>
      <c r="O61" s="191"/>
    </row>
    <row r="62" s="1" customFormat="1" ht="18" customHeight="1" spans="1:15">
      <c r="A62" s="42"/>
      <c r="B62" s="51">
        <f t="shared" si="6"/>
        <v>0</v>
      </c>
      <c r="C62" s="43"/>
      <c r="D62" s="44"/>
      <c r="E62" s="47"/>
      <c r="F62" s="51">
        <f t="shared" si="7"/>
        <v>0</v>
      </c>
      <c r="G62" s="184"/>
      <c r="H62" s="58" t="s">
        <v>164</v>
      </c>
      <c r="I62" s="197">
        <v>1192.9</v>
      </c>
      <c r="J62" s="89" t="s">
        <v>77</v>
      </c>
      <c r="K62" s="198" t="s">
        <v>165</v>
      </c>
      <c r="L62" s="191"/>
      <c r="M62" s="77"/>
      <c r="N62" s="77"/>
      <c r="O62" s="191"/>
    </row>
    <row r="63" s="1" customFormat="1" ht="18" customHeight="1" spans="1:15">
      <c r="A63" s="42"/>
      <c r="B63" s="51">
        <f t="shared" si="6"/>
        <v>0</v>
      </c>
      <c r="C63" s="43"/>
      <c r="D63" s="44"/>
      <c r="E63" s="47"/>
      <c r="F63" s="51">
        <f t="shared" si="7"/>
        <v>0</v>
      </c>
      <c r="G63" s="184"/>
      <c r="H63" s="58" t="s">
        <v>164</v>
      </c>
      <c r="I63" s="197">
        <v>200</v>
      </c>
      <c r="J63" s="89" t="s">
        <v>77</v>
      </c>
      <c r="K63" s="198" t="s">
        <v>78</v>
      </c>
      <c r="L63" s="191"/>
      <c r="M63" s="77"/>
      <c r="N63" s="77"/>
      <c r="O63" s="191"/>
    </row>
    <row r="64" s="1" customFormat="1" ht="18" customHeight="1" spans="1:15">
      <c r="A64" s="42"/>
      <c r="B64" s="51">
        <f t="shared" si="6"/>
        <v>2000</v>
      </c>
      <c r="C64" s="43"/>
      <c r="D64" s="44"/>
      <c r="E64" s="47"/>
      <c r="F64" s="51">
        <f t="shared" si="7"/>
        <v>0</v>
      </c>
      <c r="G64" s="184">
        <f>I64</f>
        <v>2000</v>
      </c>
      <c r="H64" s="58" t="s">
        <v>164</v>
      </c>
      <c r="I64" s="197">
        <v>2000</v>
      </c>
      <c r="J64" s="89" t="s">
        <v>77</v>
      </c>
      <c r="K64" s="198" t="s">
        <v>105</v>
      </c>
      <c r="L64" s="191"/>
      <c r="M64" s="77"/>
      <c r="N64" s="77"/>
      <c r="O64" s="191"/>
    </row>
    <row r="65" s="1" customFormat="1" ht="18" customHeight="1" spans="1:15">
      <c r="A65" s="42"/>
      <c r="B65" s="51">
        <f t="shared" si="6"/>
        <v>0</v>
      </c>
      <c r="C65" s="43"/>
      <c r="D65" s="44"/>
      <c r="E65" s="47"/>
      <c r="F65" s="51">
        <f t="shared" si="7"/>
        <v>0</v>
      </c>
      <c r="G65" s="184"/>
      <c r="H65" s="58" t="s">
        <v>164</v>
      </c>
      <c r="I65" s="197">
        <v>6400</v>
      </c>
      <c r="J65" s="89" t="s">
        <v>77</v>
      </c>
      <c r="K65" s="198" t="s">
        <v>146</v>
      </c>
      <c r="L65" s="191"/>
      <c r="M65" s="77"/>
      <c r="N65" s="77"/>
      <c r="O65" s="191"/>
    </row>
    <row r="66" s="1" customFormat="1" ht="18" customHeight="1" spans="1:15">
      <c r="A66" s="42"/>
      <c r="B66" s="51">
        <f t="shared" si="6"/>
        <v>0</v>
      </c>
      <c r="C66" s="43"/>
      <c r="D66" s="44"/>
      <c r="E66" s="47"/>
      <c r="F66" s="51">
        <f t="shared" si="7"/>
        <v>0</v>
      </c>
      <c r="G66" s="184"/>
      <c r="H66" s="58" t="s">
        <v>164</v>
      </c>
      <c r="I66" s="197">
        <v>221</v>
      </c>
      <c r="J66" s="89" t="s">
        <v>77</v>
      </c>
      <c r="K66" s="198" t="s">
        <v>140</v>
      </c>
      <c r="L66" s="191"/>
      <c r="M66" s="77"/>
      <c r="N66" s="77"/>
      <c r="O66" s="191"/>
    </row>
    <row r="67" s="1" customFormat="1" ht="18" customHeight="1" spans="1:15">
      <c r="A67" s="42"/>
      <c r="B67" s="51">
        <f t="shared" si="6"/>
        <v>0</v>
      </c>
      <c r="C67" s="43"/>
      <c r="D67" s="44"/>
      <c r="E67" s="47"/>
      <c r="F67" s="51">
        <f t="shared" si="7"/>
        <v>0</v>
      </c>
      <c r="G67" s="184"/>
      <c r="H67" s="58" t="s">
        <v>158</v>
      </c>
      <c r="I67" s="197">
        <v>100</v>
      </c>
      <c r="J67" s="89" t="s">
        <v>77</v>
      </c>
      <c r="K67" s="198" t="s">
        <v>78</v>
      </c>
      <c r="L67" s="191" t="s">
        <v>159</v>
      </c>
      <c r="M67" s="77"/>
      <c r="N67" s="77"/>
      <c r="O67" s="191"/>
    </row>
    <row r="68" s="1" customFormat="1" ht="18" customHeight="1" spans="1:15">
      <c r="A68" s="42"/>
      <c r="B68" s="51">
        <f t="shared" si="6"/>
        <v>0</v>
      </c>
      <c r="C68" s="43"/>
      <c r="D68" s="44"/>
      <c r="E68" s="47"/>
      <c r="F68" s="51">
        <f t="shared" si="7"/>
        <v>0</v>
      </c>
      <c r="G68" s="184"/>
      <c r="H68" s="58" t="s">
        <v>158</v>
      </c>
      <c r="I68" s="197">
        <v>100</v>
      </c>
      <c r="J68" s="89" t="s">
        <v>77</v>
      </c>
      <c r="K68" s="198" t="s">
        <v>78</v>
      </c>
      <c r="L68" s="191" t="s">
        <v>159</v>
      </c>
      <c r="M68" s="77"/>
      <c r="N68" s="77"/>
      <c r="O68" s="191"/>
    </row>
    <row r="69" s="1" customFormat="1" ht="18" customHeight="1" spans="1:15">
      <c r="A69" s="42"/>
      <c r="B69" s="51">
        <f t="shared" si="6"/>
        <v>0</v>
      </c>
      <c r="C69" s="43"/>
      <c r="D69" s="44"/>
      <c r="E69" s="47"/>
      <c r="F69" s="51">
        <f t="shared" si="7"/>
        <v>0</v>
      </c>
      <c r="G69" s="184"/>
      <c r="H69" s="57">
        <v>43923</v>
      </c>
      <c r="I69" s="33">
        <v>100</v>
      </c>
      <c r="J69" s="86" t="s">
        <v>77</v>
      </c>
      <c r="K69" s="195" t="s">
        <v>78</v>
      </c>
      <c r="L69" s="191"/>
      <c r="M69" s="77"/>
      <c r="N69" s="77"/>
      <c r="O69" s="191"/>
    </row>
    <row r="70" s="1" customFormat="1" ht="18" customHeight="1" spans="1:15">
      <c r="A70" s="42"/>
      <c r="B70" s="51">
        <f t="shared" si="6"/>
        <v>0</v>
      </c>
      <c r="C70" s="43"/>
      <c r="D70" s="44"/>
      <c r="E70" s="47"/>
      <c r="F70" s="51">
        <f t="shared" si="7"/>
        <v>0</v>
      </c>
      <c r="G70" s="184"/>
      <c r="H70" s="30" t="s">
        <v>79</v>
      </c>
      <c r="I70" s="31">
        <v>200</v>
      </c>
      <c r="J70" s="86" t="s">
        <v>77</v>
      </c>
      <c r="K70" s="195" t="s">
        <v>78</v>
      </c>
      <c r="L70" s="191"/>
      <c r="M70" s="77"/>
      <c r="N70" s="77"/>
      <c r="O70" s="191"/>
    </row>
    <row r="71" s="1" customFormat="1" ht="18" customHeight="1" spans="1:15">
      <c r="A71" s="42"/>
      <c r="B71" s="51">
        <f t="shared" si="6"/>
        <v>0</v>
      </c>
      <c r="C71" s="43"/>
      <c r="D71" s="44"/>
      <c r="E71" s="47"/>
      <c r="F71" s="25">
        <f t="shared" si="7"/>
        <v>0</v>
      </c>
      <c r="G71" s="184"/>
      <c r="H71" s="30" t="s">
        <v>79</v>
      </c>
      <c r="I71" s="31">
        <v>-88680</v>
      </c>
      <c r="J71" s="40" t="s">
        <v>80</v>
      </c>
      <c r="K71" s="190" t="s">
        <v>133</v>
      </c>
      <c r="L71" s="191"/>
      <c r="M71" s="77"/>
      <c r="N71" s="77"/>
      <c r="O71" s="191"/>
    </row>
    <row r="72" s="1" customFormat="1" ht="18" customHeight="1" spans="1:15">
      <c r="A72" s="42"/>
      <c r="B72" s="25">
        <f t="shared" si="6"/>
        <v>0</v>
      </c>
      <c r="C72" s="43"/>
      <c r="D72" s="44"/>
      <c r="E72" s="47"/>
      <c r="F72" s="25">
        <f t="shared" si="7"/>
        <v>0</v>
      </c>
      <c r="G72" s="184"/>
      <c r="H72" s="57" t="s">
        <v>82</v>
      </c>
      <c r="I72" s="33">
        <v>188304</v>
      </c>
      <c r="J72" s="86" t="s">
        <v>77</v>
      </c>
      <c r="K72" s="196" t="s">
        <v>83</v>
      </c>
      <c r="L72" s="194"/>
      <c r="M72" s="77"/>
      <c r="N72" s="77"/>
      <c r="O72" s="191"/>
    </row>
    <row r="73" s="1" customFormat="1" ht="18" customHeight="1" spans="1:16">
      <c r="A73" s="42"/>
      <c r="B73" s="25">
        <f t="shared" si="6"/>
        <v>0</v>
      </c>
      <c r="C73" s="43"/>
      <c r="D73" s="44"/>
      <c r="E73" s="47"/>
      <c r="F73" s="25">
        <f t="shared" si="7"/>
        <v>0</v>
      </c>
      <c r="G73" s="184"/>
      <c r="H73" s="104" t="s">
        <v>82</v>
      </c>
      <c r="I73" s="215">
        <v>-300000</v>
      </c>
      <c r="J73" s="114" t="s">
        <v>84</v>
      </c>
      <c r="K73" s="234" t="s">
        <v>85</v>
      </c>
      <c r="L73" s="194"/>
      <c r="M73" s="77"/>
      <c r="N73" s="115"/>
      <c r="O73" s="216" t="s">
        <v>86</v>
      </c>
      <c r="P73" s="120"/>
    </row>
    <row r="74" s="1" customFormat="1" ht="18" customHeight="1" spans="1:16">
      <c r="A74" s="42"/>
      <c r="B74" s="25"/>
      <c r="C74" s="43"/>
      <c r="D74" s="44"/>
      <c r="E74" s="47"/>
      <c r="F74" s="25"/>
      <c r="G74" s="184"/>
      <c r="H74" s="57" t="s">
        <v>82</v>
      </c>
      <c r="I74" s="197">
        <v>21333.33</v>
      </c>
      <c r="J74" s="86" t="s">
        <v>77</v>
      </c>
      <c r="K74" s="217" t="s">
        <v>87</v>
      </c>
      <c r="L74" s="218"/>
      <c r="M74" s="91"/>
      <c r="N74" s="91"/>
      <c r="O74" s="218"/>
      <c r="P74" s="122"/>
    </row>
    <row r="75" s="1" customFormat="1" ht="18" customHeight="1" spans="1:15">
      <c r="A75" s="42"/>
      <c r="B75" s="25">
        <f t="shared" ref="B75:B110" si="8">ROUND(G75/(1+E75),2)</f>
        <v>0</v>
      </c>
      <c r="C75" s="43"/>
      <c r="D75" s="44"/>
      <c r="E75" s="47"/>
      <c r="F75" s="25">
        <f t="shared" ref="F75:F110" si="9">ROUND(G75/(1+E75)*E75,2)</f>
        <v>0</v>
      </c>
      <c r="G75" s="184"/>
      <c r="H75" s="57" t="s">
        <v>82</v>
      </c>
      <c r="I75" s="33">
        <v>300</v>
      </c>
      <c r="J75" s="86" t="s">
        <v>77</v>
      </c>
      <c r="K75" s="195" t="s">
        <v>78</v>
      </c>
      <c r="L75" s="194"/>
      <c r="M75" s="77"/>
      <c r="N75" s="77"/>
      <c r="O75" s="191"/>
    </row>
    <row r="76" s="1" customFormat="1" ht="18" customHeight="1" spans="1:15">
      <c r="A76" s="42"/>
      <c r="B76" s="25">
        <f t="shared" si="8"/>
        <v>10000</v>
      </c>
      <c r="C76" s="43"/>
      <c r="D76" s="44"/>
      <c r="E76" s="47"/>
      <c r="F76" s="25">
        <f t="shared" si="9"/>
        <v>0</v>
      </c>
      <c r="G76" s="184">
        <f>10000</f>
        <v>10000</v>
      </c>
      <c r="H76" s="57" t="s">
        <v>82</v>
      </c>
      <c r="I76" s="33">
        <f>G76</f>
        <v>10000</v>
      </c>
      <c r="J76" s="86" t="s">
        <v>77</v>
      </c>
      <c r="K76" s="195" t="s">
        <v>105</v>
      </c>
      <c r="L76" s="194"/>
      <c r="M76" s="77"/>
      <c r="N76" s="77"/>
      <c r="O76" s="191"/>
    </row>
    <row r="77" s="1" customFormat="1" ht="18" customHeight="1" spans="1:15">
      <c r="A77" s="42"/>
      <c r="B77" s="25">
        <f t="shared" si="8"/>
        <v>0</v>
      </c>
      <c r="C77" s="43"/>
      <c r="D77" s="44"/>
      <c r="E77" s="47"/>
      <c r="F77" s="25">
        <f t="shared" si="9"/>
        <v>0</v>
      </c>
      <c r="G77" s="184"/>
      <c r="H77" s="57" t="s">
        <v>89</v>
      </c>
      <c r="I77" s="33">
        <v>-300000</v>
      </c>
      <c r="J77" s="86" t="s">
        <v>90</v>
      </c>
      <c r="K77" s="195" t="s">
        <v>91</v>
      </c>
      <c r="L77" s="194"/>
      <c r="M77" s="77"/>
      <c r="N77" s="77"/>
      <c r="O77" s="191"/>
    </row>
    <row r="78" s="1" customFormat="1" ht="18" customHeight="1" spans="1:15">
      <c r="A78" s="42"/>
      <c r="B78" s="25">
        <f t="shared" si="8"/>
        <v>0</v>
      </c>
      <c r="C78" s="43"/>
      <c r="D78" s="44"/>
      <c r="E78" s="47"/>
      <c r="F78" s="25">
        <f t="shared" si="9"/>
        <v>0</v>
      </c>
      <c r="G78" s="184"/>
      <c r="H78" s="57" t="s">
        <v>89</v>
      </c>
      <c r="I78" s="51">
        <v>100</v>
      </c>
      <c r="J78" s="86" t="s">
        <v>77</v>
      </c>
      <c r="K78" s="195" t="s">
        <v>78</v>
      </c>
      <c r="L78" s="194"/>
      <c r="M78" s="77"/>
      <c r="N78" s="77"/>
      <c r="O78" s="191"/>
    </row>
    <row r="79" s="1" customFormat="1" ht="18" customHeight="1" spans="1:15">
      <c r="A79" s="42"/>
      <c r="B79" s="25">
        <f t="shared" si="8"/>
        <v>0</v>
      </c>
      <c r="C79" s="43"/>
      <c r="D79" s="44"/>
      <c r="E79" s="47"/>
      <c r="F79" s="25">
        <f t="shared" si="9"/>
        <v>0</v>
      </c>
      <c r="G79" s="184"/>
      <c r="H79" s="57" t="s">
        <v>92</v>
      </c>
      <c r="I79" s="51">
        <v>100</v>
      </c>
      <c r="J79" s="86" t="s">
        <v>77</v>
      </c>
      <c r="K79" s="195" t="s">
        <v>78</v>
      </c>
      <c r="L79" s="194"/>
      <c r="M79" s="77"/>
      <c r="N79" s="77"/>
      <c r="O79" s="191"/>
    </row>
    <row r="80" s="1" customFormat="1" ht="18" customHeight="1" spans="1:15">
      <c r="A80" s="42"/>
      <c r="B80" s="25">
        <f t="shared" si="8"/>
        <v>0</v>
      </c>
      <c r="C80" s="43"/>
      <c r="D80" s="44"/>
      <c r="E80" s="47"/>
      <c r="F80" s="25">
        <f t="shared" si="9"/>
        <v>0</v>
      </c>
      <c r="G80" s="184"/>
      <c r="H80" s="57"/>
      <c r="I80" s="51"/>
      <c r="J80" s="86"/>
      <c r="K80" s="195"/>
      <c r="L80" s="194"/>
      <c r="M80" s="77"/>
      <c r="N80" s="77"/>
      <c r="O80" s="191"/>
    </row>
    <row r="81" s="1" customFormat="1" ht="18" customHeight="1" spans="1:15">
      <c r="A81" s="42"/>
      <c r="B81" s="25">
        <f t="shared" si="8"/>
        <v>0</v>
      </c>
      <c r="C81" s="43"/>
      <c r="D81" s="44"/>
      <c r="E81" s="47"/>
      <c r="F81" s="25">
        <f t="shared" si="9"/>
        <v>0</v>
      </c>
      <c r="G81" s="184"/>
      <c r="H81" s="57" t="s">
        <v>93</v>
      </c>
      <c r="I81" s="235">
        <v>184767</v>
      </c>
      <c r="J81" s="86" t="s">
        <v>94</v>
      </c>
      <c r="K81" s="195" t="s">
        <v>95</v>
      </c>
      <c r="L81" s="194"/>
      <c r="M81" s="77"/>
      <c r="N81" s="77"/>
      <c r="O81" s="191"/>
    </row>
    <row r="82" s="1" customFormat="1" ht="18" customHeight="1" spans="1:15">
      <c r="A82" s="42"/>
      <c r="B82" s="25">
        <f t="shared" si="8"/>
        <v>0</v>
      </c>
      <c r="C82" s="43"/>
      <c r="D82" s="44"/>
      <c r="E82" s="47"/>
      <c r="F82" s="25">
        <f t="shared" si="9"/>
        <v>0</v>
      </c>
      <c r="G82" s="184"/>
      <c r="H82" s="57" t="s">
        <v>93</v>
      </c>
      <c r="I82" s="235">
        <v>48000</v>
      </c>
      <c r="J82" s="86" t="s">
        <v>77</v>
      </c>
      <c r="K82" s="195" t="s">
        <v>146</v>
      </c>
      <c r="L82" s="194"/>
      <c r="M82" s="77"/>
      <c r="N82" s="77"/>
      <c r="O82" s="191"/>
    </row>
    <row r="83" s="1" customFormat="1" ht="18" customHeight="1" spans="1:15">
      <c r="A83" s="42"/>
      <c r="B83" s="25">
        <f t="shared" si="8"/>
        <v>0</v>
      </c>
      <c r="C83" s="43"/>
      <c r="D83" s="44"/>
      <c r="E83" s="47"/>
      <c r="F83" s="25">
        <f t="shared" si="9"/>
        <v>0</v>
      </c>
      <c r="G83" s="184"/>
      <c r="H83" s="57" t="s">
        <v>93</v>
      </c>
      <c r="I83" s="235">
        <v>1652</v>
      </c>
      <c r="J83" s="86" t="s">
        <v>77</v>
      </c>
      <c r="K83" s="195" t="s">
        <v>140</v>
      </c>
      <c r="L83" s="194"/>
      <c r="M83" s="77"/>
      <c r="N83" s="77"/>
      <c r="O83" s="191"/>
    </row>
    <row r="84" s="1" customFormat="1" ht="18" customHeight="1" spans="1:15">
      <c r="A84" s="42"/>
      <c r="B84" s="25">
        <f t="shared" si="8"/>
        <v>0</v>
      </c>
      <c r="C84" s="43"/>
      <c r="D84" s="44"/>
      <c r="E84" s="47"/>
      <c r="F84" s="25">
        <f t="shared" si="9"/>
        <v>0</v>
      </c>
      <c r="G84" s="184"/>
      <c r="H84" s="57" t="s">
        <v>93</v>
      </c>
      <c r="I84" s="235">
        <v>67389</v>
      </c>
      <c r="J84" s="86" t="s">
        <v>77</v>
      </c>
      <c r="K84" s="195" t="s">
        <v>147</v>
      </c>
      <c r="L84" s="194"/>
      <c r="M84" s="77"/>
      <c r="N84" s="77"/>
      <c r="O84" s="191"/>
    </row>
    <row r="85" s="1" customFormat="1" ht="18" customHeight="1" spans="1:15">
      <c r="A85" s="42"/>
      <c r="B85" s="25">
        <f t="shared" si="8"/>
        <v>0</v>
      </c>
      <c r="C85" s="43"/>
      <c r="D85" s="44"/>
      <c r="E85" s="45"/>
      <c r="F85" s="25">
        <f t="shared" si="9"/>
        <v>0</v>
      </c>
      <c r="G85" s="184"/>
      <c r="H85" s="57" t="s">
        <v>93</v>
      </c>
      <c r="I85" s="235">
        <v>100</v>
      </c>
      <c r="J85" s="86" t="s">
        <v>77</v>
      </c>
      <c r="K85" s="195" t="s">
        <v>78</v>
      </c>
      <c r="L85" s="194"/>
      <c r="M85" s="77"/>
      <c r="N85" s="77"/>
      <c r="O85" s="191"/>
    </row>
    <row r="86" s="1" customFormat="1" ht="18" customHeight="1" spans="1:15">
      <c r="A86" s="42"/>
      <c r="B86" s="25">
        <f t="shared" si="8"/>
        <v>5000</v>
      </c>
      <c r="C86" s="43"/>
      <c r="D86" s="44"/>
      <c r="E86" s="45"/>
      <c r="F86" s="25">
        <f t="shared" si="9"/>
        <v>0</v>
      </c>
      <c r="G86" s="184">
        <f>5000</f>
        <v>5000</v>
      </c>
      <c r="H86" s="57" t="s">
        <v>93</v>
      </c>
      <c r="I86" s="235">
        <f>G86</f>
        <v>5000</v>
      </c>
      <c r="J86" s="86" t="s">
        <v>77</v>
      </c>
      <c r="K86" s="195" t="s">
        <v>105</v>
      </c>
      <c r="L86" s="194"/>
      <c r="M86" s="77"/>
      <c r="N86" s="77"/>
      <c r="O86" s="191"/>
    </row>
    <row r="87" s="1" customFormat="1" ht="18" customHeight="1" spans="1:15">
      <c r="A87" s="42"/>
      <c r="B87" s="25">
        <f t="shared" si="8"/>
        <v>0</v>
      </c>
      <c r="C87" s="43"/>
      <c r="D87" s="44"/>
      <c r="E87" s="45"/>
      <c r="F87" s="25">
        <f t="shared" si="9"/>
        <v>0</v>
      </c>
      <c r="G87" s="184"/>
      <c r="H87" s="57" t="s">
        <v>99</v>
      </c>
      <c r="I87" s="235">
        <v>-157908</v>
      </c>
      <c r="J87" s="86" t="s">
        <v>90</v>
      </c>
      <c r="K87" s="195" t="s">
        <v>91</v>
      </c>
      <c r="L87" s="194"/>
      <c r="M87" s="77"/>
      <c r="N87" s="77"/>
      <c r="O87" s="191"/>
    </row>
    <row r="88" s="1" customFormat="1" ht="18" customHeight="1" spans="1:15">
      <c r="A88" s="42"/>
      <c r="B88" s="25">
        <f t="shared" si="8"/>
        <v>0</v>
      </c>
      <c r="C88" s="43"/>
      <c r="D88" s="44"/>
      <c r="E88" s="45"/>
      <c r="F88" s="25">
        <f t="shared" si="9"/>
        <v>0</v>
      </c>
      <c r="G88" s="184"/>
      <c r="H88" s="57" t="s">
        <v>99</v>
      </c>
      <c r="I88" s="235">
        <v>100</v>
      </c>
      <c r="J88" s="86" t="s">
        <v>77</v>
      </c>
      <c r="K88" s="195" t="s">
        <v>78</v>
      </c>
      <c r="L88" s="194"/>
      <c r="M88" s="77"/>
      <c r="N88" s="77"/>
      <c r="O88" s="191"/>
    </row>
    <row r="89" s="1" customFormat="1" ht="18" customHeight="1" spans="1:15">
      <c r="A89" s="42"/>
      <c r="B89" s="25">
        <f t="shared" si="8"/>
        <v>0</v>
      </c>
      <c r="C89" s="43"/>
      <c r="D89" s="44"/>
      <c r="E89" s="45"/>
      <c r="F89" s="25">
        <f t="shared" si="9"/>
        <v>0</v>
      </c>
      <c r="G89" s="184"/>
      <c r="H89" s="57" t="s">
        <v>100</v>
      </c>
      <c r="I89" s="235">
        <v>200</v>
      </c>
      <c r="J89" s="86" t="s">
        <v>77</v>
      </c>
      <c r="K89" s="195" t="s">
        <v>78</v>
      </c>
      <c r="L89" s="194"/>
      <c r="M89" s="77"/>
      <c r="N89" s="77"/>
      <c r="O89" s="191"/>
    </row>
    <row r="90" s="1" customFormat="1" ht="18" customHeight="1" spans="1:15">
      <c r="A90" s="42"/>
      <c r="B90" s="25">
        <f t="shared" si="8"/>
        <v>0</v>
      </c>
      <c r="C90" s="43"/>
      <c r="D90" s="44"/>
      <c r="E90" s="45"/>
      <c r="F90" s="25">
        <f t="shared" si="9"/>
        <v>0</v>
      </c>
      <c r="G90" s="184"/>
      <c r="H90" s="57" t="s">
        <v>101</v>
      </c>
      <c r="I90" s="235">
        <v>200</v>
      </c>
      <c r="J90" s="86" t="s">
        <v>77</v>
      </c>
      <c r="K90" s="195" t="s">
        <v>78</v>
      </c>
      <c r="L90" s="194"/>
      <c r="M90" s="77"/>
      <c r="N90" s="77"/>
      <c r="O90" s="191"/>
    </row>
    <row r="91" s="1" customFormat="1" ht="18" customHeight="1" spans="1:15">
      <c r="A91" s="42"/>
      <c r="B91" s="25">
        <f t="shared" si="8"/>
        <v>0</v>
      </c>
      <c r="C91" s="43"/>
      <c r="D91" s="44"/>
      <c r="E91" s="45"/>
      <c r="F91" s="25">
        <f t="shared" si="9"/>
        <v>0</v>
      </c>
      <c r="G91" s="184"/>
      <c r="H91" s="57" t="s">
        <v>101</v>
      </c>
      <c r="I91" s="235">
        <v>381546</v>
      </c>
      <c r="J91" s="86" t="s">
        <v>94</v>
      </c>
      <c r="K91" s="195" t="s">
        <v>95</v>
      </c>
      <c r="L91" s="194"/>
      <c r="M91" s="77"/>
      <c r="O91" s="191"/>
    </row>
    <row r="92" s="1" customFormat="1" ht="18" customHeight="1" spans="1:15">
      <c r="A92" s="42"/>
      <c r="B92" s="25">
        <f t="shared" si="8"/>
        <v>0</v>
      </c>
      <c r="C92" s="43"/>
      <c r="D92" s="44"/>
      <c r="E92" s="45"/>
      <c r="F92" s="25">
        <f t="shared" si="9"/>
        <v>0</v>
      </c>
      <c r="G92" s="184"/>
      <c r="H92" s="57" t="s">
        <v>101</v>
      </c>
      <c r="I92" s="235">
        <v>24955</v>
      </c>
      <c r="J92" s="86" t="s">
        <v>77</v>
      </c>
      <c r="K92" s="195" t="s">
        <v>146</v>
      </c>
      <c r="L92" s="194"/>
      <c r="M92" s="77"/>
      <c r="N92" s="77"/>
      <c r="O92" s="191"/>
    </row>
    <row r="93" s="1" customFormat="1" ht="18" customHeight="1" spans="1:15">
      <c r="A93" s="42"/>
      <c r="B93" s="25">
        <f t="shared" si="8"/>
        <v>0</v>
      </c>
      <c r="C93" s="43"/>
      <c r="D93" s="44"/>
      <c r="E93" s="45"/>
      <c r="F93" s="25">
        <f t="shared" si="9"/>
        <v>0</v>
      </c>
      <c r="G93" s="184"/>
      <c r="H93" s="57" t="s">
        <v>101</v>
      </c>
      <c r="I93" s="235">
        <v>936</v>
      </c>
      <c r="J93" s="86" t="s">
        <v>77</v>
      </c>
      <c r="K93" s="195" t="s">
        <v>140</v>
      </c>
      <c r="L93" s="194"/>
      <c r="M93" s="77"/>
      <c r="N93" s="77"/>
      <c r="O93" s="191"/>
    </row>
    <row r="94" s="1" customFormat="1" ht="18" customHeight="1" spans="1:15">
      <c r="A94" s="42"/>
      <c r="B94" s="25">
        <f t="shared" si="8"/>
        <v>0</v>
      </c>
      <c r="C94" s="43"/>
      <c r="D94" s="44"/>
      <c r="E94" s="45"/>
      <c r="F94" s="25">
        <f t="shared" si="9"/>
        <v>0</v>
      </c>
      <c r="G94" s="184"/>
      <c r="H94" s="57" t="s">
        <v>101</v>
      </c>
      <c r="I94" s="235">
        <v>120092</v>
      </c>
      <c r="J94" s="86" t="s">
        <v>77</v>
      </c>
      <c r="K94" s="195" t="s">
        <v>148</v>
      </c>
      <c r="L94" s="194"/>
      <c r="M94" s="77"/>
      <c r="N94" s="77"/>
      <c r="O94" s="191"/>
    </row>
    <row r="95" s="1" customFormat="1" ht="18" customHeight="1" spans="1:15">
      <c r="A95" s="42"/>
      <c r="B95" s="25">
        <f t="shared" si="8"/>
        <v>8500</v>
      </c>
      <c r="C95" s="43"/>
      <c r="D95" s="44"/>
      <c r="E95" s="45"/>
      <c r="F95" s="25">
        <f t="shared" si="9"/>
        <v>0</v>
      </c>
      <c r="G95" s="184">
        <v>8500</v>
      </c>
      <c r="H95" s="57" t="s">
        <v>101</v>
      </c>
      <c r="I95" s="235">
        <f>G95</f>
        <v>8500</v>
      </c>
      <c r="J95" s="86" t="s">
        <v>77</v>
      </c>
      <c r="K95" s="195" t="s">
        <v>105</v>
      </c>
      <c r="L95" s="194"/>
      <c r="M95" s="77"/>
      <c r="N95" s="77"/>
      <c r="O95" s="191"/>
    </row>
    <row r="96" s="1" customFormat="1" ht="18" customHeight="1" spans="1:15">
      <c r="A96" s="42"/>
      <c r="B96" s="25">
        <f t="shared" si="8"/>
        <v>0</v>
      </c>
      <c r="C96" s="43"/>
      <c r="D96" s="44"/>
      <c r="E96" s="45"/>
      <c r="F96" s="25">
        <f t="shared" si="9"/>
        <v>0</v>
      </c>
      <c r="G96" s="184"/>
      <c r="H96" s="57" t="s">
        <v>106</v>
      </c>
      <c r="I96" s="235">
        <v>9000</v>
      </c>
      <c r="J96" s="86" t="s">
        <v>77</v>
      </c>
      <c r="K96" s="195" t="s">
        <v>107</v>
      </c>
      <c r="L96" s="194"/>
      <c r="M96" s="77"/>
      <c r="N96" s="77"/>
      <c r="O96" s="191"/>
    </row>
    <row r="97" s="1" customFormat="1" ht="18" customHeight="1" spans="1:15">
      <c r="A97" s="42"/>
      <c r="B97" s="25">
        <f t="shared" si="8"/>
        <v>0</v>
      </c>
      <c r="C97" s="43"/>
      <c r="D97" s="44"/>
      <c r="E97" s="45"/>
      <c r="F97" s="25">
        <f t="shared" si="9"/>
        <v>0</v>
      </c>
      <c r="G97" s="184"/>
      <c r="H97" s="57" t="s">
        <v>106</v>
      </c>
      <c r="I97" s="235">
        <v>-66373</v>
      </c>
      <c r="J97" s="86" t="s">
        <v>90</v>
      </c>
      <c r="K97" s="195" t="s">
        <v>91</v>
      </c>
      <c r="L97" s="194"/>
      <c r="M97" s="77"/>
      <c r="N97" s="77"/>
      <c r="O97" s="191"/>
    </row>
    <row r="98" s="1" customFormat="1" ht="18" customHeight="1" spans="1:15">
      <c r="A98" s="42"/>
      <c r="B98" s="25">
        <f t="shared" si="8"/>
        <v>0</v>
      </c>
      <c r="C98" s="43"/>
      <c r="D98" s="44"/>
      <c r="E98" s="45"/>
      <c r="F98" s="25">
        <f t="shared" si="9"/>
        <v>0</v>
      </c>
      <c r="G98" s="184"/>
      <c r="H98" s="57" t="s">
        <v>106</v>
      </c>
      <c r="I98" s="33">
        <v>-37965</v>
      </c>
      <c r="J98" s="86" t="s">
        <v>90</v>
      </c>
      <c r="K98" s="195" t="s">
        <v>149</v>
      </c>
      <c r="L98" s="33">
        <v>-37965</v>
      </c>
      <c r="M98" s="151" t="s">
        <v>150</v>
      </c>
      <c r="N98" s="77"/>
      <c r="O98" s="191"/>
    </row>
    <row r="99" s="1" customFormat="1" ht="18" customHeight="1" spans="1:15">
      <c r="A99" s="42"/>
      <c r="B99" s="25">
        <f t="shared" si="8"/>
        <v>0</v>
      </c>
      <c r="C99" s="43"/>
      <c r="D99" s="44"/>
      <c r="E99" s="45"/>
      <c r="F99" s="25">
        <f t="shared" si="9"/>
        <v>0</v>
      </c>
      <c r="G99" s="184"/>
      <c r="H99" s="57" t="s">
        <v>109</v>
      </c>
      <c r="I99" s="235">
        <v>8496</v>
      </c>
      <c r="J99" s="86" t="s">
        <v>77</v>
      </c>
      <c r="K99" s="195" t="s">
        <v>110</v>
      </c>
      <c r="L99" s="194"/>
      <c r="M99" s="77"/>
      <c r="N99" s="77"/>
      <c r="O99" s="191"/>
    </row>
    <row r="100" s="1" customFormat="1" ht="18" customHeight="1" spans="1:17">
      <c r="A100" s="42"/>
      <c r="B100" s="25">
        <f t="shared" si="8"/>
        <v>0</v>
      </c>
      <c r="C100" s="43"/>
      <c r="D100" s="44"/>
      <c r="E100" s="45"/>
      <c r="F100" s="25">
        <f t="shared" si="9"/>
        <v>0</v>
      </c>
      <c r="G100" s="184"/>
      <c r="H100" s="57" t="s">
        <v>109</v>
      </c>
      <c r="I100" s="235">
        <v>212400</v>
      </c>
      <c r="J100" s="86" t="s">
        <v>111</v>
      </c>
      <c r="K100" s="195" t="s">
        <v>112</v>
      </c>
      <c r="L100" s="194"/>
      <c r="M100" s="77"/>
      <c r="N100" s="77"/>
      <c r="O100" s="191"/>
      <c r="Q100" s="1">
        <f>I101+I97+I91+I87+I81+I77+I73+I72</f>
        <v>0</v>
      </c>
    </row>
    <row r="101" s="1" customFormat="1" ht="18" customHeight="1" spans="1:15">
      <c r="A101" s="42"/>
      <c r="B101" s="25">
        <f t="shared" si="8"/>
        <v>0</v>
      </c>
      <c r="C101" s="43"/>
      <c r="D101" s="44"/>
      <c r="E101" s="45"/>
      <c r="F101" s="25">
        <f t="shared" si="9"/>
        <v>0</v>
      </c>
      <c r="G101" s="184"/>
      <c r="H101" s="57" t="s">
        <v>109</v>
      </c>
      <c r="I101" s="235">
        <v>69664</v>
      </c>
      <c r="J101" s="86" t="s">
        <v>94</v>
      </c>
      <c r="K101" s="195" t="s">
        <v>95</v>
      </c>
      <c r="L101" s="194"/>
      <c r="M101" s="77"/>
      <c r="N101" s="77"/>
      <c r="O101" s="191"/>
    </row>
    <row r="102" s="1" customFormat="1" ht="18" customHeight="1" spans="1:15">
      <c r="A102" s="42"/>
      <c r="B102" s="25">
        <f t="shared" si="8"/>
        <v>0</v>
      </c>
      <c r="C102" s="43"/>
      <c r="D102" s="44"/>
      <c r="E102" s="45"/>
      <c r="F102" s="25">
        <f t="shared" si="9"/>
        <v>0</v>
      </c>
      <c r="G102" s="184"/>
      <c r="H102" s="57" t="s">
        <v>109</v>
      </c>
      <c r="I102" s="235">
        <v>14679</v>
      </c>
      <c r="J102" s="86" t="s">
        <v>77</v>
      </c>
      <c r="K102" s="195" t="s">
        <v>146</v>
      </c>
      <c r="L102" s="194"/>
      <c r="M102" s="77"/>
      <c r="N102" s="77"/>
      <c r="O102" s="191"/>
    </row>
    <row r="103" s="1" customFormat="1" ht="18" customHeight="1" spans="1:15">
      <c r="A103" s="42"/>
      <c r="B103" s="25">
        <f t="shared" si="8"/>
        <v>0</v>
      </c>
      <c r="C103" s="43"/>
      <c r="D103" s="44"/>
      <c r="E103" s="45"/>
      <c r="F103" s="25">
        <f t="shared" si="9"/>
        <v>0</v>
      </c>
      <c r="G103" s="184"/>
      <c r="H103" s="57" t="s">
        <v>109</v>
      </c>
      <c r="I103" s="235">
        <v>551</v>
      </c>
      <c r="J103" s="86" t="s">
        <v>77</v>
      </c>
      <c r="K103" s="195" t="s">
        <v>140</v>
      </c>
      <c r="L103" s="194"/>
      <c r="M103" s="77"/>
      <c r="N103" s="77"/>
      <c r="O103" s="191"/>
    </row>
    <row r="104" s="1" customFormat="1" ht="18" customHeight="1" spans="1:15">
      <c r="A104" s="42"/>
      <c r="B104" s="25">
        <f t="shared" si="8"/>
        <v>0</v>
      </c>
      <c r="C104" s="43"/>
      <c r="D104" s="44"/>
      <c r="E104" s="45"/>
      <c r="F104" s="25">
        <f t="shared" si="9"/>
        <v>0</v>
      </c>
      <c r="G104" s="184"/>
      <c r="H104" s="57" t="s">
        <v>109</v>
      </c>
      <c r="I104" s="235">
        <v>45972</v>
      </c>
      <c r="J104" s="86" t="s">
        <v>77</v>
      </c>
      <c r="K104" s="195" t="s">
        <v>148</v>
      </c>
      <c r="L104" s="194"/>
      <c r="M104" s="77"/>
      <c r="N104" s="77"/>
      <c r="O104" s="191"/>
    </row>
    <row r="105" s="1" customFormat="1" ht="18" customHeight="1" spans="1:15">
      <c r="A105" s="42"/>
      <c r="B105" s="25">
        <f t="shared" si="8"/>
        <v>5000</v>
      </c>
      <c r="C105" s="43"/>
      <c r="D105" s="44"/>
      <c r="E105" s="45"/>
      <c r="F105" s="25">
        <f t="shared" si="9"/>
        <v>0</v>
      </c>
      <c r="G105" s="184">
        <v>5000</v>
      </c>
      <c r="H105" s="57" t="s">
        <v>109</v>
      </c>
      <c r="I105" s="235">
        <f>G105</f>
        <v>5000</v>
      </c>
      <c r="J105" s="86" t="s">
        <v>77</v>
      </c>
      <c r="K105" s="195" t="s">
        <v>105</v>
      </c>
      <c r="L105" s="194"/>
      <c r="M105" s="77"/>
      <c r="N105" s="77"/>
      <c r="O105" s="191"/>
    </row>
    <row r="106" s="1" customFormat="1" ht="18" customHeight="1" spans="1:15">
      <c r="A106" s="42"/>
      <c r="B106" s="25">
        <f t="shared" si="8"/>
        <v>0</v>
      </c>
      <c r="C106" s="43"/>
      <c r="D106" s="44"/>
      <c r="E106" s="45"/>
      <c r="F106" s="25">
        <f t="shared" si="9"/>
        <v>0</v>
      </c>
      <c r="G106" s="184"/>
      <c r="H106" s="57" t="s">
        <v>116</v>
      </c>
      <c r="I106" s="235">
        <v>500</v>
      </c>
      <c r="J106" s="86" t="s">
        <v>77</v>
      </c>
      <c r="K106" s="195" t="s">
        <v>117</v>
      </c>
      <c r="L106" s="194"/>
      <c r="M106" s="77"/>
      <c r="N106" s="77"/>
      <c r="O106" s="191"/>
    </row>
    <row r="107" s="1" customFormat="1" ht="18" customHeight="1" spans="1:15">
      <c r="A107" s="42"/>
      <c r="B107" s="25">
        <f t="shared" si="8"/>
        <v>5000</v>
      </c>
      <c r="C107" s="43"/>
      <c r="D107" s="44"/>
      <c r="E107" s="45"/>
      <c r="F107" s="25">
        <f t="shared" si="9"/>
        <v>0</v>
      </c>
      <c r="G107" s="184">
        <f>5000</f>
        <v>5000</v>
      </c>
      <c r="H107" s="57" t="s">
        <v>116</v>
      </c>
      <c r="I107" s="235">
        <f>G107</f>
        <v>5000</v>
      </c>
      <c r="J107" s="86" t="s">
        <v>77</v>
      </c>
      <c r="K107" s="195" t="s">
        <v>105</v>
      </c>
      <c r="L107" s="194"/>
      <c r="M107" s="77"/>
      <c r="N107" s="77"/>
      <c r="O107" s="191"/>
    </row>
    <row r="108" s="1" customFormat="1" ht="18" customHeight="1" spans="1:15">
      <c r="A108" s="42"/>
      <c r="B108" s="25">
        <f t="shared" si="8"/>
        <v>0</v>
      </c>
      <c r="C108" s="43"/>
      <c r="D108" s="44"/>
      <c r="E108" s="45"/>
      <c r="F108" s="25">
        <f t="shared" si="9"/>
        <v>0</v>
      </c>
      <c r="G108" s="184"/>
      <c r="H108" s="57" t="s">
        <v>116</v>
      </c>
      <c r="I108" s="235">
        <v>14679</v>
      </c>
      <c r="J108" s="86" t="s">
        <v>77</v>
      </c>
      <c r="K108" s="195" t="s">
        <v>146</v>
      </c>
      <c r="L108" s="194"/>
      <c r="M108" s="77"/>
      <c r="N108" s="77"/>
      <c r="O108" s="191"/>
    </row>
    <row r="109" s="1" customFormat="1" ht="18" customHeight="1" spans="1:15">
      <c r="A109" s="42"/>
      <c r="B109" s="25">
        <f t="shared" si="8"/>
        <v>0</v>
      </c>
      <c r="C109" s="43"/>
      <c r="D109" s="44"/>
      <c r="E109" s="45"/>
      <c r="F109" s="25">
        <f t="shared" si="9"/>
        <v>0</v>
      </c>
      <c r="G109" s="184"/>
      <c r="H109" s="57" t="s">
        <v>116</v>
      </c>
      <c r="I109" s="235">
        <v>551</v>
      </c>
      <c r="J109" s="86" t="s">
        <v>77</v>
      </c>
      <c r="K109" s="195" t="s">
        <v>140</v>
      </c>
      <c r="L109" s="194"/>
      <c r="M109" s="77"/>
      <c r="N109" s="77"/>
      <c r="O109" s="191"/>
    </row>
    <row r="110" s="1" customFormat="1" ht="18" customHeight="1" spans="1:15">
      <c r="A110" s="42"/>
      <c r="B110" s="25">
        <f t="shared" si="8"/>
        <v>0</v>
      </c>
      <c r="C110" s="43"/>
      <c r="D110" s="44"/>
      <c r="E110" s="45"/>
      <c r="F110" s="25">
        <f t="shared" si="9"/>
        <v>0</v>
      </c>
      <c r="G110" s="184"/>
      <c r="H110" s="57"/>
      <c r="I110" s="33"/>
      <c r="J110" s="86"/>
      <c r="K110" s="195"/>
      <c r="L110" s="194"/>
      <c r="M110" s="77"/>
      <c r="N110" s="77"/>
      <c r="O110" s="191"/>
    </row>
    <row r="111" ht="18" customHeight="1" spans="1:15">
      <c r="A111" s="38" t="s">
        <v>23</v>
      </c>
      <c r="B111" s="123">
        <f>SUM(B16:B110)</f>
        <v>7643309.21</v>
      </c>
      <c r="C111" s="38"/>
      <c r="D111" s="124"/>
      <c r="E111" s="124"/>
      <c r="F111" s="179">
        <f>SUM(F16:F110)</f>
        <v>367708.64</v>
      </c>
      <c r="G111" s="220">
        <f>SUM(G16:G110)</f>
        <v>8011017.85</v>
      </c>
      <c r="H111" s="221"/>
      <c r="I111" s="37">
        <f>SUM(I16:I110)</f>
        <v>6780104.23</v>
      </c>
      <c r="J111" s="226"/>
      <c r="K111" s="124"/>
      <c r="L111" s="180"/>
      <c r="M111" s="40"/>
      <c r="N111" s="40"/>
      <c r="O111" s="180"/>
    </row>
    <row r="112" ht="18" customHeight="1" spans="1:14">
      <c r="A112" s="126" t="s">
        <v>120</v>
      </c>
      <c r="B112" s="127">
        <f>B13*0.936</f>
        <v>6096880.73394496</v>
      </c>
      <c r="C112" s="126"/>
      <c r="D112" s="128"/>
      <c r="E112" s="128"/>
      <c r="F112" s="127"/>
      <c r="G112" s="127">
        <f>G13-G111</f>
        <v>-911017.85</v>
      </c>
      <c r="H112" s="29" t="s">
        <v>121</v>
      </c>
      <c r="I112" s="37">
        <f>I13-I111</f>
        <v>319895.77</v>
      </c>
      <c r="J112" s="14"/>
      <c r="K112" s="227"/>
      <c r="M112" s="13"/>
      <c r="N112" s="13"/>
    </row>
    <row r="113" ht="18" customHeight="1" spans="1:14">
      <c r="A113" s="126" t="s">
        <v>122</v>
      </c>
      <c r="B113" s="127">
        <f>B112-B111</f>
        <v>-1546428.47605504</v>
      </c>
      <c r="C113" s="126"/>
      <c r="D113" s="128"/>
      <c r="E113" s="128"/>
      <c r="F113" s="127"/>
      <c r="G113" s="127"/>
      <c r="H113" s="130"/>
      <c r="I113" s="127"/>
      <c r="J113" s="14"/>
      <c r="K113" s="227"/>
      <c r="M113" s="13"/>
      <c r="N113" s="13"/>
    </row>
    <row r="114" ht="18" customHeight="1" spans="1:3">
      <c r="A114" s="7" t="s">
        <v>124</v>
      </c>
      <c r="C114" s="7"/>
    </row>
    <row r="115" ht="18" customHeight="1" spans="1:16">
      <c r="A115" s="29" t="s">
        <v>125</v>
      </c>
      <c r="B115" s="28" t="s">
        <v>126</v>
      </c>
      <c r="C115" s="180"/>
      <c r="D115" s="29" t="s">
        <v>125</v>
      </c>
      <c r="E115" s="27" t="s">
        <v>17</v>
      </c>
      <c r="F115" s="28" t="s">
        <v>126</v>
      </c>
      <c r="G115" s="8" t="s">
        <v>127</v>
      </c>
      <c r="H115" s="28" t="s">
        <v>128</v>
      </c>
      <c r="I115" s="28" t="s">
        <v>129</v>
      </c>
      <c r="J115" s="176" t="s">
        <v>130</v>
      </c>
      <c r="K115" s="28" t="s">
        <v>131</v>
      </c>
      <c r="L115" s="28" t="s">
        <v>132</v>
      </c>
      <c r="M115" s="28" t="s">
        <v>133</v>
      </c>
      <c r="O115" s="228" t="s">
        <v>166</v>
      </c>
      <c r="P115" s="228" t="s">
        <v>167</v>
      </c>
    </row>
    <row r="116" ht="18" customHeight="1" spans="1:16">
      <c r="A116" s="180" t="s">
        <v>134</v>
      </c>
      <c r="B116" s="25">
        <f>(B112-B111)*0.25</f>
        <v>-386607.11901376</v>
      </c>
      <c r="C116" s="180"/>
      <c r="D116" s="36" t="s">
        <v>135</v>
      </c>
      <c r="E116" s="29" t="s">
        <v>136</v>
      </c>
      <c r="F116" s="179">
        <f>F13-F111</f>
        <v>88254.662752294</v>
      </c>
      <c r="G116" s="8">
        <v>64220.1834862385</v>
      </c>
      <c r="H116" s="179">
        <v>0</v>
      </c>
      <c r="I116" s="179">
        <f>F7+F8-F16-F17</f>
        <v>41792.036972477</v>
      </c>
      <c r="J116" s="179">
        <f>-F20</f>
        <v>-34513.27</v>
      </c>
      <c r="K116" s="141">
        <f>F9</f>
        <v>109174.311926606</v>
      </c>
      <c r="L116" s="179">
        <f>F10+F12-F22-F25-F27-F31-F32-F34</f>
        <v>-41490.3731192661</v>
      </c>
      <c r="M116" s="141">
        <f>-F37-F42</f>
        <v>-80618.16</v>
      </c>
      <c r="O116" s="228">
        <f>F12</f>
        <v>25688.0733944954</v>
      </c>
      <c r="P116" s="228">
        <f>-O116</f>
        <v>-25688.0733944954</v>
      </c>
    </row>
    <row r="117" ht="18" customHeight="1" spans="1:16">
      <c r="A117" s="180" t="s">
        <v>137</v>
      </c>
      <c r="B117" s="222" t="s">
        <v>138</v>
      </c>
      <c r="C117" s="180"/>
      <c r="D117" s="223" t="s">
        <v>139</v>
      </c>
      <c r="E117" s="21">
        <v>0.07</v>
      </c>
      <c r="F117" s="31">
        <f>F116*E117</f>
        <v>6177.82639266058</v>
      </c>
      <c r="G117" s="8">
        <v>3211.00917431193</v>
      </c>
      <c r="H117" s="31">
        <v>0</v>
      </c>
      <c r="I117" s="31">
        <f>I116*E117</f>
        <v>2925.44258807339</v>
      </c>
      <c r="J117" s="31">
        <f>J116*E117</f>
        <v>-2415.9289</v>
      </c>
      <c r="K117" s="33">
        <f>K116*E117</f>
        <v>7642.20183486239</v>
      </c>
      <c r="L117" s="31">
        <f>L116*E117</f>
        <v>-2904.32611834863</v>
      </c>
      <c r="M117" s="33">
        <f>M116*E117</f>
        <v>-5643.2712</v>
      </c>
      <c r="O117" s="230"/>
      <c r="P117" s="230"/>
    </row>
    <row r="118" ht="18" customHeight="1" spans="1:16">
      <c r="A118" s="180" t="s">
        <v>140</v>
      </c>
      <c r="B118" s="222"/>
      <c r="C118" s="180"/>
      <c r="D118" s="223" t="s">
        <v>141</v>
      </c>
      <c r="E118" s="21">
        <v>0.03</v>
      </c>
      <c r="F118" s="31">
        <f>F116*E118</f>
        <v>2647.63988256882</v>
      </c>
      <c r="G118" s="8">
        <v>1926.60550458716</v>
      </c>
      <c r="H118" s="31">
        <v>0</v>
      </c>
      <c r="I118" s="31">
        <f>I116*E118</f>
        <v>1253.76110917431</v>
      </c>
      <c r="J118" s="31">
        <f>J116*E118</f>
        <v>-1035.3981</v>
      </c>
      <c r="K118" s="33">
        <f>K116*E118</f>
        <v>3275.22935779817</v>
      </c>
      <c r="L118" s="31">
        <f>L116*E118</f>
        <v>-1244.71119357798</v>
      </c>
      <c r="M118" s="33">
        <f>M116*E118</f>
        <v>-2418.5448</v>
      </c>
      <c r="O118" s="230"/>
      <c r="P118" s="230"/>
    </row>
    <row r="119" ht="18" customHeight="1" spans="1:16">
      <c r="A119" s="180"/>
      <c r="B119" s="31"/>
      <c r="C119" s="180"/>
      <c r="D119" s="223" t="s">
        <v>142</v>
      </c>
      <c r="E119" s="21">
        <v>0.02</v>
      </c>
      <c r="F119" s="31">
        <f>F116*E119</f>
        <v>1765.09325504588</v>
      </c>
      <c r="G119" s="8">
        <v>1284.40366972477</v>
      </c>
      <c r="H119" s="31">
        <v>0</v>
      </c>
      <c r="I119" s="31">
        <f>I116*E119</f>
        <v>835.84073944954</v>
      </c>
      <c r="J119" s="31">
        <f>J116*E119</f>
        <v>-690.2654</v>
      </c>
      <c r="K119" s="33">
        <f>K116*E119</f>
        <v>2183.48623853211</v>
      </c>
      <c r="L119" s="31">
        <f>L116*E119</f>
        <v>-829.807462385322</v>
      </c>
      <c r="M119" s="33">
        <f>M116*E119</f>
        <v>-1612.3632</v>
      </c>
      <c r="O119" s="230"/>
      <c r="P119" s="230"/>
    </row>
    <row r="120" ht="18" customHeight="1" spans="1:16">
      <c r="A120" s="36" t="s">
        <v>143</v>
      </c>
      <c r="B120" s="123">
        <f>SUM(B116:B119)</f>
        <v>-386607.11901376</v>
      </c>
      <c r="C120" s="180"/>
      <c r="D120" s="41" t="s">
        <v>143</v>
      </c>
      <c r="E120" s="36"/>
      <c r="F120" s="179">
        <f t="shared" ref="F120:M120" si="10">SUM(F116:F119)</f>
        <v>98845.2222825693</v>
      </c>
      <c r="G120" s="8">
        <v>70642.2018348624</v>
      </c>
      <c r="H120" s="179">
        <v>0</v>
      </c>
      <c r="I120" s="179">
        <f>SUM(I115:I119)</f>
        <v>46807.0814091742</v>
      </c>
      <c r="J120" s="179">
        <f t="shared" si="10"/>
        <v>-38654.8624</v>
      </c>
      <c r="K120" s="141">
        <f t="shared" si="10"/>
        <v>122275.229357798</v>
      </c>
      <c r="L120" s="179">
        <f t="shared" si="10"/>
        <v>-46469.217893578</v>
      </c>
      <c r="M120" s="141">
        <f t="shared" si="10"/>
        <v>-90292.3392</v>
      </c>
      <c r="O120" s="228">
        <f>O116*1.12</f>
        <v>28770.6422018349</v>
      </c>
      <c r="P120" s="230">
        <f>-O120</f>
        <v>-28770.6422018349</v>
      </c>
    </row>
    <row r="121" ht="18" customHeight="1" spans="3:15">
      <c r="C121" s="7"/>
      <c r="D121" s="19" t="s">
        <v>140</v>
      </c>
      <c r="E121" s="224">
        <v>0.0006</v>
      </c>
      <c r="F121" s="31">
        <f>B13*E121</f>
        <v>3908.25688073394</v>
      </c>
      <c r="H121" s="31">
        <f>B7*E121</f>
        <v>550.45871559633</v>
      </c>
      <c r="I121" s="31">
        <f>B8*E121</f>
        <v>550.45871559633</v>
      </c>
      <c r="K121" s="31">
        <f>B9*E121</f>
        <v>935.779816513761</v>
      </c>
      <c r="L121" s="31">
        <f>(B10+B12)*E121</f>
        <v>770.642201834862</v>
      </c>
      <c r="O121" s="230">
        <f>B12*E121</f>
        <v>220.183486238532</v>
      </c>
    </row>
    <row r="122" ht="18" customHeight="1" spans="3:16">
      <c r="C122" s="7"/>
      <c r="D122" s="27" t="s">
        <v>143</v>
      </c>
      <c r="E122" s="124"/>
      <c r="F122" s="37">
        <f t="shared" ref="F122:I122" si="11">F121</f>
        <v>3908.25688073394</v>
      </c>
      <c r="H122" s="37">
        <f t="shared" si="11"/>
        <v>550.45871559633</v>
      </c>
      <c r="I122" s="37">
        <f t="shared" si="11"/>
        <v>550.45871559633</v>
      </c>
      <c r="O122" s="221" t="s">
        <v>168</v>
      </c>
      <c r="P122" s="221" t="s">
        <v>169</v>
      </c>
    </row>
    <row r="123" ht="18" customHeight="1" spans="3:15">
      <c r="C123" s="7"/>
      <c r="D123" s="27" t="s">
        <v>23</v>
      </c>
      <c r="E123" s="38"/>
      <c r="F123" s="37">
        <f t="shared" ref="F123:I123" si="12">F120+F122</f>
        <v>102753.479163303</v>
      </c>
      <c r="H123" s="37">
        <f t="shared" si="12"/>
        <v>550.45871559633</v>
      </c>
      <c r="I123" s="37">
        <f t="shared" si="12"/>
        <v>47357.5401247706</v>
      </c>
      <c r="O123" s="221"/>
    </row>
    <row r="124" ht="18" customHeight="1" spans="3:15">
      <c r="C124" s="7"/>
      <c r="D124" s="38" t="s">
        <v>134</v>
      </c>
      <c r="E124" s="124">
        <v>0.016</v>
      </c>
      <c r="F124" s="37">
        <f>B13*E124</f>
        <v>104220.183486239</v>
      </c>
      <c r="G124" s="225" t="s">
        <v>144</v>
      </c>
      <c r="H124" s="37">
        <f>B7*E124</f>
        <v>14678.8990825688</v>
      </c>
      <c r="I124" s="37">
        <f>B8*E124</f>
        <v>14678.8990825688</v>
      </c>
      <c r="K124" s="37">
        <f>B9*E124</f>
        <v>24954.128440367</v>
      </c>
      <c r="L124" s="37">
        <f>SUM(G10:G12)*E124</f>
        <v>54400</v>
      </c>
      <c r="O124" s="221">
        <f>G12*E124</f>
        <v>6400</v>
      </c>
    </row>
    <row r="125" ht="18" customHeight="1" spans="3:9">
      <c r="C125" s="7"/>
      <c r="G125" s="8" t="s">
        <v>145</v>
      </c>
      <c r="I125" s="8">
        <f>B113*0.25</f>
        <v>-386607.11901376</v>
      </c>
    </row>
    <row r="126" ht="18" customHeight="1" spans="3:9">
      <c r="C126" s="7"/>
      <c r="I126" s="8">
        <f>B113*0.25</f>
        <v>-386607.11901376</v>
      </c>
    </row>
    <row r="127" ht="18" customHeight="1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</sheetData>
  <autoFilter ref="A15:Q13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1"/>
  <sheetViews>
    <sheetView topLeftCell="E49" workbookViewId="0">
      <selection activeCell="J61" sqref="J61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4" customWidth="1"/>
    <col min="13" max="13" width="13.5" style="14" customWidth="1"/>
    <col min="14" max="14" width="5.625" style="14" customWidth="1"/>
    <col min="15" max="15" width="11.125" style="14" customWidth="1"/>
    <col min="16" max="16" width="12" style="14" customWidth="1"/>
    <col min="17" max="17" width="10.375" style="14"/>
    <col min="18" max="18" width="9.625" style="14"/>
    <col min="19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3" si="0">G7/(1+C7+E7)</f>
        <v>917431.19266055</v>
      </c>
      <c r="C7" s="32">
        <v>0.02</v>
      </c>
      <c r="D7" s="33">
        <f t="shared" ref="D7:D13" si="1">G7/(1+E7+C7)*C7</f>
        <v>18348.623853211</v>
      </c>
      <c r="E7" s="32">
        <v>0.07</v>
      </c>
      <c r="F7" s="31">
        <f t="shared" ref="F7:F13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31">
        <f t="shared" si="2"/>
        <v>25688.0733944954</v>
      </c>
      <c r="G12" s="178">
        <v>400000</v>
      </c>
      <c r="H12" s="30">
        <v>44056</v>
      </c>
      <c r="I12" s="31">
        <v>400000</v>
      </c>
      <c r="J12" s="40" t="s">
        <v>22</v>
      </c>
    </row>
    <row r="13" ht="18" customHeight="1" spans="1:10">
      <c r="A13" s="30">
        <v>44098</v>
      </c>
      <c r="B13" s="31">
        <f t="shared" si="0"/>
        <v>1100917.43119266</v>
      </c>
      <c r="C13" s="35">
        <v>0.02</v>
      </c>
      <c r="D13" s="33">
        <f t="shared" si="1"/>
        <v>22018.3486238532</v>
      </c>
      <c r="E13" s="35">
        <v>0.07</v>
      </c>
      <c r="F13" s="31">
        <f t="shared" si="2"/>
        <v>77064.2201834862</v>
      </c>
      <c r="G13" s="178">
        <v>1200000</v>
      </c>
      <c r="H13" s="30"/>
      <c r="I13" s="31"/>
      <c r="J13" s="40"/>
    </row>
    <row r="14" ht="18" customHeight="1" spans="1:10">
      <c r="A14" s="36" t="s">
        <v>23</v>
      </c>
      <c r="B14" s="37">
        <f>SUM(B7:B13)</f>
        <v>7614678.89908257</v>
      </c>
      <c r="C14" s="38"/>
      <c r="D14" s="37">
        <f>SUM(D7:D12)</f>
        <v>130275.229357798</v>
      </c>
      <c r="E14" s="38"/>
      <c r="F14" s="179">
        <f>SUM(F7:F13)</f>
        <v>533027.52293578</v>
      </c>
      <c r="G14" s="37">
        <f>SUM(G7:G12)</f>
        <v>7100000</v>
      </c>
      <c r="H14" s="180"/>
      <c r="I14" s="37">
        <f>SUM(I7:I12)</f>
        <v>7100000</v>
      </c>
      <c r="J14" s="180"/>
    </row>
    <row r="15" ht="18" customHeight="1" spans="1:15">
      <c r="A15" s="7" t="s">
        <v>24</v>
      </c>
      <c r="J15" s="9"/>
      <c r="K15" s="26" t="s">
        <v>25</v>
      </c>
      <c r="L15" s="176"/>
      <c r="O15" s="189">
        <f>O18+O21+O23+O32+O35</f>
        <v>2519.89</v>
      </c>
    </row>
    <row r="16" ht="18" customHeight="1" spans="1:15">
      <c r="A16" s="41" t="s">
        <v>26</v>
      </c>
      <c r="B16" s="28" t="s">
        <v>27</v>
      </c>
      <c r="C16" s="27" t="s">
        <v>28</v>
      </c>
      <c r="D16" s="27" t="s">
        <v>29</v>
      </c>
      <c r="E16" s="27" t="s">
        <v>17</v>
      </c>
      <c r="F16" s="28" t="s">
        <v>30</v>
      </c>
      <c r="G16" s="28" t="s">
        <v>15</v>
      </c>
      <c r="H16" s="27" t="s">
        <v>31</v>
      </c>
      <c r="I16" s="28" t="s">
        <v>32</v>
      </c>
      <c r="J16" s="27" t="s">
        <v>21</v>
      </c>
      <c r="K16" s="74" t="s">
        <v>33</v>
      </c>
      <c r="L16" s="29" t="s">
        <v>34</v>
      </c>
      <c r="M16" s="29" t="s">
        <v>35</v>
      </c>
      <c r="N16" s="29" t="s">
        <v>36</v>
      </c>
      <c r="O16" s="29" t="s">
        <v>37</v>
      </c>
    </row>
    <row r="17" s="1" customFormat="1" ht="18" customHeight="1" spans="1:15">
      <c r="A17" s="42">
        <v>43617</v>
      </c>
      <c r="B17" s="25">
        <f t="shared" ref="B17:B60" si="3">ROUND(G17/(1+E17),2)</f>
        <v>970873.79</v>
      </c>
      <c r="C17" s="43"/>
      <c r="D17" s="44" t="s">
        <v>38</v>
      </c>
      <c r="E17" s="45">
        <v>0.03</v>
      </c>
      <c r="F17" s="25">
        <f t="shared" ref="F17:F60" si="4">ROUND(G17/(1+E17)*E17,2)</f>
        <v>29126.21</v>
      </c>
      <c r="G17" s="178">
        <v>1000000</v>
      </c>
      <c r="H17" s="30">
        <v>43640</v>
      </c>
      <c r="I17" s="31">
        <v>300000</v>
      </c>
      <c r="J17" s="40" t="s">
        <v>22</v>
      </c>
      <c r="K17" s="190" t="s">
        <v>39</v>
      </c>
      <c r="L17" s="191" t="s">
        <v>40</v>
      </c>
      <c r="M17" s="77" t="s">
        <v>41</v>
      </c>
      <c r="N17" s="77"/>
      <c r="O17" s="191"/>
    </row>
    <row r="18" s="1" customFormat="1" ht="18" customHeight="1" spans="1:15">
      <c r="A18" s="42">
        <v>43617</v>
      </c>
      <c r="B18" s="25">
        <f t="shared" si="3"/>
        <v>442477.88</v>
      </c>
      <c r="C18" s="43"/>
      <c r="D18" s="44" t="s">
        <v>38</v>
      </c>
      <c r="E18" s="45">
        <v>0.13</v>
      </c>
      <c r="F18" s="25">
        <f t="shared" si="4"/>
        <v>57522.12</v>
      </c>
      <c r="G18" s="178">
        <f>100000*5</f>
        <v>500000</v>
      </c>
      <c r="H18" s="30">
        <v>43640</v>
      </c>
      <c r="I18" s="31">
        <v>500000</v>
      </c>
      <c r="J18" s="40" t="s">
        <v>22</v>
      </c>
      <c r="K18" s="190" t="s">
        <v>42</v>
      </c>
      <c r="L18" s="191" t="s">
        <v>160</v>
      </c>
      <c r="M18" s="77" t="s">
        <v>41</v>
      </c>
      <c r="N18" s="77" t="s">
        <v>41</v>
      </c>
      <c r="O18" s="192">
        <v>119.5</v>
      </c>
    </row>
    <row r="19" s="1" customFormat="1" ht="18" customHeight="1" spans="1:15">
      <c r="A19" s="42">
        <v>43678</v>
      </c>
      <c r="B19" s="25">
        <f t="shared" si="3"/>
        <v>99500</v>
      </c>
      <c r="C19" s="43"/>
      <c r="D19" s="44" t="s">
        <v>44</v>
      </c>
      <c r="E19" s="45"/>
      <c r="F19" s="25">
        <f t="shared" si="4"/>
        <v>0</v>
      </c>
      <c r="G19" s="178">
        <v>99500</v>
      </c>
      <c r="H19" s="30">
        <v>43682</v>
      </c>
      <c r="I19" s="31">
        <v>99500</v>
      </c>
      <c r="J19" s="40" t="s">
        <v>45</v>
      </c>
      <c r="K19" s="190" t="s">
        <v>46</v>
      </c>
      <c r="L19" s="191" t="s">
        <v>47</v>
      </c>
      <c r="M19" s="77"/>
      <c r="N19" s="77"/>
      <c r="O19" s="191"/>
    </row>
    <row r="20" s="1" customFormat="1" ht="18" customHeight="1" spans="1:15">
      <c r="A20" s="42">
        <v>43739</v>
      </c>
      <c r="B20" s="25">
        <f t="shared" si="3"/>
        <v>4000</v>
      </c>
      <c r="C20" s="43"/>
      <c r="D20" s="44" t="s">
        <v>44</v>
      </c>
      <c r="E20" s="45"/>
      <c r="F20" s="25">
        <f t="shared" si="4"/>
        <v>0</v>
      </c>
      <c r="G20" s="178">
        <v>4000</v>
      </c>
      <c r="H20" s="30"/>
      <c r="I20" s="31"/>
      <c r="J20" s="40"/>
      <c r="K20" s="190" t="s">
        <v>48</v>
      </c>
      <c r="L20" s="191" t="s">
        <v>49</v>
      </c>
      <c r="M20" s="77"/>
      <c r="N20" s="77"/>
      <c r="O20" s="191"/>
    </row>
    <row r="21" s="1" customFormat="1" ht="18" customHeight="1" spans="1:15">
      <c r="A21" s="42">
        <v>43770</v>
      </c>
      <c r="B21" s="25">
        <f t="shared" si="3"/>
        <v>265486.73</v>
      </c>
      <c r="C21" s="43"/>
      <c r="D21" s="44" t="s">
        <v>38</v>
      </c>
      <c r="E21" s="47">
        <v>0.13</v>
      </c>
      <c r="F21" s="25">
        <f t="shared" si="4"/>
        <v>34513.27</v>
      </c>
      <c r="G21" s="178">
        <f>100000*3</f>
        <v>300000</v>
      </c>
      <c r="H21" s="30">
        <v>43784</v>
      </c>
      <c r="I21" s="31">
        <v>300000</v>
      </c>
      <c r="J21" s="40" t="s">
        <v>22</v>
      </c>
      <c r="K21" s="190" t="s">
        <v>42</v>
      </c>
      <c r="L21" s="191" t="s">
        <v>50</v>
      </c>
      <c r="M21" s="77" t="s">
        <v>41</v>
      </c>
      <c r="N21" s="77" t="s">
        <v>41</v>
      </c>
      <c r="O21" s="192">
        <v>923.01</v>
      </c>
    </row>
    <row r="22" s="1" customFormat="1" ht="18" customHeight="1" spans="1:15">
      <c r="A22" s="42"/>
      <c r="B22" s="25">
        <f t="shared" si="3"/>
        <v>0</v>
      </c>
      <c r="C22" s="43"/>
      <c r="D22" s="44"/>
      <c r="E22" s="45"/>
      <c r="F22" s="25">
        <f t="shared" si="4"/>
        <v>0</v>
      </c>
      <c r="G22" s="178"/>
      <c r="H22" s="30">
        <v>43784</v>
      </c>
      <c r="I22" s="31">
        <v>300000</v>
      </c>
      <c r="J22" s="40" t="s">
        <v>22</v>
      </c>
      <c r="K22" s="190" t="s">
        <v>39</v>
      </c>
      <c r="L22" s="191" t="s">
        <v>51</v>
      </c>
      <c r="M22" s="77"/>
      <c r="N22" s="77"/>
      <c r="O22" s="191"/>
    </row>
    <row r="23" s="1" customFormat="1" ht="18" customHeight="1" spans="1:15">
      <c r="A23" s="42">
        <v>43800</v>
      </c>
      <c r="B23" s="25">
        <f t="shared" si="3"/>
        <v>159292.04</v>
      </c>
      <c r="C23" s="43"/>
      <c r="D23" s="44" t="s">
        <v>38</v>
      </c>
      <c r="E23" s="47">
        <v>0.13</v>
      </c>
      <c r="F23" s="25">
        <f t="shared" si="4"/>
        <v>20707.96</v>
      </c>
      <c r="G23" s="178">
        <v>180000</v>
      </c>
      <c r="H23" s="30">
        <v>43798</v>
      </c>
      <c r="I23" s="31">
        <v>180000</v>
      </c>
      <c r="J23" s="40" t="s">
        <v>22</v>
      </c>
      <c r="K23" s="190" t="s">
        <v>42</v>
      </c>
      <c r="L23" s="191" t="s">
        <v>52</v>
      </c>
      <c r="M23" s="77" t="s">
        <v>41</v>
      </c>
      <c r="N23" s="77"/>
      <c r="O23" s="192">
        <v>321.43</v>
      </c>
    </row>
    <row r="24" s="1" customFormat="1" ht="18" customHeight="1" spans="1:15">
      <c r="A24" s="42">
        <v>43800</v>
      </c>
      <c r="B24" s="25">
        <f t="shared" si="3"/>
        <v>0</v>
      </c>
      <c r="C24" s="43"/>
      <c r="D24" s="44"/>
      <c r="E24" s="45"/>
      <c r="F24" s="25">
        <f t="shared" si="4"/>
        <v>0</v>
      </c>
      <c r="G24" s="178"/>
      <c r="H24" s="30">
        <v>43816</v>
      </c>
      <c r="I24" s="31">
        <v>510000</v>
      </c>
      <c r="J24" s="40" t="s">
        <v>22</v>
      </c>
      <c r="K24" s="190" t="s">
        <v>39</v>
      </c>
      <c r="L24" s="191" t="s">
        <v>51</v>
      </c>
      <c r="M24" s="77"/>
      <c r="N24" s="77"/>
      <c r="O24" s="191"/>
    </row>
    <row r="25" s="1" customFormat="1" ht="18" customHeight="1" spans="1:15">
      <c r="A25" s="42"/>
      <c r="B25" s="25">
        <f t="shared" si="3"/>
        <v>0</v>
      </c>
      <c r="C25" s="43"/>
      <c r="D25" s="44"/>
      <c r="E25" s="45"/>
      <c r="F25" s="25">
        <f t="shared" si="4"/>
        <v>0</v>
      </c>
      <c r="G25" s="178"/>
      <c r="H25" s="30">
        <v>43816</v>
      </c>
      <c r="I25" s="31">
        <v>500000</v>
      </c>
      <c r="J25" s="40" t="s">
        <v>22</v>
      </c>
      <c r="K25" s="190" t="s">
        <v>42</v>
      </c>
      <c r="L25" s="191" t="s">
        <v>53</v>
      </c>
      <c r="M25" s="77"/>
      <c r="N25" s="77"/>
      <c r="O25" s="191"/>
    </row>
    <row r="26" s="1" customFormat="1" ht="18" customHeight="1" spans="1:15">
      <c r="A26" s="42">
        <v>43800</v>
      </c>
      <c r="B26" s="25">
        <f t="shared" si="3"/>
        <v>26161.81</v>
      </c>
      <c r="C26" s="43"/>
      <c r="D26" s="44" t="s">
        <v>38</v>
      </c>
      <c r="E26" s="47">
        <v>0.13</v>
      </c>
      <c r="F26" s="25">
        <f t="shared" si="4"/>
        <v>3401.04</v>
      </c>
      <c r="G26" s="178">
        <f>289+712.88+1692.98+5848.99+20479+540</f>
        <v>29562.85</v>
      </c>
      <c r="H26" s="30"/>
      <c r="I26" s="31"/>
      <c r="J26" s="40"/>
      <c r="K26" s="190" t="s">
        <v>54</v>
      </c>
      <c r="L26" s="191"/>
      <c r="M26" s="77"/>
      <c r="N26" s="77"/>
      <c r="O26" s="191"/>
    </row>
    <row r="27" s="1" customFormat="1" ht="18" customHeight="1" spans="1:15">
      <c r="A27" s="42">
        <v>43800</v>
      </c>
      <c r="B27" s="25">
        <f t="shared" si="3"/>
        <v>3590</v>
      </c>
      <c r="C27" s="43"/>
      <c r="D27" s="44" t="s">
        <v>44</v>
      </c>
      <c r="E27" s="45"/>
      <c r="F27" s="25">
        <f t="shared" si="4"/>
        <v>0</v>
      </c>
      <c r="G27" s="178">
        <v>3590</v>
      </c>
      <c r="H27" s="30"/>
      <c r="I27" s="31"/>
      <c r="J27" s="40"/>
      <c r="K27" s="190" t="s">
        <v>55</v>
      </c>
      <c r="L27" s="191" t="s">
        <v>56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3"/>
        <v>11518.87</v>
      </c>
      <c r="C28" s="43"/>
      <c r="D28" s="44" t="s">
        <v>38</v>
      </c>
      <c r="E28" s="47">
        <v>0.06</v>
      </c>
      <c r="F28" s="25">
        <f t="shared" si="4"/>
        <v>691.13</v>
      </c>
      <c r="G28" s="178">
        <f>1207+1069+372+1480+1468+1278+1095+955+1360+742+1184</f>
        <v>12210</v>
      </c>
      <c r="H28" s="30"/>
      <c r="I28" s="31"/>
      <c r="J28" s="40"/>
      <c r="K28" s="190" t="s">
        <v>57</v>
      </c>
      <c r="L28" s="191" t="s">
        <v>58</v>
      </c>
      <c r="M28" s="77"/>
      <c r="N28" s="77"/>
      <c r="O28" s="191"/>
    </row>
    <row r="29" s="1" customFormat="1" ht="18" customHeight="1" spans="1:15">
      <c r="A29" s="42">
        <v>43800</v>
      </c>
      <c r="B29" s="25">
        <f t="shared" si="3"/>
        <v>1855</v>
      </c>
      <c r="C29" s="43"/>
      <c r="D29" s="44" t="s">
        <v>59</v>
      </c>
      <c r="E29" s="47"/>
      <c r="F29" s="25">
        <f t="shared" si="4"/>
        <v>0</v>
      </c>
      <c r="G29" s="178">
        <v>1855</v>
      </c>
      <c r="H29" s="30"/>
      <c r="I29" s="31"/>
      <c r="J29" s="40"/>
      <c r="K29" s="190" t="s">
        <v>57</v>
      </c>
      <c r="L29" s="191" t="s">
        <v>58</v>
      </c>
      <c r="M29" s="77"/>
      <c r="N29" s="77"/>
      <c r="O29" s="191"/>
    </row>
    <row r="30" s="1" customFormat="1" ht="18" customHeight="1" spans="1:15">
      <c r="A30" s="42"/>
      <c r="B30" s="25">
        <f t="shared" si="3"/>
        <v>0</v>
      </c>
      <c r="C30" s="43"/>
      <c r="D30" s="44"/>
      <c r="E30" s="45"/>
      <c r="F30" s="25">
        <f t="shared" si="4"/>
        <v>0</v>
      </c>
      <c r="G30" s="178"/>
      <c r="H30" s="30">
        <v>43819</v>
      </c>
      <c r="I30" s="31">
        <v>1000000</v>
      </c>
      <c r="J30" s="40" t="s">
        <v>45</v>
      </c>
      <c r="K30" s="190" t="s">
        <v>60</v>
      </c>
      <c r="L30" s="191" t="s">
        <v>61</v>
      </c>
      <c r="M30" s="77"/>
      <c r="N30" s="77"/>
      <c r="O30" s="191"/>
    </row>
    <row r="31" s="2" customFormat="1" ht="18" customHeight="1" spans="1:15">
      <c r="A31" s="50"/>
      <c r="B31" s="51">
        <f t="shared" si="3"/>
        <v>0</v>
      </c>
      <c r="C31" s="52"/>
      <c r="D31" s="53"/>
      <c r="E31" s="181"/>
      <c r="F31" s="51">
        <f t="shared" si="4"/>
        <v>0</v>
      </c>
      <c r="G31" s="51"/>
      <c r="H31" s="182">
        <v>43819</v>
      </c>
      <c r="I31" s="141">
        <v>-1000000</v>
      </c>
      <c r="J31" s="75" t="s">
        <v>45</v>
      </c>
      <c r="K31" s="193" t="s">
        <v>62</v>
      </c>
      <c r="L31" s="237" t="s">
        <v>63</v>
      </c>
      <c r="M31" s="78"/>
      <c r="N31" s="78"/>
      <c r="O31" s="194"/>
    </row>
    <row r="32" s="2" customFormat="1" ht="18" customHeight="1" spans="1:15">
      <c r="A32" s="50">
        <v>43800</v>
      </c>
      <c r="B32" s="51">
        <f t="shared" si="3"/>
        <v>442477.88</v>
      </c>
      <c r="C32" s="52"/>
      <c r="D32" s="53" t="s">
        <v>38</v>
      </c>
      <c r="E32" s="183">
        <v>0.13</v>
      </c>
      <c r="F32" s="51">
        <f t="shared" si="4"/>
        <v>57522.12</v>
      </c>
      <c r="G32" s="51">
        <v>500000</v>
      </c>
      <c r="H32" s="57">
        <v>43830</v>
      </c>
      <c r="I32" s="33">
        <v>300000</v>
      </c>
      <c r="J32" s="86" t="s">
        <v>22</v>
      </c>
      <c r="K32" s="195" t="s">
        <v>42</v>
      </c>
      <c r="L32" s="194" t="s">
        <v>64</v>
      </c>
      <c r="M32" s="78" t="s">
        <v>41</v>
      </c>
      <c r="N32" s="78" t="s">
        <v>65</v>
      </c>
      <c r="O32" s="194">
        <v>729.95</v>
      </c>
    </row>
    <row r="33" s="2" customFormat="1" ht="18" customHeight="1" spans="1:15">
      <c r="A33" s="50">
        <v>43800</v>
      </c>
      <c r="B33" s="51">
        <f t="shared" si="3"/>
        <v>485436.89</v>
      </c>
      <c r="C33" s="52"/>
      <c r="D33" s="53" t="s">
        <v>38</v>
      </c>
      <c r="E33" s="183">
        <v>0.03</v>
      </c>
      <c r="F33" s="51">
        <f t="shared" si="4"/>
        <v>14563.11</v>
      </c>
      <c r="G33" s="51">
        <v>500000</v>
      </c>
      <c r="H33" s="57">
        <v>43846</v>
      </c>
      <c r="I33" s="33">
        <v>390000</v>
      </c>
      <c r="J33" s="86" t="s">
        <v>22</v>
      </c>
      <c r="K33" s="195" t="s">
        <v>39</v>
      </c>
      <c r="L33" s="194" t="s">
        <v>51</v>
      </c>
      <c r="M33" s="78"/>
      <c r="N33" s="78"/>
      <c r="O33" s="194"/>
    </row>
    <row r="34" s="2" customFormat="1" ht="18" customHeight="1" spans="1:15">
      <c r="A34" s="50">
        <v>43800</v>
      </c>
      <c r="B34" s="51">
        <f t="shared" si="3"/>
        <v>1200000</v>
      </c>
      <c r="C34" s="52"/>
      <c r="D34" s="53" t="s">
        <v>66</v>
      </c>
      <c r="E34" s="183"/>
      <c r="F34" s="51">
        <f t="shared" si="4"/>
        <v>0</v>
      </c>
      <c r="G34" s="51">
        <v>1200000</v>
      </c>
      <c r="H34" s="57"/>
      <c r="I34" s="33"/>
      <c r="J34" s="86"/>
      <c r="K34" s="195" t="s">
        <v>67</v>
      </c>
      <c r="L34" s="194"/>
      <c r="M34" s="78"/>
      <c r="N34" s="78"/>
      <c r="O34" s="194"/>
    </row>
    <row r="35" s="2" customFormat="1" ht="18" customHeight="1" spans="1:15">
      <c r="A35" s="50">
        <v>43831</v>
      </c>
      <c r="B35" s="51">
        <f t="shared" si="3"/>
        <v>265486.73</v>
      </c>
      <c r="C35" s="52"/>
      <c r="D35" s="53" t="s">
        <v>38</v>
      </c>
      <c r="E35" s="183">
        <v>0.13</v>
      </c>
      <c r="F35" s="51">
        <f t="shared" si="4"/>
        <v>34513.27</v>
      </c>
      <c r="G35" s="51">
        <f>3*100000</f>
        <v>300000</v>
      </c>
      <c r="H35" s="57">
        <v>43846</v>
      </c>
      <c r="I35" s="33">
        <v>300000</v>
      </c>
      <c r="J35" s="86" t="s">
        <v>22</v>
      </c>
      <c r="K35" s="195" t="s">
        <v>42</v>
      </c>
      <c r="L35" s="194" t="s">
        <v>68</v>
      </c>
      <c r="M35" s="78" t="s">
        <v>41</v>
      </c>
      <c r="N35" s="78" t="s">
        <v>69</v>
      </c>
      <c r="O35" s="194">
        <v>426</v>
      </c>
    </row>
    <row r="36" s="2" customFormat="1" ht="18" customHeight="1" spans="1:15">
      <c r="A36" s="50">
        <v>43831</v>
      </c>
      <c r="B36" s="51">
        <f t="shared" si="3"/>
        <v>600000</v>
      </c>
      <c r="C36" s="52"/>
      <c r="D36" s="53" t="s">
        <v>66</v>
      </c>
      <c r="E36" s="183"/>
      <c r="F36" s="51">
        <f t="shared" si="4"/>
        <v>0</v>
      </c>
      <c r="G36" s="33">
        <v>600000</v>
      </c>
      <c r="H36" s="57"/>
      <c r="I36" s="33"/>
      <c r="J36" s="86"/>
      <c r="K36" s="196" t="s">
        <v>70</v>
      </c>
      <c r="L36" s="194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3"/>
        <v>600000</v>
      </c>
      <c r="C37" s="52"/>
      <c r="D37" s="53" t="s">
        <v>66</v>
      </c>
      <c r="E37" s="183"/>
      <c r="F37" s="51">
        <f t="shared" si="4"/>
        <v>0</v>
      </c>
      <c r="G37" s="33">
        <v>600000</v>
      </c>
      <c r="H37" s="57">
        <v>43852</v>
      </c>
      <c r="I37" s="33">
        <v>400000</v>
      </c>
      <c r="J37" s="86" t="s">
        <v>45</v>
      </c>
      <c r="K37" s="196" t="s">
        <v>72</v>
      </c>
      <c r="L37" s="194" t="s">
        <v>71</v>
      </c>
      <c r="M37" s="78"/>
      <c r="N37" s="78"/>
      <c r="O37" s="194"/>
    </row>
    <row r="38" s="2" customFormat="1" ht="18" customHeight="1" spans="1:15">
      <c r="A38" s="50">
        <v>43831</v>
      </c>
      <c r="B38" s="51">
        <f t="shared" si="3"/>
        <v>733944.95</v>
      </c>
      <c r="C38" s="52"/>
      <c r="D38" s="53" t="s">
        <v>38</v>
      </c>
      <c r="E38" s="183">
        <v>0.09</v>
      </c>
      <c r="F38" s="51">
        <f t="shared" si="4"/>
        <v>66055.05</v>
      </c>
      <c r="G38" s="33">
        <v>800000</v>
      </c>
      <c r="H38" s="57"/>
      <c r="I38" s="33"/>
      <c r="J38" s="86"/>
      <c r="K38" s="196" t="s">
        <v>73</v>
      </c>
      <c r="L38" s="194" t="s">
        <v>74</v>
      </c>
      <c r="M38" s="78" t="s">
        <v>41</v>
      </c>
      <c r="N38" s="78" t="s">
        <v>41</v>
      </c>
      <c r="O38" s="194"/>
    </row>
    <row r="39" s="2" customFormat="1" ht="18" customHeight="1" spans="1:15">
      <c r="A39" s="50"/>
      <c r="B39" s="51">
        <f t="shared" si="3"/>
        <v>0</v>
      </c>
      <c r="C39" s="52"/>
      <c r="D39" s="53"/>
      <c r="E39" s="183"/>
      <c r="F39" s="51">
        <f t="shared" si="4"/>
        <v>0</v>
      </c>
      <c r="G39" s="33"/>
      <c r="H39" s="57">
        <v>43850</v>
      </c>
      <c r="I39" s="33">
        <v>200000</v>
      </c>
      <c r="J39" s="86" t="s">
        <v>45</v>
      </c>
      <c r="K39" s="195" t="s">
        <v>60</v>
      </c>
      <c r="L39" s="194"/>
      <c r="M39" s="78"/>
      <c r="N39" s="78"/>
      <c r="O39" s="194"/>
    </row>
    <row r="40" s="2" customFormat="1" ht="18" customHeight="1" spans="1:15">
      <c r="A40" s="50"/>
      <c r="B40" s="51">
        <f t="shared" si="3"/>
        <v>0</v>
      </c>
      <c r="C40" s="52"/>
      <c r="D40" s="53"/>
      <c r="E40" s="183"/>
      <c r="F40" s="51">
        <f t="shared" si="4"/>
        <v>0</v>
      </c>
      <c r="G40" s="33"/>
      <c r="H40" s="57">
        <v>43853</v>
      </c>
      <c r="I40" s="33">
        <v>500000</v>
      </c>
      <c r="J40" s="86" t="s">
        <v>22</v>
      </c>
      <c r="K40" s="195" t="s">
        <v>73</v>
      </c>
      <c r="L40" s="194" t="s">
        <v>75</v>
      </c>
      <c r="M40" s="78"/>
      <c r="N40" s="78"/>
      <c r="O40" s="194"/>
    </row>
    <row r="41" s="2" customFormat="1" ht="18" customHeight="1" spans="1:15">
      <c r="A41" s="50"/>
      <c r="B41" s="51">
        <f t="shared" si="3"/>
        <v>0</v>
      </c>
      <c r="C41" s="52"/>
      <c r="D41" s="53"/>
      <c r="E41" s="183"/>
      <c r="F41" s="51">
        <f t="shared" si="4"/>
        <v>0</v>
      </c>
      <c r="G41" s="33"/>
      <c r="H41" s="57">
        <v>43853</v>
      </c>
      <c r="I41" s="33">
        <v>600000</v>
      </c>
      <c r="J41" s="86" t="s">
        <v>45</v>
      </c>
      <c r="K41" s="195" t="s">
        <v>70</v>
      </c>
      <c r="L41" s="194" t="s">
        <v>71</v>
      </c>
      <c r="M41" s="78"/>
      <c r="N41" s="78"/>
      <c r="O41" s="194"/>
    </row>
    <row r="42" s="2" customFormat="1" ht="18" customHeight="1" spans="1:15">
      <c r="A42" s="50"/>
      <c r="B42" s="51">
        <f t="shared" si="3"/>
        <v>0</v>
      </c>
      <c r="C42" s="52"/>
      <c r="D42" s="53"/>
      <c r="E42" s="183"/>
      <c r="F42" s="51">
        <f t="shared" si="4"/>
        <v>0</v>
      </c>
      <c r="G42" s="33"/>
      <c r="H42" s="57">
        <v>43853</v>
      </c>
      <c r="I42" s="33">
        <v>200000</v>
      </c>
      <c r="J42" s="86" t="s">
        <v>45</v>
      </c>
      <c r="K42" s="195" t="s">
        <v>72</v>
      </c>
      <c r="L42" s="194" t="s">
        <v>71</v>
      </c>
      <c r="M42" s="78"/>
      <c r="N42" s="78"/>
      <c r="O42" s="194"/>
    </row>
    <row r="43" s="2" customFormat="1" ht="18" customHeight="1" spans="1:15">
      <c r="A43" s="50">
        <v>43891</v>
      </c>
      <c r="B43" s="51">
        <f t="shared" si="3"/>
        <v>485436.89</v>
      </c>
      <c r="C43" s="52"/>
      <c r="D43" s="53" t="s">
        <v>38</v>
      </c>
      <c r="E43" s="183">
        <v>0.03</v>
      </c>
      <c r="F43" s="51">
        <f t="shared" si="4"/>
        <v>14563.11</v>
      </c>
      <c r="G43" s="33">
        <v>500000</v>
      </c>
      <c r="H43" s="57">
        <v>43923</v>
      </c>
      <c r="I43" s="33">
        <v>320000</v>
      </c>
      <c r="J43" s="86" t="s">
        <v>22</v>
      </c>
      <c r="K43" s="195" t="s">
        <v>39</v>
      </c>
      <c r="L43" s="194" t="s">
        <v>40</v>
      </c>
      <c r="M43" s="78"/>
      <c r="N43" s="78"/>
      <c r="O43" s="194"/>
    </row>
    <row r="44" s="2" customFormat="1" ht="18" customHeight="1" spans="1:15">
      <c r="A44" s="50">
        <v>43922</v>
      </c>
      <c r="B44" s="51">
        <f t="shared" si="3"/>
        <v>265486.73</v>
      </c>
      <c r="C44" s="52"/>
      <c r="D44" s="53" t="s">
        <v>38</v>
      </c>
      <c r="E44" s="183">
        <v>0.13</v>
      </c>
      <c r="F44" s="51">
        <f t="shared" si="4"/>
        <v>34513.27</v>
      </c>
      <c r="G44" s="33">
        <v>300000</v>
      </c>
      <c r="H44" s="58"/>
      <c r="I44" s="197"/>
      <c r="J44" s="89"/>
      <c r="K44" s="198" t="s">
        <v>42</v>
      </c>
      <c r="L44" s="218" t="s">
        <v>68</v>
      </c>
      <c r="M44" s="78"/>
      <c r="N44" s="78"/>
      <c r="O44" s="194"/>
    </row>
    <row r="45" s="1" customFormat="1" ht="18" customHeight="1" spans="1:15">
      <c r="A45" s="42">
        <v>43983</v>
      </c>
      <c r="B45" s="51">
        <f t="shared" si="3"/>
        <v>150500</v>
      </c>
      <c r="C45" s="43"/>
      <c r="D45" s="44" t="s">
        <v>66</v>
      </c>
      <c r="E45" s="47"/>
      <c r="F45" s="51">
        <f t="shared" si="4"/>
        <v>0</v>
      </c>
      <c r="G45" s="184">
        <v>150500</v>
      </c>
      <c r="H45" s="58">
        <v>43986</v>
      </c>
      <c r="I45" s="197">
        <v>150500</v>
      </c>
      <c r="J45" s="89" t="s">
        <v>152</v>
      </c>
      <c r="K45" s="198" t="s">
        <v>153</v>
      </c>
      <c r="L45" s="218" t="s">
        <v>154</v>
      </c>
      <c r="M45" s="77" t="s">
        <v>41</v>
      </c>
      <c r="N45" s="77" t="s">
        <v>41</v>
      </c>
      <c r="O45" s="191"/>
    </row>
    <row r="46" s="1" customFormat="1" ht="18" customHeight="1" spans="1:15">
      <c r="A46" s="42">
        <v>43983</v>
      </c>
      <c r="B46" s="51">
        <f t="shared" si="3"/>
        <v>154000</v>
      </c>
      <c r="C46" s="43"/>
      <c r="D46" s="44" t="s">
        <v>66</v>
      </c>
      <c r="E46" s="47"/>
      <c r="F46" s="51">
        <f t="shared" si="4"/>
        <v>0</v>
      </c>
      <c r="G46" s="184">
        <v>154000</v>
      </c>
      <c r="H46" s="58">
        <v>43986</v>
      </c>
      <c r="I46" s="197">
        <v>150000</v>
      </c>
      <c r="J46" s="89" t="s">
        <v>22</v>
      </c>
      <c r="K46" s="198" t="s">
        <v>156</v>
      </c>
      <c r="L46" s="218" t="s">
        <v>157</v>
      </c>
      <c r="M46" s="77" t="s">
        <v>41</v>
      </c>
      <c r="N46" s="77" t="s">
        <v>41</v>
      </c>
      <c r="O46" s="191"/>
    </row>
    <row r="47" s="1" customFormat="1" ht="18" customHeight="1" spans="1:15">
      <c r="A47" s="42"/>
      <c r="B47" s="51">
        <f t="shared" si="3"/>
        <v>0</v>
      </c>
      <c r="C47" s="43"/>
      <c r="D47" s="44"/>
      <c r="E47" s="47"/>
      <c r="F47" s="51">
        <f t="shared" si="4"/>
        <v>0</v>
      </c>
      <c r="G47" s="184"/>
      <c r="H47" s="58">
        <v>44067</v>
      </c>
      <c r="I47" s="197">
        <v>150000</v>
      </c>
      <c r="J47" s="89" t="s">
        <v>22</v>
      </c>
      <c r="K47" s="198" t="s">
        <v>39</v>
      </c>
      <c r="L47" s="218" t="s">
        <v>40</v>
      </c>
      <c r="M47" s="77"/>
      <c r="N47" s="77"/>
      <c r="O47" s="191"/>
    </row>
    <row r="48" s="1" customFormat="1" ht="18" customHeight="1" spans="1:15">
      <c r="A48" s="42">
        <v>44075</v>
      </c>
      <c r="B48" s="51">
        <f t="shared" si="3"/>
        <v>240000</v>
      </c>
      <c r="C48" s="43"/>
      <c r="D48" s="44" t="s">
        <v>66</v>
      </c>
      <c r="E48" s="47"/>
      <c r="F48" s="51">
        <f t="shared" si="4"/>
        <v>0</v>
      </c>
      <c r="G48" s="184">
        <f>90000+90000+60000</f>
        <v>240000</v>
      </c>
      <c r="H48" s="58">
        <v>44067</v>
      </c>
      <c r="I48" s="197">
        <v>240000</v>
      </c>
      <c r="J48" s="89" t="s">
        <v>22</v>
      </c>
      <c r="K48" s="198" t="s">
        <v>161</v>
      </c>
      <c r="L48" s="218" t="s">
        <v>162</v>
      </c>
      <c r="M48" s="77" t="s">
        <v>41</v>
      </c>
      <c r="N48" s="77" t="s">
        <v>41</v>
      </c>
      <c r="O48" s="191"/>
    </row>
    <row r="49" s="1" customFormat="1" ht="18" customHeight="1" spans="1:15">
      <c r="A49" s="42"/>
      <c r="B49" s="51">
        <f t="shared" si="3"/>
        <v>0</v>
      </c>
      <c r="C49" s="43"/>
      <c r="D49" s="44"/>
      <c r="E49" s="47"/>
      <c r="F49" s="51">
        <f t="shared" si="4"/>
        <v>0</v>
      </c>
      <c r="G49" s="184"/>
      <c r="H49" s="58"/>
      <c r="I49" s="199">
        <v>-1000000</v>
      </c>
      <c r="J49" s="200" t="s">
        <v>170</v>
      </c>
      <c r="K49" s="201" t="s">
        <v>63</v>
      </c>
      <c r="L49" s="201" t="s">
        <v>63</v>
      </c>
      <c r="M49" s="77"/>
      <c r="N49" s="77"/>
      <c r="O49" s="191"/>
    </row>
    <row r="50" s="1" customFormat="1" ht="18" customHeight="1" spans="1:15">
      <c r="A50" s="42"/>
      <c r="B50" s="51">
        <f t="shared" si="3"/>
        <v>0</v>
      </c>
      <c r="C50" s="43"/>
      <c r="D50" s="44"/>
      <c r="E50" s="47"/>
      <c r="F50" s="51">
        <f t="shared" si="4"/>
        <v>0</v>
      </c>
      <c r="G50" s="184"/>
      <c r="H50" s="58">
        <v>44081</v>
      </c>
      <c r="I50" s="197">
        <v>100000</v>
      </c>
      <c r="J50" s="89" t="s">
        <v>22</v>
      </c>
      <c r="K50" s="198" t="s">
        <v>171</v>
      </c>
      <c r="L50" s="201" t="s">
        <v>63</v>
      </c>
      <c r="M50" s="77"/>
      <c r="N50" s="77"/>
      <c r="O50" s="191"/>
    </row>
    <row r="51" s="1" customFormat="1" ht="18" customHeight="1" spans="1:15">
      <c r="A51" s="42"/>
      <c r="B51" s="51">
        <f t="shared" si="3"/>
        <v>0</v>
      </c>
      <c r="C51" s="43"/>
      <c r="D51" s="44"/>
      <c r="E51" s="47"/>
      <c r="F51" s="51">
        <f t="shared" si="4"/>
        <v>0</v>
      </c>
      <c r="G51" s="184"/>
      <c r="H51" s="57">
        <v>44084</v>
      </c>
      <c r="I51" s="33">
        <v>200000</v>
      </c>
      <c r="J51" s="86" t="s">
        <v>22</v>
      </c>
      <c r="K51" s="195" t="s">
        <v>161</v>
      </c>
      <c r="L51" s="201" t="s">
        <v>63</v>
      </c>
      <c r="M51" s="77"/>
      <c r="N51" s="77"/>
      <c r="O51" s="191"/>
    </row>
    <row r="52" s="1" customFormat="1" ht="18" customHeight="1" spans="1:15">
      <c r="A52" s="42">
        <v>44075</v>
      </c>
      <c r="B52" s="51">
        <f t="shared" si="3"/>
        <v>283.02</v>
      </c>
      <c r="C52" s="43"/>
      <c r="D52" s="44" t="s">
        <v>38</v>
      </c>
      <c r="E52" s="47">
        <v>0.06</v>
      </c>
      <c r="F52" s="51">
        <f t="shared" si="4"/>
        <v>16.98</v>
      </c>
      <c r="G52" s="184">
        <v>300</v>
      </c>
      <c r="H52" s="58"/>
      <c r="I52" s="197"/>
      <c r="J52" s="89"/>
      <c r="K52" s="198" t="s">
        <v>172</v>
      </c>
      <c r="L52" s="198" t="s">
        <v>173</v>
      </c>
      <c r="M52" s="77"/>
      <c r="N52" s="77"/>
      <c r="O52" s="191"/>
    </row>
    <row r="53" s="1" customFormat="1" ht="18" customHeight="1" spans="1:15">
      <c r="A53" s="42"/>
      <c r="B53" s="51">
        <f t="shared" si="3"/>
        <v>0</v>
      </c>
      <c r="C53" s="43"/>
      <c r="D53" s="44"/>
      <c r="E53" s="47"/>
      <c r="F53" s="51">
        <f t="shared" si="4"/>
        <v>0</v>
      </c>
      <c r="G53" s="184"/>
      <c r="H53" s="57">
        <v>44091</v>
      </c>
      <c r="I53" s="33">
        <v>80000</v>
      </c>
      <c r="J53" s="86" t="s">
        <v>22</v>
      </c>
      <c r="K53" s="195" t="s">
        <v>176</v>
      </c>
      <c r="L53" s="201" t="s">
        <v>63</v>
      </c>
      <c r="M53" s="77"/>
      <c r="N53" s="77"/>
      <c r="O53" s="191"/>
    </row>
    <row r="54" s="1" customFormat="1" ht="18" customHeight="1" spans="1:15">
      <c r="A54" s="42"/>
      <c r="B54" s="51">
        <f t="shared" si="3"/>
        <v>0</v>
      </c>
      <c r="C54" s="43"/>
      <c r="D54" s="44"/>
      <c r="E54" s="47"/>
      <c r="F54" s="51">
        <f t="shared" si="4"/>
        <v>0</v>
      </c>
      <c r="G54" s="184"/>
      <c r="H54" s="57">
        <v>44095</v>
      </c>
      <c r="I54" s="33">
        <v>100000</v>
      </c>
      <c r="J54" s="86" t="s">
        <v>22</v>
      </c>
      <c r="K54" s="195" t="s">
        <v>171</v>
      </c>
      <c r="L54" s="193" t="s">
        <v>63</v>
      </c>
      <c r="M54" s="77"/>
      <c r="N54" s="77"/>
      <c r="O54" s="191"/>
    </row>
    <row r="55" s="1" customFormat="1" ht="18" customHeight="1" spans="1:15">
      <c r="A55" s="42"/>
      <c r="B55" s="51">
        <f t="shared" si="3"/>
        <v>0</v>
      </c>
      <c r="C55" s="43"/>
      <c r="D55" s="44"/>
      <c r="E55" s="47"/>
      <c r="F55" s="51">
        <f t="shared" si="4"/>
        <v>0</v>
      </c>
      <c r="G55" s="184"/>
      <c r="H55" s="57">
        <v>44096</v>
      </c>
      <c r="I55" s="33">
        <v>200000</v>
      </c>
      <c r="J55" s="86" t="s">
        <v>22</v>
      </c>
      <c r="K55" s="195" t="s">
        <v>161</v>
      </c>
      <c r="L55" s="193" t="s">
        <v>63</v>
      </c>
      <c r="M55" s="77"/>
      <c r="N55" s="77"/>
      <c r="O55" s="191"/>
    </row>
    <row r="56" s="1" customFormat="1" ht="18" customHeight="1" spans="1:15">
      <c r="A56" s="42"/>
      <c r="B56" s="51">
        <f t="shared" si="3"/>
        <v>0</v>
      </c>
      <c r="C56" s="43"/>
      <c r="D56" s="44"/>
      <c r="E56" s="47"/>
      <c r="F56" s="51">
        <f t="shared" si="4"/>
        <v>0</v>
      </c>
      <c r="G56" s="184"/>
      <c r="H56" s="57">
        <v>44098</v>
      </c>
      <c r="I56" s="33">
        <v>100000</v>
      </c>
      <c r="J56" s="86" t="s">
        <v>22</v>
      </c>
      <c r="K56" s="195" t="s">
        <v>171</v>
      </c>
      <c r="L56" s="193" t="s">
        <v>63</v>
      </c>
      <c r="M56" s="77"/>
      <c r="N56" s="77"/>
      <c r="O56" s="191"/>
    </row>
    <row r="57" s="1" customFormat="1" ht="18" customHeight="1" spans="1:15">
      <c r="A57" s="42">
        <v>44101</v>
      </c>
      <c r="B57" s="51">
        <f t="shared" si="3"/>
        <v>269289.82</v>
      </c>
      <c r="C57" s="43">
        <v>3</v>
      </c>
      <c r="D57" s="44" t="s">
        <v>38</v>
      </c>
      <c r="E57" s="47">
        <v>0.13</v>
      </c>
      <c r="F57" s="51">
        <f t="shared" si="4"/>
        <v>35007.68</v>
      </c>
      <c r="G57" s="184">
        <v>304297.5</v>
      </c>
      <c r="H57" s="206">
        <v>44101</v>
      </c>
      <c r="I57" s="210">
        <v>120000</v>
      </c>
      <c r="J57" s="211" t="s">
        <v>22</v>
      </c>
      <c r="K57" s="212" t="s">
        <v>171</v>
      </c>
      <c r="L57" s="242" t="s">
        <v>63</v>
      </c>
      <c r="M57" s="77"/>
      <c r="N57" s="77"/>
      <c r="O57" s="191"/>
    </row>
    <row r="58" s="1" customFormat="1" ht="18" customHeight="1" spans="1:15">
      <c r="A58" s="42">
        <v>44101</v>
      </c>
      <c r="B58" s="51">
        <f t="shared" si="3"/>
        <v>310050</v>
      </c>
      <c r="C58" s="43">
        <v>4</v>
      </c>
      <c r="D58" s="44"/>
      <c r="E58" s="47"/>
      <c r="F58" s="51">
        <f t="shared" si="4"/>
        <v>0</v>
      </c>
      <c r="G58" s="184">
        <v>310050</v>
      </c>
      <c r="H58" s="57">
        <v>44103</v>
      </c>
      <c r="I58" s="33">
        <v>100000</v>
      </c>
      <c r="J58" s="86" t="s">
        <v>22</v>
      </c>
      <c r="K58" s="195" t="s">
        <v>161</v>
      </c>
      <c r="L58" s="193" t="s">
        <v>179</v>
      </c>
      <c r="M58" s="77"/>
      <c r="N58" s="77"/>
      <c r="O58" s="191"/>
    </row>
    <row r="59" s="1" customFormat="1" ht="18" customHeight="1" spans="1:15">
      <c r="A59" s="42">
        <v>44101</v>
      </c>
      <c r="B59" s="51">
        <f t="shared" si="3"/>
        <v>290020.85</v>
      </c>
      <c r="C59" s="43">
        <v>4</v>
      </c>
      <c r="D59" s="44"/>
      <c r="E59" s="47"/>
      <c r="F59" s="51">
        <f t="shared" si="4"/>
        <v>0</v>
      </c>
      <c r="G59" s="184">
        <v>290020.85</v>
      </c>
      <c r="H59" s="57"/>
      <c r="I59" s="33"/>
      <c r="J59" s="86"/>
      <c r="K59" s="195" t="s">
        <v>161</v>
      </c>
      <c r="L59" s="193" t="s">
        <v>180</v>
      </c>
      <c r="M59" s="77"/>
      <c r="N59" s="77"/>
      <c r="O59" s="191"/>
    </row>
    <row r="60" s="1" customFormat="1" ht="18" customHeight="1" spans="1:15">
      <c r="A60" s="42">
        <v>44075</v>
      </c>
      <c r="B60" s="51">
        <f t="shared" si="3"/>
        <v>110511.5</v>
      </c>
      <c r="C60" s="43">
        <v>2</v>
      </c>
      <c r="D60" s="44" t="s">
        <v>38</v>
      </c>
      <c r="E60" s="47">
        <v>0.13</v>
      </c>
      <c r="F60" s="51">
        <f t="shared" si="4"/>
        <v>14366.5</v>
      </c>
      <c r="G60" s="184">
        <f>46878+78000</f>
        <v>124878</v>
      </c>
      <c r="H60" s="57"/>
      <c r="I60" s="33"/>
      <c r="J60" s="86"/>
      <c r="K60" s="195" t="s">
        <v>171</v>
      </c>
      <c r="L60" s="193" t="s">
        <v>53</v>
      </c>
      <c r="M60" s="77"/>
      <c r="N60" s="77" t="s">
        <v>41</v>
      </c>
      <c r="O60" s="191"/>
    </row>
    <row r="61" s="1" customFormat="1" ht="18" customHeight="1" spans="1:15">
      <c r="A61" s="42"/>
      <c r="B61" s="51"/>
      <c r="C61" s="43"/>
      <c r="D61" s="44"/>
      <c r="E61" s="47"/>
      <c r="F61" s="51"/>
      <c r="G61" s="184"/>
      <c r="H61" s="57"/>
      <c r="I61" s="33"/>
      <c r="J61" s="86"/>
      <c r="K61" s="195"/>
      <c r="L61" s="193"/>
      <c r="M61" s="77"/>
      <c r="N61" s="77"/>
      <c r="O61" s="191"/>
    </row>
    <row r="62" s="2" customFormat="1" ht="18" customHeight="1" spans="1:15">
      <c r="A62" s="50"/>
      <c r="B62" s="51"/>
      <c r="C62" s="52"/>
      <c r="D62" s="53"/>
      <c r="E62" s="183"/>
      <c r="F62" s="51"/>
      <c r="G62" s="33"/>
      <c r="H62" s="57"/>
      <c r="I62" s="33"/>
      <c r="J62" s="86"/>
      <c r="K62" s="195"/>
      <c r="L62" s="193"/>
      <c r="M62" s="78"/>
      <c r="N62" s="78"/>
      <c r="O62" s="194"/>
    </row>
    <row r="63" s="2" customFormat="1" ht="18" customHeight="1" spans="1:15">
      <c r="A63" s="50"/>
      <c r="B63" s="51"/>
      <c r="C63" s="52"/>
      <c r="D63" s="53"/>
      <c r="E63" s="183"/>
      <c r="F63" s="51"/>
      <c r="G63" s="33"/>
      <c r="H63" s="206">
        <v>44101</v>
      </c>
      <c r="I63" s="243">
        <v>100</v>
      </c>
      <c r="J63" s="211" t="s">
        <v>77</v>
      </c>
      <c r="K63" s="212" t="s">
        <v>78</v>
      </c>
      <c r="L63" s="242" t="s">
        <v>63</v>
      </c>
      <c r="M63" s="78"/>
      <c r="N63" s="78"/>
      <c r="O63" s="194"/>
    </row>
    <row r="64" s="1" customFormat="1" ht="18" customHeight="1" spans="1:15">
      <c r="A64" s="42"/>
      <c r="B64" s="51"/>
      <c r="C64" s="43"/>
      <c r="D64" s="44"/>
      <c r="E64" s="47"/>
      <c r="F64" s="51"/>
      <c r="G64" s="184"/>
      <c r="H64" s="57">
        <v>44098</v>
      </c>
      <c r="I64" s="214">
        <v>100</v>
      </c>
      <c r="J64" s="86" t="s">
        <v>77</v>
      </c>
      <c r="K64" s="195" t="s">
        <v>78</v>
      </c>
      <c r="L64" s="193"/>
      <c r="M64" s="77"/>
      <c r="N64" s="77"/>
      <c r="O64" s="191"/>
    </row>
    <row r="65" s="1" customFormat="1" ht="18" customHeight="1" spans="1:15">
      <c r="A65" s="42"/>
      <c r="B65" s="51">
        <f t="shared" ref="B65:B81" si="5">ROUND(G65/(1+E65),2)</f>
        <v>0</v>
      </c>
      <c r="C65" s="43"/>
      <c r="D65" s="44"/>
      <c r="E65" s="47"/>
      <c r="F65" s="51">
        <f t="shared" ref="F65:F81" si="6">ROUND(G65/(1+E65)*E65,2)</f>
        <v>0</v>
      </c>
      <c r="G65" s="184"/>
      <c r="H65" s="57" t="s">
        <v>178</v>
      </c>
      <c r="I65" s="214">
        <v>100</v>
      </c>
      <c r="J65" s="86" t="s">
        <v>77</v>
      </c>
      <c r="K65" s="195" t="s">
        <v>78</v>
      </c>
      <c r="L65" s="193"/>
      <c r="M65" s="77"/>
      <c r="N65" s="77"/>
      <c r="O65" s="191"/>
    </row>
    <row r="66" s="1" customFormat="1" ht="18" customHeight="1" spans="1:15">
      <c r="A66" s="42"/>
      <c r="B66" s="51">
        <f t="shared" si="5"/>
        <v>0</v>
      </c>
      <c r="C66" s="43"/>
      <c r="D66" s="44"/>
      <c r="E66" s="47"/>
      <c r="F66" s="51">
        <f t="shared" si="6"/>
        <v>0</v>
      </c>
      <c r="G66" s="184"/>
      <c r="H66" s="57">
        <v>44095</v>
      </c>
      <c r="I66" s="33">
        <v>100</v>
      </c>
      <c r="J66" s="86" t="s">
        <v>77</v>
      </c>
      <c r="K66" s="195" t="s">
        <v>78</v>
      </c>
      <c r="L66" s="218"/>
      <c r="M66" s="77"/>
      <c r="N66" s="77"/>
      <c r="O66" s="191"/>
    </row>
    <row r="67" s="1" customFormat="1" ht="18" customHeight="1" spans="1:15">
      <c r="A67" s="42"/>
      <c r="B67" s="51">
        <f t="shared" si="5"/>
        <v>0</v>
      </c>
      <c r="C67" s="43"/>
      <c r="D67" s="44"/>
      <c r="E67" s="47"/>
      <c r="F67" s="51">
        <f t="shared" si="6"/>
        <v>0</v>
      </c>
      <c r="G67" s="184"/>
      <c r="H67" s="57" t="s">
        <v>177</v>
      </c>
      <c r="I67" s="33">
        <v>50</v>
      </c>
      <c r="J67" s="86" t="s">
        <v>77</v>
      </c>
      <c r="K67" s="195" t="s">
        <v>78</v>
      </c>
      <c r="L67" s="191"/>
      <c r="M67" s="77" t="s">
        <v>163</v>
      </c>
      <c r="N67" s="77"/>
      <c r="O67" s="191"/>
    </row>
    <row r="68" s="1" customFormat="1" ht="18" customHeight="1" spans="1:15">
      <c r="A68" s="42"/>
      <c r="B68" s="51">
        <f t="shared" si="5"/>
        <v>0</v>
      </c>
      <c r="C68" s="43"/>
      <c r="D68" s="44"/>
      <c r="E68" s="47"/>
      <c r="F68" s="51">
        <f t="shared" si="6"/>
        <v>0</v>
      </c>
      <c r="G68" s="184"/>
      <c r="H68" s="57" t="s">
        <v>174</v>
      </c>
      <c r="I68" s="33">
        <v>100</v>
      </c>
      <c r="J68" s="86" t="s">
        <v>77</v>
      </c>
      <c r="K68" s="195" t="s">
        <v>78</v>
      </c>
      <c r="L68" s="191"/>
      <c r="M68" s="77"/>
      <c r="N68" s="77"/>
      <c r="O68" s="191"/>
    </row>
    <row r="69" s="1" customFormat="1" ht="18" customHeight="1" spans="1:15">
      <c r="A69" s="42"/>
      <c r="B69" s="51">
        <f t="shared" si="5"/>
        <v>0</v>
      </c>
      <c r="C69" s="43"/>
      <c r="D69" s="44"/>
      <c r="E69" s="47"/>
      <c r="F69" s="51">
        <f t="shared" si="6"/>
        <v>0</v>
      </c>
      <c r="G69" s="184"/>
      <c r="H69" s="57" t="s">
        <v>175</v>
      </c>
      <c r="I69" s="33">
        <v>100</v>
      </c>
      <c r="J69" s="86" t="s">
        <v>77</v>
      </c>
      <c r="K69" s="195" t="s">
        <v>78</v>
      </c>
      <c r="L69" s="191"/>
      <c r="M69" s="77"/>
      <c r="N69" s="77"/>
      <c r="O69" s="191"/>
    </row>
    <row r="70" s="1" customFormat="1" ht="18" customHeight="1" spans="1:15">
      <c r="A70" s="42"/>
      <c r="B70" s="51">
        <f t="shared" si="5"/>
        <v>0</v>
      </c>
      <c r="C70" s="43"/>
      <c r="D70" s="44"/>
      <c r="E70" s="47"/>
      <c r="F70" s="51">
        <f t="shared" si="6"/>
        <v>0</v>
      </c>
      <c r="G70" s="184"/>
      <c r="H70" s="58" t="s">
        <v>164</v>
      </c>
      <c r="I70" s="197">
        <v>1192.9</v>
      </c>
      <c r="J70" s="89" t="s">
        <v>77</v>
      </c>
      <c r="K70" s="198" t="s">
        <v>165</v>
      </c>
      <c r="L70" s="191"/>
      <c r="M70" s="77"/>
      <c r="N70" s="77"/>
      <c r="O70" s="191"/>
    </row>
    <row r="71" s="1" customFormat="1" ht="18" customHeight="1" spans="1:15">
      <c r="A71" s="42"/>
      <c r="B71" s="51">
        <f t="shared" si="5"/>
        <v>0</v>
      </c>
      <c r="C71" s="43"/>
      <c r="D71" s="44"/>
      <c r="E71" s="47"/>
      <c r="F71" s="51">
        <f t="shared" si="6"/>
        <v>0</v>
      </c>
      <c r="G71" s="184"/>
      <c r="H71" s="58" t="s">
        <v>164</v>
      </c>
      <c r="I71" s="197">
        <v>200</v>
      </c>
      <c r="J71" s="89" t="s">
        <v>77</v>
      </c>
      <c r="K71" s="198" t="s">
        <v>78</v>
      </c>
      <c r="L71" s="191"/>
      <c r="M71" s="77"/>
      <c r="N71" s="77"/>
      <c r="O71" s="191"/>
    </row>
    <row r="72" s="1" customFormat="1" ht="18" customHeight="1" spans="1:15">
      <c r="A72" s="42"/>
      <c r="B72" s="51">
        <f t="shared" si="5"/>
        <v>2000</v>
      </c>
      <c r="C72" s="43"/>
      <c r="D72" s="44"/>
      <c r="E72" s="47"/>
      <c r="F72" s="51">
        <f t="shared" si="6"/>
        <v>0</v>
      </c>
      <c r="G72" s="184">
        <f>I72</f>
        <v>2000</v>
      </c>
      <c r="H72" s="58" t="s">
        <v>164</v>
      </c>
      <c r="I72" s="197">
        <v>2000</v>
      </c>
      <c r="J72" s="89" t="s">
        <v>77</v>
      </c>
      <c r="K72" s="198" t="s">
        <v>105</v>
      </c>
      <c r="L72" s="191"/>
      <c r="M72" s="77"/>
      <c r="N72" s="77"/>
      <c r="O72" s="191"/>
    </row>
    <row r="73" s="1" customFormat="1" ht="18" customHeight="1" spans="1:15">
      <c r="A73" s="42"/>
      <c r="B73" s="51">
        <f t="shared" si="5"/>
        <v>0</v>
      </c>
      <c r="C73" s="43"/>
      <c r="D73" s="44"/>
      <c r="E73" s="47"/>
      <c r="F73" s="51">
        <f t="shared" si="6"/>
        <v>0</v>
      </c>
      <c r="G73" s="184"/>
      <c r="H73" s="58" t="s">
        <v>164</v>
      </c>
      <c r="I73" s="197">
        <v>6400</v>
      </c>
      <c r="J73" s="89" t="s">
        <v>77</v>
      </c>
      <c r="K73" s="198" t="s">
        <v>146</v>
      </c>
      <c r="L73" s="191"/>
      <c r="M73" s="77"/>
      <c r="N73" s="77"/>
      <c r="O73" s="191"/>
    </row>
    <row r="74" s="1" customFormat="1" ht="18" customHeight="1" spans="1:15">
      <c r="A74" s="42"/>
      <c r="B74" s="51">
        <f t="shared" si="5"/>
        <v>0</v>
      </c>
      <c r="C74" s="43"/>
      <c r="D74" s="44"/>
      <c r="E74" s="47"/>
      <c r="F74" s="51">
        <f t="shared" si="6"/>
        <v>0</v>
      </c>
      <c r="G74" s="184"/>
      <c r="H74" s="58" t="s">
        <v>164</v>
      </c>
      <c r="I74" s="197">
        <v>221</v>
      </c>
      <c r="J74" s="89" t="s">
        <v>77</v>
      </c>
      <c r="K74" s="198" t="s">
        <v>140</v>
      </c>
      <c r="L74" s="191"/>
      <c r="M74" s="77"/>
      <c r="N74" s="77"/>
      <c r="O74" s="191"/>
    </row>
    <row r="75" s="1" customFormat="1" ht="18" customHeight="1" spans="1:15">
      <c r="A75" s="42"/>
      <c r="B75" s="51">
        <f t="shared" si="5"/>
        <v>0</v>
      </c>
      <c r="C75" s="43"/>
      <c r="D75" s="44"/>
      <c r="E75" s="47"/>
      <c r="F75" s="51">
        <f t="shared" si="6"/>
        <v>0</v>
      </c>
      <c r="G75" s="184"/>
      <c r="H75" s="58" t="s">
        <v>158</v>
      </c>
      <c r="I75" s="197">
        <v>100</v>
      </c>
      <c r="J75" s="89" t="s">
        <v>77</v>
      </c>
      <c r="K75" s="198" t="s">
        <v>78</v>
      </c>
      <c r="L75" s="191" t="s">
        <v>159</v>
      </c>
      <c r="M75" s="77"/>
      <c r="N75" s="77"/>
      <c r="O75" s="191"/>
    </row>
    <row r="76" s="1" customFormat="1" ht="18" customHeight="1" spans="1:15">
      <c r="A76" s="42"/>
      <c r="B76" s="51">
        <f t="shared" si="5"/>
        <v>0</v>
      </c>
      <c r="C76" s="43"/>
      <c r="D76" s="44"/>
      <c r="E76" s="47"/>
      <c r="F76" s="51">
        <f t="shared" si="6"/>
        <v>0</v>
      </c>
      <c r="G76" s="184"/>
      <c r="H76" s="58" t="s">
        <v>158</v>
      </c>
      <c r="I76" s="197">
        <v>100</v>
      </c>
      <c r="J76" s="89" t="s">
        <v>77</v>
      </c>
      <c r="K76" s="198" t="s">
        <v>78</v>
      </c>
      <c r="L76" s="191" t="s">
        <v>159</v>
      </c>
      <c r="M76" s="77"/>
      <c r="N76" s="77"/>
      <c r="O76" s="191"/>
    </row>
    <row r="77" s="1" customFormat="1" ht="18" customHeight="1" spans="1:15">
      <c r="A77" s="42"/>
      <c r="B77" s="51">
        <f t="shared" si="5"/>
        <v>0</v>
      </c>
      <c r="C77" s="43"/>
      <c r="D77" s="44"/>
      <c r="E77" s="47"/>
      <c r="F77" s="51">
        <f t="shared" si="6"/>
        <v>0</v>
      </c>
      <c r="G77" s="184"/>
      <c r="H77" s="57">
        <v>43923</v>
      </c>
      <c r="I77" s="33">
        <v>100</v>
      </c>
      <c r="J77" s="86" t="s">
        <v>77</v>
      </c>
      <c r="K77" s="195" t="s">
        <v>78</v>
      </c>
      <c r="L77" s="191"/>
      <c r="M77" s="77"/>
      <c r="N77" s="77"/>
      <c r="O77" s="191"/>
    </row>
    <row r="78" s="1" customFormat="1" ht="18" customHeight="1" spans="1:15">
      <c r="A78" s="42"/>
      <c r="B78" s="51">
        <f t="shared" si="5"/>
        <v>0</v>
      </c>
      <c r="C78" s="43"/>
      <c r="D78" s="44"/>
      <c r="E78" s="47"/>
      <c r="F78" s="51">
        <f t="shared" si="6"/>
        <v>0</v>
      </c>
      <c r="G78" s="184"/>
      <c r="H78" s="30" t="s">
        <v>79</v>
      </c>
      <c r="I78" s="31">
        <v>200</v>
      </c>
      <c r="J78" s="86" t="s">
        <v>77</v>
      </c>
      <c r="K78" s="195" t="s">
        <v>78</v>
      </c>
      <c r="L78" s="191"/>
      <c r="M78" s="77"/>
      <c r="N78" s="77"/>
      <c r="O78" s="191"/>
    </row>
    <row r="79" s="1" customFormat="1" ht="18" customHeight="1" spans="1:15">
      <c r="A79" s="42"/>
      <c r="B79" s="51">
        <f t="shared" si="5"/>
        <v>0</v>
      </c>
      <c r="C79" s="43"/>
      <c r="D79" s="44"/>
      <c r="E79" s="47"/>
      <c r="F79" s="25">
        <f t="shared" si="6"/>
        <v>0</v>
      </c>
      <c r="G79" s="184"/>
      <c r="H79" s="30" t="s">
        <v>79</v>
      </c>
      <c r="I79" s="210">
        <v>-88680</v>
      </c>
      <c r="J79" s="211" t="s">
        <v>80</v>
      </c>
      <c r="K79" s="212" t="s">
        <v>133</v>
      </c>
      <c r="L79" s="191"/>
      <c r="M79" s="77"/>
      <c r="N79" s="77"/>
      <c r="O79" s="191"/>
    </row>
    <row r="80" s="1" customFormat="1" ht="18" customHeight="1" spans="1:15">
      <c r="A80" s="42"/>
      <c r="B80" s="25">
        <f t="shared" si="5"/>
        <v>0</v>
      </c>
      <c r="C80" s="43"/>
      <c r="D80" s="44"/>
      <c r="E80" s="47"/>
      <c r="F80" s="25">
        <f t="shared" si="6"/>
        <v>0</v>
      </c>
      <c r="G80" s="184"/>
      <c r="H80" s="57" t="s">
        <v>82</v>
      </c>
      <c r="I80" s="33">
        <v>188304</v>
      </c>
      <c r="J80" s="86" t="s">
        <v>77</v>
      </c>
      <c r="K80" s="196" t="s">
        <v>83</v>
      </c>
      <c r="L80" s="194"/>
      <c r="M80" s="77"/>
      <c r="N80" s="77"/>
      <c r="O80" s="191"/>
    </row>
    <row r="81" s="1" customFormat="1" ht="18" customHeight="1" spans="1:16">
      <c r="A81" s="42"/>
      <c r="B81" s="25">
        <f t="shared" si="5"/>
        <v>0</v>
      </c>
      <c r="C81" s="43"/>
      <c r="D81" s="44"/>
      <c r="E81" s="47"/>
      <c r="F81" s="25">
        <f t="shared" si="6"/>
        <v>0</v>
      </c>
      <c r="G81" s="184"/>
      <c r="H81" s="104" t="s">
        <v>82</v>
      </c>
      <c r="I81" s="215">
        <v>-300000</v>
      </c>
      <c r="J81" s="114" t="s">
        <v>84</v>
      </c>
      <c r="K81" s="234" t="s">
        <v>85</v>
      </c>
      <c r="L81" s="194"/>
      <c r="M81" s="77"/>
      <c r="N81" s="115"/>
      <c r="O81" s="216" t="s">
        <v>86</v>
      </c>
      <c r="P81" s="120"/>
    </row>
    <row r="82" s="1" customFormat="1" ht="18" customHeight="1" spans="1:16">
      <c r="A82" s="42"/>
      <c r="B82" s="25"/>
      <c r="C82" s="43"/>
      <c r="D82" s="44"/>
      <c r="E82" s="47"/>
      <c r="F82" s="25"/>
      <c r="G82" s="184"/>
      <c r="H82" s="57" t="s">
        <v>82</v>
      </c>
      <c r="I82" s="197">
        <v>21333.33</v>
      </c>
      <c r="J82" s="86" t="s">
        <v>77</v>
      </c>
      <c r="K82" s="217" t="s">
        <v>87</v>
      </c>
      <c r="L82" s="218"/>
      <c r="M82" s="91"/>
      <c r="N82" s="91"/>
      <c r="O82" s="218"/>
      <c r="P82" s="122"/>
    </row>
    <row r="83" s="1" customFormat="1" ht="18" customHeight="1" spans="1:15">
      <c r="A83" s="42"/>
      <c r="B83" s="25">
        <f t="shared" ref="B83:B118" si="7">ROUND(G83/(1+E83),2)</f>
        <v>0</v>
      </c>
      <c r="C83" s="43"/>
      <c r="D83" s="44"/>
      <c r="E83" s="47"/>
      <c r="F83" s="25">
        <f t="shared" ref="F83:F118" si="8">ROUND(G83/(1+E83)*E83,2)</f>
        <v>0</v>
      </c>
      <c r="G83" s="184"/>
      <c r="H83" s="57" t="s">
        <v>82</v>
      </c>
      <c r="I83" s="33">
        <v>300</v>
      </c>
      <c r="J83" s="86" t="s">
        <v>77</v>
      </c>
      <c r="K83" s="195" t="s">
        <v>78</v>
      </c>
      <c r="L83" s="194"/>
      <c r="M83" s="77"/>
      <c r="N83" s="77"/>
      <c r="O83" s="191"/>
    </row>
    <row r="84" s="1" customFormat="1" ht="18" customHeight="1" spans="1:15">
      <c r="A84" s="42"/>
      <c r="B84" s="25">
        <f t="shared" si="7"/>
        <v>10000</v>
      </c>
      <c r="C84" s="43"/>
      <c r="D84" s="44"/>
      <c r="E84" s="47"/>
      <c r="F84" s="25">
        <f t="shared" si="8"/>
        <v>0</v>
      </c>
      <c r="G84" s="184">
        <f>10000</f>
        <v>10000</v>
      </c>
      <c r="H84" s="57" t="s">
        <v>82</v>
      </c>
      <c r="I84" s="33">
        <f>G84</f>
        <v>10000</v>
      </c>
      <c r="J84" s="86" t="s">
        <v>77</v>
      </c>
      <c r="K84" s="195" t="s">
        <v>105</v>
      </c>
      <c r="L84" s="194"/>
      <c r="M84" s="77"/>
      <c r="N84" s="77"/>
      <c r="O84" s="191"/>
    </row>
    <row r="85" s="1" customFormat="1" ht="18" customHeight="1" spans="1:15">
      <c r="A85" s="42"/>
      <c r="B85" s="25">
        <f t="shared" si="7"/>
        <v>0</v>
      </c>
      <c r="C85" s="43"/>
      <c r="D85" s="44"/>
      <c r="E85" s="47"/>
      <c r="F85" s="25">
        <f t="shared" si="8"/>
        <v>0</v>
      </c>
      <c r="G85" s="184"/>
      <c r="H85" s="57" t="s">
        <v>89</v>
      </c>
      <c r="I85" s="33">
        <v>-300000</v>
      </c>
      <c r="J85" s="86" t="s">
        <v>90</v>
      </c>
      <c r="K85" s="195" t="s">
        <v>91</v>
      </c>
      <c r="L85" s="194"/>
      <c r="M85" s="77"/>
      <c r="N85" s="77"/>
      <c r="O85" s="191"/>
    </row>
    <row r="86" s="1" customFormat="1" ht="18" customHeight="1" spans="1:15">
      <c r="A86" s="42"/>
      <c r="B86" s="25">
        <f t="shared" si="7"/>
        <v>0</v>
      </c>
      <c r="C86" s="43"/>
      <c r="D86" s="44"/>
      <c r="E86" s="47"/>
      <c r="F86" s="25">
        <f t="shared" si="8"/>
        <v>0</v>
      </c>
      <c r="G86" s="184"/>
      <c r="H86" s="57" t="s">
        <v>89</v>
      </c>
      <c r="I86" s="51">
        <v>100</v>
      </c>
      <c r="J86" s="86" t="s">
        <v>77</v>
      </c>
      <c r="K86" s="195" t="s">
        <v>78</v>
      </c>
      <c r="L86" s="194"/>
      <c r="M86" s="77"/>
      <c r="N86" s="77"/>
      <c r="O86" s="191"/>
    </row>
    <row r="87" s="1" customFormat="1" ht="18" customHeight="1" spans="1:15">
      <c r="A87" s="42"/>
      <c r="B87" s="25">
        <f t="shared" si="7"/>
        <v>0</v>
      </c>
      <c r="C87" s="43"/>
      <c r="D87" s="44"/>
      <c r="E87" s="47"/>
      <c r="F87" s="25">
        <f t="shared" si="8"/>
        <v>0</v>
      </c>
      <c r="G87" s="184"/>
      <c r="H87" s="57" t="s">
        <v>92</v>
      </c>
      <c r="I87" s="51">
        <v>100</v>
      </c>
      <c r="J87" s="86" t="s">
        <v>77</v>
      </c>
      <c r="K87" s="195" t="s">
        <v>78</v>
      </c>
      <c r="L87" s="194"/>
      <c r="M87" s="77"/>
      <c r="N87" s="77"/>
      <c r="O87" s="191"/>
    </row>
    <row r="88" s="1" customFormat="1" ht="18" customHeight="1" spans="1:15">
      <c r="A88" s="42"/>
      <c r="B88" s="25">
        <f t="shared" si="7"/>
        <v>0</v>
      </c>
      <c r="C88" s="43"/>
      <c r="D88" s="44"/>
      <c r="E88" s="47"/>
      <c r="F88" s="25">
        <f t="shared" si="8"/>
        <v>0</v>
      </c>
      <c r="G88" s="184"/>
      <c r="H88" s="57"/>
      <c r="I88" s="51"/>
      <c r="J88" s="86"/>
      <c r="K88" s="195"/>
      <c r="L88" s="194"/>
      <c r="M88" s="77"/>
      <c r="N88" s="77"/>
      <c r="O88" s="191"/>
    </row>
    <row r="89" s="1" customFormat="1" ht="18" customHeight="1" spans="1:15">
      <c r="A89" s="42"/>
      <c r="B89" s="25">
        <f t="shared" si="7"/>
        <v>0</v>
      </c>
      <c r="C89" s="43"/>
      <c r="D89" s="44"/>
      <c r="E89" s="47"/>
      <c r="F89" s="25">
        <f t="shared" si="8"/>
        <v>0</v>
      </c>
      <c r="G89" s="184"/>
      <c r="H89" s="57" t="s">
        <v>93</v>
      </c>
      <c r="I89" s="235">
        <v>184767</v>
      </c>
      <c r="J89" s="86" t="s">
        <v>94</v>
      </c>
      <c r="K89" s="195" t="s">
        <v>95</v>
      </c>
      <c r="L89" s="194"/>
      <c r="M89" s="77"/>
      <c r="N89" s="77"/>
      <c r="O89" s="191"/>
    </row>
    <row r="90" s="1" customFormat="1" ht="18" customHeight="1" spans="1:15">
      <c r="A90" s="42"/>
      <c r="B90" s="25">
        <f t="shared" si="7"/>
        <v>0</v>
      </c>
      <c r="C90" s="43"/>
      <c r="D90" s="44"/>
      <c r="E90" s="47"/>
      <c r="F90" s="25">
        <f t="shared" si="8"/>
        <v>0</v>
      </c>
      <c r="G90" s="184"/>
      <c r="H90" s="57" t="s">
        <v>93</v>
      </c>
      <c r="I90" s="235">
        <v>48000</v>
      </c>
      <c r="J90" s="86" t="s">
        <v>77</v>
      </c>
      <c r="K90" s="195" t="s">
        <v>146</v>
      </c>
      <c r="L90" s="194"/>
      <c r="M90" s="77"/>
      <c r="N90" s="77"/>
      <c r="O90" s="191"/>
    </row>
    <row r="91" s="1" customFormat="1" ht="18" customHeight="1" spans="1:15">
      <c r="A91" s="42"/>
      <c r="B91" s="25">
        <f t="shared" si="7"/>
        <v>0</v>
      </c>
      <c r="C91" s="43"/>
      <c r="D91" s="44"/>
      <c r="E91" s="47"/>
      <c r="F91" s="25">
        <f t="shared" si="8"/>
        <v>0</v>
      </c>
      <c r="G91" s="184"/>
      <c r="H91" s="57" t="s">
        <v>93</v>
      </c>
      <c r="I91" s="235">
        <v>1652</v>
      </c>
      <c r="J91" s="86" t="s">
        <v>77</v>
      </c>
      <c r="K91" s="195" t="s">
        <v>140</v>
      </c>
      <c r="L91" s="194"/>
      <c r="M91" s="77"/>
      <c r="N91" s="77"/>
      <c r="O91" s="191"/>
    </row>
    <row r="92" s="1" customFormat="1" ht="18" customHeight="1" spans="1:15">
      <c r="A92" s="42"/>
      <c r="B92" s="25">
        <f t="shared" si="7"/>
        <v>0</v>
      </c>
      <c r="C92" s="43"/>
      <c r="D92" s="44"/>
      <c r="E92" s="47"/>
      <c r="F92" s="25">
        <f t="shared" si="8"/>
        <v>0</v>
      </c>
      <c r="G92" s="184"/>
      <c r="H92" s="57" t="s">
        <v>93</v>
      </c>
      <c r="I92" s="236">
        <v>67389</v>
      </c>
      <c r="J92" s="211" t="s">
        <v>77</v>
      </c>
      <c r="K92" s="212" t="s">
        <v>147</v>
      </c>
      <c r="L92" s="194"/>
      <c r="M92" s="77"/>
      <c r="N92" s="77"/>
      <c r="O92" s="191"/>
    </row>
    <row r="93" s="1" customFormat="1" ht="18" customHeight="1" spans="1:15">
      <c r="A93" s="42"/>
      <c r="B93" s="25">
        <f t="shared" si="7"/>
        <v>0</v>
      </c>
      <c r="C93" s="43"/>
      <c r="D93" s="44"/>
      <c r="E93" s="45"/>
      <c r="F93" s="25">
        <f t="shared" si="8"/>
        <v>0</v>
      </c>
      <c r="G93" s="184"/>
      <c r="H93" s="57" t="s">
        <v>93</v>
      </c>
      <c r="I93" s="235">
        <v>100</v>
      </c>
      <c r="J93" s="86" t="s">
        <v>77</v>
      </c>
      <c r="K93" s="195" t="s">
        <v>78</v>
      </c>
      <c r="L93" s="194"/>
      <c r="M93" s="77"/>
      <c r="N93" s="77"/>
      <c r="O93" s="191"/>
    </row>
    <row r="94" s="1" customFormat="1" ht="18" customHeight="1" spans="1:15">
      <c r="A94" s="42"/>
      <c r="B94" s="25">
        <f t="shared" si="7"/>
        <v>5000</v>
      </c>
      <c r="C94" s="43"/>
      <c r="D94" s="44"/>
      <c r="E94" s="45"/>
      <c r="F94" s="25">
        <f t="shared" si="8"/>
        <v>0</v>
      </c>
      <c r="G94" s="184">
        <f>5000</f>
        <v>5000</v>
      </c>
      <c r="H94" s="57" t="s">
        <v>93</v>
      </c>
      <c r="I94" s="235">
        <f>G94</f>
        <v>5000</v>
      </c>
      <c r="J94" s="86" t="s">
        <v>77</v>
      </c>
      <c r="K94" s="195" t="s">
        <v>105</v>
      </c>
      <c r="L94" s="194"/>
      <c r="M94" s="77"/>
      <c r="N94" s="77"/>
      <c r="O94" s="191"/>
    </row>
    <row r="95" s="1" customFormat="1" ht="18" customHeight="1" spans="1:15">
      <c r="A95" s="42"/>
      <c r="B95" s="25">
        <f t="shared" si="7"/>
        <v>0</v>
      </c>
      <c r="C95" s="43"/>
      <c r="D95" s="44"/>
      <c r="E95" s="45"/>
      <c r="F95" s="25">
        <f t="shared" si="8"/>
        <v>0</v>
      </c>
      <c r="G95" s="184"/>
      <c r="H95" s="57" t="s">
        <v>99</v>
      </c>
      <c r="I95" s="235">
        <v>-157908</v>
      </c>
      <c r="J95" s="86" t="s">
        <v>90</v>
      </c>
      <c r="K95" s="195" t="s">
        <v>91</v>
      </c>
      <c r="L95" s="194"/>
      <c r="M95" s="77"/>
      <c r="N95" s="77"/>
      <c r="O95" s="191"/>
    </row>
    <row r="96" s="1" customFormat="1" ht="18" customHeight="1" spans="1:15">
      <c r="A96" s="42"/>
      <c r="B96" s="25">
        <f t="shared" si="7"/>
        <v>0</v>
      </c>
      <c r="C96" s="43"/>
      <c r="D96" s="44"/>
      <c r="E96" s="45"/>
      <c r="F96" s="25">
        <f t="shared" si="8"/>
        <v>0</v>
      </c>
      <c r="G96" s="184"/>
      <c r="H96" s="57" t="s">
        <v>99</v>
      </c>
      <c r="I96" s="235">
        <v>100</v>
      </c>
      <c r="J96" s="86" t="s">
        <v>77</v>
      </c>
      <c r="K96" s="195" t="s">
        <v>78</v>
      </c>
      <c r="L96" s="194"/>
      <c r="M96" s="77"/>
      <c r="N96" s="77"/>
      <c r="O96" s="191"/>
    </row>
    <row r="97" s="1" customFormat="1" ht="18" customHeight="1" spans="1:15">
      <c r="A97" s="42"/>
      <c r="B97" s="25">
        <f t="shared" si="7"/>
        <v>0</v>
      </c>
      <c r="C97" s="43"/>
      <c r="D97" s="44"/>
      <c r="E97" s="45"/>
      <c r="F97" s="25">
        <f t="shared" si="8"/>
        <v>0</v>
      </c>
      <c r="G97" s="184"/>
      <c r="H97" s="57" t="s">
        <v>100</v>
      </c>
      <c r="I97" s="235">
        <v>200</v>
      </c>
      <c r="J97" s="86" t="s">
        <v>77</v>
      </c>
      <c r="K97" s="195" t="s">
        <v>78</v>
      </c>
      <c r="L97" s="194"/>
      <c r="M97" s="77"/>
      <c r="N97" s="77"/>
      <c r="O97" s="191"/>
    </row>
    <row r="98" s="1" customFormat="1" ht="18" customHeight="1" spans="1:15">
      <c r="A98" s="42"/>
      <c r="B98" s="25">
        <f t="shared" si="7"/>
        <v>0</v>
      </c>
      <c r="C98" s="43"/>
      <c r="D98" s="44"/>
      <c r="E98" s="45"/>
      <c r="F98" s="25">
        <f t="shared" si="8"/>
        <v>0</v>
      </c>
      <c r="G98" s="184"/>
      <c r="H98" s="57" t="s">
        <v>101</v>
      </c>
      <c r="I98" s="235">
        <v>200</v>
      </c>
      <c r="J98" s="86" t="s">
        <v>77</v>
      </c>
      <c r="K98" s="195" t="s">
        <v>78</v>
      </c>
      <c r="L98" s="194"/>
      <c r="M98" s="77"/>
      <c r="N98" s="77"/>
      <c r="O98" s="191"/>
    </row>
    <row r="99" s="1" customFormat="1" ht="18" customHeight="1" spans="1:15">
      <c r="A99" s="42"/>
      <c r="B99" s="25">
        <f t="shared" si="7"/>
        <v>0</v>
      </c>
      <c r="C99" s="43"/>
      <c r="D99" s="44"/>
      <c r="E99" s="45"/>
      <c r="F99" s="25">
        <f t="shared" si="8"/>
        <v>0</v>
      </c>
      <c r="G99" s="184"/>
      <c r="H99" s="57" t="s">
        <v>101</v>
      </c>
      <c r="I99" s="235">
        <v>381546</v>
      </c>
      <c r="J99" s="86" t="s">
        <v>94</v>
      </c>
      <c r="K99" s="195" t="s">
        <v>95</v>
      </c>
      <c r="L99" s="194"/>
      <c r="M99" s="77"/>
      <c r="O99" s="191"/>
    </row>
    <row r="100" s="1" customFormat="1" ht="18" customHeight="1" spans="1:15">
      <c r="A100" s="42"/>
      <c r="B100" s="25">
        <f t="shared" si="7"/>
        <v>0</v>
      </c>
      <c r="C100" s="43"/>
      <c r="D100" s="44"/>
      <c r="E100" s="45"/>
      <c r="F100" s="25">
        <f t="shared" si="8"/>
        <v>0</v>
      </c>
      <c r="G100" s="184"/>
      <c r="H100" s="57" t="s">
        <v>101</v>
      </c>
      <c r="I100" s="235">
        <v>24955</v>
      </c>
      <c r="J100" s="86" t="s">
        <v>77</v>
      </c>
      <c r="K100" s="195" t="s">
        <v>146</v>
      </c>
      <c r="L100" s="194"/>
      <c r="M100" s="77"/>
      <c r="N100" s="77"/>
      <c r="O100" s="191"/>
    </row>
    <row r="101" s="1" customFormat="1" ht="18" customHeight="1" spans="1:15">
      <c r="A101" s="42"/>
      <c r="B101" s="25">
        <f t="shared" si="7"/>
        <v>0</v>
      </c>
      <c r="C101" s="43"/>
      <c r="D101" s="44"/>
      <c r="E101" s="45"/>
      <c r="F101" s="25">
        <f t="shared" si="8"/>
        <v>0</v>
      </c>
      <c r="G101" s="184"/>
      <c r="H101" s="57" t="s">
        <v>101</v>
      </c>
      <c r="I101" s="235">
        <v>936</v>
      </c>
      <c r="J101" s="86" t="s">
        <v>77</v>
      </c>
      <c r="K101" s="195" t="s">
        <v>140</v>
      </c>
      <c r="L101" s="194"/>
      <c r="M101" s="77"/>
      <c r="N101" s="77"/>
      <c r="O101" s="191"/>
    </row>
    <row r="102" s="1" customFormat="1" ht="18" customHeight="1" spans="1:15">
      <c r="A102" s="42"/>
      <c r="B102" s="25">
        <f t="shared" si="7"/>
        <v>0</v>
      </c>
      <c r="C102" s="43"/>
      <c r="D102" s="44"/>
      <c r="E102" s="45"/>
      <c r="F102" s="25">
        <f t="shared" si="8"/>
        <v>0</v>
      </c>
      <c r="G102" s="184"/>
      <c r="H102" s="57" t="s">
        <v>101</v>
      </c>
      <c r="I102" s="236">
        <v>120092</v>
      </c>
      <c r="J102" s="211" t="s">
        <v>77</v>
      </c>
      <c r="K102" s="212" t="s">
        <v>148</v>
      </c>
      <c r="L102" s="194"/>
      <c r="M102" s="77"/>
      <c r="N102" s="77"/>
      <c r="O102" s="191"/>
    </row>
    <row r="103" s="1" customFormat="1" ht="18" customHeight="1" spans="1:15">
      <c r="A103" s="42"/>
      <c r="B103" s="25">
        <f t="shared" si="7"/>
        <v>8500</v>
      </c>
      <c r="C103" s="43"/>
      <c r="D103" s="44"/>
      <c r="E103" s="45"/>
      <c r="F103" s="25">
        <f t="shared" si="8"/>
        <v>0</v>
      </c>
      <c r="G103" s="184">
        <v>8500</v>
      </c>
      <c r="H103" s="57" t="s">
        <v>101</v>
      </c>
      <c r="I103" s="235">
        <f>G103</f>
        <v>8500</v>
      </c>
      <c r="J103" s="86" t="s">
        <v>77</v>
      </c>
      <c r="K103" s="195" t="s">
        <v>105</v>
      </c>
      <c r="L103" s="194"/>
      <c r="M103" s="77"/>
      <c r="N103" s="77"/>
      <c r="O103" s="191"/>
    </row>
    <row r="104" s="1" customFormat="1" ht="18" customHeight="1" spans="1:15">
      <c r="A104" s="42"/>
      <c r="B104" s="25">
        <f t="shared" si="7"/>
        <v>0</v>
      </c>
      <c r="C104" s="43"/>
      <c r="D104" s="44"/>
      <c r="E104" s="45"/>
      <c r="F104" s="25">
        <f t="shared" si="8"/>
        <v>0</v>
      </c>
      <c r="G104" s="184"/>
      <c r="H104" s="57" t="s">
        <v>106</v>
      </c>
      <c r="I104" s="235">
        <v>9000</v>
      </c>
      <c r="J104" s="86" t="s">
        <v>77</v>
      </c>
      <c r="K104" s="195" t="s">
        <v>107</v>
      </c>
      <c r="L104" s="194"/>
      <c r="M104" s="77"/>
      <c r="N104" s="77"/>
      <c r="O104" s="191"/>
    </row>
    <row r="105" s="1" customFormat="1" ht="18" customHeight="1" spans="1:15">
      <c r="A105" s="42"/>
      <c r="B105" s="25">
        <f t="shared" si="7"/>
        <v>0</v>
      </c>
      <c r="C105" s="43"/>
      <c r="D105" s="44"/>
      <c r="E105" s="45"/>
      <c r="F105" s="25">
        <f t="shared" si="8"/>
        <v>0</v>
      </c>
      <c r="G105" s="184"/>
      <c r="H105" s="57" t="s">
        <v>106</v>
      </c>
      <c r="I105" s="235">
        <v>-66373</v>
      </c>
      <c r="J105" s="86" t="s">
        <v>90</v>
      </c>
      <c r="K105" s="195" t="s">
        <v>91</v>
      </c>
      <c r="L105" s="194"/>
      <c r="M105" s="77"/>
      <c r="N105" s="77"/>
      <c r="O105" s="191"/>
    </row>
    <row r="106" s="1" customFormat="1" ht="18" customHeight="1" spans="1:15">
      <c r="A106" s="42"/>
      <c r="B106" s="25">
        <f t="shared" si="7"/>
        <v>0</v>
      </c>
      <c r="C106" s="43"/>
      <c r="D106" s="44"/>
      <c r="E106" s="45"/>
      <c r="F106" s="25">
        <f t="shared" si="8"/>
        <v>0</v>
      </c>
      <c r="G106" s="184"/>
      <c r="H106" s="57" t="s">
        <v>106</v>
      </c>
      <c r="I106" s="210">
        <v>-37965</v>
      </c>
      <c r="J106" s="211" t="s">
        <v>90</v>
      </c>
      <c r="K106" s="212" t="s">
        <v>149</v>
      </c>
      <c r="L106" s="33">
        <v>-37965</v>
      </c>
      <c r="M106" s="151" t="s">
        <v>150</v>
      </c>
      <c r="N106" s="77"/>
      <c r="O106" s="191"/>
    </row>
    <row r="107" s="1" customFormat="1" ht="18" customHeight="1" spans="1:15">
      <c r="A107" s="42"/>
      <c r="B107" s="25">
        <f t="shared" si="7"/>
        <v>0</v>
      </c>
      <c r="C107" s="43"/>
      <c r="D107" s="44"/>
      <c r="E107" s="45"/>
      <c r="F107" s="25">
        <f t="shared" si="8"/>
        <v>0</v>
      </c>
      <c r="G107" s="184"/>
      <c r="H107" s="57" t="s">
        <v>109</v>
      </c>
      <c r="I107" s="235">
        <v>8496</v>
      </c>
      <c r="J107" s="86" t="s">
        <v>77</v>
      </c>
      <c r="K107" s="195" t="s">
        <v>110</v>
      </c>
      <c r="L107" s="194"/>
      <c r="M107" s="77"/>
      <c r="N107" s="77"/>
      <c r="O107" s="191"/>
    </row>
    <row r="108" s="1" customFormat="1" ht="18" customHeight="1" spans="1:17">
      <c r="A108" s="42"/>
      <c r="B108" s="25">
        <f t="shared" si="7"/>
        <v>0</v>
      </c>
      <c r="C108" s="43"/>
      <c r="D108" s="44"/>
      <c r="E108" s="45"/>
      <c r="F108" s="25">
        <f t="shared" si="8"/>
        <v>0</v>
      </c>
      <c r="G108" s="184"/>
      <c r="H108" s="57" t="s">
        <v>109</v>
      </c>
      <c r="I108" s="235">
        <v>212400</v>
      </c>
      <c r="J108" s="86" t="s">
        <v>111</v>
      </c>
      <c r="K108" s="195" t="s">
        <v>112</v>
      </c>
      <c r="L108" s="194"/>
      <c r="M108" s="77"/>
      <c r="N108" s="77"/>
      <c r="O108" s="191"/>
      <c r="Q108" s="1">
        <f>I109+I105+I99+I95+I89+I85+I81+I80</f>
        <v>0</v>
      </c>
    </row>
    <row r="109" s="1" customFormat="1" ht="18" customHeight="1" spans="1:15">
      <c r="A109" s="42"/>
      <c r="B109" s="25">
        <f t="shared" si="7"/>
        <v>0</v>
      </c>
      <c r="C109" s="43"/>
      <c r="D109" s="44"/>
      <c r="E109" s="45"/>
      <c r="F109" s="25">
        <f t="shared" si="8"/>
        <v>0</v>
      </c>
      <c r="G109" s="184"/>
      <c r="H109" s="57" t="s">
        <v>109</v>
      </c>
      <c r="I109" s="235">
        <v>69664</v>
      </c>
      <c r="J109" s="86" t="s">
        <v>94</v>
      </c>
      <c r="K109" s="195" t="s">
        <v>95</v>
      </c>
      <c r="L109" s="194"/>
      <c r="M109" s="77"/>
      <c r="N109" s="77"/>
      <c r="O109" s="191"/>
    </row>
    <row r="110" s="1" customFormat="1" ht="18" customHeight="1" spans="1:15">
      <c r="A110" s="42"/>
      <c r="B110" s="25">
        <f t="shared" si="7"/>
        <v>0</v>
      </c>
      <c r="C110" s="43"/>
      <c r="D110" s="44"/>
      <c r="E110" s="45"/>
      <c r="F110" s="25">
        <f t="shared" si="8"/>
        <v>0</v>
      </c>
      <c r="G110" s="184"/>
      <c r="H110" s="57" t="s">
        <v>109</v>
      </c>
      <c r="I110" s="235">
        <v>14679</v>
      </c>
      <c r="J110" s="86" t="s">
        <v>77</v>
      </c>
      <c r="K110" s="195" t="s">
        <v>146</v>
      </c>
      <c r="L110" s="194"/>
      <c r="M110" s="77"/>
      <c r="N110" s="77"/>
      <c r="O110" s="191"/>
    </row>
    <row r="111" s="1" customFormat="1" ht="18" customHeight="1" spans="1:15">
      <c r="A111" s="42"/>
      <c r="B111" s="25">
        <f t="shared" si="7"/>
        <v>0</v>
      </c>
      <c r="C111" s="43"/>
      <c r="D111" s="44"/>
      <c r="E111" s="45"/>
      <c r="F111" s="25">
        <f t="shared" si="8"/>
        <v>0</v>
      </c>
      <c r="G111" s="184"/>
      <c r="H111" s="57" t="s">
        <v>109</v>
      </c>
      <c r="I111" s="235">
        <v>551</v>
      </c>
      <c r="J111" s="86" t="s">
        <v>77</v>
      </c>
      <c r="K111" s="195" t="s">
        <v>140</v>
      </c>
      <c r="L111" s="194"/>
      <c r="M111" s="77"/>
      <c r="N111" s="77"/>
      <c r="O111" s="191"/>
    </row>
    <row r="112" s="1" customFormat="1" ht="18" customHeight="1" spans="1:15">
      <c r="A112" s="42"/>
      <c r="B112" s="25">
        <f t="shared" si="7"/>
        <v>0</v>
      </c>
      <c r="C112" s="43"/>
      <c r="D112" s="44"/>
      <c r="E112" s="45"/>
      <c r="F112" s="25">
        <f t="shared" si="8"/>
        <v>0</v>
      </c>
      <c r="G112" s="184"/>
      <c r="H112" s="57" t="s">
        <v>109</v>
      </c>
      <c r="I112" s="236">
        <v>45972</v>
      </c>
      <c r="J112" s="211" t="s">
        <v>77</v>
      </c>
      <c r="K112" s="212" t="s">
        <v>148</v>
      </c>
      <c r="L112" s="194"/>
      <c r="M112" s="77"/>
      <c r="N112" s="77"/>
      <c r="O112" s="191"/>
    </row>
    <row r="113" s="1" customFormat="1" ht="18" customHeight="1" spans="1:15">
      <c r="A113" s="42"/>
      <c r="B113" s="25">
        <f t="shared" si="7"/>
        <v>5000</v>
      </c>
      <c r="C113" s="43"/>
      <c r="D113" s="44"/>
      <c r="E113" s="45"/>
      <c r="F113" s="25">
        <f t="shared" si="8"/>
        <v>0</v>
      </c>
      <c r="G113" s="184">
        <v>5000</v>
      </c>
      <c r="H113" s="57" t="s">
        <v>109</v>
      </c>
      <c r="I113" s="235">
        <f>G113</f>
        <v>5000</v>
      </c>
      <c r="J113" s="86" t="s">
        <v>77</v>
      </c>
      <c r="K113" s="195" t="s">
        <v>105</v>
      </c>
      <c r="L113" s="194"/>
      <c r="M113" s="77"/>
      <c r="N113" s="77"/>
      <c r="O113" s="191"/>
    </row>
    <row r="114" s="1" customFormat="1" ht="18" customHeight="1" spans="1:15">
      <c r="A114" s="42"/>
      <c r="B114" s="25">
        <f t="shared" si="7"/>
        <v>0</v>
      </c>
      <c r="C114" s="43"/>
      <c r="D114" s="44"/>
      <c r="E114" s="45"/>
      <c r="F114" s="25">
        <f t="shared" si="8"/>
        <v>0</v>
      </c>
      <c r="G114" s="184"/>
      <c r="H114" s="57" t="s">
        <v>116</v>
      </c>
      <c r="I114" s="235">
        <v>500</v>
      </c>
      <c r="J114" s="86" t="s">
        <v>77</v>
      </c>
      <c r="K114" s="195" t="s">
        <v>117</v>
      </c>
      <c r="L114" s="194"/>
      <c r="M114" s="77"/>
      <c r="N114" s="77"/>
      <c r="O114" s="191"/>
    </row>
    <row r="115" s="1" customFormat="1" ht="18" customHeight="1" spans="1:15">
      <c r="A115" s="42"/>
      <c r="B115" s="25">
        <f t="shared" si="7"/>
        <v>5000</v>
      </c>
      <c r="C115" s="43"/>
      <c r="D115" s="44"/>
      <c r="E115" s="45"/>
      <c r="F115" s="25">
        <f t="shared" si="8"/>
        <v>0</v>
      </c>
      <c r="G115" s="184">
        <f>5000</f>
        <v>5000</v>
      </c>
      <c r="H115" s="57" t="s">
        <v>116</v>
      </c>
      <c r="I115" s="235">
        <f>G115</f>
        <v>5000</v>
      </c>
      <c r="J115" s="86" t="s">
        <v>77</v>
      </c>
      <c r="K115" s="195" t="s">
        <v>105</v>
      </c>
      <c r="L115" s="194"/>
      <c r="M115" s="77"/>
      <c r="N115" s="77"/>
      <c r="O115" s="191"/>
    </row>
    <row r="116" s="1" customFormat="1" ht="18" customHeight="1" spans="1:15">
      <c r="A116" s="42"/>
      <c r="B116" s="25">
        <f t="shared" si="7"/>
        <v>0</v>
      </c>
      <c r="C116" s="43"/>
      <c r="D116" s="44"/>
      <c r="E116" s="45"/>
      <c r="F116" s="25">
        <f t="shared" si="8"/>
        <v>0</v>
      </c>
      <c r="G116" s="184"/>
      <c r="H116" s="57" t="s">
        <v>116</v>
      </c>
      <c r="I116" s="235">
        <v>14679</v>
      </c>
      <c r="J116" s="86" t="s">
        <v>77</v>
      </c>
      <c r="K116" s="195" t="s">
        <v>146</v>
      </c>
      <c r="L116" s="194"/>
      <c r="M116" s="77"/>
      <c r="N116" s="77"/>
      <c r="O116" s="191"/>
    </row>
    <row r="117" s="1" customFormat="1" ht="18" customHeight="1" spans="1:15">
      <c r="A117" s="42"/>
      <c r="B117" s="25">
        <f t="shared" si="7"/>
        <v>0</v>
      </c>
      <c r="C117" s="43"/>
      <c r="D117" s="44"/>
      <c r="E117" s="45"/>
      <c r="F117" s="25">
        <f t="shared" si="8"/>
        <v>0</v>
      </c>
      <c r="G117" s="184"/>
      <c r="H117" s="57" t="s">
        <v>116</v>
      </c>
      <c r="I117" s="235">
        <v>551</v>
      </c>
      <c r="J117" s="86" t="s">
        <v>77</v>
      </c>
      <c r="K117" s="195" t="s">
        <v>140</v>
      </c>
      <c r="L117" s="194"/>
      <c r="M117" s="77"/>
      <c r="N117" s="77"/>
      <c r="O117" s="191"/>
    </row>
    <row r="118" s="1" customFormat="1" ht="18" customHeight="1" spans="1:15">
      <c r="A118" s="42"/>
      <c r="B118" s="25">
        <f t="shared" si="7"/>
        <v>0</v>
      </c>
      <c r="C118" s="43"/>
      <c r="D118" s="44"/>
      <c r="E118" s="45"/>
      <c r="F118" s="25">
        <f t="shared" si="8"/>
        <v>0</v>
      </c>
      <c r="G118" s="184"/>
      <c r="H118" s="57"/>
      <c r="I118" s="33"/>
      <c r="J118" s="86"/>
      <c r="K118" s="195"/>
      <c r="L118" s="194"/>
      <c r="M118" s="77"/>
      <c r="N118" s="77"/>
      <c r="O118" s="191"/>
    </row>
    <row r="119" ht="18" customHeight="1" spans="1:15">
      <c r="A119" s="38" t="s">
        <v>23</v>
      </c>
      <c r="B119" s="123">
        <f>SUM(B17:B118)</f>
        <v>8623181.38</v>
      </c>
      <c r="C119" s="38"/>
      <c r="D119" s="124"/>
      <c r="E119" s="124"/>
      <c r="F119" s="179">
        <f>SUM(F17:F118)</f>
        <v>417082.82</v>
      </c>
      <c r="G119" s="220">
        <f>SUM(G17:G118)</f>
        <v>9040264.2</v>
      </c>
      <c r="H119" s="221"/>
      <c r="I119" s="37">
        <f>SUM(I17:I118)</f>
        <v>7100304.23</v>
      </c>
      <c r="J119" s="226"/>
      <c r="K119" s="124"/>
      <c r="L119" s="180"/>
      <c r="M119" s="40"/>
      <c r="N119" s="40"/>
      <c r="O119" s="180"/>
    </row>
    <row r="120" ht="18" customHeight="1" spans="1:14">
      <c r="A120" s="126" t="s">
        <v>120</v>
      </c>
      <c r="B120" s="127">
        <f>B14*0.936</f>
        <v>7127339.44954129</v>
      </c>
      <c r="C120" s="126"/>
      <c r="D120" s="128"/>
      <c r="E120" s="128"/>
      <c r="F120" s="127"/>
      <c r="G120" s="127">
        <f>G14-G119</f>
        <v>-1940264.2</v>
      </c>
      <c r="H120" s="29" t="s">
        <v>121</v>
      </c>
      <c r="I120" s="37">
        <f>I14-I119</f>
        <v>-304.230000000447</v>
      </c>
      <c r="J120" s="14"/>
      <c r="K120" s="227"/>
      <c r="M120" s="13"/>
      <c r="N120" s="13"/>
    </row>
    <row r="121" ht="18" customHeight="1" spans="1:14">
      <c r="A121" s="126" t="s">
        <v>122</v>
      </c>
      <c r="B121" s="127">
        <f>B120-B119</f>
        <v>-1495841.93045871</v>
      </c>
      <c r="C121" s="126"/>
      <c r="D121" s="128"/>
      <c r="E121" s="128"/>
      <c r="F121" s="127"/>
      <c r="G121" s="127"/>
      <c r="H121" s="130"/>
      <c r="I121" s="127"/>
      <c r="J121" s="14"/>
      <c r="K121" s="227"/>
      <c r="M121" s="13"/>
      <c r="N121" s="13"/>
    </row>
    <row r="122" ht="18" customHeight="1" spans="1:13">
      <c r="A122" s="7" t="s">
        <v>124</v>
      </c>
      <c r="C122" s="7"/>
      <c r="M122" s="14">
        <f>K124+L124</f>
        <v>67683.93880734</v>
      </c>
    </row>
    <row r="123" ht="18" customHeight="1" spans="1:18">
      <c r="A123" s="29" t="s">
        <v>125</v>
      </c>
      <c r="B123" s="28" t="s">
        <v>126</v>
      </c>
      <c r="C123" s="180"/>
      <c r="D123" s="29" t="s">
        <v>125</v>
      </c>
      <c r="E123" s="27" t="s">
        <v>17</v>
      </c>
      <c r="F123" s="28" t="s">
        <v>126</v>
      </c>
      <c r="G123" s="8" t="s">
        <v>127</v>
      </c>
      <c r="H123" s="28" t="s">
        <v>128</v>
      </c>
      <c r="I123" s="28" t="s">
        <v>129</v>
      </c>
      <c r="J123" s="176" t="s">
        <v>130</v>
      </c>
      <c r="K123" s="28" t="s">
        <v>131</v>
      </c>
      <c r="L123" s="28" t="s">
        <v>132</v>
      </c>
      <c r="M123" s="28" t="s">
        <v>133</v>
      </c>
      <c r="O123" s="228" t="s">
        <v>166</v>
      </c>
      <c r="P123" s="229" t="s">
        <v>167</v>
      </c>
      <c r="Q123" s="29" t="s">
        <v>181</v>
      </c>
      <c r="R123" s="29"/>
    </row>
    <row r="124" ht="18" customHeight="1" spans="1:18">
      <c r="A124" s="180" t="s">
        <v>134</v>
      </c>
      <c r="B124" s="25">
        <f>(B120-B119)*0.25</f>
        <v>-373960.482614679</v>
      </c>
      <c r="C124" s="180"/>
      <c r="D124" s="36" t="s">
        <v>135</v>
      </c>
      <c r="E124" s="29" t="s">
        <v>136</v>
      </c>
      <c r="F124" s="179">
        <f>F14-F119</f>
        <v>115944.70293578</v>
      </c>
      <c r="G124" s="8">
        <v>64220.1834862385</v>
      </c>
      <c r="H124" s="179">
        <v>0</v>
      </c>
      <c r="I124" s="179">
        <f>F7+F8-F17-F18</f>
        <v>41792.0369724771</v>
      </c>
      <c r="J124" s="179">
        <f>-F21</f>
        <v>-34513.27</v>
      </c>
      <c r="K124" s="141">
        <f>F9</f>
        <v>109174.311926606</v>
      </c>
      <c r="L124" s="179">
        <f>F10+F12-F23-F26-F28-F32-F33-F35</f>
        <v>-41490.373119266</v>
      </c>
      <c r="M124" s="141">
        <f>-F38-F43</f>
        <v>-80618.16</v>
      </c>
      <c r="O124" s="228">
        <f>F12</f>
        <v>25688.0733944954</v>
      </c>
      <c r="P124" s="229">
        <f>-O124</f>
        <v>-25688.0733944954</v>
      </c>
      <c r="Q124" s="40">
        <f>F124-I124-J124-'12次'!K96-'12次'!L96-'12次'!M96</f>
        <v>18847.8635779815</v>
      </c>
      <c r="R124" s="40"/>
    </row>
    <row r="125" ht="18" customHeight="1" spans="1:18">
      <c r="A125" s="180" t="s">
        <v>137</v>
      </c>
      <c r="B125" s="222" t="s">
        <v>138</v>
      </c>
      <c r="C125" s="180"/>
      <c r="D125" s="223" t="s">
        <v>139</v>
      </c>
      <c r="E125" s="21">
        <v>0.07</v>
      </c>
      <c r="F125" s="31">
        <f>F124*E125</f>
        <v>8116.12920550461</v>
      </c>
      <c r="G125" s="8">
        <v>3211.00917431193</v>
      </c>
      <c r="H125" s="31">
        <v>0</v>
      </c>
      <c r="I125" s="31">
        <f>I124*E125</f>
        <v>2925.44258807339</v>
      </c>
      <c r="J125" s="31">
        <f>J124*E125</f>
        <v>-2415.9289</v>
      </c>
      <c r="K125" s="33">
        <f>K124*E125</f>
        <v>7642.20183486239</v>
      </c>
      <c r="L125" s="31">
        <f>L124*E125</f>
        <v>-2904.32611834862</v>
      </c>
      <c r="M125" s="33">
        <f>M124*E125</f>
        <v>-5643.2712</v>
      </c>
      <c r="O125" s="230"/>
      <c r="P125" s="231"/>
      <c r="Q125" s="40">
        <f>Q124*E125</f>
        <v>1319.35045045871</v>
      </c>
      <c r="R125" s="40"/>
    </row>
    <row r="126" ht="18" customHeight="1" spans="1:18">
      <c r="A126" s="180" t="s">
        <v>140</v>
      </c>
      <c r="B126" s="222"/>
      <c r="C126" s="180"/>
      <c r="D126" s="223" t="s">
        <v>141</v>
      </c>
      <c r="E126" s="21">
        <v>0.03</v>
      </c>
      <c r="F126" s="31">
        <f>F124*E126</f>
        <v>3478.3410880734</v>
      </c>
      <c r="G126" s="8">
        <v>1926.60550458716</v>
      </c>
      <c r="H126" s="31">
        <v>0</v>
      </c>
      <c r="I126" s="31">
        <f>I124*E126</f>
        <v>1253.76110917431</v>
      </c>
      <c r="J126" s="31">
        <f>J124*E126</f>
        <v>-1035.3981</v>
      </c>
      <c r="K126" s="33">
        <f>K124*E126</f>
        <v>3275.22935779817</v>
      </c>
      <c r="L126" s="31">
        <f>L124*E126</f>
        <v>-1244.71119357798</v>
      </c>
      <c r="M126" s="33">
        <f>M124*E126</f>
        <v>-2418.5448</v>
      </c>
      <c r="O126" s="230"/>
      <c r="P126" s="231"/>
      <c r="Q126" s="40">
        <f>Q124*E126</f>
        <v>565.435907339445</v>
      </c>
      <c r="R126" s="40"/>
    </row>
    <row r="127" ht="18" customHeight="1" spans="1:18">
      <c r="A127" s="180"/>
      <c r="B127" s="31"/>
      <c r="C127" s="180"/>
      <c r="D127" s="223" t="s">
        <v>142</v>
      </c>
      <c r="E127" s="21">
        <v>0.02</v>
      </c>
      <c r="F127" s="31">
        <f>F124*E127</f>
        <v>2318.8940587156</v>
      </c>
      <c r="G127" s="8">
        <v>1284.40366972477</v>
      </c>
      <c r="H127" s="31">
        <v>0</v>
      </c>
      <c r="I127" s="31">
        <f>I124*E127</f>
        <v>835.840739449541</v>
      </c>
      <c r="J127" s="31">
        <f>J124*E127</f>
        <v>-690.2654</v>
      </c>
      <c r="K127" s="33">
        <f>K124*E127</f>
        <v>2183.48623853211</v>
      </c>
      <c r="L127" s="31">
        <f>L124*E127</f>
        <v>-829.807462385321</v>
      </c>
      <c r="M127" s="33">
        <f>M124*E127</f>
        <v>-1612.3632</v>
      </c>
      <c r="O127" s="230"/>
      <c r="P127" s="231"/>
      <c r="Q127" s="40">
        <f>Q124*E127</f>
        <v>376.95727155963</v>
      </c>
      <c r="R127" s="40"/>
    </row>
    <row r="128" ht="18" customHeight="1" spans="1:18">
      <c r="A128" s="36" t="s">
        <v>143</v>
      </c>
      <c r="B128" s="123">
        <f>SUM(B124:B127)</f>
        <v>-373960.482614679</v>
      </c>
      <c r="C128" s="180"/>
      <c r="D128" s="41" t="s">
        <v>143</v>
      </c>
      <c r="E128" s="36"/>
      <c r="F128" s="179">
        <f t="shared" ref="F128:M128" si="9">SUM(F124:F127)</f>
        <v>129858.067288074</v>
      </c>
      <c r="G128" s="8">
        <v>70642.2018348624</v>
      </c>
      <c r="H128" s="179">
        <v>0</v>
      </c>
      <c r="I128" s="179">
        <f>SUM(I123:I127)</f>
        <v>46807.0814091743</v>
      </c>
      <c r="J128" s="179">
        <f t="shared" si="9"/>
        <v>-38654.8624</v>
      </c>
      <c r="K128" s="141">
        <f t="shared" si="9"/>
        <v>122275.229357799</v>
      </c>
      <c r="L128" s="179">
        <f t="shared" si="9"/>
        <v>-46469.2178935779</v>
      </c>
      <c r="M128" s="141">
        <f t="shared" si="9"/>
        <v>-90292.3392</v>
      </c>
      <c r="O128" s="228">
        <f>O124*1.12</f>
        <v>28770.6422018349</v>
      </c>
      <c r="P128" s="231">
        <f>-O128</f>
        <v>-28770.6422018349</v>
      </c>
      <c r="Q128" s="40"/>
      <c r="R128" s="40"/>
    </row>
    <row r="129" ht="18" customHeight="1" spans="3:18">
      <c r="C129" s="7"/>
      <c r="D129" s="19" t="s">
        <v>140</v>
      </c>
      <c r="E129" s="224">
        <v>0.0006</v>
      </c>
      <c r="F129" s="31">
        <f>B14*E129</f>
        <v>4568.80733944954</v>
      </c>
      <c r="H129" s="31">
        <f>B7*E129</f>
        <v>550.45871559633</v>
      </c>
      <c r="I129" s="31">
        <f>B8*E129</f>
        <v>550.45871559633</v>
      </c>
      <c r="K129" s="31">
        <f>B9*E129</f>
        <v>935.779816513761</v>
      </c>
      <c r="L129" s="31">
        <f>(B10+B12)*E129</f>
        <v>770.642201834862</v>
      </c>
      <c r="O129" s="230">
        <f>B12*E129</f>
        <v>220.183486238532</v>
      </c>
      <c r="Q129" s="40">
        <f>E129*B13</f>
        <v>660.550458715596</v>
      </c>
      <c r="R129" s="40"/>
    </row>
    <row r="130" ht="18" customHeight="1" spans="3:18">
      <c r="C130" s="7"/>
      <c r="D130" s="27" t="s">
        <v>143</v>
      </c>
      <c r="E130" s="124"/>
      <c r="F130" s="37">
        <f t="shared" ref="F130:I130" si="10">F129</f>
        <v>4568.80733944954</v>
      </c>
      <c r="H130" s="37">
        <f t="shared" si="10"/>
        <v>550.45871559633</v>
      </c>
      <c r="I130" s="37">
        <f t="shared" si="10"/>
        <v>550.45871559633</v>
      </c>
      <c r="O130" s="221" t="s">
        <v>168</v>
      </c>
      <c r="P130" s="232" t="s">
        <v>169</v>
      </c>
      <c r="Q130" s="40"/>
      <c r="R130" s="40"/>
    </row>
    <row r="131" ht="18" customHeight="1" spans="3:18">
      <c r="C131" s="7"/>
      <c r="D131" s="27" t="s">
        <v>23</v>
      </c>
      <c r="E131" s="38"/>
      <c r="F131" s="37">
        <f t="shared" ref="F131:I131" si="11">F128+F130</f>
        <v>134426.874627523</v>
      </c>
      <c r="H131" s="37">
        <f t="shared" si="11"/>
        <v>550.45871559633</v>
      </c>
      <c r="I131" s="37">
        <f t="shared" si="11"/>
        <v>47357.5401247706</v>
      </c>
      <c r="O131" s="221"/>
      <c r="Q131" s="40"/>
      <c r="R131" s="40"/>
    </row>
    <row r="132" ht="18" customHeight="1" spans="3:18">
      <c r="C132" s="7"/>
      <c r="D132" s="38" t="s">
        <v>134</v>
      </c>
      <c r="E132" s="124">
        <v>0.016</v>
      </c>
      <c r="F132" s="37">
        <f>B14*E132</f>
        <v>121834.862385321</v>
      </c>
      <c r="G132" s="225" t="s">
        <v>144</v>
      </c>
      <c r="H132" s="37">
        <f>B7*E132</f>
        <v>14678.8990825688</v>
      </c>
      <c r="I132" s="37">
        <f>B8*E132</f>
        <v>14678.8990825688</v>
      </c>
      <c r="K132" s="37">
        <f>B9*E132</f>
        <v>24954.128440367</v>
      </c>
      <c r="L132" s="37">
        <f>SUM(G10:G12)*E132</f>
        <v>54400</v>
      </c>
      <c r="O132" s="221">
        <f>G12*E132</f>
        <v>6400</v>
      </c>
      <c r="Q132" s="40">
        <f>E132*G13</f>
        <v>19200</v>
      </c>
      <c r="R132" s="40"/>
    </row>
    <row r="133" ht="18" customHeight="1" spans="3:18">
      <c r="C133" s="7"/>
      <c r="G133" s="8" t="s">
        <v>145</v>
      </c>
      <c r="I133" s="8">
        <f>B121*0.25</f>
        <v>-373960.482614679</v>
      </c>
      <c r="Q133" s="180" t="s">
        <v>182</v>
      </c>
      <c r="R133" s="233">
        <f>Q124+Q125+Q126+Q127+Q129+Q132</f>
        <v>40970.1576660549</v>
      </c>
    </row>
    <row r="134" ht="18" customHeight="1" spans="3:11">
      <c r="C134" s="7"/>
      <c r="I134" s="8">
        <f>B121*0.25</f>
        <v>-373960.482614679</v>
      </c>
      <c r="K134" s="9">
        <f>'12次'!I96+'12次'!J96+'12次'!K96+'12次'!L96+'12次'!M96</f>
        <v>97096.8393577986</v>
      </c>
    </row>
    <row r="135" ht="18" customHeight="1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</sheetData>
  <autoFilter ref="A16:Q134">
    <extLst/>
  </autoFilter>
  <mergeCells count="18">
    <mergeCell ref="A1:J1"/>
    <mergeCell ref="H2:J2"/>
    <mergeCell ref="C5:D5"/>
    <mergeCell ref="E5:F5"/>
    <mergeCell ref="H5:J5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6"/>
  <sheetViews>
    <sheetView topLeftCell="E54" workbookViewId="0">
      <selection activeCell="K62" sqref="K62"/>
    </sheetView>
  </sheetViews>
  <sheetFormatPr defaultColWidth="9" defaultRowHeight="11.25"/>
  <cols>
    <col min="1" max="1" width="10.75" style="7" customWidth="1"/>
    <col min="2" max="2" width="13.125" style="8" customWidth="1"/>
    <col min="3" max="3" width="6" style="9" customWidth="1"/>
    <col min="4" max="4" width="13.375" style="9" customWidth="1"/>
    <col min="5" max="5" width="6" style="9" customWidth="1"/>
    <col min="6" max="6" width="13.125" style="8" customWidth="1"/>
    <col min="7" max="7" width="12.125" style="8" customWidth="1"/>
    <col min="8" max="8" width="11.5" style="9" customWidth="1"/>
    <col min="9" max="9" width="13.875" style="8" customWidth="1"/>
    <col min="10" max="10" width="11" style="176" customWidth="1"/>
    <col min="11" max="11" width="31.5" style="14" customWidth="1"/>
    <col min="12" max="12" width="12.75" style="14" customWidth="1"/>
    <col min="13" max="13" width="13.5" style="14" customWidth="1"/>
    <col min="14" max="14" width="5.625" style="14" customWidth="1"/>
    <col min="15" max="15" width="11.125" style="14" customWidth="1"/>
    <col min="16" max="16" width="12" style="14" customWidth="1"/>
    <col min="17" max="17" width="10.375" style="14"/>
    <col min="18" max="18" width="9.625" style="14"/>
    <col min="19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7" t="s">
        <v>1</v>
      </c>
      <c r="B2" s="18">
        <v>43460</v>
      </c>
      <c r="C2" s="19" t="s">
        <v>2</v>
      </c>
      <c r="D2" s="20">
        <v>10525434</v>
      </c>
      <c r="E2" s="21" t="s">
        <v>3</v>
      </c>
      <c r="F2" s="22" t="s">
        <v>4</v>
      </c>
      <c r="G2" s="23" t="s">
        <v>5</v>
      </c>
      <c r="H2" s="177" t="s">
        <v>6</v>
      </c>
      <c r="I2" s="187"/>
      <c r="J2" s="188"/>
      <c r="K2" s="26"/>
      <c r="L2" s="26"/>
    </row>
    <row r="3" ht="18" customHeight="1" spans="1:12">
      <c r="A3" s="17" t="s">
        <v>7</v>
      </c>
      <c r="B3" s="25"/>
      <c r="C3" s="19" t="s">
        <v>8</v>
      </c>
      <c r="D3" s="19"/>
      <c r="H3" s="26"/>
      <c r="I3" s="72"/>
      <c r="J3" s="26"/>
      <c r="K3" s="26"/>
      <c r="L3" s="26"/>
    </row>
    <row r="4" ht="18" customHeight="1" spans="1:12">
      <c r="A4" s="7" t="s">
        <v>9</v>
      </c>
      <c r="H4" s="26"/>
      <c r="I4" s="72"/>
      <c r="J4" s="26"/>
      <c r="K4" s="26" t="s">
        <v>10</v>
      </c>
      <c r="L4" s="26"/>
    </row>
    <row r="5" ht="18" customHeight="1" spans="1:10">
      <c r="A5" s="27" t="s">
        <v>11</v>
      </c>
      <c r="B5" s="28" t="s">
        <v>12</v>
      </c>
      <c r="C5" s="27" t="s">
        <v>13</v>
      </c>
      <c r="D5" s="27"/>
      <c r="E5" s="27" t="s">
        <v>14</v>
      </c>
      <c r="F5" s="28"/>
      <c r="G5" s="28" t="s">
        <v>15</v>
      </c>
      <c r="H5" s="29" t="s">
        <v>16</v>
      </c>
      <c r="I5" s="28"/>
      <c r="J5" s="29"/>
    </row>
    <row r="6" ht="18" customHeight="1" spans="1:10">
      <c r="A6" s="27"/>
      <c r="B6" s="28"/>
      <c r="C6" s="27" t="s">
        <v>17</v>
      </c>
      <c r="D6" s="27" t="s">
        <v>18</v>
      </c>
      <c r="E6" s="27" t="s">
        <v>17</v>
      </c>
      <c r="F6" s="28" t="s">
        <v>18</v>
      </c>
      <c r="G6" s="28"/>
      <c r="H6" s="29" t="s">
        <v>19</v>
      </c>
      <c r="I6" s="28" t="s">
        <v>20</v>
      </c>
      <c r="J6" s="29" t="s">
        <v>21</v>
      </c>
    </row>
    <row r="7" ht="18" customHeight="1" spans="1:10">
      <c r="A7" s="30">
        <v>43620</v>
      </c>
      <c r="B7" s="31">
        <f t="shared" ref="B7:B13" si="0">G7/(1+C7+E7)</f>
        <v>917431.19266055</v>
      </c>
      <c r="C7" s="32">
        <v>0.02</v>
      </c>
      <c r="D7" s="33">
        <f t="shared" ref="D7:D13" si="1">G7/(1+E7+C7)*C7</f>
        <v>18348.623853211</v>
      </c>
      <c r="E7" s="32">
        <v>0.07</v>
      </c>
      <c r="F7" s="31">
        <f t="shared" ref="F7:F13" si="2">G7/(1+C7+E7)*E7</f>
        <v>64220.1834862385</v>
      </c>
      <c r="G7" s="178">
        <v>1000000</v>
      </c>
      <c r="H7" s="30">
        <v>43627</v>
      </c>
      <c r="I7" s="31">
        <v>1000000</v>
      </c>
      <c r="J7" s="40" t="s">
        <v>22</v>
      </c>
    </row>
    <row r="8" ht="18" customHeight="1" spans="1:10">
      <c r="A8" s="30">
        <v>43773</v>
      </c>
      <c r="B8" s="31">
        <f t="shared" si="0"/>
        <v>917431.19266055</v>
      </c>
      <c r="C8" s="32">
        <v>0.02</v>
      </c>
      <c r="D8" s="33">
        <f t="shared" si="1"/>
        <v>18348.623853211</v>
      </c>
      <c r="E8" s="35">
        <v>0.07</v>
      </c>
      <c r="F8" s="31">
        <f t="shared" si="2"/>
        <v>64220.1834862385</v>
      </c>
      <c r="G8" s="178">
        <v>1000000</v>
      </c>
      <c r="H8" s="30">
        <v>43782</v>
      </c>
      <c r="I8" s="31">
        <v>1000000</v>
      </c>
      <c r="J8" s="40" t="s">
        <v>22</v>
      </c>
    </row>
    <row r="9" ht="18" customHeight="1" spans="1:10">
      <c r="A9" s="30">
        <v>43805</v>
      </c>
      <c r="B9" s="31">
        <f t="shared" si="0"/>
        <v>1559633.02752294</v>
      </c>
      <c r="C9" s="32">
        <v>0.02</v>
      </c>
      <c r="D9" s="33">
        <f t="shared" si="1"/>
        <v>31192.6605504587</v>
      </c>
      <c r="E9" s="35">
        <v>0.07</v>
      </c>
      <c r="F9" s="31">
        <f t="shared" si="2"/>
        <v>109174.311926606</v>
      </c>
      <c r="G9" s="178">
        <v>1700000</v>
      </c>
      <c r="H9" s="30">
        <v>43812</v>
      </c>
      <c r="I9" s="31">
        <v>1700000</v>
      </c>
      <c r="J9" s="40" t="s">
        <v>22</v>
      </c>
    </row>
    <row r="10" ht="18" customHeight="1" spans="1:11">
      <c r="A10" s="30">
        <v>43832</v>
      </c>
      <c r="B10" s="31">
        <f t="shared" si="0"/>
        <v>917431.19266055</v>
      </c>
      <c r="C10" s="32">
        <v>0.02</v>
      </c>
      <c r="D10" s="33">
        <f t="shared" si="1"/>
        <v>18348.623853211</v>
      </c>
      <c r="E10" s="35">
        <v>0.07</v>
      </c>
      <c r="F10" s="31">
        <f t="shared" si="2"/>
        <v>64220.1834862385</v>
      </c>
      <c r="G10" s="178">
        <v>1000000</v>
      </c>
      <c r="H10" s="30">
        <v>43845</v>
      </c>
      <c r="I10" s="31">
        <v>1000000</v>
      </c>
      <c r="J10" s="40" t="s">
        <v>22</v>
      </c>
      <c r="K10" s="14">
        <v>621059.67</v>
      </c>
    </row>
    <row r="11" ht="18" customHeight="1" spans="1:10">
      <c r="A11" s="30">
        <v>43843</v>
      </c>
      <c r="B11" s="31">
        <f t="shared" si="0"/>
        <v>1834862.3853211</v>
      </c>
      <c r="C11" s="35">
        <v>0.02</v>
      </c>
      <c r="D11" s="33">
        <f t="shared" si="1"/>
        <v>36697.247706422</v>
      </c>
      <c r="E11" s="35">
        <v>0.07</v>
      </c>
      <c r="F11" s="31">
        <f t="shared" si="2"/>
        <v>128440.366972477</v>
      </c>
      <c r="G11" s="178">
        <v>2000000</v>
      </c>
      <c r="H11" s="30">
        <v>43852</v>
      </c>
      <c r="I11" s="31">
        <v>2000000</v>
      </c>
      <c r="J11" s="40" t="s">
        <v>22</v>
      </c>
    </row>
    <row r="12" ht="18" customHeight="1" spans="1:10">
      <c r="A12" s="30">
        <v>44046</v>
      </c>
      <c r="B12" s="31">
        <f t="shared" si="0"/>
        <v>366972.47706422</v>
      </c>
      <c r="C12" s="35">
        <v>0.02</v>
      </c>
      <c r="D12" s="33">
        <f t="shared" si="1"/>
        <v>7339.4495412844</v>
      </c>
      <c r="E12" s="35">
        <v>0.07</v>
      </c>
      <c r="F12" s="31">
        <f t="shared" si="2"/>
        <v>25688.0733944954</v>
      </c>
      <c r="G12" s="178">
        <v>400000</v>
      </c>
      <c r="H12" s="30">
        <v>44056</v>
      </c>
      <c r="I12" s="31">
        <v>400000</v>
      </c>
      <c r="J12" s="40" t="s">
        <v>22</v>
      </c>
    </row>
    <row r="13" ht="18" customHeight="1" spans="1:10">
      <c r="A13" s="30">
        <v>44098</v>
      </c>
      <c r="B13" s="31">
        <f t="shared" si="0"/>
        <v>1100917.43119266</v>
      </c>
      <c r="C13" s="35">
        <v>0.02</v>
      </c>
      <c r="D13" s="33">
        <f t="shared" si="1"/>
        <v>22018.3486238532</v>
      </c>
      <c r="E13" s="35">
        <v>0.07</v>
      </c>
      <c r="F13" s="31">
        <f t="shared" si="2"/>
        <v>77064.2201834862</v>
      </c>
      <c r="G13" s="178">
        <v>1200000</v>
      </c>
      <c r="H13" s="30">
        <v>44102</v>
      </c>
      <c r="I13" s="31">
        <v>500000</v>
      </c>
      <c r="J13" s="40" t="s">
        <v>22</v>
      </c>
    </row>
    <row r="14" ht="18" customHeight="1" spans="1:10">
      <c r="A14" s="36" t="s">
        <v>23</v>
      </c>
      <c r="B14" s="37">
        <f>SUM(B7:B13)</f>
        <v>7614678.89908257</v>
      </c>
      <c r="C14" s="38"/>
      <c r="D14" s="37">
        <f>SUM(D7:D12)</f>
        <v>130275.229357798</v>
      </c>
      <c r="E14" s="38"/>
      <c r="F14" s="179">
        <f>SUM(F7:F13)</f>
        <v>533027.52293578</v>
      </c>
      <c r="G14" s="37">
        <f>SUM(G7:G12)</f>
        <v>7100000</v>
      </c>
      <c r="H14" s="180"/>
      <c r="I14" s="37">
        <f>SUM(I7:I13)</f>
        <v>7600000</v>
      </c>
      <c r="J14" s="180"/>
    </row>
    <row r="15" ht="18" customHeight="1" spans="1:15">
      <c r="A15" s="7" t="s">
        <v>24</v>
      </c>
      <c r="J15" s="9"/>
      <c r="K15" s="26" t="s">
        <v>25</v>
      </c>
      <c r="L15" s="176"/>
      <c r="O15" s="189">
        <f>O18+O21+O23+O32+O35</f>
        <v>2519.89</v>
      </c>
    </row>
    <row r="16" ht="18" customHeight="1" spans="1:15">
      <c r="A16" s="41" t="s">
        <v>26</v>
      </c>
      <c r="B16" s="28" t="s">
        <v>27</v>
      </c>
      <c r="C16" s="27" t="s">
        <v>28</v>
      </c>
      <c r="D16" s="27" t="s">
        <v>29</v>
      </c>
      <c r="E16" s="27" t="s">
        <v>17</v>
      </c>
      <c r="F16" s="28" t="s">
        <v>30</v>
      </c>
      <c r="G16" s="28" t="s">
        <v>15</v>
      </c>
      <c r="H16" s="27" t="s">
        <v>31</v>
      </c>
      <c r="I16" s="28" t="s">
        <v>32</v>
      </c>
      <c r="J16" s="27" t="s">
        <v>21</v>
      </c>
      <c r="K16" s="74" t="s">
        <v>33</v>
      </c>
      <c r="L16" s="29" t="s">
        <v>34</v>
      </c>
      <c r="M16" s="29" t="s">
        <v>35</v>
      </c>
      <c r="N16" s="29" t="s">
        <v>36</v>
      </c>
      <c r="O16" s="29" t="s">
        <v>37</v>
      </c>
    </row>
    <row r="17" s="1" customFormat="1" ht="18" customHeight="1" spans="1:15">
      <c r="A17" s="42">
        <v>43617</v>
      </c>
      <c r="B17" s="25">
        <f t="shared" ref="B17:B60" si="3">ROUND(G17/(1+E17),2)</f>
        <v>970873.79</v>
      </c>
      <c r="C17" s="43"/>
      <c r="D17" s="44" t="s">
        <v>38</v>
      </c>
      <c r="E17" s="45">
        <v>0.03</v>
      </c>
      <c r="F17" s="25">
        <f t="shared" ref="F17:F60" si="4">ROUND(G17/(1+E17)*E17,2)</f>
        <v>29126.21</v>
      </c>
      <c r="G17" s="178">
        <v>1000000</v>
      </c>
      <c r="H17" s="30">
        <v>43640</v>
      </c>
      <c r="I17" s="31">
        <v>300000</v>
      </c>
      <c r="J17" s="40" t="s">
        <v>22</v>
      </c>
      <c r="K17" s="190" t="s">
        <v>39</v>
      </c>
      <c r="L17" s="191" t="s">
        <v>40</v>
      </c>
      <c r="M17" s="77" t="s">
        <v>41</v>
      </c>
      <c r="N17" s="77"/>
      <c r="O17" s="191"/>
    </row>
    <row r="18" s="1" customFormat="1" ht="18" customHeight="1" spans="1:15">
      <c r="A18" s="42">
        <v>43617</v>
      </c>
      <c r="B18" s="25">
        <f t="shared" si="3"/>
        <v>442477.88</v>
      </c>
      <c r="C18" s="43"/>
      <c r="D18" s="44" t="s">
        <v>38</v>
      </c>
      <c r="E18" s="45">
        <v>0.13</v>
      </c>
      <c r="F18" s="25">
        <f t="shared" si="4"/>
        <v>57522.12</v>
      </c>
      <c r="G18" s="178">
        <f>100000*5</f>
        <v>500000</v>
      </c>
      <c r="H18" s="30">
        <v>43640</v>
      </c>
      <c r="I18" s="31">
        <v>500000</v>
      </c>
      <c r="J18" s="40" t="s">
        <v>22</v>
      </c>
      <c r="K18" s="190" t="s">
        <v>42</v>
      </c>
      <c r="L18" s="191" t="s">
        <v>160</v>
      </c>
      <c r="M18" s="77" t="s">
        <v>41</v>
      </c>
      <c r="N18" s="77" t="s">
        <v>41</v>
      </c>
      <c r="O18" s="192">
        <v>119.5</v>
      </c>
    </row>
    <row r="19" s="1" customFormat="1" ht="18" customHeight="1" spans="1:15">
      <c r="A19" s="42">
        <v>43678</v>
      </c>
      <c r="B19" s="25">
        <f t="shared" si="3"/>
        <v>99500</v>
      </c>
      <c r="C19" s="43"/>
      <c r="D19" s="44" t="s">
        <v>44</v>
      </c>
      <c r="E19" s="45"/>
      <c r="F19" s="25">
        <f t="shared" si="4"/>
        <v>0</v>
      </c>
      <c r="G19" s="178">
        <v>99500</v>
      </c>
      <c r="H19" s="30">
        <v>43682</v>
      </c>
      <c r="I19" s="31">
        <v>99500</v>
      </c>
      <c r="J19" s="40" t="s">
        <v>45</v>
      </c>
      <c r="K19" s="190" t="s">
        <v>46</v>
      </c>
      <c r="L19" s="191" t="s">
        <v>47</v>
      </c>
      <c r="M19" s="77"/>
      <c r="N19" s="77"/>
      <c r="O19" s="191"/>
    </row>
    <row r="20" s="1" customFormat="1" ht="18" customHeight="1" spans="1:15">
      <c r="A20" s="42">
        <v>43739</v>
      </c>
      <c r="B20" s="25">
        <f t="shared" si="3"/>
        <v>4000</v>
      </c>
      <c r="C20" s="43"/>
      <c r="D20" s="44" t="s">
        <v>44</v>
      </c>
      <c r="E20" s="45"/>
      <c r="F20" s="25">
        <f t="shared" si="4"/>
        <v>0</v>
      </c>
      <c r="G20" s="178">
        <v>4000</v>
      </c>
      <c r="H20" s="30"/>
      <c r="I20" s="31"/>
      <c r="J20" s="40"/>
      <c r="K20" s="190" t="s">
        <v>48</v>
      </c>
      <c r="L20" s="191" t="s">
        <v>49</v>
      </c>
      <c r="M20" s="77"/>
      <c r="N20" s="77"/>
      <c r="O20" s="191"/>
    </row>
    <row r="21" s="1" customFormat="1" ht="18" customHeight="1" spans="1:15">
      <c r="A21" s="42">
        <v>43770</v>
      </c>
      <c r="B21" s="25">
        <f t="shared" si="3"/>
        <v>265486.73</v>
      </c>
      <c r="C21" s="43"/>
      <c r="D21" s="44" t="s">
        <v>38</v>
      </c>
      <c r="E21" s="47">
        <v>0.13</v>
      </c>
      <c r="F21" s="25">
        <f t="shared" si="4"/>
        <v>34513.27</v>
      </c>
      <c r="G21" s="178">
        <f>100000*3</f>
        <v>300000</v>
      </c>
      <c r="H21" s="30">
        <v>43784</v>
      </c>
      <c r="I21" s="31">
        <v>300000</v>
      </c>
      <c r="J21" s="40" t="s">
        <v>22</v>
      </c>
      <c r="K21" s="190" t="s">
        <v>42</v>
      </c>
      <c r="L21" s="191" t="s">
        <v>50</v>
      </c>
      <c r="M21" s="77" t="s">
        <v>41</v>
      </c>
      <c r="N21" s="77" t="s">
        <v>41</v>
      </c>
      <c r="O21" s="192">
        <v>923.01</v>
      </c>
    </row>
    <row r="22" s="1" customFormat="1" ht="18" customHeight="1" spans="1:15">
      <c r="A22" s="42"/>
      <c r="B22" s="25">
        <f t="shared" si="3"/>
        <v>0</v>
      </c>
      <c r="C22" s="43"/>
      <c r="D22" s="44"/>
      <c r="E22" s="45"/>
      <c r="F22" s="25">
        <f t="shared" si="4"/>
        <v>0</v>
      </c>
      <c r="G22" s="178"/>
      <c r="H22" s="30">
        <v>43784</v>
      </c>
      <c r="I22" s="31">
        <v>300000</v>
      </c>
      <c r="J22" s="40" t="s">
        <v>22</v>
      </c>
      <c r="K22" s="190" t="s">
        <v>39</v>
      </c>
      <c r="L22" s="191" t="s">
        <v>51</v>
      </c>
      <c r="M22" s="77"/>
      <c r="N22" s="77"/>
      <c r="O22" s="191"/>
    </row>
    <row r="23" s="1" customFormat="1" ht="18" customHeight="1" spans="1:15">
      <c r="A23" s="42">
        <v>43800</v>
      </c>
      <c r="B23" s="25">
        <f t="shared" si="3"/>
        <v>159292.04</v>
      </c>
      <c r="C23" s="43"/>
      <c r="D23" s="44" t="s">
        <v>38</v>
      </c>
      <c r="E23" s="47">
        <v>0.13</v>
      </c>
      <c r="F23" s="25">
        <f t="shared" si="4"/>
        <v>20707.96</v>
      </c>
      <c r="G23" s="178">
        <v>180000</v>
      </c>
      <c r="H23" s="30">
        <v>43798</v>
      </c>
      <c r="I23" s="31">
        <v>180000</v>
      </c>
      <c r="J23" s="40" t="s">
        <v>22</v>
      </c>
      <c r="K23" s="190" t="s">
        <v>42</v>
      </c>
      <c r="L23" s="191" t="s">
        <v>52</v>
      </c>
      <c r="M23" s="77" t="s">
        <v>41</v>
      </c>
      <c r="N23" s="77"/>
      <c r="O23" s="192">
        <v>321.43</v>
      </c>
    </row>
    <row r="24" s="1" customFormat="1" ht="18" customHeight="1" spans="1:15">
      <c r="A24" s="42">
        <v>43800</v>
      </c>
      <c r="B24" s="25">
        <f t="shared" si="3"/>
        <v>0</v>
      </c>
      <c r="C24" s="43"/>
      <c r="D24" s="44"/>
      <c r="E24" s="45"/>
      <c r="F24" s="25">
        <f t="shared" si="4"/>
        <v>0</v>
      </c>
      <c r="G24" s="178"/>
      <c r="H24" s="30">
        <v>43816</v>
      </c>
      <c r="I24" s="31">
        <v>510000</v>
      </c>
      <c r="J24" s="40" t="s">
        <v>22</v>
      </c>
      <c r="K24" s="190" t="s">
        <v>39</v>
      </c>
      <c r="L24" s="191" t="s">
        <v>51</v>
      </c>
      <c r="M24" s="77"/>
      <c r="N24" s="77"/>
      <c r="O24" s="191"/>
    </row>
    <row r="25" s="1" customFormat="1" ht="18" customHeight="1" spans="1:15">
      <c r="A25" s="42"/>
      <c r="B25" s="25">
        <f t="shared" si="3"/>
        <v>0</v>
      </c>
      <c r="C25" s="43"/>
      <c r="D25" s="44"/>
      <c r="E25" s="45"/>
      <c r="F25" s="25">
        <f t="shared" si="4"/>
        <v>0</v>
      </c>
      <c r="G25" s="178"/>
      <c r="H25" s="30">
        <v>43816</v>
      </c>
      <c r="I25" s="31">
        <v>500000</v>
      </c>
      <c r="J25" s="40" t="s">
        <v>22</v>
      </c>
      <c r="K25" s="190" t="s">
        <v>42</v>
      </c>
      <c r="L25" s="191" t="s">
        <v>53</v>
      </c>
      <c r="M25" s="77"/>
      <c r="N25" s="77"/>
      <c r="O25" s="191"/>
    </row>
    <row r="26" s="1" customFormat="1" ht="18" customHeight="1" spans="1:15">
      <c r="A26" s="42">
        <v>43800</v>
      </c>
      <c r="B26" s="25">
        <f t="shared" si="3"/>
        <v>26161.81</v>
      </c>
      <c r="C26" s="43"/>
      <c r="D26" s="44" t="s">
        <v>38</v>
      </c>
      <c r="E26" s="47">
        <v>0.13</v>
      </c>
      <c r="F26" s="25">
        <f t="shared" si="4"/>
        <v>3401.04</v>
      </c>
      <c r="G26" s="178">
        <f>289+712.88+1692.98+5848.99+20479+540</f>
        <v>29562.85</v>
      </c>
      <c r="H26" s="30"/>
      <c r="I26" s="31"/>
      <c r="J26" s="40"/>
      <c r="K26" s="190" t="s">
        <v>54</v>
      </c>
      <c r="L26" s="191"/>
      <c r="M26" s="77"/>
      <c r="N26" s="77"/>
      <c r="O26" s="191"/>
    </row>
    <row r="27" s="1" customFormat="1" ht="18" customHeight="1" spans="1:15">
      <c r="A27" s="42">
        <v>43800</v>
      </c>
      <c r="B27" s="25">
        <f t="shared" si="3"/>
        <v>3590</v>
      </c>
      <c r="C27" s="43"/>
      <c r="D27" s="44" t="s">
        <v>44</v>
      </c>
      <c r="E27" s="45"/>
      <c r="F27" s="25">
        <f t="shared" si="4"/>
        <v>0</v>
      </c>
      <c r="G27" s="178">
        <v>3590</v>
      </c>
      <c r="H27" s="30"/>
      <c r="I27" s="31"/>
      <c r="J27" s="40"/>
      <c r="K27" s="190" t="s">
        <v>55</v>
      </c>
      <c r="L27" s="191" t="s">
        <v>56</v>
      </c>
      <c r="M27" s="77"/>
      <c r="N27" s="77"/>
      <c r="O27" s="191"/>
    </row>
    <row r="28" s="1" customFormat="1" ht="18" customHeight="1" spans="1:15">
      <c r="A28" s="42">
        <v>43800</v>
      </c>
      <c r="B28" s="25">
        <f t="shared" si="3"/>
        <v>11518.87</v>
      </c>
      <c r="C28" s="43"/>
      <c r="D28" s="44" t="s">
        <v>38</v>
      </c>
      <c r="E28" s="47">
        <v>0.06</v>
      </c>
      <c r="F28" s="25">
        <f t="shared" si="4"/>
        <v>691.13</v>
      </c>
      <c r="G28" s="178">
        <f>1207+1069+372+1480+1468+1278+1095+955+1360+742+1184</f>
        <v>12210</v>
      </c>
      <c r="H28" s="30"/>
      <c r="I28" s="31"/>
      <c r="J28" s="40"/>
      <c r="K28" s="190" t="s">
        <v>57</v>
      </c>
      <c r="L28" s="191" t="s">
        <v>58</v>
      </c>
      <c r="M28" s="77"/>
      <c r="N28" s="77"/>
      <c r="O28" s="191"/>
    </row>
    <row r="29" s="1" customFormat="1" ht="18" customHeight="1" spans="1:15">
      <c r="A29" s="42">
        <v>43800</v>
      </c>
      <c r="B29" s="25">
        <f t="shared" si="3"/>
        <v>1855</v>
      </c>
      <c r="C29" s="43"/>
      <c r="D29" s="44" t="s">
        <v>59</v>
      </c>
      <c r="E29" s="47"/>
      <c r="F29" s="25">
        <f t="shared" si="4"/>
        <v>0</v>
      </c>
      <c r="G29" s="178">
        <v>1855</v>
      </c>
      <c r="H29" s="30"/>
      <c r="I29" s="31"/>
      <c r="J29" s="40"/>
      <c r="K29" s="190" t="s">
        <v>57</v>
      </c>
      <c r="L29" s="191" t="s">
        <v>58</v>
      </c>
      <c r="M29" s="77"/>
      <c r="N29" s="77"/>
      <c r="O29" s="191"/>
    </row>
    <row r="30" s="1" customFormat="1" ht="18" customHeight="1" spans="1:15">
      <c r="A30" s="42"/>
      <c r="B30" s="25">
        <f t="shared" si="3"/>
        <v>0</v>
      </c>
      <c r="C30" s="43"/>
      <c r="D30" s="44"/>
      <c r="E30" s="45"/>
      <c r="F30" s="25">
        <f t="shared" si="4"/>
        <v>0</v>
      </c>
      <c r="G30" s="178"/>
      <c r="H30" s="30">
        <v>43819</v>
      </c>
      <c r="I30" s="31">
        <v>1000000</v>
      </c>
      <c r="J30" s="40" t="s">
        <v>45</v>
      </c>
      <c r="K30" s="190" t="s">
        <v>60</v>
      </c>
      <c r="L30" s="191" t="s">
        <v>61</v>
      </c>
      <c r="M30" s="77"/>
      <c r="N30" s="77"/>
      <c r="O30" s="191"/>
    </row>
    <row r="31" s="2" customFormat="1" ht="18" customHeight="1" spans="1:15">
      <c r="A31" s="50"/>
      <c r="B31" s="51">
        <f t="shared" si="3"/>
        <v>0</v>
      </c>
      <c r="C31" s="52"/>
      <c r="D31" s="53"/>
      <c r="E31" s="181"/>
      <c r="F31" s="51">
        <f t="shared" si="4"/>
        <v>0</v>
      </c>
      <c r="G31" s="51"/>
      <c r="H31" s="182">
        <v>43819</v>
      </c>
      <c r="I31" s="141">
        <v>-1000000</v>
      </c>
      <c r="J31" s="75" t="s">
        <v>45</v>
      </c>
      <c r="K31" s="193" t="s">
        <v>62</v>
      </c>
      <c r="L31" s="237" t="s">
        <v>63</v>
      </c>
      <c r="M31" s="78"/>
      <c r="N31" s="78"/>
      <c r="O31" s="194"/>
    </row>
    <row r="32" s="2" customFormat="1" ht="18" customHeight="1" spans="1:15">
      <c r="A32" s="50">
        <v>43800</v>
      </c>
      <c r="B32" s="51">
        <f t="shared" si="3"/>
        <v>442477.88</v>
      </c>
      <c r="C32" s="52"/>
      <c r="D32" s="53" t="s">
        <v>38</v>
      </c>
      <c r="E32" s="183">
        <v>0.13</v>
      </c>
      <c r="F32" s="51">
        <f t="shared" si="4"/>
        <v>57522.12</v>
      </c>
      <c r="G32" s="51">
        <v>500000</v>
      </c>
      <c r="H32" s="57">
        <v>43830</v>
      </c>
      <c r="I32" s="33">
        <v>300000</v>
      </c>
      <c r="J32" s="86" t="s">
        <v>22</v>
      </c>
      <c r="K32" s="195" t="s">
        <v>42</v>
      </c>
      <c r="L32" s="194" t="s">
        <v>64</v>
      </c>
      <c r="M32" s="78" t="s">
        <v>41</v>
      </c>
      <c r="N32" s="78" t="s">
        <v>65</v>
      </c>
      <c r="O32" s="194">
        <v>729.95</v>
      </c>
    </row>
    <row r="33" s="2" customFormat="1" ht="18" customHeight="1" spans="1:15">
      <c r="A33" s="50">
        <v>43800</v>
      </c>
      <c r="B33" s="51">
        <f t="shared" si="3"/>
        <v>485436.89</v>
      </c>
      <c r="C33" s="52"/>
      <c r="D33" s="53" t="s">
        <v>38</v>
      </c>
      <c r="E33" s="183">
        <v>0.03</v>
      </c>
      <c r="F33" s="51">
        <f t="shared" si="4"/>
        <v>14563.11</v>
      </c>
      <c r="G33" s="51">
        <v>500000</v>
      </c>
      <c r="H33" s="57">
        <v>43846</v>
      </c>
      <c r="I33" s="33">
        <v>390000</v>
      </c>
      <c r="J33" s="86" t="s">
        <v>22</v>
      </c>
      <c r="K33" s="195" t="s">
        <v>39</v>
      </c>
      <c r="L33" s="194" t="s">
        <v>51</v>
      </c>
      <c r="M33" s="78"/>
      <c r="N33" s="78"/>
      <c r="O33" s="194"/>
    </row>
    <row r="34" s="2" customFormat="1" ht="18" customHeight="1" spans="1:15">
      <c r="A34" s="50">
        <v>43800</v>
      </c>
      <c r="B34" s="51">
        <f t="shared" si="3"/>
        <v>1200000</v>
      </c>
      <c r="C34" s="52"/>
      <c r="D34" s="53" t="s">
        <v>66</v>
      </c>
      <c r="E34" s="183"/>
      <c r="F34" s="51">
        <f t="shared" si="4"/>
        <v>0</v>
      </c>
      <c r="G34" s="51">
        <v>1200000</v>
      </c>
      <c r="H34" s="57"/>
      <c r="I34" s="33"/>
      <c r="J34" s="86"/>
      <c r="K34" s="195" t="s">
        <v>67</v>
      </c>
      <c r="L34" s="194"/>
      <c r="M34" s="78"/>
      <c r="N34" s="78"/>
      <c r="O34" s="194"/>
    </row>
    <row r="35" s="2" customFormat="1" ht="18" customHeight="1" spans="1:15">
      <c r="A35" s="50">
        <v>43831</v>
      </c>
      <c r="B35" s="51">
        <f t="shared" si="3"/>
        <v>265486.73</v>
      </c>
      <c r="C35" s="52"/>
      <c r="D35" s="53" t="s">
        <v>38</v>
      </c>
      <c r="E35" s="183">
        <v>0.13</v>
      </c>
      <c r="F35" s="51">
        <f t="shared" si="4"/>
        <v>34513.27</v>
      </c>
      <c r="G35" s="51">
        <f>3*100000</f>
        <v>300000</v>
      </c>
      <c r="H35" s="57">
        <v>43846</v>
      </c>
      <c r="I35" s="33">
        <v>300000</v>
      </c>
      <c r="J35" s="86" t="s">
        <v>22</v>
      </c>
      <c r="K35" s="195" t="s">
        <v>42</v>
      </c>
      <c r="L35" s="194" t="s">
        <v>68</v>
      </c>
      <c r="M35" s="78" t="s">
        <v>41</v>
      </c>
      <c r="N35" s="78" t="s">
        <v>69</v>
      </c>
      <c r="O35" s="194">
        <v>426</v>
      </c>
    </row>
    <row r="36" s="2" customFormat="1" ht="18" customHeight="1" spans="1:15">
      <c r="A36" s="50">
        <v>43831</v>
      </c>
      <c r="B36" s="51">
        <f t="shared" si="3"/>
        <v>600000</v>
      </c>
      <c r="C36" s="52"/>
      <c r="D36" s="53" t="s">
        <v>66</v>
      </c>
      <c r="E36" s="183"/>
      <c r="F36" s="51">
        <f t="shared" si="4"/>
        <v>0</v>
      </c>
      <c r="G36" s="33">
        <v>600000</v>
      </c>
      <c r="H36" s="57"/>
      <c r="I36" s="33"/>
      <c r="J36" s="86"/>
      <c r="K36" s="196" t="s">
        <v>70</v>
      </c>
      <c r="L36" s="194" t="s">
        <v>71</v>
      </c>
      <c r="M36" s="78"/>
      <c r="N36" s="78"/>
      <c r="O36" s="194"/>
    </row>
    <row r="37" s="2" customFormat="1" ht="18" customHeight="1" spans="1:15">
      <c r="A37" s="50">
        <v>43831</v>
      </c>
      <c r="B37" s="51">
        <f t="shared" si="3"/>
        <v>600000</v>
      </c>
      <c r="C37" s="52"/>
      <c r="D37" s="53" t="s">
        <v>66</v>
      </c>
      <c r="E37" s="183"/>
      <c r="F37" s="51">
        <f t="shared" si="4"/>
        <v>0</v>
      </c>
      <c r="G37" s="33">
        <v>600000</v>
      </c>
      <c r="H37" s="57">
        <v>43852</v>
      </c>
      <c r="I37" s="33">
        <v>400000</v>
      </c>
      <c r="J37" s="86" t="s">
        <v>45</v>
      </c>
      <c r="K37" s="196" t="s">
        <v>72</v>
      </c>
      <c r="L37" s="194" t="s">
        <v>71</v>
      </c>
      <c r="M37" s="78"/>
      <c r="N37" s="78"/>
      <c r="O37" s="194"/>
    </row>
    <row r="38" s="2" customFormat="1" ht="18" customHeight="1" spans="1:15">
      <c r="A38" s="50">
        <v>43831</v>
      </c>
      <c r="B38" s="51">
        <f t="shared" si="3"/>
        <v>733944.95</v>
      </c>
      <c r="C38" s="52"/>
      <c r="D38" s="53" t="s">
        <v>38</v>
      </c>
      <c r="E38" s="183">
        <v>0.09</v>
      </c>
      <c r="F38" s="51">
        <f t="shared" si="4"/>
        <v>66055.05</v>
      </c>
      <c r="G38" s="33">
        <v>800000</v>
      </c>
      <c r="H38" s="57"/>
      <c r="I38" s="33"/>
      <c r="J38" s="86"/>
      <c r="K38" s="196" t="s">
        <v>73</v>
      </c>
      <c r="L38" s="194" t="s">
        <v>74</v>
      </c>
      <c r="M38" s="78" t="s">
        <v>41</v>
      </c>
      <c r="N38" s="78" t="s">
        <v>41</v>
      </c>
      <c r="O38" s="194"/>
    </row>
    <row r="39" s="2" customFormat="1" ht="18" customHeight="1" spans="1:15">
      <c r="A39" s="50"/>
      <c r="B39" s="51">
        <f t="shared" si="3"/>
        <v>0</v>
      </c>
      <c r="C39" s="52"/>
      <c r="D39" s="53"/>
      <c r="E39" s="183"/>
      <c r="F39" s="51">
        <f t="shared" si="4"/>
        <v>0</v>
      </c>
      <c r="G39" s="33"/>
      <c r="H39" s="57">
        <v>43850</v>
      </c>
      <c r="I39" s="33">
        <v>200000</v>
      </c>
      <c r="J39" s="86" t="s">
        <v>45</v>
      </c>
      <c r="K39" s="195" t="s">
        <v>60</v>
      </c>
      <c r="L39" s="194"/>
      <c r="M39" s="78"/>
      <c r="N39" s="78"/>
      <c r="O39" s="194"/>
    </row>
    <row r="40" s="2" customFormat="1" ht="18" customHeight="1" spans="1:15">
      <c r="A40" s="50"/>
      <c r="B40" s="51">
        <f t="shared" si="3"/>
        <v>0</v>
      </c>
      <c r="C40" s="52"/>
      <c r="D40" s="53"/>
      <c r="E40" s="183"/>
      <c r="F40" s="51">
        <f t="shared" si="4"/>
        <v>0</v>
      </c>
      <c r="G40" s="33"/>
      <c r="H40" s="57">
        <v>43853</v>
      </c>
      <c r="I40" s="33">
        <v>500000</v>
      </c>
      <c r="J40" s="86" t="s">
        <v>22</v>
      </c>
      <c r="K40" s="195" t="s">
        <v>73</v>
      </c>
      <c r="L40" s="194" t="s">
        <v>75</v>
      </c>
      <c r="M40" s="78"/>
      <c r="N40" s="78"/>
      <c r="O40" s="194"/>
    </row>
    <row r="41" s="2" customFormat="1" ht="18" customHeight="1" spans="1:15">
      <c r="A41" s="50"/>
      <c r="B41" s="51">
        <f t="shared" si="3"/>
        <v>0</v>
      </c>
      <c r="C41" s="52"/>
      <c r="D41" s="53"/>
      <c r="E41" s="183"/>
      <c r="F41" s="51">
        <f t="shared" si="4"/>
        <v>0</v>
      </c>
      <c r="G41" s="33"/>
      <c r="H41" s="57">
        <v>43853</v>
      </c>
      <c r="I41" s="33">
        <v>600000</v>
      </c>
      <c r="J41" s="86" t="s">
        <v>45</v>
      </c>
      <c r="K41" s="195" t="s">
        <v>70</v>
      </c>
      <c r="L41" s="194" t="s">
        <v>71</v>
      </c>
      <c r="M41" s="78"/>
      <c r="N41" s="78"/>
      <c r="O41" s="194"/>
    </row>
    <row r="42" s="2" customFormat="1" ht="18" customHeight="1" spans="1:15">
      <c r="A42" s="50"/>
      <c r="B42" s="51">
        <f t="shared" si="3"/>
        <v>0</v>
      </c>
      <c r="C42" s="52"/>
      <c r="D42" s="53"/>
      <c r="E42" s="183"/>
      <c r="F42" s="51">
        <f t="shared" si="4"/>
        <v>0</v>
      </c>
      <c r="G42" s="33"/>
      <c r="H42" s="57">
        <v>43853</v>
      </c>
      <c r="I42" s="33">
        <v>200000</v>
      </c>
      <c r="J42" s="86" t="s">
        <v>45</v>
      </c>
      <c r="K42" s="195" t="s">
        <v>72</v>
      </c>
      <c r="L42" s="194" t="s">
        <v>71</v>
      </c>
      <c r="M42" s="78"/>
      <c r="N42" s="78"/>
      <c r="O42" s="194"/>
    </row>
    <row r="43" s="2" customFormat="1" ht="18" customHeight="1" spans="1:15">
      <c r="A43" s="50">
        <v>43891</v>
      </c>
      <c r="B43" s="51">
        <f t="shared" si="3"/>
        <v>485436.89</v>
      </c>
      <c r="C43" s="52"/>
      <c r="D43" s="53" t="s">
        <v>38</v>
      </c>
      <c r="E43" s="183">
        <v>0.03</v>
      </c>
      <c r="F43" s="51">
        <f t="shared" si="4"/>
        <v>14563.11</v>
      </c>
      <c r="G43" s="33">
        <v>500000</v>
      </c>
      <c r="H43" s="57">
        <v>43923</v>
      </c>
      <c r="I43" s="33">
        <v>320000</v>
      </c>
      <c r="J43" s="86" t="s">
        <v>22</v>
      </c>
      <c r="K43" s="195" t="s">
        <v>39</v>
      </c>
      <c r="L43" s="194" t="s">
        <v>40</v>
      </c>
      <c r="M43" s="78"/>
      <c r="N43" s="78"/>
      <c r="O43" s="194"/>
    </row>
    <row r="44" s="2" customFormat="1" ht="18" customHeight="1" spans="1:15">
      <c r="A44" s="50">
        <v>43922</v>
      </c>
      <c r="B44" s="51">
        <f t="shared" si="3"/>
        <v>265486.73</v>
      </c>
      <c r="C44" s="52"/>
      <c r="D44" s="53" t="s">
        <v>38</v>
      </c>
      <c r="E44" s="183">
        <v>0.13</v>
      </c>
      <c r="F44" s="51">
        <f t="shared" si="4"/>
        <v>34513.27</v>
      </c>
      <c r="G44" s="33">
        <v>300000</v>
      </c>
      <c r="H44" s="58"/>
      <c r="I44" s="197"/>
      <c r="J44" s="89"/>
      <c r="K44" s="198" t="s">
        <v>42</v>
      </c>
      <c r="L44" s="218" t="s">
        <v>68</v>
      </c>
      <c r="M44" s="78"/>
      <c r="N44" s="78"/>
      <c r="O44" s="194"/>
    </row>
    <row r="45" s="1" customFormat="1" ht="18" customHeight="1" spans="1:15">
      <c r="A45" s="42">
        <v>43983</v>
      </c>
      <c r="B45" s="51">
        <f t="shared" si="3"/>
        <v>150500</v>
      </c>
      <c r="C45" s="43"/>
      <c r="D45" s="44" t="s">
        <v>66</v>
      </c>
      <c r="E45" s="47"/>
      <c r="F45" s="51">
        <f t="shared" si="4"/>
        <v>0</v>
      </c>
      <c r="G45" s="184">
        <v>150500</v>
      </c>
      <c r="H45" s="58">
        <v>43986</v>
      </c>
      <c r="I45" s="197">
        <v>150500</v>
      </c>
      <c r="J45" s="89" t="s">
        <v>152</v>
      </c>
      <c r="K45" s="198" t="s">
        <v>153</v>
      </c>
      <c r="L45" s="218" t="s">
        <v>154</v>
      </c>
      <c r="M45" s="77" t="s">
        <v>41</v>
      </c>
      <c r="N45" s="77" t="s">
        <v>41</v>
      </c>
      <c r="O45" s="191"/>
    </row>
    <row r="46" s="1" customFormat="1" ht="18" customHeight="1" spans="1:15">
      <c r="A46" s="42">
        <v>43983</v>
      </c>
      <c r="B46" s="51">
        <f t="shared" si="3"/>
        <v>154000</v>
      </c>
      <c r="C46" s="43"/>
      <c r="D46" s="44" t="s">
        <v>66</v>
      </c>
      <c r="E46" s="47"/>
      <c r="F46" s="51">
        <f t="shared" si="4"/>
        <v>0</v>
      </c>
      <c r="G46" s="184">
        <v>154000</v>
      </c>
      <c r="H46" s="58">
        <v>43986</v>
      </c>
      <c r="I46" s="197">
        <v>150000</v>
      </c>
      <c r="J46" s="89" t="s">
        <v>22</v>
      </c>
      <c r="K46" s="198" t="s">
        <v>156</v>
      </c>
      <c r="L46" s="218" t="s">
        <v>157</v>
      </c>
      <c r="M46" s="77" t="s">
        <v>41</v>
      </c>
      <c r="N46" s="77" t="s">
        <v>41</v>
      </c>
      <c r="O46" s="191"/>
    </row>
    <row r="47" s="1" customFormat="1" ht="18" customHeight="1" spans="1:15">
      <c r="A47" s="42"/>
      <c r="B47" s="51">
        <f t="shared" si="3"/>
        <v>0</v>
      </c>
      <c r="C47" s="43"/>
      <c r="D47" s="44"/>
      <c r="E47" s="47"/>
      <c r="F47" s="51">
        <f t="shared" si="4"/>
        <v>0</v>
      </c>
      <c r="G47" s="184"/>
      <c r="H47" s="58">
        <v>44067</v>
      </c>
      <c r="I47" s="197">
        <v>150000</v>
      </c>
      <c r="J47" s="89" t="s">
        <v>22</v>
      </c>
      <c r="K47" s="198" t="s">
        <v>39</v>
      </c>
      <c r="L47" s="218" t="s">
        <v>40</v>
      </c>
      <c r="M47" s="77"/>
      <c r="N47" s="77"/>
      <c r="O47" s="191"/>
    </row>
    <row r="48" s="1" customFormat="1" ht="18" customHeight="1" spans="1:15">
      <c r="A48" s="42">
        <v>44075</v>
      </c>
      <c r="B48" s="51">
        <f t="shared" si="3"/>
        <v>240000</v>
      </c>
      <c r="C48" s="43"/>
      <c r="D48" s="44" t="s">
        <v>66</v>
      </c>
      <c r="E48" s="47"/>
      <c r="F48" s="51">
        <f t="shared" si="4"/>
        <v>0</v>
      </c>
      <c r="G48" s="184">
        <f>90000+90000+60000</f>
        <v>240000</v>
      </c>
      <c r="H48" s="58">
        <v>44067</v>
      </c>
      <c r="I48" s="197">
        <v>240000</v>
      </c>
      <c r="J48" s="89" t="s">
        <v>22</v>
      </c>
      <c r="K48" s="198" t="s">
        <v>161</v>
      </c>
      <c r="L48" s="218" t="s">
        <v>162</v>
      </c>
      <c r="M48" s="77" t="s">
        <v>41</v>
      </c>
      <c r="N48" s="77" t="s">
        <v>41</v>
      </c>
      <c r="O48" s="191"/>
    </row>
    <row r="49" s="1" customFormat="1" ht="18" customHeight="1" spans="1:15">
      <c r="A49" s="42"/>
      <c r="B49" s="51">
        <f t="shared" si="3"/>
        <v>0</v>
      </c>
      <c r="C49" s="43"/>
      <c r="D49" s="44"/>
      <c r="E49" s="47"/>
      <c r="F49" s="51">
        <f t="shared" si="4"/>
        <v>0</v>
      </c>
      <c r="G49" s="184"/>
      <c r="H49" s="58"/>
      <c r="I49" s="199">
        <v>-1000000</v>
      </c>
      <c r="J49" s="200" t="s">
        <v>170</v>
      </c>
      <c r="K49" s="201" t="s">
        <v>63</v>
      </c>
      <c r="L49" s="201" t="s">
        <v>63</v>
      </c>
      <c r="M49" s="77"/>
      <c r="N49" s="77"/>
      <c r="O49" s="191"/>
    </row>
    <row r="50" s="1" customFormat="1" ht="18" customHeight="1" spans="1:15">
      <c r="A50" s="42"/>
      <c r="B50" s="51">
        <f t="shared" si="3"/>
        <v>0</v>
      </c>
      <c r="C50" s="43"/>
      <c r="D50" s="44"/>
      <c r="E50" s="47"/>
      <c r="F50" s="51">
        <f t="shared" si="4"/>
        <v>0</v>
      </c>
      <c r="G50" s="184"/>
      <c r="H50" s="58">
        <v>44081</v>
      </c>
      <c r="I50" s="197">
        <v>100000</v>
      </c>
      <c r="J50" s="89" t="s">
        <v>22</v>
      </c>
      <c r="K50" s="198" t="s">
        <v>171</v>
      </c>
      <c r="L50" s="201" t="s">
        <v>63</v>
      </c>
      <c r="M50" s="77">
        <v>100000</v>
      </c>
      <c r="N50" s="77"/>
      <c r="O50" s="191"/>
    </row>
    <row r="51" s="1" customFormat="1" ht="18" customHeight="1" spans="1:15">
      <c r="A51" s="42"/>
      <c r="B51" s="51">
        <f t="shared" si="3"/>
        <v>0</v>
      </c>
      <c r="C51" s="43"/>
      <c r="D51" s="44"/>
      <c r="E51" s="47"/>
      <c r="F51" s="51">
        <f t="shared" si="4"/>
        <v>0</v>
      </c>
      <c r="G51" s="184"/>
      <c r="H51" s="57">
        <v>44084</v>
      </c>
      <c r="I51" s="33">
        <v>200000</v>
      </c>
      <c r="J51" s="86" t="s">
        <v>22</v>
      </c>
      <c r="K51" s="195" t="s">
        <v>161</v>
      </c>
      <c r="L51" s="201" t="s">
        <v>63</v>
      </c>
      <c r="M51" s="77">
        <v>200000</v>
      </c>
      <c r="N51" s="77"/>
      <c r="O51" s="191"/>
    </row>
    <row r="52" s="1" customFormat="1" ht="18" customHeight="1" spans="1:15">
      <c r="A52" s="42">
        <v>44075</v>
      </c>
      <c r="B52" s="51">
        <f t="shared" si="3"/>
        <v>283.02</v>
      </c>
      <c r="C52" s="43"/>
      <c r="D52" s="44" t="s">
        <v>38</v>
      </c>
      <c r="E52" s="47">
        <v>0.06</v>
      </c>
      <c r="F52" s="51">
        <f t="shared" si="4"/>
        <v>16.98</v>
      </c>
      <c r="G52" s="184">
        <v>300</v>
      </c>
      <c r="H52" s="58"/>
      <c r="I52" s="197"/>
      <c r="J52" s="89"/>
      <c r="K52" s="198" t="s">
        <v>172</v>
      </c>
      <c r="L52" s="198" t="s">
        <v>173</v>
      </c>
      <c r="N52" s="77"/>
      <c r="O52" s="191"/>
    </row>
    <row r="53" s="1" customFormat="1" ht="18" customHeight="1" spans="1:15">
      <c r="A53" s="42"/>
      <c r="B53" s="51">
        <f t="shared" si="3"/>
        <v>0</v>
      </c>
      <c r="C53" s="43"/>
      <c r="D53" s="44"/>
      <c r="E53" s="47"/>
      <c r="F53" s="51">
        <f t="shared" si="4"/>
        <v>0</v>
      </c>
      <c r="G53" s="184"/>
      <c r="H53" s="57">
        <v>44091</v>
      </c>
      <c r="I53" s="33">
        <v>80000</v>
      </c>
      <c r="J53" s="86" t="s">
        <v>22</v>
      </c>
      <c r="K53" s="195" t="s">
        <v>176</v>
      </c>
      <c r="L53" s="201" t="s">
        <v>63</v>
      </c>
      <c r="M53" s="77">
        <v>80000</v>
      </c>
      <c r="N53" s="77"/>
      <c r="O53" s="191"/>
    </row>
    <row r="54" s="1" customFormat="1" ht="18" customHeight="1" spans="1:15">
      <c r="A54" s="42"/>
      <c r="B54" s="51">
        <f t="shared" si="3"/>
        <v>0</v>
      </c>
      <c r="C54" s="43"/>
      <c r="D54" s="44"/>
      <c r="E54" s="47"/>
      <c r="F54" s="51">
        <f t="shared" si="4"/>
        <v>0</v>
      </c>
      <c r="G54" s="184"/>
      <c r="H54" s="57">
        <v>44095</v>
      </c>
      <c r="I54" s="33">
        <v>100000</v>
      </c>
      <c r="J54" s="86" t="s">
        <v>22</v>
      </c>
      <c r="K54" s="195" t="s">
        <v>171</v>
      </c>
      <c r="L54" s="193" t="s">
        <v>63</v>
      </c>
      <c r="M54" s="77">
        <v>100000</v>
      </c>
      <c r="N54" s="77"/>
      <c r="O54" s="191"/>
    </row>
    <row r="55" s="1" customFormat="1" ht="18" customHeight="1" spans="1:15">
      <c r="A55" s="42"/>
      <c r="B55" s="51">
        <f t="shared" si="3"/>
        <v>0</v>
      </c>
      <c r="C55" s="43"/>
      <c r="D55" s="44"/>
      <c r="E55" s="47"/>
      <c r="F55" s="51">
        <f t="shared" si="4"/>
        <v>0</v>
      </c>
      <c r="G55" s="184"/>
      <c r="H55" s="57">
        <v>44096</v>
      </c>
      <c r="I55" s="33">
        <v>200000</v>
      </c>
      <c r="J55" s="86" t="s">
        <v>22</v>
      </c>
      <c r="K55" s="195" t="s">
        <v>161</v>
      </c>
      <c r="L55" s="193" t="s">
        <v>63</v>
      </c>
      <c r="M55" s="77">
        <v>200000</v>
      </c>
      <c r="N55" s="77"/>
      <c r="O55" s="191"/>
    </row>
    <row r="56" s="1" customFormat="1" ht="18" customHeight="1" spans="1:15">
      <c r="A56" s="42"/>
      <c r="B56" s="51">
        <f t="shared" si="3"/>
        <v>0</v>
      </c>
      <c r="C56" s="43"/>
      <c r="D56" s="44"/>
      <c r="E56" s="47"/>
      <c r="F56" s="51">
        <f t="shared" si="4"/>
        <v>0</v>
      </c>
      <c r="G56" s="184"/>
      <c r="H56" s="57">
        <v>44098</v>
      </c>
      <c r="I56" s="33">
        <v>100000</v>
      </c>
      <c r="J56" s="86" t="s">
        <v>22</v>
      </c>
      <c r="K56" s="195" t="s">
        <v>171</v>
      </c>
      <c r="L56" s="193" t="s">
        <v>63</v>
      </c>
      <c r="M56" s="77">
        <v>100000</v>
      </c>
      <c r="N56" s="77"/>
      <c r="O56" s="191"/>
    </row>
    <row r="57" s="1" customFormat="1" ht="18" customHeight="1" spans="1:15">
      <c r="A57" s="42">
        <v>44101</v>
      </c>
      <c r="B57" s="51">
        <f t="shared" si="3"/>
        <v>269289.82</v>
      </c>
      <c r="C57" s="43">
        <v>3</v>
      </c>
      <c r="D57" s="44" t="s">
        <v>38</v>
      </c>
      <c r="E57" s="47">
        <v>0.13</v>
      </c>
      <c r="F57" s="51">
        <f t="shared" si="4"/>
        <v>35007.68</v>
      </c>
      <c r="G57" s="184">
        <v>304297.5</v>
      </c>
      <c r="H57" s="57">
        <v>44101</v>
      </c>
      <c r="I57" s="33">
        <v>120000</v>
      </c>
      <c r="J57" s="86" t="s">
        <v>22</v>
      </c>
      <c r="K57" s="195" t="s">
        <v>171</v>
      </c>
      <c r="L57" s="193" t="s">
        <v>63</v>
      </c>
      <c r="M57" s="77">
        <v>120000</v>
      </c>
      <c r="N57" s="77"/>
      <c r="O57" s="191"/>
    </row>
    <row r="58" s="1" customFormat="1" ht="18" customHeight="1" spans="1:15">
      <c r="A58" s="42">
        <v>44101</v>
      </c>
      <c r="B58" s="51">
        <f t="shared" si="3"/>
        <v>310050</v>
      </c>
      <c r="C58" s="43">
        <v>4</v>
      </c>
      <c r="D58" s="44"/>
      <c r="E58" s="47"/>
      <c r="F58" s="51">
        <f t="shared" si="4"/>
        <v>0</v>
      </c>
      <c r="G58" s="184">
        <v>310050</v>
      </c>
      <c r="H58" s="57">
        <v>44103</v>
      </c>
      <c r="I58" s="33">
        <v>100000</v>
      </c>
      <c r="J58" s="86" t="s">
        <v>22</v>
      </c>
      <c r="K58" s="195" t="s">
        <v>161</v>
      </c>
      <c r="L58" s="193" t="s">
        <v>179</v>
      </c>
      <c r="M58" s="77">
        <v>100000</v>
      </c>
      <c r="N58" s="77"/>
      <c r="O58" s="191"/>
    </row>
    <row r="59" s="1" customFormat="1" ht="18" customHeight="1" spans="1:15">
      <c r="A59" s="42">
        <v>44101</v>
      </c>
      <c r="B59" s="51">
        <f t="shared" si="3"/>
        <v>290020.85</v>
      </c>
      <c r="C59" s="43">
        <v>4</v>
      </c>
      <c r="D59" s="44"/>
      <c r="E59" s="47"/>
      <c r="F59" s="51">
        <f t="shared" si="4"/>
        <v>0</v>
      </c>
      <c r="G59" s="184">
        <v>290020.85</v>
      </c>
      <c r="H59" s="57"/>
      <c r="I59" s="33"/>
      <c r="J59" s="86"/>
      <c r="K59" s="195" t="s">
        <v>161</v>
      </c>
      <c r="L59" s="193" t="s">
        <v>180</v>
      </c>
      <c r="M59" s="77"/>
      <c r="N59" s="77"/>
      <c r="O59" s="191"/>
    </row>
    <row r="60" s="1" customFormat="1" ht="18" customHeight="1" spans="1:15">
      <c r="A60" s="42">
        <v>44075</v>
      </c>
      <c r="B60" s="51">
        <f t="shared" si="3"/>
        <v>110511.5</v>
      </c>
      <c r="C60" s="43">
        <v>2</v>
      </c>
      <c r="D60" s="44" t="s">
        <v>38</v>
      </c>
      <c r="E60" s="47">
        <v>0.13</v>
      </c>
      <c r="F60" s="51">
        <f t="shared" si="4"/>
        <v>14366.5</v>
      </c>
      <c r="G60" s="184">
        <f>46878+78000</f>
        <v>124878</v>
      </c>
      <c r="H60" s="57"/>
      <c r="I60" s="33"/>
      <c r="J60" s="86"/>
      <c r="K60" s="195" t="s">
        <v>171</v>
      </c>
      <c r="L60" s="193" t="s">
        <v>53</v>
      </c>
      <c r="M60" s="77"/>
      <c r="N60" s="77" t="s">
        <v>41</v>
      </c>
      <c r="O60" s="191"/>
    </row>
    <row r="61" s="1" customFormat="1" ht="18" customHeight="1" spans="1:15">
      <c r="A61" s="42"/>
      <c r="B61" s="51"/>
      <c r="C61" s="43"/>
      <c r="D61" s="44"/>
      <c r="E61" s="47"/>
      <c r="F61" s="51"/>
      <c r="G61" s="184"/>
      <c r="H61" s="206">
        <v>44104</v>
      </c>
      <c r="I61" s="210">
        <v>200000</v>
      </c>
      <c r="J61" s="211" t="s">
        <v>22</v>
      </c>
      <c r="K61" s="212" t="s">
        <v>176</v>
      </c>
      <c r="L61" s="242"/>
      <c r="M61" s="77"/>
      <c r="N61" s="77"/>
      <c r="O61" s="191"/>
    </row>
    <row r="62" s="1" customFormat="1" ht="18" customHeight="1" spans="1:15">
      <c r="A62" s="42"/>
      <c r="B62" s="51"/>
      <c r="C62" s="43"/>
      <c r="D62" s="44"/>
      <c r="E62" s="47"/>
      <c r="F62" s="51"/>
      <c r="G62" s="184"/>
      <c r="H62" s="57"/>
      <c r="I62" s="33"/>
      <c r="J62" s="86"/>
      <c r="K62" s="195"/>
      <c r="L62" s="193"/>
      <c r="M62" s="77"/>
      <c r="N62" s="77"/>
      <c r="O62" s="191"/>
    </row>
    <row r="63" s="1" customFormat="1" ht="18" customHeight="1" spans="1:15">
      <c r="A63" s="42"/>
      <c r="B63" s="51"/>
      <c r="C63" s="43"/>
      <c r="D63" s="44"/>
      <c r="E63" s="47"/>
      <c r="F63" s="51"/>
      <c r="G63" s="184"/>
      <c r="H63" s="57"/>
      <c r="I63" s="33"/>
      <c r="J63" s="86"/>
      <c r="K63" s="195"/>
      <c r="L63" s="193"/>
      <c r="M63" s="77"/>
      <c r="N63" s="77"/>
      <c r="O63" s="191"/>
    </row>
    <row r="64" s="1" customFormat="1" ht="18" customHeight="1" spans="1:15">
      <c r="A64" s="42"/>
      <c r="B64" s="51"/>
      <c r="C64" s="43"/>
      <c r="D64" s="44"/>
      <c r="E64" s="47"/>
      <c r="F64" s="51"/>
      <c r="G64" s="184"/>
      <c r="H64" s="206">
        <v>44104</v>
      </c>
      <c r="I64" s="210">
        <v>40970</v>
      </c>
      <c r="J64" s="211" t="s">
        <v>77</v>
      </c>
      <c r="K64" s="212" t="s">
        <v>183</v>
      </c>
      <c r="L64" s="242"/>
      <c r="M64" s="77"/>
      <c r="N64" s="77"/>
      <c r="O64" s="191"/>
    </row>
    <row r="65" s="1" customFormat="1" ht="18" customHeight="1" spans="1:15">
      <c r="A65" s="42"/>
      <c r="B65" s="51"/>
      <c r="C65" s="43"/>
      <c r="D65" s="44"/>
      <c r="E65" s="47"/>
      <c r="F65" s="51"/>
      <c r="G65" s="184"/>
      <c r="H65" s="206">
        <v>44104</v>
      </c>
      <c r="I65" s="210">
        <v>2500</v>
      </c>
      <c r="J65" s="211" t="s">
        <v>77</v>
      </c>
      <c r="K65" s="212" t="s">
        <v>105</v>
      </c>
      <c r="L65" s="242"/>
      <c r="M65" s="77"/>
      <c r="N65" s="77"/>
      <c r="O65" s="191"/>
    </row>
    <row r="66" s="2" customFormat="1" ht="18" customHeight="1" spans="1:15">
      <c r="A66" s="50"/>
      <c r="B66" s="51"/>
      <c r="C66" s="52"/>
      <c r="D66" s="53"/>
      <c r="E66" s="47"/>
      <c r="F66" s="51"/>
      <c r="G66" s="184"/>
      <c r="H66" s="206">
        <v>44104</v>
      </c>
      <c r="I66" s="243">
        <v>100</v>
      </c>
      <c r="J66" s="211" t="s">
        <v>77</v>
      </c>
      <c r="K66" s="212" t="s">
        <v>78</v>
      </c>
      <c r="L66" s="242"/>
      <c r="M66" s="78"/>
      <c r="N66" s="78"/>
      <c r="O66" s="194"/>
    </row>
    <row r="67" s="2" customFormat="1" ht="18" customHeight="1" spans="1:15">
      <c r="A67" s="50"/>
      <c r="B67" s="51"/>
      <c r="C67" s="52"/>
      <c r="D67" s="53"/>
      <c r="E67" s="47"/>
      <c r="F67" s="51"/>
      <c r="G67" s="184"/>
      <c r="H67" s="57">
        <v>44103</v>
      </c>
      <c r="I67" s="214">
        <v>100</v>
      </c>
      <c r="J67" s="86" t="s">
        <v>77</v>
      </c>
      <c r="K67" s="195" t="s">
        <v>78</v>
      </c>
      <c r="L67" s="193"/>
      <c r="M67" s="78"/>
      <c r="N67" s="78"/>
      <c r="O67" s="194"/>
    </row>
    <row r="68" s="2" customFormat="1" ht="18" customHeight="1" spans="1:15">
      <c r="A68" s="50"/>
      <c r="B68" s="51"/>
      <c r="C68" s="52"/>
      <c r="D68" s="53"/>
      <c r="E68" s="47"/>
      <c r="F68" s="51"/>
      <c r="G68" s="184"/>
      <c r="H68" s="57">
        <v>44101</v>
      </c>
      <c r="I68" s="214">
        <v>100</v>
      </c>
      <c r="J68" s="86" t="s">
        <v>77</v>
      </c>
      <c r="K68" s="195" t="s">
        <v>78</v>
      </c>
      <c r="L68" s="193" t="s">
        <v>63</v>
      </c>
      <c r="M68" s="78"/>
      <c r="N68" s="78"/>
      <c r="O68" s="194"/>
    </row>
    <row r="69" s="1" customFormat="1" ht="18" customHeight="1" spans="1:15">
      <c r="A69" s="42"/>
      <c r="B69" s="51"/>
      <c r="C69" s="43"/>
      <c r="D69" s="44"/>
      <c r="E69" s="47"/>
      <c r="F69" s="51"/>
      <c r="G69" s="184"/>
      <c r="H69" s="57">
        <v>44098</v>
      </c>
      <c r="I69" s="214">
        <v>100</v>
      </c>
      <c r="J69" s="86" t="s">
        <v>77</v>
      </c>
      <c r="K69" s="195" t="s">
        <v>78</v>
      </c>
      <c r="L69" s="193"/>
      <c r="M69" s="77"/>
      <c r="N69" s="77"/>
      <c r="O69" s="191"/>
    </row>
    <row r="70" s="1" customFormat="1" ht="18" customHeight="1" spans="1:15">
      <c r="A70" s="42"/>
      <c r="B70" s="51">
        <f t="shared" ref="B70:B86" si="5">ROUND(G70/(1+E70),2)</f>
        <v>0</v>
      </c>
      <c r="C70" s="43"/>
      <c r="D70" s="44"/>
      <c r="E70" s="47"/>
      <c r="F70" s="51">
        <f t="shared" ref="F70:F86" si="6">ROUND(G70/(1+E70)*E70,2)</f>
        <v>0</v>
      </c>
      <c r="G70" s="184"/>
      <c r="H70" s="57" t="s">
        <v>178</v>
      </c>
      <c r="I70" s="214">
        <v>100</v>
      </c>
      <c r="J70" s="86" t="s">
        <v>77</v>
      </c>
      <c r="K70" s="195" t="s">
        <v>78</v>
      </c>
      <c r="L70" s="193"/>
      <c r="M70" s="77"/>
      <c r="N70" s="77"/>
      <c r="O70" s="191"/>
    </row>
    <row r="71" s="1" customFormat="1" ht="18" customHeight="1" spans="1:15">
      <c r="A71" s="42"/>
      <c r="B71" s="51">
        <f t="shared" si="5"/>
        <v>0</v>
      </c>
      <c r="C71" s="43"/>
      <c r="D71" s="44"/>
      <c r="E71" s="47"/>
      <c r="F71" s="51">
        <f t="shared" si="6"/>
        <v>0</v>
      </c>
      <c r="G71" s="184"/>
      <c r="H71" s="57">
        <v>44095</v>
      </c>
      <c r="I71" s="33">
        <v>100</v>
      </c>
      <c r="J71" s="86" t="s">
        <v>77</v>
      </c>
      <c r="K71" s="195" t="s">
        <v>78</v>
      </c>
      <c r="L71" s="218"/>
      <c r="M71" s="77"/>
      <c r="N71" s="77"/>
      <c r="O71" s="191"/>
    </row>
    <row r="72" s="1" customFormat="1" ht="18" customHeight="1" spans="1:15">
      <c r="A72" s="42"/>
      <c r="B72" s="51">
        <f t="shared" si="5"/>
        <v>0</v>
      </c>
      <c r="C72" s="43"/>
      <c r="D72" s="44"/>
      <c r="E72" s="47"/>
      <c r="F72" s="51">
        <f t="shared" si="6"/>
        <v>0</v>
      </c>
      <c r="G72" s="184"/>
      <c r="H72" s="57" t="s">
        <v>177</v>
      </c>
      <c r="I72" s="33">
        <v>50</v>
      </c>
      <c r="J72" s="86" t="s">
        <v>77</v>
      </c>
      <c r="K72" s="195" t="s">
        <v>78</v>
      </c>
      <c r="L72" s="191"/>
      <c r="M72" s="77" t="s">
        <v>163</v>
      </c>
      <c r="N72" s="77"/>
      <c r="O72" s="191"/>
    </row>
    <row r="73" s="1" customFormat="1" ht="18" customHeight="1" spans="1:15">
      <c r="A73" s="42"/>
      <c r="B73" s="51">
        <f t="shared" si="5"/>
        <v>0</v>
      </c>
      <c r="C73" s="43"/>
      <c r="D73" s="44"/>
      <c r="E73" s="47"/>
      <c r="F73" s="51">
        <f t="shared" si="6"/>
        <v>0</v>
      </c>
      <c r="G73" s="184"/>
      <c r="H73" s="57" t="s">
        <v>174</v>
      </c>
      <c r="I73" s="33">
        <v>100</v>
      </c>
      <c r="J73" s="86" t="s">
        <v>77</v>
      </c>
      <c r="K73" s="195" t="s">
        <v>78</v>
      </c>
      <c r="L73" s="191"/>
      <c r="M73" s="77"/>
      <c r="N73" s="77"/>
      <c r="O73" s="191"/>
    </row>
    <row r="74" s="1" customFormat="1" ht="18" customHeight="1" spans="1:15">
      <c r="A74" s="42"/>
      <c r="B74" s="51">
        <f t="shared" si="5"/>
        <v>0</v>
      </c>
      <c r="C74" s="43"/>
      <c r="D74" s="44"/>
      <c r="E74" s="47"/>
      <c r="F74" s="51">
        <f t="shared" si="6"/>
        <v>0</v>
      </c>
      <c r="G74" s="184"/>
      <c r="H74" s="57" t="s">
        <v>175</v>
      </c>
      <c r="I74" s="33">
        <v>100</v>
      </c>
      <c r="J74" s="86" t="s">
        <v>77</v>
      </c>
      <c r="K74" s="195" t="s">
        <v>78</v>
      </c>
      <c r="L74" s="191"/>
      <c r="M74" s="77"/>
      <c r="N74" s="77"/>
      <c r="O74" s="191"/>
    </row>
    <row r="75" s="1" customFormat="1" ht="18" customHeight="1" spans="1:15">
      <c r="A75" s="42"/>
      <c r="B75" s="51">
        <f t="shared" si="5"/>
        <v>0</v>
      </c>
      <c r="C75" s="43"/>
      <c r="D75" s="44"/>
      <c r="E75" s="47"/>
      <c r="F75" s="51">
        <f t="shared" si="6"/>
        <v>0</v>
      </c>
      <c r="G75" s="184"/>
      <c r="H75" s="58" t="s">
        <v>164</v>
      </c>
      <c r="I75" s="197">
        <v>1192.9</v>
      </c>
      <c r="J75" s="89" t="s">
        <v>77</v>
      </c>
      <c r="K75" s="198" t="s">
        <v>165</v>
      </c>
      <c r="L75" s="191"/>
      <c r="M75" s="77"/>
      <c r="N75" s="77"/>
      <c r="O75" s="191"/>
    </row>
    <row r="76" s="1" customFormat="1" ht="18" customHeight="1" spans="1:15">
      <c r="A76" s="42"/>
      <c r="B76" s="51">
        <f t="shared" si="5"/>
        <v>0</v>
      </c>
      <c r="C76" s="43"/>
      <c r="D76" s="44"/>
      <c r="E76" s="47"/>
      <c r="F76" s="51">
        <f t="shared" si="6"/>
        <v>0</v>
      </c>
      <c r="G76" s="184"/>
      <c r="H76" s="58" t="s">
        <v>164</v>
      </c>
      <c r="I76" s="197">
        <v>200</v>
      </c>
      <c r="J76" s="89" t="s">
        <v>77</v>
      </c>
      <c r="K76" s="198" t="s">
        <v>78</v>
      </c>
      <c r="L76" s="191"/>
      <c r="M76" s="77"/>
      <c r="N76" s="77"/>
      <c r="O76" s="191"/>
    </row>
    <row r="77" s="1" customFormat="1" ht="18" customHeight="1" spans="1:15">
      <c r="A77" s="42"/>
      <c r="B77" s="51">
        <f t="shared" si="5"/>
        <v>2000</v>
      </c>
      <c r="C77" s="43"/>
      <c r="D77" s="44"/>
      <c r="E77" s="47"/>
      <c r="F77" s="51">
        <f t="shared" si="6"/>
        <v>0</v>
      </c>
      <c r="G77" s="184">
        <f>I77</f>
        <v>2000</v>
      </c>
      <c r="H77" s="58" t="s">
        <v>164</v>
      </c>
      <c r="I77" s="197">
        <v>2000</v>
      </c>
      <c r="J77" s="89" t="s">
        <v>77</v>
      </c>
      <c r="K77" s="198" t="s">
        <v>105</v>
      </c>
      <c r="L77" s="191"/>
      <c r="M77" s="77"/>
      <c r="N77" s="77"/>
      <c r="O77" s="191"/>
    </row>
    <row r="78" s="1" customFormat="1" ht="18" customHeight="1" spans="1:15">
      <c r="A78" s="42"/>
      <c r="B78" s="51">
        <f t="shared" si="5"/>
        <v>0</v>
      </c>
      <c r="C78" s="43"/>
      <c r="D78" s="44"/>
      <c r="E78" s="47"/>
      <c r="F78" s="51">
        <f t="shared" si="6"/>
        <v>0</v>
      </c>
      <c r="G78" s="184"/>
      <c r="H78" s="58" t="s">
        <v>164</v>
      </c>
      <c r="I78" s="197">
        <v>6400</v>
      </c>
      <c r="J78" s="89" t="s">
        <v>77</v>
      </c>
      <c r="K78" s="198" t="s">
        <v>146</v>
      </c>
      <c r="L78" s="191"/>
      <c r="M78" s="77"/>
      <c r="N78" s="77"/>
      <c r="O78" s="191"/>
    </row>
    <row r="79" s="1" customFormat="1" ht="18" customHeight="1" spans="1:15">
      <c r="A79" s="42"/>
      <c r="B79" s="51">
        <f t="shared" si="5"/>
        <v>0</v>
      </c>
      <c r="C79" s="43"/>
      <c r="D79" s="44"/>
      <c r="E79" s="47"/>
      <c r="F79" s="51">
        <f t="shared" si="6"/>
        <v>0</v>
      </c>
      <c r="G79" s="184"/>
      <c r="H79" s="58" t="s">
        <v>164</v>
      </c>
      <c r="I79" s="197">
        <v>221</v>
      </c>
      <c r="J79" s="89" t="s">
        <v>77</v>
      </c>
      <c r="K79" s="198" t="s">
        <v>140</v>
      </c>
      <c r="L79" s="191"/>
      <c r="M79" s="77"/>
      <c r="N79" s="77"/>
      <c r="O79" s="191"/>
    </row>
    <row r="80" s="1" customFormat="1" ht="18" customHeight="1" spans="1:15">
      <c r="A80" s="42"/>
      <c r="B80" s="51">
        <f t="shared" si="5"/>
        <v>0</v>
      </c>
      <c r="C80" s="43"/>
      <c r="D80" s="44"/>
      <c r="E80" s="47"/>
      <c r="F80" s="51">
        <f t="shared" si="6"/>
        <v>0</v>
      </c>
      <c r="G80" s="184"/>
      <c r="H80" s="58" t="s">
        <v>158</v>
      </c>
      <c r="I80" s="197">
        <v>100</v>
      </c>
      <c r="J80" s="89" t="s">
        <v>77</v>
      </c>
      <c r="K80" s="198" t="s">
        <v>78</v>
      </c>
      <c r="L80" s="191" t="s">
        <v>159</v>
      </c>
      <c r="M80" s="77"/>
      <c r="N80" s="77"/>
      <c r="O80" s="191"/>
    </row>
    <row r="81" s="1" customFormat="1" ht="18" customHeight="1" spans="1:15">
      <c r="A81" s="42"/>
      <c r="B81" s="51">
        <f t="shared" si="5"/>
        <v>0</v>
      </c>
      <c r="C81" s="43"/>
      <c r="D81" s="44"/>
      <c r="E81" s="47"/>
      <c r="F81" s="51">
        <f t="shared" si="6"/>
        <v>0</v>
      </c>
      <c r="G81" s="184"/>
      <c r="H81" s="58" t="s">
        <v>158</v>
      </c>
      <c r="I81" s="197">
        <v>100</v>
      </c>
      <c r="J81" s="89" t="s">
        <v>77</v>
      </c>
      <c r="K81" s="198" t="s">
        <v>78</v>
      </c>
      <c r="L81" s="191" t="s">
        <v>159</v>
      </c>
      <c r="M81" s="77"/>
      <c r="N81" s="77"/>
      <c r="O81" s="191"/>
    </row>
    <row r="82" s="1" customFormat="1" ht="18" customHeight="1" spans="1:15">
      <c r="A82" s="42"/>
      <c r="B82" s="51">
        <f t="shared" si="5"/>
        <v>0</v>
      </c>
      <c r="C82" s="43"/>
      <c r="D82" s="44"/>
      <c r="E82" s="47"/>
      <c r="F82" s="51">
        <f t="shared" si="6"/>
        <v>0</v>
      </c>
      <c r="G82" s="184"/>
      <c r="H82" s="57">
        <v>43923</v>
      </c>
      <c r="I82" s="33">
        <v>100</v>
      </c>
      <c r="J82" s="86" t="s">
        <v>77</v>
      </c>
      <c r="K82" s="195" t="s">
        <v>78</v>
      </c>
      <c r="L82" s="191"/>
      <c r="M82" s="77"/>
      <c r="N82" s="77"/>
      <c r="O82" s="191"/>
    </row>
    <row r="83" s="1" customFormat="1" ht="18" customHeight="1" spans="1:15">
      <c r="A83" s="42"/>
      <c r="B83" s="51">
        <f t="shared" si="5"/>
        <v>0</v>
      </c>
      <c r="C83" s="43"/>
      <c r="D83" s="44"/>
      <c r="E83" s="47"/>
      <c r="F83" s="51">
        <f t="shared" si="6"/>
        <v>0</v>
      </c>
      <c r="G83" s="184"/>
      <c r="H83" s="30" t="s">
        <v>79</v>
      </c>
      <c r="I83" s="31">
        <v>200</v>
      </c>
      <c r="J83" s="86" t="s">
        <v>77</v>
      </c>
      <c r="K83" s="195" t="s">
        <v>78</v>
      </c>
      <c r="L83" s="191"/>
      <c r="M83" s="77"/>
      <c r="N83" s="77"/>
      <c r="O83" s="191"/>
    </row>
    <row r="84" s="1" customFormat="1" ht="18" customHeight="1" spans="1:15">
      <c r="A84" s="42"/>
      <c r="B84" s="51">
        <f t="shared" si="5"/>
        <v>0</v>
      </c>
      <c r="C84" s="43"/>
      <c r="D84" s="44"/>
      <c r="E84" s="47"/>
      <c r="F84" s="25">
        <f t="shared" si="6"/>
        <v>0</v>
      </c>
      <c r="G84" s="184"/>
      <c r="H84" s="30" t="s">
        <v>79</v>
      </c>
      <c r="I84" s="210">
        <v>-88680</v>
      </c>
      <c r="J84" s="211" t="s">
        <v>80</v>
      </c>
      <c r="K84" s="212" t="s">
        <v>133</v>
      </c>
      <c r="L84" s="191"/>
      <c r="M84" s="77"/>
      <c r="N84" s="77"/>
      <c r="O84" s="191"/>
    </row>
    <row r="85" s="1" customFormat="1" ht="18" customHeight="1" spans="1:15">
      <c r="A85" s="42"/>
      <c r="B85" s="25">
        <f t="shared" si="5"/>
        <v>0</v>
      </c>
      <c r="C85" s="43"/>
      <c r="D85" s="44"/>
      <c r="E85" s="47"/>
      <c r="F85" s="25">
        <f t="shared" si="6"/>
        <v>0</v>
      </c>
      <c r="G85" s="184"/>
      <c r="H85" s="57" t="s">
        <v>82</v>
      </c>
      <c r="I85" s="33">
        <v>188304</v>
      </c>
      <c r="J85" s="86" t="s">
        <v>77</v>
      </c>
      <c r="K85" s="196" t="s">
        <v>83</v>
      </c>
      <c r="L85" s="194"/>
      <c r="M85" s="77"/>
      <c r="N85" s="77"/>
      <c r="O85" s="191"/>
    </row>
    <row r="86" s="1" customFormat="1" ht="18" customHeight="1" spans="1:16">
      <c r="A86" s="42"/>
      <c r="B86" s="25">
        <f t="shared" si="5"/>
        <v>0</v>
      </c>
      <c r="C86" s="43"/>
      <c r="D86" s="44"/>
      <c r="E86" s="47"/>
      <c r="F86" s="25">
        <f t="shared" si="6"/>
        <v>0</v>
      </c>
      <c r="G86" s="184"/>
      <c r="H86" s="104" t="s">
        <v>82</v>
      </c>
      <c r="I86" s="215">
        <v>-300000</v>
      </c>
      <c r="J86" s="114" t="s">
        <v>84</v>
      </c>
      <c r="K86" s="234" t="s">
        <v>85</v>
      </c>
      <c r="L86" s="194"/>
      <c r="M86" s="77"/>
      <c r="N86" s="115"/>
      <c r="O86" s="216" t="s">
        <v>86</v>
      </c>
      <c r="P86" s="120"/>
    </row>
    <row r="87" s="1" customFormat="1" ht="18" customHeight="1" spans="1:16">
      <c r="A87" s="42"/>
      <c r="B87" s="25"/>
      <c r="C87" s="43"/>
      <c r="D87" s="44"/>
      <c r="E87" s="47"/>
      <c r="F87" s="25"/>
      <c r="G87" s="184"/>
      <c r="H87" s="57" t="s">
        <v>82</v>
      </c>
      <c r="I87" s="197">
        <v>21333.33</v>
      </c>
      <c r="J87" s="86" t="s">
        <v>77</v>
      </c>
      <c r="K87" s="217" t="s">
        <v>87</v>
      </c>
      <c r="L87" s="218"/>
      <c r="M87" s="91"/>
      <c r="N87" s="91"/>
      <c r="O87" s="218"/>
      <c r="P87" s="122"/>
    </row>
    <row r="88" s="1" customFormat="1" ht="18" customHeight="1" spans="1:15">
      <c r="A88" s="42"/>
      <c r="B88" s="25">
        <f t="shared" ref="B88:B123" si="7">ROUND(G88/(1+E88),2)</f>
        <v>0</v>
      </c>
      <c r="C88" s="43"/>
      <c r="D88" s="44"/>
      <c r="E88" s="47"/>
      <c r="F88" s="25">
        <f t="shared" ref="F88:F123" si="8">ROUND(G88/(1+E88)*E88,2)</f>
        <v>0</v>
      </c>
      <c r="G88" s="184"/>
      <c r="H88" s="57" t="s">
        <v>82</v>
      </c>
      <c r="I88" s="33">
        <v>300</v>
      </c>
      <c r="J88" s="86" t="s">
        <v>77</v>
      </c>
      <c r="K88" s="195" t="s">
        <v>78</v>
      </c>
      <c r="L88" s="194"/>
      <c r="M88" s="77"/>
      <c r="N88" s="77"/>
      <c r="O88" s="191"/>
    </row>
    <row r="89" s="1" customFormat="1" ht="18" customHeight="1" spans="1:15">
      <c r="A89" s="42"/>
      <c r="B89" s="25">
        <f t="shared" si="7"/>
        <v>10000</v>
      </c>
      <c r="C89" s="43"/>
      <c r="D89" s="44"/>
      <c r="E89" s="47"/>
      <c r="F89" s="25">
        <f t="shared" si="8"/>
        <v>0</v>
      </c>
      <c r="G89" s="184">
        <f>10000</f>
        <v>10000</v>
      </c>
      <c r="H89" s="57" t="s">
        <v>82</v>
      </c>
      <c r="I89" s="33">
        <f>G89</f>
        <v>10000</v>
      </c>
      <c r="J89" s="86" t="s">
        <v>77</v>
      </c>
      <c r="K89" s="195" t="s">
        <v>105</v>
      </c>
      <c r="L89" s="194"/>
      <c r="M89" s="77"/>
      <c r="N89" s="77"/>
      <c r="O89" s="191"/>
    </row>
    <row r="90" s="1" customFormat="1" ht="18" customHeight="1" spans="1:15">
      <c r="A90" s="42"/>
      <c r="B90" s="25">
        <f t="shared" si="7"/>
        <v>0</v>
      </c>
      <c r="C90" s="43"/>
      <c r="D90" s="44"/>
      <c r="E90" s="47"/>
      <c r="F90" s="25">
        <f t="shared" si="8"/>
        <v>0</v>
      </c>
      <c r="G90" s="184"/>
      <c r="H90" s="57" t="s">
        <v>89</v>
      </c>
      <c r="I90" s="33">
        <v>-300000</v>
      </c>
      <c r="J90" s="86" t="s">
        <v>90</v>
      </c>
      <c r="K90" s="195" t="s">
        <v>91</v>
      </c>
      <c r="L90" s="194"/>
      <c r="M90" s="77"/>
      <c r="N90" s="77"/>
      <c r="O90" s="191"/>
    </row>
    <row r="91" s="1" customFormat="1" ht="18" customHeight="1" spans="1:15">
      <c r="A91" s="42"/>
      <c r="B91" s="25">
        <f t="shared" si="7"/>
        <v>0</v>
      </c>
      <c r="C91" s="43"/>
      <c r="D91" s="44"/>
      <c r="E91" s="47"/>
      <c r="F91" s="25">
        <f t="shared" si="8"/>
        <v>0</v>
      </c>
      <c r="G91" s="184"/>
      <c r="H91" s="57" t="s">
        <v>89</v>
      </c>
      <c r="I91" s="51">
        <v>100</v>
      </c>
      <c r="J91" s="86" t="s">
        <v>77</v>
      </c>
      <c r="K91" s="195" t="s">
        <v>78</v>
      </c>
      <c r="L91" s="194"/>
      <c r="M91" s="77"/>
      <c r="N91" s="77"/>
      <c r="O91" s="191"/>
    </row>
    <row r="92" s="1" customFormat="1" ht="18" customHeight="1" spans="1:15">
      <c r="A92" s="42"/>
      <c r="B92" s="25">
        <f t="shared" si="7"/>
        <v>0</v>
      </c>
      <c r="C92" s="43"/>
      <c r="D92" s="44"/>
      <c r="E92" s="47"/>
      <c r="F92" s="25">
        <f t="shared" si="8"/>
        <v>0</v>
      </c>
      <c r="G92" s="184"/>
      <c r="H92" s="57" t="s">
        <v>92</v>
      </c>
      <c r="I92" s="51">
        <v>100</v>
      </c>
      <c r="J92" s="86" t="s">
        <v>77</v>
      </c>
      <c r="K92" s="195" t="s">
        <v>78</v>
      </c>
      <c r="L92" s="194"/>
      <c r="M92" s="77"/>
      <c r="N92" s="77"/>
      <c r="O92" s="191"/>
    </row>
    <row r="93" s="1" customFormat="1" ht="18" customHeight="1" spans="1:15">
      <c r="A93" s="42"/>
      <c r="B93" s="25">
        <f t="shared" si="7"/>
        <v>0</v>
      </c>
      <c r="C93" s="43"/>
      <c r="D93" s="44"/>
      <c r="E93" s="47"/>
      <c r="F93" s="25">
        <f t="shared" si="8"/>
        <v>0</v>
      </c>
      <c r="G93" s="184"/>
      <c r="H93" s="57"/>
      <c r="I93" s="51"/>
      <c r="J93" s="86"/>
      <c r="K93" s="195"/>
      <c r="L93" s="194"/>
      <c r="M93" s="77"/>
      <c r="N93" s="77"/>
      <c r="O93" s="191"/>
    </row>
    <row r="94" s="1" customFormat="1" ht="18" customHeight="1" spans="1:15">
      <c r="A94" s="42"/>
      <c r="B94" s="25">
        <f t="shared" si="7"/>
        <v>0</v>
      </c>
      <c r="C94" s="43"/>
      <c r="D94" s="44"/>
      <c r="E94" s="47"/>
      <c r="F94" s="25">
        <f t="shared" si="8"/>
        <v>0</v>
      </c>
      <c r="G94" s="184"/>
      <c r="H94" s="57" t="s">
        <v>93</v>
      </c>
      <c r="I94" s="235">
        <v>184767</v>
      </c>
      <c r="J94" s="86" t="s">
        <v>94</v>
      </c>
      <c r="K94" s="195" t="s">
        <v>95</v>
      </c>
      <c r="L94" s="194"/>
      <c r="M94" s="77"/>
      <c r="N94" s="77"/>
      <c r="O94" s="191"/>
    </row>
    <row r="95" s="1" customFormat="1" ht="18" customHeight="1" spans="1:15">
      <c r="A95" s="42"/>
      <c r="B95" s="25">
        <f t="shared" si="7"/>
        <v>0</v>
      </c>
      <c r="C95" s="43"/>
      <c r="D95" s="44"/>
      <c r="E95" s="47"/>
      <c r="F95" s="25">
        <f t="shared" si="8"/>
        <v>0</v>
      </c>
      <c r="G95" s="184"/>
      <c r="H95" s="57" t="s">
        <v>93</v>
      </c>
      <c r="I95" s="235">
        <v>48000</v>
      </c>
      <c r="J95" s="86" t="s">
        <v>77</v>
      </c>
      <c r="K95" s="195" t="s">
        <v>146</v>
      </c>
      <c r="L95" s="194"/>
      <c r="M95" s="77"/>
      <c r="N95" s="77"/>
      <c r="O95" s="191"/>
    </row>
    <row r="96" s="1" customFormat="1" ht="18" customHeight="1" spans="1:15">
      <c r="A96" s="42"/>
      <c r="B96" s="25">
        <f t="shared" si="7"/>
        <v>0</v>
      </c>
      <c r="C96" s="43"/>
      <c r="D96" s="44"/>
      <c r="E96" s="47"/>
      <c r="F96" s="25">
        <f t="shared" si="8"/>
        <v>0</v>
      </c>
      <c r="G96" s="184"/>
      <c r="H96" s="57" t="s">
        <v>93</v>
      </c>
      <c r="I96" s="235">
        <v>1652</v>
      </c>
      <c r="J96" s="86" t="s">
        <v>77</v>
      </c>
      <c r="K96" s="195" t="s">
        <v>140</v>
      </c>
      <c r="L96" s="194"/>
      <c r="M96" s="77"/>
      <c r="N96" s="77"/>
      <c r="O96" s="191"/>
    </row>
    <row r="97" s="1" customFormat="1" ht="18" customHeight="1" spans="1:15">
      <c r="A97" s="42"/>
      <c r="B97" s="25">
        <f t="shared" si="7"/>
        <v>0</v>
      </c>
      <c r="C97" s="43"/>
      <c r="D97" s="44"/>
      <c r="E97" s="47"/>
      <c r="F97" s="25">
        <f t="shared" si="8"/>
        <v>0</v>
      </c>
      <c r="G97" s="184"/>
      <c r="H97" s="57" t="s">
        <v>93</v>
      </c>
      <c r="I97" s="236">
        <v>67389</v>
      </c>
      <c r="J97" s="211" t="s">
        <v>77</v>
      </c>
      <c r="K97" s="212" t="s">
        <v>147</v>
      </c>
      <c r="L97" s="194"/>
      <c r="M97" s="77"/>
      <c r="N97" s="77"/>
      <c r="O97" s="191"/>
    </row>
    <row r="98" s="1" customFormat="1" ht="18" customHeight="1" spans="1:15">
      <c r="A98" s="42"/>
      <c r="B98" s="25">
        <f t="shared" si="7"/>
        <v>0</v>
      </c>
      <c r="C98" s="43"/>
      <c r="D98" s="44"/>
      <c r="E98" s="45"/>
      <c r="F98" s="25">
        <f t="shared" si="8"/>
        <v>0</v>
      </c>
      <c r="G98" s="184"/>
      <c r="H98" s="57" t="s">
        <v>93</v>
      </c>
      <c r="I98" s="235">
        <v>100</v>
      </c>
      <c r="J98" s="86" t="s">
        <v>77</v>
      </c>
      <c r="K98" s="195" t="s">
        <v>78</v>
      </c>
      <c r="L98" s="194"/>
      <c r="M98" s="77"/>
      <c r="N98" s="77"/>
      <c r="O98" s="191"/>
    </row>
    <row r="99" s="1" customFormat="1" ht="18" customHeight="1" spans="1:15">
      <c r="A99" s="42"/>
      <c r="B99" s="25">
        <f t="shared" si="7"/>
        <v>5000</v>
      </c>
      <c r="C99" s="43"/>
      <c r="D99" s="44"/>
      <c r="E99" s="45"/>
      <c r="F99" s="25">
        <f t="shared" si="8"/>
        <v>0</v>
      </c>
      <c r="G99" s="184">
        <f>5000</f>
        <v>5000</v>
      </c>
      <c r="H99" s="57" t="s">
        <v>93</v>
      </c>
      <c r="I99" s="235">
        <f>G99</f>
        <v>5000</v>
      </c>
      <c r="J99" s="86" t="s">
        <v>77</v>
      </c>
      <c r="K99" s="195" t="s">
        <v>105</v>
      </c>
      <c r="L99" s="194"/>
      <c r="M99" s="77"/>
      <c r="N99" s="77"/>
      <c r="O99" s="191"/>
    </row>
    <row r="100" s="1" customFormat="1" ht="18" customHeight="1" spans="1:15">
      <c r="A100" s="42"/>
      <c r="B100" s="25">
        <f t="shared" si="7"/>
        <v>0</v>
      </c>
      <c r="C100" s="43"/>
      <c r="D100" s="44"/>
      <c r="E100" s="45"/>
      <c r="F100" s="25">
        <f t="shared" si="8"/>
        <v>0</v>
      </c>
      <c r="G100" s="184"/>
      <c r="H100" s="57" t="s">
        <v>99</v>
      </c>
      <c r="I100" s="235">
        <v>-157908</v>
      </c>
      <c r="J100" s="86" t="s">
        <v>90</v>
      </c>
      <c r="K100" s="195" t="s">
        <v>91</v>
      </c>
      <c r="L100" s="194"/>
      <c r="M100" s="77"/>
      <c r="N100" s="77"/>
      <c r="O100" s="191"/>
    </row>
    <row r="101" s="1" customFormat="1" ht="18" customHeight="1" spans="1:15">
      <c r="A101" s="42"/>
      <c r="B101" s="25">
        <f t="shared" si="7"/>
        <v>0</v>
      </c>
      <c r="C101" s="43"/>
      <c r="D101" s="44"/>
      <c r="E101" s="45"/>
      <c r="F101" s="25">
        <f t="shared" si="8"/>
        <v>0</v>
      </c>
      <c r="G101" s="184"/>
      <c r="H101" s="57" t="s">
        <v>99</v>
      </c>
      <c r="I101" s="235">
        <v>100</v>
      </c>
      <c r="J101" s="86" t="s">
        <v>77</v>
      </c>
      <c r="K101" s="195" t="s">
        <v>78</v>
      </c>
      <c r="L101" s="194"/>
      <c r="M101" s="77"/>
      <c r="N101" s="77"/>
      <c r="O101" s="191"/>
    </row>
    <row r="102" s="1" customFormat="1" ht="18" customHeight="1" spans="1:15">
      <c r="A102" s="42"/>
      <c r="B102" s="25">
        <f t="shared" si="7"/>
        <v>0</v>
      </c>
      <c r="C102" s="43"/>
      <c r="D102" s="44"/>
      <c r="E102" s="45"/>
      <c r="F102" s="25">
        <f t="shared" si="8"/>
        <v>0</v>
      </c>
      <c r="G102" s="184"/>
      <c r="H102" s="57" t="s">
        <v>100</v>
      </c>
      <c r="I102" s="235">
        <v>200</v>
      </c>
      <c r="J102" s="86" t="s">
        <v>77</v>
      </c>
      <c r="K102" s="195" t="s">
        <v>78</v>
      </c>
      <c r="L102" s="194"/>
      <c r="M102" s="77"/>
      <c r="N102" s="77"/>
      <c r="O102" s="191"/>
    </row>
    <row r="103" s="1" customFormat="1" ht="18" customHeight="1" spans="1:15">
      <c r="A103" s="42"/>
      <c r="B103" s="25">
        <f t="shared" si="7"/>
        <v>0</v>
      </c>
      <c r="C103" s="43"/>
      <c r="D103" s="44"/>
      <c r="E103" s="45"/>
      <c r="F103" s="25">
        <f t="shared" si="8"/>
        <v>0</v>
      </c>
      <c r="G103" s="184"/>
      <c r="H103" s="57" t="s">
        <v>101</v>
      </c>
      <c r="I103" s="235">
        <v>200</v>
      </c>
      <c r="J103" s="86" t="s">
        <v>77</v>
      </c>
      <c r="K103" s="195" t="s">
        <v>78</v>
      </c>
      <c r="L103" s="194"/>
      <c r="M103" s="77"/>
      <c r="N103" s="77"/>
      <c r="O103" s="191"/>
    </row>
    <row r="104" s="1" customFormat="1" ht="18" customHeight="1" spans="1:15">
      <c r="A104" s="42"/>
      <c r="B104" s="25">
        <f t="shared" si="7"/>
        <v>0</v>
      </c>
      <c r="C104" s="43"/>
      <c r="D104" s="44"/>
      <c r="E104" s="45"/>
      <c r="F104" s="25">
        <f t="shared" si="8"/>
        <v>0</v>
      </c>
      <c r="G104" s="184"/>
      <c r="H104" s="57" t="s">
        <v>101</v>
      </c>
      <c r="I104" s="235">
        <v>381546</v>
      </c>
      <c r="J104" s="86" t="s">
        <v>94</v>
      </c>
      <c r="K104" s="195" t="s">
        <v>95</v>
      </c>
      <c r="L104" s="194"/>
      <c r="M104" s="77"/>
      <c r="O104" s="191"/>
    </row>
    <row r="105" s="1" customFormat="1" ht="18" customHeight="1" spans="1:15">
      <c r="A105" s="42"/>
      <c r="B105" s="25">
        <f t="shared" si="7"/>
        <v>0</v>
      </c>
      <c r="C105" s="43"/>
      <c r="D105" s="44"/>
      <c r="E105" s="45"/>
      <c r="F105" s="25">
        <f t="shared" si="8"/>
        <v>0</v>
      </c>
      <c r="G105" s="184"/>
      <c r="H105" s="57" t="s">
        <v>101</v>
      </c>
      <c r="I105" s="235">
        <v>24955</v>
      </c>
      <c r="J105" s="86" t="s">
        <v>77</v>
      </c>
      <c r="K105" s="195" t="s">
        <v>146</v>
      </c>
      <c r="L105" s="194"/>
      <c r="M105" s="77"/>
      <c r="N105" s="77"/>
      <c r="O105" s="191"/>
    </row>
    <row r="106" s="1" customFormat="1" ht="18" customHeight="1" spans="1:15">
      <c r="A106" s="42"/>
      <c r="B106" s="25">
        <f t="shared" si="7"/>
        <v>0</v>
      </c>
      <c r="C106" s="43"/>
      <c r="D106" s="44"/>
      <c r="E106" s="45"/>
      <c r="F106" s="25">
        <f t="shared" si="8"/>
        <v>0</v>
      </c>
      <c r="G106" s="184"/>
      <c r="H106" s="57" t="s">
        <v>101</v>
      </c>
      <c r="I106" s="235">
        <v>936</v>
      </c>
      <c r="J106" s="86" t="s">
        <v>77</v>
      </c>
      <c r="K106" s="195" t="s">
        <v>140</v>
      </c>
      <c r="L106" s="194"/>
      <c r="M106" s="77"/>
      <c r="N106" s="77"/>
      <c r="O106" s="191"/>
    </row>
    <row r="107" s="1" customFormat="1" ht="18" customHeight="1" spans="1:15">
      <c r="A107" s="42"/>
      <c r="B107" s="25">
        <f t="shared" si="7"/>
        <v>0</v>
      </c>
      <c r="C107" s="43"/>
      <c r="D107" s="44"/>
      <c r="E107" s="45"/>
      <c r="F107" s="25">
        <f t="shared" si="8"/>
        <v>0</v>
      </c>
      <c r="G107" s="184"/>
      <c r="H107" s="57" t="s">
        <v>101</v>
      </c>
      <c r="I107" s="236">
        <v>120092</v>
      </c>
      <c r="J107" s="211" t="s">
        <v>77</v>
      </c>
      <c r="K107" s="212" t="s">
        <v>148</v>
      </c>
      <c r="L107" s="194"/>
      <c r="M107" s="77"/>
      <c r="N107" s="77"/>
      <c r="O107" s="191"/>
    </row>
    <row r="108" s="1" customFormat="1" ht="18" customHeight="1" spans="1:15">
      <c r="A108" s="42"/>
      <c r="B108" s="25">
        <f t="shared" si="7"/>
        <v>8500</v>
      </c>
      <c r="C108" s="43"/>
      <c r="D108" s="44"/>
      <c r="E108" s="45"/>
      <c r="F108" s="25">
        <f t="shared" si="8"/>
        <v>0</v>
      </c>
      <c r="G108" s="184">
        <v>8500</v>
      </c>
      <c r="H108" s="57" t="s">
        <v>101</v>
      </c>
      <c r="I108" s="235">
        <f>G108</f>
        <v>8500</v>
      </c>
      <c r="J108" s="86" t="s">
        <v>77</v>
      </c>
      <c r="K108" s="195" t="s">
        <v>105</v>
      </c>
      <c r="L108" s="194"/>
      <c r="M108" s="77"/>
      <c r="N108" s="77"/>
      <c r="O108" s="191"/>
    </row>
    <row r="109" s="1" customFormat="1" ht="18" customHeight="1" spans="1:15">
      <c r="A109" s="42"/>
      <c r="B109" s="25">
        <f t="shared" si="7"/>
        <v>0</v>
      </c>
      <c r="C109" s="43"/>
      <c r="D109" s="44"/>
      <c r="E109" s="45"/>
      <c r="F109" s="25">
        <f t="shared" si="8"/>
        <v>0</v>
      </c>
      <c r="G109" s="184"/>
      <c r="H109" s="57" t="s">
        <v>106</v>
      </c>
      <c r="I109" s="235">
        <v>9000</v>
      </c>
      <c r="J109" s="86" t="s">
        <v>77</v>
      </c>
      <c r="K109" s="195" t="s">
        <v>107</v>
      </c>
      <c r="L109" s="194"/>
      <c r="M109" s="77"/>
      <c r="N109" s="77"/>
      <c r="O109" s="191"/>
    </row>
    <row r="110" s="1" customFormat="1" ht="18" customHeight="1" spans="1:15">
      <c r="A110" s="42"/>
      <c r="B110" s="25">
        <f t="shared" si="7"/>
        <v>0</v>
      </c>
      <c r="C110" s="43"/>
      <c r="D110" s="44"/>
      <c r="E110" s="45"/>
      <c r="F110" s="25">
        <f t="shared" si="8"/>
        <v>0</v>
      </c>
      <c r="G110" s="184"/>
      <c r="H110" s="57" t="s">
        <v>106</v>
      </c>
      <c r="I110" s="235">
        <v>-66373</v>
      </c>
      <c r="J110" s="86" t="s">
        <v>90</v>
      </c>
      <c r="K110" s="195" t="s">
        <v>91</v>
      </c>
      <c r="L110" s="194"/>
      <c r="M110" s="77"/>
      <c r="N110" s="77"/>
      <c r="O110" s="191"/>
    </row>
    <row r="111" s="1" customFormat="1" ht="18" customHeight="1" spans="1:15">
      <c r="A111" s="42"/>
      <c r="B111" s="25">
        <f t="shared" si="7"/>
        <v>0</v>
      </c>
      <c r="C111" s="43"/>
      <c r="D111" s="44"/>
      <c r="E111" s="45"/>
      <c r="F111" s="25">
        <f t="shared" si="8"/>
        <v>0</v>
      </c>
      <c r="G111" s="184"/>
      <c r="H111" s="57" t="s">
        <v>106</v>
      </c>
      <c r="I111" s="210">
        <v>-37965</v>
      </c>
      <c r="J111" s="211" t="s">
        <v>90</v>
      </c>
      <c r="K111" s="212" t="s">
        <v>149</v>
      </c>
      <c r="L111" s="33">
        <v>-37965</v>
      </c>
      <c r="M111" s="151" t="s">
        <v>150</v>
      </c>
      <c r="N111" s="77"/>
      <c r="O111" s="191"/>
    </row>
    <row r="112" s="1" customFormat="1" ht="18" customHeight="1" spans="1:15">
      <c r="A112" s="42"/>
      <c r="B112" s="25">
        <f t="shared" si="7"/>
        <v>0</v>
      </c>
      <c r="C112" s="43"/>
      <c r="D112" s="44"/>
      <c r="E112" s="45"/>
      <c r="F112" s="25">
        <f t="shared" si="8"/>
        <v>0</v>
      </c>
      <c r="G112" s="184"/>
      <c r="H112" s="57" t="s">
        <v>109</v>
      </c>
      <c r="I112" s="235">
        <v>8496</v>
      </c>
      <c r="J112" s="86" t="s">
        <v>77</v>
      </c>
      <c r="K112" s="195" t="s">
        <v>110</v>
      </c>
      <c r="L112" s="194"/>
      <c r="M112" s="77"/>
      <c r="N112" s="77"/>
      <c r="O112" s="191"/>
    </row>
    <row r="113" s="1" customFormat="1" ht="18" customHeight="1" spans="1:17">
      <c r="A113" s="42"/>
      <c r="B113" s="25">
        <f t="shared" si="7"/>
        <v>0</v>
      </c>
      <c r="C113" s="43"/>
      <c r="D113" s="44"/>
      <c r="E113" s="45"/>
      <c r="F113" s="25">
        <f t="shared" si="8"/>
        <v>0</v>
      </c>
      <c r="G113" s="184"/>
      <c r="H113" s="57" t="s">
        <v>109</v>
      </c>
      <c r="I113" s="235">
        <v>212400</v>
      </c>
      <c r="J113" s="86" t="s">
        <v>111</v>
      </c>
      <c r="K113" s="195" t="s">
        <v>112</v>
      </c>
      <c r="L113" s="194"/>
      <c r="M113" s="77"/>
      <c r="N113" s="77"/>
      <c r="O113" s="191"/>
      <c r="Q113" s="1">
        <f>I114+I110+I104+I100+I94+I90+I86+I85</f>
        <v>0</v>
      </c>
    </row>
    <row r="114" s="1" customFormat="1" ht="18" customHeight="1" spans="1:15">
      <c r="A114" s="42"/>
      <c r="B114" s="25">
        <f t="shared" si="7"/>
        <v>0</v>
      </c>
      <c r="C114" s="43"/>
      <c r="D114" s="44"/>
      <c r="E114" s="45"/>
      <c r="F114" s="25">
        <f t="shared" si="8"/>
        <v>0</v>
      </c>
      <c r="G114" s="184"/>
      <c r="H114" s="57" t="s">
        <v>109</v>
      </c>
      <c r="I114" s="235">
        <v>69664</v>
      </c>
      <c r="J114" s="86" t="s">
        <v>94</v>
      </c>
      <c r="K114" s="195" t="s">
        <v>95</v>
      </c>
      <c r="L114" s="194"/>
      <c r="M114" s="77"/>
      <c r="N114" s="77"/>
      <c r="O114" s="191"/>
    </row>
    <row r="115" s="1" customFormat="1" ht="18" customHeight="1" spans="1:15">
      <c r="A115" s="42"/>
      <c r="B115" s="25">
        <f t="shared" si="7"/>
        <v>0</v>
      </c>
      <c r="C115" s="43"/>
      <c r="D115" s="44"/>
      <c r="E115" s="45"/>
      <c r="F115" s="25">
        <f t="shared" si="8"/>
        <v>0</v>
      </c>
      <c r="G115" s="184"/>
      <c r="H115" s="57" t="s">
        <v>109</v>
      </c>
      <c r="I115" s="235">
        <v>14679</v>
      </c>
      <c r="J115" s="86" t="s">
        <v>77</v>
      </c>
      <c r="K115" s="195" t="s">
        <v>146</v>
      </c>
      <c r="L115" s="194"/>
      <c r="M115" s="77"/>
      <c r="N115" s="77"/>
      <c r="O115" s="191"/>
    </row>
    <row r="116" s="1" customFormat="1" ht="18" customHeight="1" spans="1:15">
      <c r="A116" s="42"/>
      <c r="B116" s="25">
        <f t="shared" si="7"/>
        <v>0</v>
      </c>
      <c r="C116" s="43"/>
      <c r="D116" s="44"/>
      <c r="E116" s="45"/>
      <c r="F116" s="25">
        <f t="shared" si="8"/>
        <v>0</v>
      </c>
      <c r="G116" s="184"/>
      <c r="H116" s="57" t="s">
        <v>109</v>
      </c>
      <c r="I116" s="235">
        <v>551</v>
      </c>
      <c r="J116" s="86" t="s">
        <v>77</v>
      </c>
      <c r="K116" s="195" t="s">
        <v>140</v>
      </c>
      <c r="L116" s="194"/>
      <c r="M116" s="77"/>
      <c r="N116" s="77"/>
      <c r="O116" s="191"/>
    </row>
    <row r="117" s="1" customFormat="1" ht="18" customHeight="1" spans="1:15">
      <c r="A117" s="42"/>
      <c r="B117" s="25">
        <f t="shared" si="7"/>
        <v>0</v>
      </c>
      <c r="C117" s="43"/>
      <c r="D117" s="44"/>
      <c r="E117" s="45"/>
      <c r="F117" s="25">
        <f t="shared" si="8"/>
        <v>0</v>
      </c>
      <c r="G117" s="184"/>
      <c r="H117" s="57" t="s">
        <v>109</v>
      </c>
      <c r="I117" s="236">
        <v>45972</v>
      </c>
      <c r="J117" s="211" t="s">
        <v>77</v>
      </c>
      <c r="K117" s="212" t="s">
        <v>148</v>
      </c>
      <c r="L117" s="194"/>
      <c r="M117" s="77"/>
      <c r="N117" s="77"/>
      <c r="O117" s="191"/>
    </row>
    <row r="118" s="1" customFormat="1" ht="18" customHeight="1" spans="1:15">
      <c r="A118" s="42"/>
      <c r="B118" s="25">
        <f t="shared" si="7"/>
        <v>5000</v>
      </c>
      <c r="C118" s="43"/>
      <c r="D118" s="44"/>
      <c r="E118" s="45"/>
      <c r="F118" s="25">
        <f t="shared" si="8"/>
        <v>0</v>
      </c>
      <c r="G118" s="184">
        <v>5000</v>
      </c>
      <c r="H118" s="57" t="s">
        <v>109</v>
      </c>
      <c r="I118" s="235">
        <f>G118</f>
        <v>5000</v>
      </c>
      <c r="J118" s="86" t="s">
        <v>77</v>
      </c>
      <c r="K118" s="195" t="s">
        <v>105</v>
      </c>
      <c r="L118" s="194"/>
      <c r="M118" s="77"/>
      <c r="N118" s="77"/>
      <c r="O118" s="191"/>
    </row>
    <row r="119" s="1" customFormat="1" ht="18" customHeight="1" spans="1:15">
      <c r="A119" s="42"/>
      <c r="B119" s="25">
        <f t="shared" si="7"/>
        <v>0</v>
      </c>
      <c r="C119" s="43"/>
      <c r="D119" s="44"/>
      <c r="E119" s="45"/>
      <c r="F119" s="25">
        <f t="shared" si="8"/>
        <v>0</v>
      </c>
      <c r="G119" s="184"/>
      <c r="H119" s="57" t="s">
        <v>116</v>
      </c>
      <c r="I119" s="235">
        <v>500</v>
      </c>
      <c r="J119" s="86" t="s">
        <v>77</v>
      </c>
      <c r="K119" s="195" t="s">
        <v>117</v>
      </c>
      <c r="L119" s="194"/>
      <c r="M119" s="77"/>
      <c r="N119" s="77"/>
      <c r="O119" s="191"/>
    </row>
    <row r="120" s="1" customFormat="1" ht="18" customHeight="1" spans="1:15">
      <c r="A120" s="42"/>
      <c r="B120" s="25">
        <f t="shared" si="7"/>
        <v>5000</v>
      </c>
      <c r="C120" s="43"/>
      <c r="D120" s="44"/>
      <c r="E120" s="45"/>
      <c r="F120" s="25">
        <f t="shared" si="8"/>
        <v>0</v>
      </c>
      <c r="G120" s="184">
        <f>5000</f>
        <v>5000</v>
      </c>
      <c r="H120" s="57" t="s">
        <v>116</v>
      </c>
      <c r="I120" s="235">
        <f>G120</f>
        <v>5000</v>
      </c>
      <c r="J120" s="86" t="s">
        <v>77</v>
      </c>
      <c r="K120" s="195" t="s">
        <v>105</v>
      </c>
      <c r="L120" s="194"/>
      <c r="M120" s="77"/>
      <c r="N120" s="77"/>
      <c r="O120" s="191"/>
    </row>
    <row r="121" s="1" customFormat="1" ht="18" customHeight="1" spans="1:15">
      <c r="A121" s="42"/>
      <c r="B121" s="25">
        <f t="shared" si="7"/>
        <v>0</v>
      </c>
      <c r="C121" s="43"/>
      <c r="D121" s="44"/>
      <c r="E121" s="45"/>
      <c r="F121" s="25">
        <f t="shared" si="8"/>
        <v>0</v>
      </c>
      <c r="G121" s="184"/>
      <c r="H121" s="57" t="s">
        <v>116</v>
      </c>
      <c r="I121" s="235">
        <v>14679</v>
      </c>
      <c r="J121" s="86" t="s">
        <v>77</v>
      </c>
      <c r="K121" s="195" t="s">
        <v>146</v>
      </c>
      <c r="L121" s="194"/>
      <c r="M121" s="77"/>
      <c r="N121" s="77"/>
      <c r="O121" s="191"/>
    </row>
    <row r="122" s="1" customFormat="1" ht="18" customHeight="1" spans="1:15">
      <c r="A122" s="42"/>
      <c r="B122" s="25">
        <f t="shared" si="7"/>
        <v>0</v>
      </c>
      <c r="C122" s="43"/>
      <c r="D122" s="44"/>
      <c r="E122" s="45"/>
      <c r="F122" s="25">
        <f t="shared" si="8"/>
        <v>0</v>
      </c>
      <c r="G122" s="184"/>
      <c r="H122" s="57" t="s">
        <v>116</v>
      </c>
      <c r="I122" s="235">
        <v>551</v>
      </c>
      <c r="J122" s="86" t="s">
        <v>77</v>
      </c>
      <c r="K122" s="195" t="s">
        <v>140</v>
      </c>
      <c r="L122" s="194"/>
      <c r="M122" s="77"/>
      <c r="N122" s="77"/>
      <c r="O122" s="191"/>
    </row>
    <row r="123" s="1" customFormat="1" ht="18" customHeight="1" spans="1:15">
      <c r="A123" s="42"/>
      <c r="B123" s="25">
        <f t="shared" si="7"/>
        <v>0</v>
      </c>
      <c r="C123" s="43"/>
      <c r="D123" s="44"/>
      <c r="E123" s="45"/>
      <c r="F123" s="25">
        <f t="shared" si="8"/>
        <v>0</v>
      </c>
      <c r="G123" s="184"/>
      <c r="H123" s="57"/>
      <c r="I123" s="33"/>
      <c r="J123" s="86"/>
      <c r="K123" s="195"/>
      <c r="L123" s="194"/>
      <c r="M123" s="77"/>
      <c r="N123" s="77"/>
      <c r="O123" s="191"/>
    </row>
    <row r="124" ht="18" customHeight="1" spans="1:15">
      <c r="A124" s="38" t="s">
        <v>23</v>
      </c>
      <c r="B124" s="123">
        <f>SUM(B17:B123)</f>
        <v>8623181.38</v>
      </c>
      <c r="C124" s="38"/>
      <c r="D124" s="124"/>
      <c r="E124" s="124"/>
      <c r="F124" s="179">
        <f>SUM(F17:F123)</f>
        <v>417082.82</v>
      </c>
      <c r="G124" s="220">
        <f>SUM(G17:G123)</f>
        <v>9040264.2</v>
      </c>
      <c r="H124" s="221"/>
      <c r="I124" s="37">
        <f>SUM(I17:I123)</f>
        <v>7343974.23</v>
      </c>
      <c r="J124" s="226"/>
      <c r="K124" s="124"/>
      <c r="L124" s="180"/>
      <c r="M124" s="40"/>
      <c r="N124" s="40"/>
      <c r="O124" s="180"/>
    </row>
    <row r="125" ht="18" customHeight="1" spans="1:14">
      <c r="A125" s="126" t="s">
        <v>120</v>
      </c>
      <c r="B125" s="127">
        <f>B14*0.936</f>
        <v>7127339.44954129</v>
      </c>
      <c r="C125" s="126"/>
      <c r="D125" s="128"/>
      <c r="E125" s="128"/>
      <c r="F125" s="127"/>
      <c r="G125" s="127">
        <f>G14-G124</f>
        <v>-1940264.2</v>
      </c>
      <c r="H125" s="29" t="s">
        <v>121</v>
      </c>
      <c r="I125" s="37">
        <f>I14-I124</f>
        <v>256025.77</v>
      </c>
      <c r="J125" s="14"/>
      <c r="K125" s="227"/>
      <c r="M125" s="13"/>
      <c r="N125" s="13"/>
    </row>
    <row r="126" ht="18" customHeight="1" spans="1:14">
      <c r="A126" s="126" t="s">
        <v>122</v>
      </c>
      <c r="B126" s="127">
        <f>B125-B124</f>
        <v>-1495841.93045871</v>
      </c>
      <c r="C126" s="126"/>
      <c r="D126" s="128"/>
      <c r="E126" s="128"/>
      <c r="F126" s="127"/>
      <c r="G126" s="127"/>
      <c r="H126" s="130"/>
      <c r="I126" s="127"/>
      <c r="J126" s="14"/>
      <c r="K126" s="227"/>
      <c r="M126" s="13"/>
      <c r="N126" s="13"/>
    </row>
    <row r="127" ht="18" customHeight="1" spans="1:13">
      <c r="A127" s="7" t="s">
        <v>124</v>
      </c>
      <c r="C127" s="7"/>
      <c r="M127" s="14">
        <f>K129+L129</f>
        <v>67683.9388073395</v>
      </c>
    </row>
    <row r="128" ht="18" customHeight="1" spans="1:18">
      <c r="A128" s="29" t="s">
        <v>125</v>
      </c>
      <c r="B128" s="28" t="s">
        <v>126</v>
      </c>
      <c r="C128" s="180"/>
      <c r="D128" s="29" t="s">
        <v>125</v>
      </c>
      <c r="E128" s="27" t="s">
        <v>17</v>
      </c>
      <c r="F128" s="28" t="s">
        <v>126</v>
      </c>
      <c r="G128" s="8" t="s">
        <v>127</v>
      </c>
      <c r="H128" s="28" t="s">
        <v>128</v>
      </c>
      <c r="I128" s="28" t="s">
        <v>129</v>
      </c>
      <c r="J128" s="176" t="s">
        <v>130</v>
      </c>
      <c r="K128" s="28" t="s">
        <v>131</v>
      </c>
      <c r="L128" s="28" t="s">
        <v>132</v>
      </c>
      <c r="M128" s="28" t="s">
        <v>133</v>
      </c>
      <c r="O128" s="228" t="s">
        <v>166</v>
      </c>
      <c r="P128" s="229" t="s">
        <v>167</v>
      </c>
      <c r="Q128" s="29" t="s">
        <v>181</v>
      </c>
      <c r="R128" s="29"/>
    </row>
    <row r="129" ht="18" customHeight="1" spans="1:18">
      <c r="A129" s="180" t="s">
        <v>134</v>
      </c>
      <c r="B129" s="25">
        <f>(B125-B124)*0.25</f>
        <v>-373960.482614677</v>
      </c>
      <c r="C129" s="180"/>
      <c r="D129" s="36" t="s">
        <v>135</v>
      </c>
      <c r="E129" s="29" t="s">
        <v>136</v>
      </c>
      <c r="F129" s="179">
        <f>F14-F124</f>
        <v>115944.70293578</v>
      </c>
      <c r="G129" s="8">
        <v>64220.1834862385</v>
      </c>
      <c r="H129" s="179">
        <v>0</v>
      </c>
      <c r="I129" s="179">
        <f>F7+F8-F17-F18</f>
        <v>41792.0369724771</v>
      </c>
      <c r="J129" s="179">
        <f>-F21</f>
        <v>-34513.27</v>
      </c>
      <c r="K129" s="141">
        <f>F9</f>
        <v>109174.311926606</v>
      </c>
      <c r="L129" s="179">
        <f>F10+F12-F23-F26-F28-F32-F33-F35</f>
        <v>-41490.373119266</v>
      </c>
      <c r="M129" s="141">
        <f>-F38-F43</f>
        <v>-80618.16</v>
      </c>
      <c r="O129" s="228">
        <f>F12</f>
        <v>25688.0733944954</v>
      </c>
      <c r="P129" s="229">
        <f>-O129</f>
        <v>-25688.0733944954</v>
      </c>
      <c r="Q129" s="40">
        <f>F129-I129-J129-'12次'!K96-'12次'!L96-'12次'!M96</f>
        <v>18847.8635779814</v>
      </c>
      <c r="R129" s="40"/>
    </row>
    <row r="130" ht="18" customHeight="1" spans="1:18">
      <c r="A130" s="180" t="s">
        <v>137</v>
      </c>
      <c r="B130" s="222" t="s">
        <v>138</v>
      </c>
      <c r="C130" s="180"/>
      <c r="D130" s="223" t="s">
        <v>139</v>
      </c>
      <c r="E130" s="21">
        <v>0.07</v>
      </c>
      <c r="F130" s="31">
        <f>F129*E130</f>
        <v>8116.1292055046</v>
      </c>
      <c r="G130" s="8">
        <v>3211.00917431193</v>
      </c>
      <c r="H130" s="31">
        <v>0</v>
      </c>
      <c r="I130" s="31">
        <f>I129*E130</f>
        <v>2925.44258807339</v>
      </c>
      <c r="J130" s="31">
        <f>J129*E130</f>
        <v>-2415.9289</v>
      </c>
      <c r="K130" s="33">
        <f>K129*E130</f>
        <v>7642.20183486239</v>
      </c>
      <c r="L130" s="31">
        <f>L129*E130</f>
        <v>-2904.32611834862</v>
      </c>
      <c r="M130" s="33">
        <f>M129*E130</f>
        <v>-5643.2712</v>
      </c>
      <c r="O130" s="230"/>
      <c r="P130" s="231"/>
      <c r="Q130" s="40">
        <f>Q129*E130</f>
        <v>1319.3504504587</v>
      </c>
      <c r="R130" s="40"/>
    </row>
    <row r="131" ht="18" customHeight="1" spans="1:18">
      <c r="A131" s="180" t="s">
        <v>140</v>
      </c>
      <c r="B131" s="222"/>
      <c r="C131" s="180"/>
      <c r="D131" s="223" t="s">
        <v>141</v>
      </c>
      <c r="E131" s="21">
        <v>0.03</v>
      </c>
      <c r="F131" s="31">
        <f>F129*E131</f>
        <v>3478.3410880734</v>
      </c>
      <c r="G131" s="8">
        <v>1926.60550458716</v>
      </c>
      <c r="H131" s="31">
        <v>0</v>
      </c>
      <c r="I131" s="31">
        <f>I129*E131</f>
        <v>1253.76110917431</v>
      </c>
      <c r="J131" s="31">
        <f>J129*E131</f>
        <v>-1035.3981</v>
      </c>
      <c r="K131" s="33">
        <f>K129*E131</f>
        <v>3275.22935779817</v>
      </c>
      <c r="L131" s="31">
        <f>L129*E131</f>
        <v>-1244.71119357798</v>
      </c>
      <c r="M131" s="33">
        <f>M129*E131</f>
        <v>-2418.5448</v>
      </c>
      <c r="O131" s="230"/>
      <c r="P131" s="231"/>
      <c r="Q131" s="40">
        <f>Q129*E131</f>
        <v>565.435907339442</v>
      </c>
      <c r="R131" s="40"/>
    </row>
    <row r="132" ht="18" customHeight="1" spans="1:18">
      <c r="A132" s="180"/>
      <c r="B132" s="31"/>
      <c r="C132" s="180"/>
      <c r="D132" s="223" t="s">
        <v>142</v>
      </c>
      <c r="E132" s="21">
        <v>0.02</v>
      </c>
      <c r="F132" s="31">
        <f>F129*E132</f>
        <v>2318.8940587156</v>
      </c>
      <c r="G132" s="8">
        <v>1284.40366972477</v>
      </c>
      <c r="H132" s="31">
        <v>0</v>
      </c>
      <c r="I132" s="31">
        <f>I129*E132</f>
        <v>835.840739449541</v>
      </c>
      <c r="J132" s="31">
        <f>J129*E132</f>
        <v>-690.2654</v>
      </c>
      <c r="K132" s="33">
        <f>K129*E132</f>
        <v>2183.48623853211</v>
      </c>
      <c r="L132" s="31">
        <f>L129*E132</f>
        <v>-829.807462385321</v>
      </c>
      <c r="M132" s="33">
        <f>M129*E132</f>
        <v>-1612.3632</v>
      </c>
      <c r="O132" s="230"/>
      <c r="P132" s="231"/>
      <c r="Q132" s="40">
        <f>Q129*E132</f>
        <v>376.957271559628</v>
      </c>
      <c r="R132" s="40"/>
    </row>
    <row r="133" ht="18" customHeight="1" spans="1:18">
      <c r="A133" s="36" t="s">
        <v>143</v>
      </c>
      <c r="B133" s="123">
        <f>SUM(B129:B132)</f>
        <v>-373960.482614677</v>
      </c>
      <c r="C133" s="180"/>
      <c r="D133" s="41" t="s">
        <v>143</v>
      </c>
      <c r="E133" s="36"/>
      <c r="F133" s="179">
        <f t="shared" ref="F133:M133" si="9">SUM(F129:F132)</f>
        <v>129858.067288074</v>
      </c>
      <c r="G133" s="8">
        <v>70642.2018348624</v>
      </c>
      <c r="H133" s="179">
        <v>0</v>
      </c>
      <c r="I133" s="179">
        <f>SUM(I128:I132)</f>
        <v>46807.0814091743</v>
      </c>
      <c r="J133" s="179">
        <f t="shared" si="9"/>
        <v>-38654.8624</v>
      </c>
      <c r="K133" s="141">
        <f t="shared" si="9"/>
        <v>122275.229357798</v>
      </c>
      <c r="L133" s="179">
        <f t="shared" si="9"/>
        <v>-46469.217893578</v>
      </c>
      <c r="M133" s="141">
        <f t="shared" si="9"/>
        <v>-90292.3392</v>
      </c>
      <c r="O133" s="228">
        <f>O129*1.12</f>
        <v>28770.6422018349</v>
      </c>
      <c r="P133" s="231">
        <f>-O133</f>
        <v>-28770.6422018349</v>
      </c>
      <c r="Q133" s="40"/>
      <c r="R133" s="40"/>
    </row>
    <row r="134" ht="18" customHeight="1" spans="3:18">
      <c r="C134" s="7"/>
      <c r="D134" s="19" t="s">
        <v>140</v>
      </c>
      <c r="E134" s="224">
        <v>0.0006</v>
      </c>
      <c r="F134" s="31">
        <f>B14*E134</f>
        <v>4568.80733944954</v>
      </c>
      <c r="H134" s="31">
        <f>B7*E134</f>
        <v>550.45871559633</v>
      </c>
      <c r="I134" s="31">
        <f>B8*E134</f>
        <v>550.45871559633</v>
      </c>
      <c r="K134" s="31">
        <f>B9*E134</f>
        <v>935.779816513761</v>
      </c>
      <c r="L134" s="31">
        <f>(B10+B12)*E134</f>
        <v>770.642201834862</v>
      </c>
      <c r="O134" s="230">
        <f>B12*E134</f>
        <v>220.183486238532</v>
      </c>
      <c r="Q134" s="40">
        <f>E134*B13</f>
        <v>660.550458715596</v>
      </c>
      <c r="R134" s="40"/>
    </row>
    <row r="135" ht="18" customHeight="1" spans="3:18">
      <c r="C135" s="7"/>
      <c r="D135" s="27" t="s">
        <v>143</v>
      </c>
      <c r="E135" s="124"/>
      <c r="F135" s="37">
        <f t="shared" ref="F135:I135" si="10">F134</f>
        <v>4568.80733944954</v>
      </c>
      <c r="H135" s="37">
        <f t="shared" si="10"/>
        <v>550.45871559633</v>
      </c>
      <c r="I135" s="37">
        <f t="shared" si="10"/>
        <v>550.45871559633</v>
      </c>
      <c r="O135" s="221" t="s">
        <v>168</v>
      </c>
      <c r="P135" s="232" t="s">
        <v>169</v>
      </c>
      <c r="Q135" s="40"/>
      <c r="R135" s="40"/>
    </row>
    <row r="136" ht="18" customHeight="1" spans="3:18">
      <c r="C136" s="7"/>
      <c r="D136" s="27" t="s">
        <v>23</v>
      </c>
      <c r="E136" s="38"/>
      <c r="F136" s="37">
        <f t="shared" ref="F136:I136" si="11">F133+F135</f>
        <v>134426.874627523</v>
      </c>
      <c r="H136" s="37">
        <f t="shared" si="11"/>
        <v>550.45871559633</v>
      </c>
      <c r="I136" s="37">
        <f t="shared" si="11"/>
        <v>47357.5401247706</v>
      </c>
      <c r="O136" s="221"/>
      <c r="Q136" s="40"/>
      <c r="R136" s="40"/>
    </row>
    <row r="137" ht="18" customHeight="1" spans="3:18">
      <c r="C137" s="7"/>
      <c r="D137" s="38" t="s">
        <v>134</v>
      </c>
      <c r="E137" s="124">
        <v>0.016</v>
      </c>
      <c r="F137" s="37">
        <f>B14*E137</f>
        <v>121834.862385321</v>
      </c>
      <c r="G137" s="225" t="s">
        <v>144</v>
      </c>
      <c r="H137" s="37">
        <f>B7*E137</f>
        <v>14678.8990825688</v>
      </c>
      <c r="I137" s="37">
        <f>B8*E137</f>
        <v>14678.8990825688</v>
      </c>
      <c r="K137" s="37">
        <f>B9*E137</f>
        <v>24954.128440367</v>
      </c>
      <c r="L137" s="37">
        <f>SUM(G10:G12)*E137</f>
        <v>54400</v>
      </c>
      <c r="O137" s="221">
        <f>G12*E137</f>
        <v>6400</v>
      </c>
      <c r="Q137" s="40">
        <f>E137*G13</f>
        <v>19200</v>
      </c>
      <c r="R137" s="40"/>
    </row>
    <row r="138" ht="18" customHeight="1" spans="3:18">
      <c r="C138" s="7"/>
      <c r="G138" s="8" t="s">
        <v>145</v>
      </c>
      <c r="I138" s="8">
        <f>B126*0.25</f>
        <v>-373960.482614677</v>
      </c>
      <c r="Q138" s="180" t="s">
        <v>182</v>
      </c>
      <c r="R138" s="233">
        <f>Q129+Q130+Q131+Q132+Q134+Q137</f>
        <v>40970.1576660547</v>
      </c>
    </row>
    <row r="139" ht="18" customHeight="1" spans="3:11">
      <c r="C139" s="7"/>
      <c r="I139" s="8">
        <f>B126*0.25</f>
        <v>-373960.482614677</v>
      </c>
      <c r="K139" s="9">
        <f>'12次'!I96+'12次'!J96+'12次'!K96+'12次'!L96+'12次'!M96</f>
        <v>97096.8393577986</v>
      </c>
    </row>
    <row r="140" ht="18" customHeight="1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</sheetData>
  <autoFilter ref="A16:Q139">
    <extLst/>
  </autoFilter>
  <mergeCells count="18">
    <mergeCell ref="A1:J1"/>
    <mergeCell ref="H2:J2"/>
    <mergeCell ref="C5:D5"/>
    <mergeCell ref="E5:F5"/>
    <mergeCell ref="H5:J5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本次</vt:lpstr>
      <vt:lpstr>12次</vt:lpstr>
      <vt:lpstr>12.1</vt:lpstr>
      <vt:lpstr>第13次</vt:lpstr>
      <vt:lpstr>第14次</vt:lpstr>
      <vt:lpstr>14.2</vt:lpstr>
      <vt:lpstr>14.3</vt:lpstr>
      <vt:lpstr>14.4</vt:lpstr>
      <vt:lpstr>15</vt:lpstr>
      <vt:lpstr>15 (2)</vt:lpstr>
      <vt:lpstr>16</vt:lpstr>
      <vt:lpstr>16 (2)</vt:lpstr>
      <vt:lpstr>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2021-08-18T07:24:04Z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